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ramadhanialfarizi/File-rama/projekan/g_parking/assets/images/"/>
    </mc:Choice>
  </mc:AlternateContent>
  <xr:revisionPtr revIDLastSave="0" documentId="13_ncr:1_{7A86C2DD-E30E-4545-A65D-320E40A8E975}" xr6:coauthVersionLast="47" xr6:coauthVersionMax="47" xr10:uidLastSave="{00000000-0000-0000-0000-000000000000}"/>
  <workbookProtection workbookAlgorithmName="SHA-512" workbookHashValue="lqhBKhvUiaEApBHwAMyPWzUAhupmFqgkXILx867+J0q//3A1BaNuiM0xp8BYpmTLVZb2Bln0Tn4E+cBAZXyusg==" workbookSaltValue="Emtx2TtzA6OUMpCyNpeC4w==" workbookSpinCount="100000" lockStructure="1"/>
  <bookViews>
    <workbookView xWindow="2100" yWindow="2140" windowWidth="20500" windowHeight="7460" tabRatio="728" activeTab="3" xr2:uid="{00000000-000D-0000-FFFF-FFFF00000000}"/>
  </bookViews>
  <sheets>
    <sheet name="database" sheetId="2" state="hidden" r:id="rId1"/>
    <sheet name="Calc Branch" sheetId="11" r:id="rId2"/>
    <sheet name="Calc PCM" sheetId="10" r:id="rId3"/>
    <sheet name="Branch" sheetId="7" r:id="rId4"/>
    <sheet name="PCM" sheetId="8" r:id="rId5"/>
  </sheets>
  <externalReferences>
    <externalReference r:id="rId6"/>
  </externalReferences>
  <definedNames>
    <definedName name="__FDS_HYPERLINK_TOGGLE_STATE__" hidden="1">"ON"</definedName>
    <definedName name="_Fill" localSheetId="3" hidden="1">#REF!</definedName>
    <definedName name="_Fill" localSheetId="2" hidden="1">#REF!</definedName>
    <definedName name="_Fill" localSheetId="0" hidden="1">#REF!</definedName>
    <definedName name="_Fill" localSheetId="4" hidden="1">#REF!</definedName>
    <definedName name="_Fill" hidden="1">#REF!</definedName>
    <definedName name="_xlnm._FilterDatabase" localSheetId="3" hidden="1">Branch!$A$10:$FO$70</definedName>
    <definedName name="_xlnm._FilterDatabase" localSheetId="1" hidden="1">'Calc Branch'!$B$4:$O$71</definedName>
    <definedName name="_xlnm._FilterDatabase" localSheetId="4" hidden="1">PCM!$A$10:$DD$10</definedName>
    <definedName name="_Key2" localSheetId="3" hidden="1">[1]PEMBIAYAAN!#REF!</definedName>
    <definedName name="_Key2" localSheetId="1" hidden="1">[1]PEMBIAYAAN!#REF!</definedName>
    <definedName name="_Key2" localSheetId="2" hidden="1">[1]PEMBIAYAAN!#REF!</definedName>
    <definedName name="_Key2" localSheetId="0" hidden="1">[1]PEMBIAYAAN!#REF!</definedName>
    <definedName name="_Key2" localSheetId="4" hidden="1">[1]PEMBIAYAAN!#REF!</definedName>
    <definedName name="_Key2" hidden="1">[1]PEMBIAYAAN!#REF!</definedName>
    <definedName name="_Order1" hidden="1">0</definedName>
    <definedName name="_Order2" hidden="1">255</definedName>
    <definedName name="_Sort" localSheetId="3" hidden="1">[1]PEMBIAYAAN!#REF!</definedName>
    <definedName name="_Sort" localSheetId="1" hidden="1">[1]PEMBIAYAAN!#REF!</definedName>
    <definedName name="_Sort" localSheetId="2" hidden="1">[1]PEMBIAYAAN!#REF!</definedName>
    <definedName name="_Sort" localSheetId="0" hidden="1">[1]PEMBIAYAAN!#REF!</definedName>
    <definedName name="_Sort" localSheetId="4" hidden="1">[1]PEMBIAYAAN!#REF!</definedName>
    <definedName name="_Sort" hidden="1">[1]PEMBIAYAAN!#REF!</definedName>
    <definedName name="asdrae" localSheetId="3" hidden="1">#REF!</definedName>
    <definedName name="asdrae" localSheetId="2" hidden="1">#REF!</definedName>
    <definedName name="asdrae" localSheetId="0" hidden="1">#REF!</definedName>
    <definedName name="asdrae" localSheetId="4" hidden="1">#REF!</definedName>
    <definedName name="asdrae" hidden="1">#REF!</definedName>
    <definedName name="HURUF">INDEX(database!$C$3:$C$4,MATCH('Calc Branch'!$R$2,database!$B$3:$B$4))</definedName>
    <definedName name="HURUF2">INDEX(database!$C$3:$C$4,MATCH('Calc PCM'!$R$2,database!$B$3:$B$4))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EBT_BR" hidden="1">"c378"</definedName>
    <definedName name="IQ_EBT_EXCL_BR" hidden="1">"c381"</definedName>
    <definedName name="IQ_EXTRA_ACC_ITEMS_BR" hidden="1">"c412"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TEL_EPS_EST" hidden="1">"c24729"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CRO_SURVEY_CONSUMER_SENTIMENT" hidden="1">"c20808"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NAMES_REVISION_DATE_" hidden="1">40638.0603356482</definedName>
    <definedName name="IQ_NET_DEBT_ISSUED_BR" hidden="1">"c753"</definedName>
    <definedName name="IQ_NET_INT_INC_BR" hidden="1">"c765"</definedName>
    <definedName name="IQ_NTM" hidden="1">6000</definedName>
    <definedName name="IQ_OPER_INC_BR" hidden="1">"c850"</definedName>
    <definedName name="IQ_OTHER_AMORT_BR" hidden="1">"c5566"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REF_ISSUED_BR" hidden="1">"c1047"</definedName>
    <definedName name="IQ_PREF_OTHER_BR" hidden="1">"c1055"</definedName>
    <definedName name="IQ_PREF_REP_BR" hidden="1">"c1062"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OTAL_UNUSUAL_BR" hidden="1">"c5517"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" i="10" l="1"/>
  <c r="M61" i="10"/>
  <c r="K61" i="10"/>
  <c r="J61" i="10"/>
  <c r="M75" i="11" l="1"/>
  <c r="O75" i="11"/>
  <c r="K75" i="11"/>
  <c r="J75" i="11"/>
  <c r="J47" i="10" l="1"/>
  <c r="J46" i="10"/>
  <c r="J45" i="10"/>
  <c r="N75" i="11" l="1"/>
  <c r="N61" i="10" l="1"/>
  <c r="J51" i="10" l="1"/>
  <c r="K51" i="10" s="1"/>
  <c r="N57" i="10"/>
  <c r="D9" i="10"/>
  <c r="AK12" i="11"/>
  <c r="AK13" i="11" s="1"/>
  <c r="D7" i="11"/>
  <c r="H6" i="11"/>
  <c r="H5" i="11"/>
  <c r="D5" i="11"/>
  <c r="H4" i="11"/>
  <c r="D4" i="11"/>
  <c r="J67" i="11" l="1"/>
  <c r="K67" i="11" s="1"/>
  <c r="J50" i="11"/>
  <c r="K50" i="11" s="1"/>
  <c r="D5" i="10"/>
  <c r="J21" i="10"/>
  <c r="X4" i="10" s="1"/>
  <c r="I21" i="10"/>
  <c r="K26" i="10"/>
  <c r="K27" i="10"/>
  <c r="D4" i="10"/>
  <c r="J39" i="10"/>
  <c r="K39" i="10" s="1"/>
  <c r="J4" i="10"/>
  <c r="J53" i="10"/>
  <c r="K53" i="10" s="1"/>
  <c r="J36" i="10"/>
  <c r="K36" i="10" s="1"/>
  <c r="J49" i="10"/>
  <c r="K49" i="10" s="1"/>
  <c r="H4" i="10"/>
  <c r="J26" i="10"/>
  <c r="H6" i="10"/>
  <c r="J33" i="10"/>
  <c r="K33" i="10" s="1"/>
  <c r="I55" i="10"/>
  <c r="D8" i="10"/>
  <c r="J34" i="10"/>
  <c r="K34" i="10" s="1"/>
  <c r="J56" i="10"/>
  <c r="I23" i="10"/>
  <c r="J35" i="10"/>
  <c r="K35" i="10" s="1"/>
  <c r="J52" i="10"/>
  <c r="K52" i="10" s="1"/>
  <c r="J27" i="10"/>
  <c r="J43" i="10"/>
  <c r="J55" i="10"/>
  <c r="J30" i="10"/>
  <c r="K30" i="10" s="1"/>
  <c r="H5" i="10"/>
  <c r="I24" i="10" s="1"/>
  <c r="K21" i="10"/>
  <c r="I29" i="10"/>
  <c r="J38" i="10"/>
  <c r="K38" i="10" s="1"/>
  <c r="J48" i="10"/>
  <c r="K48" i="10" s="1"/>
  <c r="K55" i="10"/>
  <c r="D7" i="10"/>
  <c r="J23" i="10"/>
  <c r="X5" i="10" s="1"/>
  <c r="J31" i="10"/>
  <c r="K31" i="10" s="1"/>
  <c r="J40" i="10"/>
  <c r="K40" i="10" s="1"/>
  <c r="J50" i="10"/>
  <c r="K50" i="10" s="1"/>
  <c r="K56" i="10"/>
  <c r="H7" i="10"/>
  <c r="K23" i="10"/>
  <c r="Y5" i="10" s="1"/>
  <c r="J32" i="10"/>
  <c r="K32" i="10" s="1"/>
  <c r="J42" i="10"/>
  <c r="K31" i="11"/>
  <c r="J23" i="11"/>
  <c r="K33" i="11"/>
  <c r="J47" i="11"/>
  <c r="K47" i="11" s="1"/>
  <c r="J44" i="11"/>
  <c r="K44" i="11" s="1"/>
  <c r="Q44" i="11" s="1"/>
  <c r="K35" i="11"/>
  <c r="J52" i="11"/>
  <c r="K52" i="11" s="1"/>
  <c r="J61" i="11"/>
  <c r="J6" i="11"/>
  <c r="J22" i="11"/>
  <c r="K29" i="11"/>
  <c r="J54" i="11"/>
  <c r="K54" i="11" s="1"/>
  <c r="J58" i="11"/>
  <c r="K39" i="11"/>
  <c r="J55" i="11"/>
  <c r="K55" i="11" s="1"/>
  <c r="K36" i="11"/>
  <c r="J62" i="11"/>
  <c r="K23" i="11"/>
  <c r="J53" i="11"/>
  <c r="K53" i="11" s="1"/>
  <c r="J63" i="11"/>
  <c r="I42" i="11"/>
  <c r="J48" i="11"/>
  <c r="K48" i="11" s="1"/>
  <c r="J64" i="11"/>
  <c r="K64" i="11" s="1"/>
  <c r="J68" i="11"/>
  <c r="K68" i="11" s="1"/>
  <c r="K22" i="11"/>
  <c r="K30" i="11"/>
  <c r="K38" i="11"/>
  <c r="J43" i="11"/>
  <c r="K43" i="11" s="1"/>
  <c r="J45" i="11"/>
  <c r="K45" i="11" s="1"/>
  <c r="J49" i="11"/>
  <c r="K49" i="11" s="1"/>
  <c r="J59" i="11"/>
  <c r="J65" i="11"/>
  <c r="K65" i="11" s="1"/>
  <c r="J69" i="11"/>
  <c r="K69" i="11" s="1"/>
  <c r="J5" i="11"/>
  <c r="I25" i="11"/>
  <c r="J28" i="11"/>
  <c r="N84" i="11" s="1"/>
  <c r="K32" i="11"/>
  <c r="J40" i="11"/>
  <c r="J46" i="11"/>
  <c r="K46" i="11" s="1"/>
  <c r="J66" i="11"/>
  <c r="K66" i="11" s="1"/>
  <c r="J70" i="11"/>
  <c r="K70" i="11" s="1"/>
  <c r="I23" i="11"/>
  <c r="J25" i="11"/>
  <c r="J33" i="11"/>
  <c r="K40" i="11"/>
  <c r="J56" i="11"/>
  <c r="K56" i="11" s="1"/>
  <c r="J4" i="11"/>
  <c r="K25" i="11"/>
  <c r="K29" i="10" l="1"/>
  <c r="M22" i="11"/>
  <c r="O22" i="11" s="1"/>
  <c r="K42" i="11"/>
  <c r="M55" i="10"/>
  <c r="O55" i="10" s="1"/>
  <c r="M33" i="11"/>
  <c r="M84" i="11" s="1"/>
  <c r="O84" i="11" s="1"/>
  <c r="J22" i="10"/>
  <c r="K22" i="10"/>
  <c r="M26" i="10"/>
  <c r="O26" i="10" s="1"/>
  <c r="M27" i="10"/>
  <c r="X6" i="10" s="1"/>
  <c r="Y6" i="10" s="1"/>
  <c r="J41" i="10"/>
  <c r="K41" i="10" s="1"/>
  <c r="M56" i="10"/>
  <c r="O56" i="10" s="1"/>
  <c r="J44" i="10"/>
  <c r="K44" i="10" s="1"/>
  <c r="M40" i="11"/>
  <c r="O40" i="11" s="1"/>
  <c r="Y4" i="10"/>
  <c r="J24" i="10"/>
  <c r="K24" i="10"/>
  <c r="K37" i="11"/>
  <c r="M37" i="11" s="1"/>
  <c r="O37" i="11" s="1"/>
  <c r="K34" i="11"/>
  <c r="M34" i="11" s="1"/>
  <c r="O34" i="11" s="1"/>
  <c r="J60" i="11"/>
  <c r="K60" i="11" s="1"/>
  <c r="J57" i="11"/>
  <c r="K57" i="11" s="1"/>
  <c r="J26" i="11"/>
  <c r="Y4" i="11"/>
  <c r="N33" i="11"/>
  <c r="N28" i="11"/>
  <c r="Q43" i="11"/>
  <c r="K28" i="11"/>
  <c r="M28" i="11" s="1"/>
  <c r="Z3" i="11"/>
  <c r="K24" i="11"/>
  <c r="J24" i="11"/>
  <c r="Y3" i="11"/>
  <c r="K26" i="11"/>
  <c r="Z4" i="11"/>
  <c r="K37" i="10" l="1"/>
  <c r="M29" i="10" s="1"/>
  <c r="M21" i="10" s="1"/>
  <c r="O21" i="10" s="1"/>
  <c r="K25" i="10"/>
  <c r="M23" i="10" s="1"/>
  <c r="O23" i="10" s="1"/>
  <c r="O27" i="10"/>
  <c r="AE12" i="11"/>
  <c r="AE13" i="11" s="1"/>
  <c r="AA12" i="11" s="1"/>
  <c r="AA14" i="11" s="1"/>
  <c r="K51" i="11"/>
  <c r="M43" i="11" s="1"/>
  <c r="K27" i="11"/>
  <c r="M25" i="11" s="1"/>
  <c r="O25" i="11" s="1"/>
  <c r="O28" i="11"/>
  <c r="N71" i="11"/>
  <c r="O33" i="11" l="1"/>
  <c r="M23" i="11"/>
  <c r="O23" i="11" s="1"/>
  <c r="O29" i="10"/>
  <c r="O57" i="10" s="1"/>
  <c r="O69" i="10" s="1"/>
  <c r="X7" i="10"/>
  <c r="Y7" i="10" s="1"/>
  <c r="O43" i="11"/>
  <c r="Y5" i="11"/>
  <c r="Z5" i="11" s="1"/>
  <c r="R2" i="10" l="1"/>
  <c r="N7" i="10" s="1"/>
  <c r="N4" i="10"/>
  <c r="O71" i="11"/>
  <c r="O85" i="11" s="1"/>
  <c r="R2" i="11" l="1"/>
  <c r="N7" i="11" s="1"/>
  <c r="N4" i="11"/>
</calcChain>
</file>

<file path=xl/sharedStrings.xml><?xml version="1.0" encoding="utf-8"?>
<sst xmlns="http://schemas.openxmlformats.org/spreadsheetml/2006/main" count="1477" uniqueCount="549">
  <si>
    <t>RM FUNDING</t>
  </si>
  <si>
    <t>RM</t>
  </si>
  <si>
    <t>PARAMETER</t>
  </si>
  <si>
    <t>BASELINE</t>
  </si>
  <si>
    <t>TARGET</t>
  </si>
  <si>
    <t>ACTUAL</t>
  </si>
  <si>
    <t>ACHIEVEMENT</t>
  </si>
  <si>
    <t>WEIGHTAGES</t>
  </si>
  <si>
    <t>SCORE</t>
  </si>
  <si>
    <t>Target</t>
  </si>
  <si>
    <t>Actual By Volume</t>
  </si>
  <si>
    <t>FEE &amp; SERVICE</t>
  </si>
  <si>
    <t>Bancassurance (Non Tahunan)</t>
  </si>
  <si>
    <t>Point (Service)</t>
  </si>
  <si>
    <t>Porsi Haji</t>
  </si>
  <si>
    <t>Porsi Umroh</t>
  </si>
  <si>
    <t>TOTAL KPI</t>
  </si>
  <si>
    <t>NPF</t>
  </si>
  <si>
    <t>FINANCING QUALITY</t>
  </si>
  <si>
    <t>Tabel Point</t>
  </si>
  <si>
    <t>Min</t>
  </si>
  <si>
    <t>Max</t>
  </si>
  <si>
    <t>Rating</t>
  </si>
  <si>
    <t>Star</t>
  </si>
  <si>
    <t>RM FUNDING HAJI</t>
  </si>
  <si>
    <t>✰</t>
  </si>
  <si>
    <t>SRM</t>
  </si>
  <si>
    <t>✰✰</t>
  </si>
  <si>
    <t>✰✰✰</t>
  </si>
  <si>
    <t>✰✰✰✰</t>
  </si>
  <si>
    <t>✰✰✰✰✰</t>
  </si>
  <si>
    <t>JAKARTA</t>
  </si>
  <si>
    <t>LUAR JAKARTA</t>
  </si>
  <si>
    <t>Financing Booking</t>
  </si>
  <si>
    <t>x</t>
  </si>
  <si>
    <t>Position:</t>
  </si>
  <si>
    <t>Branch Manager</t>
  </si>
  <si>
    <t>Periode:</t>
  </si>
  <si>
    <t>Region</t>
  </si>
  <si>
    <t>Marketing Code</t>
  </si>
  <si>
    <t>Branch Manager Name</t>
  </si>
  <si>
    <t>NIK</t>
  </si>
  <si>
    <t>Position</t>
  </si>
  <si>
    <t>Status</t>
  </si>
  <si>
    <t>%Target</t>
  </si>
  <si>
    <t>Join Date</t>
  </si>
  <si>
    <t>Effective Date</t>
  </si>
  <si>
    <t>Active Month</t>
  </si>
  <si>
    <t>Branch Code</t>
  </si>
  <si>
    <t>Branch Name</t>
  </si>
  <si>
    <t>MPP
RM Funding &amp; Prioritas</t>
  </si>
  <si>
    <t>MPP
RM Financing</t>
  </si>
  <si>
    <t>MPP
CS</t>
  </si>
  <si>
    <t>Baseline</t>
  </si>
  <si>
    <t>Actual</t>
  </si>
  <si>
    <t>Aktual By Volume</t>
  </si>
  <si>
    <t>Aktual</t>
  </si>
  <si>
    <t>%Achievement Weighted</t>
  </si>
  <si>
    <t>CASA</t>
  </si>
  <si>
    <t>TD</t>
  </si>
  <si>
    <t>Posisi</t>
  </si>
  <si>
    <t>Growth</t>
  </si>
  <si>
    <t>Avg. Balance</t>
  </si>
  <si>
    <t>By</t>
  </si>
  <si>
    <t>Perhitungan NPF thd</t>
  </si>
  <si>
    <t>Funding Growth &amp; Acquisition</t>
  </si>
  <si>
    <t>Productivity</t>
  </si>
  <si>
    <t>OS EOM</t>
  </si>
  <si>
    <t>OS Prev Day</t>
  </si>
  <si>
    <t>OS Today</t>
  </si>
  <si>
    <t>Consumer (mio)</t>
  </si>
  <si>
    <t>SMM (mio)</t>
  </si>
  <si>
    <t>CASA (mio)</t>
  </si>
  <si>
    <t>TD (mio)</t>
  </si>
  <si>
    <t>SMM  (mio)</t>
  </si>
  <si>
    <t>Point Service</t>
  </si>
  <si>
    <t>RM &amp; CS Productivity</t>
  </si>
  <si>
    <t>TD (mio) adj</t>
  </si>
  <si>
    <t>SME</t>
  </si>
  <si>
    <t>Fx Transaction (USD 10.000)</t>
  </si>
  <si>
    <t>Points</t>
  </si>
  <si>
    <t>CASA CIF NTB &gt;= 1mio</t>
  </si>
  <si>
    <t>Regular</t>
  </si>
  <si>
    <t>Khusus</t>
  </si>
  <si>
    <t>RM Funding Productivity</t>
  </si>
  <si>
    <t>RM Financing Productivity</t>
  </si>
  <si>
    <t>CS</t>
  </si>
  <si>
    <t>TOTAL RM &amp; CS Productivity</t>
  </si>
  <si>
    <t>5% CA</t>
  </si>
  <si>
    <t>3% Non CA</t>
  </si>
  <si>
    <t>BL-AC/BL-T</t>
  </si>
  <si>
    <t>Total</t>
  </si>
  <si>
    <t>RM Productivity</t>
  </si>
  <si>
    <t>TOTAL SCORE</t>
  </si>
  <si>
    <t>RATING</t>
  </si>
  <si>
    <t>STAR RATING</t>
  </si>
  <si>
    <t>FUNDING</t>
  </si>
  <si>
    <t>Priority Center Manager</t>
  </si>
  <si>
    <t>Marketing Name</t>
  </si>
  <si>
    <t>Unit Code</t>
  </si>
  <si>
    <t>Unit Name</t>
  </si>
  <si>
    <t>Lokasi</t>
  </si>
  <si>
    <t>Regional Achievement</t>
  </si>
  <si>
    <t>AKTUAL BY VOLUME</t>
  </si>
  <si>
    <t>%Achievement</t>
  </si>
  <si>
    <t>Region Assignment</t>
  </si>
  <si>
    <t>Growth Branch Assignment</t>
  </si>
  <si>
    <t>Branch Assignment</t>
  </si>
  <si>
    <t>OS Funding Last Month</t>
  </si>
  <si>
    <t>NTB</t>
  </si>
  <si>
    <t>Point Fee &amp; Service</t>
  </si>
  <si>
    <t>5 % Growth</t>
  </si>
  <si>
    <t>Point Services</t>
  </si>
  <si>
    <t xml:space="preserve">NTB </t>
  </si>
  <si>
    <t>Point</t>
  </si>
  <si>
    <t>Funding Current</t>
  </si>
  <si>
    <t>Aktual New MP/Upgrade</t>
  </si>
  <si>
    <t>NTB MP</t>
  </si>
  <si>
    <t>Funding</t>
  </si>
  <si>
    <t>Bulan Laporan</t>
  </si>
  <si>
    <t>:</t>
  </si>
  <si>
    <t>Area</t>
  </si>
  <si>
    <t>Tanggal Laporan</t>
  </si>
  <si>
    <t>Kode Marketing</t>
  </si>
  <si>
    <t>Nama</t>
  </si>
  <si>
    <t>Kode Cabang</t>
  </si>
  <si>
    <t>Nama Cabang</t>
  </si>
  <si>
    <t>Individual Achievement</t>
  </si>
  <si>
    <t>Funding Growth</t>
  </si>
  <si>
    <t>Actual By  Points</t>
  </si>
  <si>
    <t>Achievement</t>
  </si>
  <si>
    <t>Wieghtages</t>
  </si>
  <si>
    <t>Score</t>
  </si>
  <si>
    <t>Fee &amp; Services</t>
  </si>
  <si>
    <t>Region Achievement</t>
  </si>
  <si>
    <t>Funding Net Growth</t>
  </si>
  <si>
    <t>Unit Cabang</t>
  </si>
  <si>
    <t xml:space="preserve">            Status     :</t>
  </si>
  <si>
    <t>Sukuk Primer</t>
  </si>
  <si>
    <t>Sukuk Sekunder</t>
  </si>
  <si>
    <t>Last month</t>
  </si>
  <si>
    <t>Last Month</t>
  </si>
  <si>
    <t>FUNDING GROWTH &amp; ACQUISITION</t>
  </si>
  <si>
    <t>Bonus Tactical April</t>
  </si>
  <si>
    <t>DP3 CASA</t>
  </si>
  <si>
    <t>DP3 TD</t>
  </si>
  <si>
    <t>DP2 CASA</t>
  </si>
  <si>
    <t>DP2 TD</t>
  </si>
  <si>
    <t>20040004</t>
  </si>
  <si>
    <t>Tactical Juni</t>
  </si>
  <si>
    <t>Konversi ke TPB</t>
  </si>
  <si>
    <t>KPI Funding Growth Winback</t>
  </si>
  <si>
    <t>20160555</t>
  </si>
  <si>
    <t>Melinawati Amran</t>
  </si>
  <si>
    <t>Active</t>
  </si>
  <si>
    <t>BINTARO JAYA</t>
  </si>
  <si>
    <t/>
  </si>
  <si>
    <t>0</t>
  </si>
  <si>
    <t>20160512</t>
  </si>
  <si>
    <t>Dewi Fathia</t>
  </si>
  <si>
    <t>BUMI SERPONG DAMAI</t>
  </si>
  <si>
    <t>CENGKARENG</t>
  </si>
  <si>
    <t>PURI INDAH</t>
  </si>
  <si>
    <t>ROXY</t>
  </si>
  <si>
    <t>20120029</t>
  </si>
  <si>
    <t>Firmansyah Safari</t>
  </si>
  <si>
    <t>SERANG</t>
  </si>
  <si>
    <t>20150498</t>
  </si>
  <si>
    <t>Pandu Angga Ikhsana</t>
  </si>
  <si>
    <t>BOGOR</t>
  </si>
  <si>
    <t>CILEDUG</t>
  </si>
  <si>
    <t>M. Nahdhudin Al Asady</t>
  </si>
  <si>
    <t>CIPULIR</t>
  </si>
  <si>
    <t>20170023</t>
  </si>
  <si>
    <t>Cahya Adi</t>
  </si>
  <si>
    <t>DEPOK</t>
  </si>
  <si>
    <t>20170379</t>
  </si>
  <si>
    <t>Bimo Setyawan</t>
  </si>
  <si>
    <t>FATMAWATI</t>
  </si>
  <si>
    <t>20170811</t>
  </si>
  <si>
    <t>Neneng Siti Rahmah Niar</t>
  </si>
  <si>
    <t>MUAMALAT TOWER</t>
  </si>
  <si>
    <t>PANCORAN</t>
  </si>
  <si>
    <t>MELAWAI</t>
  </si>
  <si>
    <t>20170061</t>
  </si>
  <si>
    <t>Uki A Wibowo</t>
  </si>
  <si>
    <t>19930030</t>
  </si>
  <si>
    <t>Ismupdalifah</t>
  </si>
  <si>
    <t>WOLTER MONGINSIDI</t>
  </si>
  <si>
    <t>20160304</t>
  </si>
  <si>
    <t>Deny Hindarto</t>
  </si>
  <si>
    <t>BUARAN KLENDER</t>
  </si>
  <si>
    <t>20160350</t>
  </si>
  <si>
    <t>Arief Nur Yusuf</t>
  </si>
  <si>
    <t>KALIMALANG</t>
  </si>
  <si>
    <t>20060081</t>
  </si>
  <si>
    <t>Yeyen Djannati</t>
  </si>
  <si>
    <t>KALIMAS BEKASI</t>
  </si>
  <si>
    <t>20190618</t>
  </si>
  <si>
    <t>Widyanti Hidayat</t>
  </si>
  <si>
    <t>KARAWANG</t>
  </si>
  <si>
    <t>20170915</t>
  </si>
  <si>
    <t>Prasetyo Nur Cahyo</t>
  </si>
  <si>
    <t>KELAPA GADING</t>
  </si>
  <si>
    <t>20170149</t>
  </si>
  <si>
    <t>Anike Defriana</t>
  </si>
  <si>
    <t>MATRAMAN</t>
  </si>
  <si>
    <t>RAWAMANGUN</t>
  </si>
  <si>
    <t>JATIM, BALI &amp; NUSRA</t>
  </si>
  <si>
    <t>DENPASAR</t>
  </si>
  <si>
    <t>20080194</t>
  </si>
  <si>
    <t>Wisnu Satria Bharata</t>
  </si>
  <si>
    <t>JEMBER</t>
  </si>
  <si>
    <t>KEDIRI</t>
  </si>
  <si>
    <t>KH. MAS MANSYUR</t>
  </si>
  <si>
    <t>20090220</t>
  </si>
  <si>
    <t>Danang Rokhmad Sulendra</t>
  </si>
  <si>
    <t>MALANG</t>
  </si>
  <si>
    <t>MATARAM</t>
  </si>
  <si>
    <t>19950010</t>
  </si>
  <si>
    <t>Rizma</t>
  </si>
  <si>
    <t>SURABAYA DARMO</t>
  </si>
  <si>
    <t>20190299</t>
  </si>
  <si>
    <t>Erine Widya Kusumawati</t>
  </si>
  <si>
    <t>SURABAYA SUNGKONO</t>
  </si>
  <si>
    <t>19950028</t>
  </si>
  <si>
    <t>Imam Puji Raharjo</t>
  </si>
  <si>
    <t>BANDUNG</t>
  </si>
  <si>
    <t>CIREBON</t>
  </si>
  <si>
    <t>SUKABUMI</t>
  </si>
  <si>
    <t>PEKALONGAN</t>
  </si>
  <si>
    <t>20040012</t>
  </si>
  <si>
    <t>Giat Waluyo</t>
  </si>
  <si>
    <t>PURWOKERTO</t>
  </si>
  <si>
    <t>19990031</t>
  </si>
  <si>
    <t>Anshar</t>
  </si>
  <si>
    <t>SEMARANG</t>
  </si>
  <si>
    <t>19960015</t>
  </si>
  <si>
    <t>Budi Santoso</t>
  </si>
  <si>
    <t>SOLO</t>
  </si>
  <si>
    <t>YOGYAKARTA</t>
  </si>
  <si>
    <t>20010010</t>
  </si>
  <si>
    <t>Suriyansyah</t>
  </si>
  <si>
    <t>BALIKPAPAN</t>
  </si>
  <si>
    <t>20070007</t>
  </si>
  <si>
    <t>Betha Muhammad Zaky</t>
  </si>
  <si>
    <t>BANJARMASIN</t>
  </si>
  <si>
    <t>20030065</t>
  </si>
  <si>
    <t>Ribut Budi Putro Utomo</t>
  </si>
  <si>
    <t>PALANGKARAYA</t>
  </si>
  <si>
    <t>SAMARINDA</t>
  </si>
  <si>
    <t>SULAMPUA</t>
  </si>
  <si>
    <t>AMBON</t>
  </si>
  <si>
    <t>20040144</t>
  </si>
  <si>
    <t>Akbar Sulaiman Karib</t>
  </si>
  <si>
    <t>GORONTALO</t>
  </si>
  <si>
    <t>20060090</t>
  </si>
  <si>
    <t>Christinawulansari Elok Jatiwaluyaningtias</t>
  </si>
  <si>
    <t>JAYAPURA</t>
  </si>
  <si>
    <t>20040013</t>
  </si>
  <si>
    <t>Fitrawan</t>
  </si>
  <si>
    <t>KENDARI</t>
  </si>
  <si>
    <t>20170049</t>
  </si>
  <si>
    <t>Dwi Poedji Widodo</t>
  </si>
  <si>
    <t>MAKASAR</t>
  </si>
  <si>
    <t>20180456</t>
  </si>
  <si>
    <t>Muhammad Nurwahyu Ishak</t>
  </si>
  <si>
    <t>20060074</t>
  </si>
  <si>
    <t>Bambang Haryo Nugroho</t>
  </si>
  <si>
    <t>SORONG</t>
  </si>
  <si>
    <t>20060088</t>
  </si>
  <si>
    <t>Feri Ferdian</t>
  </si>
  <si>
    <t>TERNATE</t>
  </si>
  <si>
    <t>20050010</t>
  </si>
  <si>
    <t>Muhammad Helmi</t>
  </si>
  <si>
    <t>BENGKULU</t>
  </si>
  <si>
    <t>20060123</t>
  </si>
  <si>
    <t>Rifyal Fajri</t>
  </si>
  <si>
    <t>20080024</t>
  </si>
  <si>
    <t>Muhammad Husein Sucipto</t>
  </si>
  <si>
    <t>LAMPUNG</t>
  </si>
  <si>
    <t>PADANG</t>
  </si>
  <si>
    <t>20121754</t>
  </si>
  <si>
    <t>Wahid Fitrian</t>
  </si>
  <si>
    <t>PALEMBANG</t>
  </si>
  <si>
    <t>20070040</t>
  </si>
  <si>
    <t>Mohamad Haerudin</t>
  </si>
  <si>
    <t>PANGKAL PINANG</t>
  </si>
  <si>
    <t>BANDA ACEH</t>
  </si>
  <si>
    <t>BATAM</t>
  </si>
  <si>
    <t>20160550</t>
  </si>
  <si>
    <t>Syahrul Effendi</t>
  </si>
  <si>
    <t>MEDAN BALAIKOTA</t>
  </si>
  <si>
    <t>20160357</t>
  </si>
  <si>
    <t>Miky Mardiansyah Pino</t>
  </si>
  <si>
    <t>MEDAN SUDIRMAN</t>
  </si>
  <si>
    <t>20050062</t>
  </si>
  <si>
    <t>Muhammad Amin</t>
  </si>
  <si>
    <t>PEKANBARU</t>
  </si>
  <si>
    <t>JAKARTA WEST</t>
  </si>
  <si>
    <t>JAKARTA EAST</t>
  </si>
  <si>
    <t>20170422</t>
  </si>
  <si>
    <t>Christin Widyaningrum</t>
  </si>
  <si>
    <t>20030122</t>
  </si>
  <si>
    <t>Moch Khoiruddin</t>
  </si>
  <si>
    <t>20110257</t>
  </si>
  <si>
    <t>Sopian</t>
  </si>
  <si>
    <t>Points Fee &amp; Service</t>
  </si>
  <si>
    <t>OS Last Month</t>
  </si>
  <si>
    <t>20040061</t>
  </si>
  <si>
    <t>T. Abdullah Suherman</t>
  </si>
  <si>
    <t>POINTS</t>
  </si>
  <si>
    <t>Pro Hajj</t>
  </si>
  <si>
    <t>Bancass 3/6 bulanan</t>
  </si>
  <si>
    <t>Bancass Bulanan</t>
  </si>
  <si>
    <t>LC/BG/SKBDN</t>
  </si>
  <si>
    <t>PH Regular</t>
  </si>
  <si>
    <t>PH Khusus</t>
  </si>
  <si>
    <t>Porsi Umrah</t>
  </si>
  <si>
    <t>DPLK</t>
  </si>
  <si>
    <t>Umrah</t>
  </si>
  <si>
    <t>Month</t>
  </si>
  <si>
    <t>Periode</t>
  </si>
  <si>
    <t>SIMULASI PENAMBAHAN</t>
  </si>
  <si>
    <t>PROFITABILITY</t>
  </si>
  <si>
    <t>CASA                          -- (Avg Balance)</t>
  </si>
  <si>
    <t>● Net Growth</t>
  </si>
  <si>
    <t>TD                              -- (Avg Balance)</t>
  </si>
  <si>
    <t>FINANCING GROWTH &amp; ACQUISITION</t>
  </si>
  <si>
    <t>PRODUCTIVITY</t>
  </si>
  <si>
    <t>Actual by Volume</t>
  </si>
  <si>
    <t>Actual by Points</t>
  </si>
  <si>
    <t>Point Fee</t>
  </si>
  <si>
    <t>● Bancass Tahunan</t>
  </si>
  <si>
    <t>● Bancass 3/6 bulanan</t>
  </si>
  <si>
    <t>● Bancass Bulanan</t>
  </si>
  <si>
    <t>● Fx Transaction (USD 10.000)</t>
  </si>
  <si>
    <t>● Sukuk Primer</t>
  </si>
  <si>
    <t>● Sukuk Sekunder</t>
  </si>
  <si>
    <t>● LC/BG/SKBDN</t>
  </si>
  <si>
    <t>● CASA NTB</t>
  </si>
  <si>
    <t>● Porsi Umroh</t>
  </si>
  <si>
    <t>● M DIN Activation</t>
  </si>
  <si>
    <t>● DPLK</t>
  </si>
  <si>
    <t>⭐</t>
  </si>
  <si>
    <t>⭐⭐</t>
  </si>
  <si>
    <t>⭐⭐⭐</t>
  </si>
  <si>
    <t>⭐⭐⭐⭐</t>
  </si>
  <si>
    <t>⭐⭐⭐⭐⭐</t>
  </si>
  <si>
    <t>ACTUAL BY POINTS</t>
  </si>
  <si>
    <t>Bancass Tahunan</t>
  </si>
  <si>
    <t>Fx Transaction</t>
  </si>
  <si>
    <t>TD  Growth Adjustment (CASA Achieve &gt;200%)</t>
  </si>
  <si>
    <t>Point Fee  &amp; Service</t>
  </si>
  <si>
    <t>A</t>
  </si>
  <si>
    <t>B</t>
  </si>
  <si>
    <t>20060007</t>
  </si>
  <si>
    <t>Evia Lutvita Sarie</t>
  </si>
  <si>
    <t>SALMAN/DAGO</t>
  </si>
  <si>
    <t>Type KCU</t>
  </si>
  <si>
    <t>TD Growth Adjustment (CASA Ach &gt; 200%)</t>
  </si>
  <si>
    <t>20131382</t>
  </si>
  <si>
    <t>Madihah Insaniyah</t>
  </si>
  <si>
    <t>20080069</t>
  </si>
  <si>
    <t>Fitra Nirwan</t>
  </si>
  <si>
    <t>19940011</t>
  </si>
  <si>
    <t>Rina Kanthi</t>
  </si>
  <si>
    <t>Branch Manager A-B</t>
  </si>
  <si>
    <t>CONS</t>
  </si>
  <si>
    <t>Financing Booking SME</t>
  </si>
  <si>
    <t>Financing Booking proHajj</t>
  </si>
  <si>
    <t>Gross Revenue</t>
  </si>
  <si>
    <t>Flow Current to X-Days</t>
  </si>
  <si>
    <t>Flow X-Days to 30+</t>
  </si>
  <si>
    <t>Cap CASA</t>
  </si>
  <si>
    <t>OS SME</t>
  </si>
  <si>
    <t>CASA NTB S91 PYR</t>
  </si>
  <si>
    <t>MQRIS</t>
  </si>
  <si>
    <t>Refferal Financing (SME)</t>
  </si>
  <si>
    <t>Akuisisi MP</t>
  </si>
  <si>
    <t>Upgrade MP</t>
  </si>
  <si>
    <t>MDIN</t>
  </si>
  <si>
    <t>MADINA</t>
  </si>
  <si>
    <t>BMM</t>
  </si>
  <si>
    <t>BTB Consumer</t>
  </si>
  <si>
    <t>Akuisisi MP (New)</t>
  </si>
  <si>
    <t>Upgrade  MP</t>
  </si>
  <si>
    <t>OS Current</t>
  </si>
  <si>
    <t>X DaysPlus</t>
  </si>
  <si>
    <t>X Days</t>
  </si>
  <si>
    <t>Volume Booking SME</t>
  </si>
  <si>
    <t>Volume Prohajj</t>
  </si>
  <si>
    <t>Financing Booking ProHajj</t>
  </si>
  <si>
    <t>SUM</t>
  </si>
  <si>
    <t>%WEIGHTED ACHIEVMENT</t>
  </si>
  <si>
    <t>Revenue</t>
  </si>
  <si>
    <t>MDI Activation</t>
  </si>
  <si>
    <t>POINT FEE</t>
  </si>
  <si>
    <t>DASHBOARD PERFORMANCE DAILY</t>
  </si>
  <si>
    <t>MIG</t>
  </si>
  <si>
    <t>Simulasi Penambahan</t>
  </si>
  <si>
    <t>Flow Current to X - days</t>
  </si>
  <si>
    <t>&lt;=</t>
  </si>
  <si>
    <t>Flow X - days to 30+</t>
  </si>
  <si>
    <t>Flow Current To X Days</t>
  </si>
  <si>
    <t>Bancass TahunaN</t>
  </si>
  <si>
    <t>● CASA NTB S91 PYR</t>
  </si>
  <si>
    <t>● Porsi Haji (Regular &amp; Khusus &amp; Pro hajj)</t>
  </si>
  <si>
    <t>● MQRIS</t>
  </si>
  <si>
    <t>● Referral Financing (SME)</t>
  </si>
  <si>
    <t>● Referral Financing (Consumer)</t>
  </si>
  <si>
    <t>● Akuisisi MP</t>
  </si>
  <si>
    <t>● Upgrade MP</t>
  </si>
  <si>
    <t>● MADINA</t>
  </si>
  <si>
    <t>● BMM</t>
  </si>
  <si>
    <t>● BTB CONSUMER</t>
  </si>
  <si>
    <t>☹</t>
  </si>
  <si>
    <t>Baseline OS SME</t>
  </si>
  <si>
    <t>Outstanding SME</t>
  </si>
  <si>
    <t>SME NON BTB</t>
  </si>
  <si>
    <t>SME BTB</t>
  </si>
  <si>
    <t>Refferal Financing (CONS)</t>
  </si>
  <si>
    <t>Non BTB</t>
  </si>
  <si>
    <t>BTB</t>
  </si>
  <si>
    <t>KPR</t>
  </si>
  <si>
    <t>MG Non BTB</t>
  </si>
  <si>
    <t>MG BTB</t>
  </si>
  <si>
    <t>©SME Non Back To Back</t>
  </si>
  <si>
    <t>©SME Back To Back  (25% dari volume drooping)</t>
  </si>
  <si>
    <r>
      <rPr>
        <b/>
        <sz val="12"/>
        <rFont val="Calibri"/>
        <family val="2"/>
      </rPr>
      <t>©</t>
    </r>
    <r>
      <rPr>
        <b/>
        <i/>
        <sz val="12"/>
        <rFont val="Calibri Light"/>
        <family val="2"/>
        <scheme val="major"/>
      </rPr>
      <t>SME Non Back To Back</t>
    </r>
  </si>
  <si>
    <r>
      <rPr>
        <b/>
        <sz val="12"/>
        <rFont val="Calibri"/>
        <family val="2"/>
      </rPr>
      <t>©</t>
    </r>
    <r>
      <rPr>
        <b/>
        <i/>
        <sz val="12"/>
        <rFont val="Calibri Light"/>
        <family val="2"/>
        <scheme val="major"/>
      </rPr>
      <t>SME Back To Back  (25% dari volume drooping)</t>
    </r>
  </si>
  <si>
    <r>
      <rPr>
        <b/>
        <sz val="12"/>
        <rFont val="Calibri"/>
        <family val="2"/>
      </rPr>
      <t>©</t>
    </r>
    <r>
      <rPr>
        <b/>
        <i/>
        <sz val="12"/>
        <rFont val="Calibri Light"/>
        <family val="2"/>
        <scheme val="major"/>
      </rPr>
      <t>KPR</t>
    </r>
  </si>
  <si>
    <t>©Multi Guna Non BTB</t>
  </si>
  <si>
    <t>©Multi Guna BTB ( (25% dari volume drooping)</t>
  </si>
  <si>
    <t>Individual Revenue</t>
  </si>
  <si>
    <t>Aktual Revenue</t>
  </si>
  <si>
    <t>Bobot</t>
  </si>
  <si>
    <t>● Porsi Haji (Regular &amp; Khusus &amp; ProHajj)</t>
  </si>
  <si>
    <t>UPGRADE MP</t>
  </si>
  <si>
    <t>100 Juta</t>
  </si>
  <si>
    <t>25 Juta</t>
  </si>
  <si>
    <t># MPP RM Funding</t>
  </si>
  <si>
    <t># MPP RM Fin</t>
  </si>
  <si>
    <t># MPP CS</t>
  </si>
  <si>
    <t>20200010</t>
  </si>
  <si>
    <t>Dyanne Poespa Sari</t>
  </si>
  <si>
    <t>JATENG DIY KALIMANTAN 2</t>
  </si>
  <si>
    <t>JABAR KALIMANTAN 1</t>
  </si>
  <si>
    <t>20170803</t>
  </si>
  <si>
    <t>Erwin Hatta</t>
  </si>
  <si>
    <t>SUMATERA</t>
  </si>
  <si>
    <t>20110230</t>
  </si>
  <si>
    <t>Mhd Taufik</t>
  </si>
  <si>
    <t>20220219</t>
  </si>
  <si>
    <t>Dwi Rahayu Warnaningsih</t>
  </si>
  <si>
    <t>20200170</t>
  </si>
  <si>
    <t>Wini Mediani</t>
  </si>
  <si>
    <t>PCM</t>
  </si>
  <si>
    <t>101</t>
  </si>
  <si>
    <t>NON JAKARTA</t>
  </si>
  <si>
    <t>20170359</t>
  </si>
  <si>
    <t>Raldi Musaran</t>
  </si>
  <si>
    <t>301</t>
  </si>
  <si>
    <t>20180015</t>
  </si>
  <si>
    <t>Yeni Hidayatin</t>
  </si>
  <si>
    <t>701</t>
  </si>
  <si>
    <t>20220187</t>
  </si>
  <si>
    <t>Retno Ferna Astuti</t>
  </si>
  <si>
    <t>20220238</t>
  </si>
  <si>
    <t>Gama Sugara</t>
  </si>
  <si>
    <t>Reksadana</t>
  </si>
  <si>
    <t>● Reksadana</t>
  </si>
  <si>
    <t>20140593</t>
  </si>
  <si>
    <t>Ahmad Azwar</t>
  </si>
  <si>
    <t>MPP
RM Funding</t>
  </si>
  <si>
    <t>FUNDING GROWTH</t>
  </si>
  <si>
    <t>Aktual Avg Bal</t>
  </si>
  <si>
    <t>Bonus KPI</t>
  </si>
  <si>
    <t>Current Month</t>
  </si>
  <si>
    <t>Avg Bal</t>
  </si>
  <si>
    <t>Bonus Tactical</t>
  </si>
  <si>
    <t>Bonus Funding DP3/DP2</t>
  </si>
  <si>
    <t>Bonus DP3/DP2</t>
  </si>
  <si>
    <t>Avg Bal Current</t>
  </si>
  <si>
    <t>Avg Bal 
Last Month</t>
  </si>
  <si>
    <t>Eligble
 Growth</t>
  </si>
  <si>
    <t>Bonus</t>
  </si>
  <si>
    <t>Tactical Points</t>
  </si>
  <si>
    <t>Weightages</t>
  </si>
  <si>
    <t>● Porsi Haji</t>
  </si>
  <si>
    <t>● NoA Booking Pro Hajj</t>
  </si>
  <si>
    <t>● ProHajj From EFORM</t>
  </si>
  <si>
    <t>● SAO (M DIN)</t>
  </si>
  <si>
    <t>● Refferal Financing</t>
  </si>
  <si>
    <t>● Bonus KPI Noa ProHajj/Referral Financing</t>
  </si>
  <si>
    <t>KPI FINAL</t>
  </si>
  <si>
    <t>Growth Per RM</t>
  </si>
  <si>
    <t>KPI REGULAR</t>
  </si>
  <si>
    <t>Avg Bal Per RM</t>
  </si>
  <si>
    <t>20010011</t>
  </si>
  <si>
    <t>BUDI SULAKSANA</t>
  </si>
  <si>
    <t>20210291</t>
  </si>
  <si>
    <t>AisyaAnik Farida Musa</t>
  </si>
  <si>
    <t>Booking Multiguna</t>
  </si>
  <si>
    <t>Refferal &amp; Booking Financing (CONSUMER)</t>
  </si>
  <si>
    <t>Vacant BM</t>
  </si>
  <si>
    <t>ProHajj Plus</t>
  </si>
  <si>
    <t>Prohajj Plus</t>
  </si>
  <si>
    <t>● Prohajj Plus</t>
  </si>
  <si>
    <t>1</t>
  </si>
  <si>
    <t>3</t>
  </si>
  <si>
    <t>2</t>
  </si>
  <si>
    <t>MEMO NO 35</t>
  </si>
  <si>
    <t>Achievement Volume Prohajj</t>
  </si>
  <si>
    <t>Weighted Prohajj</t>
  </si>
  <si>
    <t>Memo No 35</t>
  </si>
  <si>
    <t>BONUS</t>
  </si>
  <si>
    <t>KPI</t>
  </si>
  <si>
    <t>FUNDING                       -- (Avg Balance)</t>
  </si>
  <si>
    <t>FUNDING                        -- (Avg Balance)</t>
  </si>
  <si>
    <t>4</t>
  </si>
  <si>
    <t>5</t>
  </si>
  <si>
    <t xml:space="preserve"> </t>
  </si>
  <si>
    <t>KPI Jan-Des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</si>
  <si>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</si>
  <si>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</si>
  <si>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</si>
  <si>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</si>
  <si>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</si>
  <si>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</si>
  <si>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</si>
  <si>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</si>
  <si>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</si>
  <si>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</si>
  <si>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</si>
  <si>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Des</t>
  </si>
  <si>
    <t>Avg Q1</t>
  </si>
  <si>
    <t>Avg Q2</t>
  </si>
  <si>
    <t>Avg Q3</t>
  </si>
  <si>
    <t>Avg Q4</t>
  </si>
  <si>
    <t>Avg YTD</t>
  </si>
  <si>
    <t>New Join</t>
  </si>
  <si>
    <t>STAR RATING YTD</t>
  </si>
  <si>
    <t>RATING Q1</t>
  </si>
  <si>
    <t>RATING Q2</t>
  </si>
  <si>
    <t>RATING Q3</t>
  </si>
  <si>
    <t>RATING Q4</t>
  </si>
  <si>
    <t>RATING YTD</t>
  </si>
  <si>
    <t>KPI Measurement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</si>
</sst>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(* #,##0_);_(* \(#,##0\);_(* &quot;-&quot;??_);_(@_)"/>
    <numFmt numFmtId="168" formatCode="mmm\-yyyy"/>
    <numFmt numFmtId="169" formatCode="[$-409]d\-mmm\-yy;@"/>
    <numFmt numFmtId="170" formatCode="_(* #,##0.00_);_(* \(#,##0.00\);_(* &quot;-&quot;_);_(@_)"/>
    <numFmt numFmtId="171" formatCode="_(* #,##0.0_);_(* \(#,##0.0\);_(* &quot;-&quot;??_);_(@_)"/>
    <numFmt numFmtId="172" formatCode="[$-409]mmm\-yy;@"/>
    <numFmt numFmtId="173" formatCode="_-* #,##0_-;\-* #,##0_-;_-* &quot;-&quot;??_-;_-@_-"/>
    <numFmt numFmtId="174" formatCode="0.00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Arial"/>
      <family val="2"/>
    </font>
    <font>
      <sz val="11"/>
      <color theme="0"/>
      <name val="Calibri Light"/>
      <family val="2"/>
      <scheme val="major"/>
    </font>
    <font>
      <b/>
      <sz val="22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b/>
      <sz val="11"/>
      <color rgb="FF002060"/>
      <name val="Calibri Light"/>
      <family val="2"/>
      <scheme val="major"/>
    </font>
    <font>
      <sz val="12"/>
      <color rgb="FF00206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  <font>
      <i/>
      <sz val="11"/>
      <color rgb="FF002060"/>
      <name val="Calibri Light"/>
      <family val="2"/>
      <scheme val="major"/>
    </font>
    <font>
      <b/>
      <sz val="12"/>
      <color rgb="FF00206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6"/>
      <color theme="1"/>
      <name val="Webdings"/>
      <family val="1"/>
      <charset val="2"/>
    </font>
    <font>
      <sz val="16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22"/>
      <color rgb="FF002060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sz val="12"/>
      <name val="Calibri Light"/>
      <family val="2"/>
      <scheme val="major"/>
    </font>
    <font>
      <b/>
      <sz val="22"/>
      <name val="Calibri Light"/>
      <family val="2"/>
      <scheme val="major"/>
    </font>
    <font>
      <b/>
      <i/>
      <sz val="12"/>
      <color rgb="FF660066"/>
      <name val="Calibri Light"/>
      <family val="2"/>
      <scheme val="major"/>
    </font>
    <font>
      <sz val="16"/>
      <color rgb="FFFF0000"/>
      <name val="Impact"/>
      <family val="2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sz val="18"/>
      <color rgb="FFFFFF00"/>
      <name val="Calibri"/>
      <family val="2"/>
      <scheme val="minor"/>
    </font>
    <font>
      <sz val="18"/>
      <color rgb="FF92D05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36"/>
      <color theme="1"/>
      <name val="Arial Black"/>
      <family val="2"/>
    </font>
    <font>
      <b/>
      <sz val="42"/>
      <color rgb="FFFF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1"/>
      <color rgb="FF660066"/>
      <name val="Calibri Light"/>
      <family val="2"/>
      <scheme val="major"/>
    </font>
    <font>
      <b/>
      <i/>
      <sz val="12"/>
      <name val="Calibri Light"/>
      <family val="2"/>
      <scheme val="major"/>
    </font>
    <font>
      <b/>
      <sz val="12"/>
      <name val="Calibri"/>
      <family val="2"/>
    </font>
    <font>
      <b/>
      <i/>
      <sz val="12"/>
      <name val="Calibri"/>
      <family val="2"/>
    </font>
    <font>
      <b/>
      <i/>
      <sz val="12"/>
      <color rgb="FF7030A0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i/>
      <sz val="11"/>
      <color rgb="FF002060"/>
      <name val="Calibri Light"/>
      <family val="2"/>
      <scheme val="major"/>
    </font>
    <font>
      <b/>
      <i/>
      <sz val="11"/>
      <color rgb="FFFF0000"/>
      <name val="Calibri Light"/>
      <family val="2"/>
      <scheme val="maj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66"/>
        <bgColor indexed="64"/>
      </patternFill>
    </fill>
  </fills>
  <borders count="1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dotted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tted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dotted">
        <color theme="0" tint="-0.499984740745262"/>
      </bottom>
      <diagonal/>
    </border>
    <border>
      <left style="thin">
        <color theme="0"/>
      </left>
      <right/>
      <top/>
      <bottom style="dotted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 style="dotted">
        <color theme="0" tint="-0.499984740745262"/>
      </left>
      <right style="thin">
        <color theme="0" tint="-0.499984740745262"/>
      </right>
      <top/>
      <bottom/>
      <diagonal/>
    </border>
    <border>
      <left style="dotted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ck">
        <color theme="4" tint="0.79995117038483843"/>
      </left>
      <right style="thick">
        <color theme="4" tint="0.79995117038483843"/>
      </right>
      <top style="thick">
        <color theme="4" tint="0.79995117038483843"/>
      </top>
      <bottom style="thick">
        <color theme="4" tint="0.79995117038483843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/>
      </right>
      <top style="thin">
        <color theme="0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dotted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ott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otted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theme="0" tint="-0.499984740745262"/>
      </left>
      <right/>
      <top style="dotted">
        <color theme="0" tint="-0.499984740745262"/>
      </top>
      <bottom/>
      <diagonal/>
    </border>
    <border>
      <left style="medium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/>
      </left>
      <right/>
      <top/>
      <bottom/>
      <diagonal/>
    </border>
    <border>
      <left style="dotted">
        <color theme="0"/>
      </left>
      <right style="thin">
        <color theme="0"/>
      </right>
      <top/>
      <bottom style="dotted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/>
      <right/>
      <top/>
      <bottom style="dotted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/>
      </left>
      <right/>
      <top/>
      <bottom style="thin">
        <color theme="0"/>
      </bottom>
      <diagonal/>
    </border>
    <border>
      <left style="dotted">
        <color theme="0"/>
      </left>
      <right style="thin">
        <color theme="0"/>
      </right>
      <top style="dotted">
        <color theme="0"/>
      </top>
      <bottom style="dotted">
        <color theme="0" tint="-0.499984740745262"/>
      </bottom>
      <diagonal/>
    </border>
    <border>
      <left style="thin">
        <color theme="0"/>
      </left>
      <right style="thin">
        <color theme="0"/>
      </right>
      <top style="dotted">
        <color theme="0"/>
      </top>
      <bottom style="dotted">
        <color theme="0" tint="-0.499984740745262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thin">
        <color theme="0"/>
      </right>
      <top style="thin">
        <color theme="0"/>
      </top>
      <bottom style="dotted">
        <color theme="0" tint="-0.499984740745262"/>
      </bottom>
      <diagonal/>
    </border>
    <border>
      <left style="medium">
        <color theme="0"/>
      </left>
      <right style="thin">
        <color theme="0"/>
      </right>
      <top/>
      <bottom style="dotted">
        <color theme="0" tint="-0.499984740745262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</borders>
  <cellStyleXfs count="109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6" fillId="0" borderId="0"/>
    <xf numFmtId="0" fontId="17" fillId="0" borderId="0"/>
    <xf numFmtId="165" fontId="1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9" fillId="13" borderId="0" applyNumberFormat="0" applyBorder="0" applyAlignment="0" applyProtection="0"/>
    <xf numFmtId="0" fontId="20" fillId="16" borderId="38" applyNumberFormat="0" applyAlignment="0" applyProtection="0"/>
    <xf numFmtId="0" fontId="4" fillId="17" borderId="41" applyNumberFormat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12" borderId="0" applyNumberFormat="0" applyBorder="0" applyAlignment="0" applyProtection="0"/>
    <xf numFmtId="0" fontId="23" fillId="0" borderId="35" applyNumberFormat="0" applyFill="0" applyAlignment="0" applyProtection="0"/>
    <xf numFmtId="0" fontId="24" fillId="0" borderId="36" applyNumberFormat="0" applyFill="0" applyAlignment="0" applyProtection="0"/>
    <xf numFmtId="0" fontId="25" fillId="0" borderId="37" applyNumberFormat="0" applyFill="0" applyAlignment="0" applyProtection="0"/>
    <xf numFmtId="0" fontId="25" fillId="0" borderId="0" applyNumberFormat="0" applyFill="0" applyBorder="0" applyAlignment="0" applyProtection="0"/>
    <xf numFmtId="0" fontId="26" fillId="15" borderId="38" applyNumberFormat="0" applyAlignment="0" applyProtection="0"/>
    <xf numFmtId="0" fontId="27" fillId="0" borderId="40" applyNumberFormat="0" applyFill="0" applyAlignment="0" applyProtection="0"/>
    <xf numFmtId="0" fontId="28" fillId="1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3" fillId="18" borderId="42" applyNumberFormat="0" applyFont="0" applyAlignment="0" applyProtection="0"/>
    <xf numFmtId="0" fontId="29" fillId="16" borderId="3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43" applyNumberFormat="0" applyFill="0" applyAlignment="0" applyProtection="0"/>
    <xf numFmtId="0" fontId="11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48">
    <xf numFmtId="0" fontId="0" fillId="0" borderId="0" xfId="0"/>
    <xf numFmtId="164" fontId="0" fillId="0" borderId="0" xfId="1" applyFont="1"/>
    <xf numFmtId="0" fontId="7" fillId="0" borderId="0" xfId="0" applyFont="1"/>
    <xf numFmtId="9" fontId="0" fillId="0" borderId="0" xfId="0" applyNumberFormat="1"/>
    <xf numFmtId="0" fontId="9" fillId="0" borderId="0" xfId="11"/>
    <xf numFmtId="164" fontId="0" fillId="0" borderId="0" xfId="17" applyFont="1"/>
    <xf numFmtId="9" fontId="8" fillId="2" borderId="0" xfId="0" applyNumberFormat="1" applyFont="1" applyFill="1"/>
    <xf numFmtId="9" fontId="5" fillId="0" borderId="0" xfId="0" applyNumberFormat="1" applyFont="1"/>
    <xf numFmtId="9" fontId="5" fillId="2" borderId="0" xfId="0" applyNumberFormat="1" applyFont="1" applyFill="1"/>
    <xf numFmtId="165" fontId="0" fillId="0" borderId="0" xfId="9" applyFont="1"/>
    <xf numFmtId="0" fontId="32" fillId="5" borderId="0" xfId="0" applyFont="1" applyFill="1" applyProtection="1">
      <protection hidden="1"/>
    </xf>
    <xf numFmtId="0" fontId="32" fillId="5" borderId="0" xfId="0" applyFont="1" applyFill="1" applyAlignment="1" applyProtection="1">
      <alignment horizontal="left" vertical="top"/>
      <protection hidden="1"/>
    </xf>
    <xf numFmtId="0" fontId="33" fillId="5" borderId="0" xfId="0" applyFont="1" applyFill="1" applyAlignment="1" applyProtection="1">
      <alignment vertical="center"/>
      <protection hidden="1"/>
    </xf>
    <xf numFmtId="0" fontId="34" fillId="0" borderId="0" xfId="0" applyFont="1" applyProtection="1">
      <protection hidden="1"/>
    </xf>
    <xf numFmtId="0" fontId="34" fillId="0" borderId="0" xfId="964" applyFont="1" applyAlignment="1" applyProtection="1">
      <alignment vertical="center"/>
      <protection hidden="1"/>
    </xf>
    <xf numFmtId="0" fontId="34" fillId="0" borderId="0" xfId="964" applyFont="1" applyAlignment="1" applyProtection="1">
      <alignment horizontal="left" vertical="top"/>
      <protection hidden="1"/>
    </xf>
    <xf numFmtId="0" fontId="34" fillId="0" borderId="0" xfId="964" applyFont="1" applyAlignment="1" applyProtection="1">
      <alignment horizontal="center" vertical="center"/>
      <protection hidden="1"/>
    </xf>
    <xf numFmtId="0" fontId="32" fillId="0" borderId="0" xfId="0" applyFont="1" applyProtection="1">
      <protection hidden="1"/>
    </xf>
    <xf numFmtId="0" fontId="0" fillId="11" borderId="66" xfId="0" applyFill="1" applyBorder="1"/>
    <xf numFmtId="0" fontId="44" fillId="0" borderId="0" xfId="0" applyFont="1"/>
    <xf numFmtId="0" fontId="45" fillId="0" borderId="0" xfId="0" applyFont="1"/>
    <xf numFmtId="0" fontId="34" fillId="6" borderId="0" xfId="0" applyFont="1" applyFill="1" applyProtection="1">
      <protection hidden="1"/>
    </xf>
    <xf numFmtId="0" fontId="33" fillId="6" borderId="0" xfId="0" applyFont="1" applyFill="1" applyAlignment="1" applyProtection="1">
      <alignment vertical="center"/>
      <protection hidden="1"/>
    </xf>
    <xf numFmtId="0" fontId="46" fillId="0" borderId="0" xfId="3" applyFont="1" applyAlignment="1" applyProtection="1">
      <alignment horizontal="left" vertical="center"/>
      <protection hidden="1"/>
    </xf>
    <xf numFmtId="0" fontId="34" fillId="0" borderId="0" xfId="3" applyFont="1" applyAlignment="1" applyProtection="1">
      <alignment vertical="center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47" fillId="0" borderId="0" xfId="3" applyFont="1" applyAlignment="1" applyProtection="1">
      <alignment vertical="center"/>
      <protection hidden="1"/>
    </xf>
    <xf numFmtId="41" fontId="34" fillId="0" borderId="0" xfId="3" applyNumberFormat="1" applyFont="1" applyAlignment="1" applyProtection="1">
      <alignment vertical="center"/>
      <protection hidden="1"/>
    </xf>
    <xf numFmtId="9" fontId="34" fillId="0" borderId="0" xfId="2" applyFont="1" applyAlignment="1" applyProtection="1">
      <alignment vertical="center"/>
      <protection hidden="1"/>
    </xf>
    <xf numFmtId="164" fontId="34" fillId="0" borderId="0" xfId="1" applyFont="1" applyAlignment="1" applyProtection="1">
      <alignment vertical="center"/>
      <protection hidden="1"/>
    </xf>
    <xf numFmtId="0" fontId="50" fillId="0" borderId="0" xfId="0" applyFont="1"/>
    <xf numFmtId="167" fontId="50" fillId="0" borderId="0" xfId="0" applyNumberFormat="1" applyFont="1"/>
    <xf numFmtId="9" fontId="50" fillId="0" borderId="0" xfId="0" applyNumberFormat="1" applyFont="1"/>
    <xf numFmtId="9" fontId="50" fillId="0" borderId="0" xfId="2" applyFont="1"/>
    <xf numFmtId="9" fontId="51" fillId="0" borderId="0" xfId="0" applyNumberFormat="1" applyFont="1"/>
    <xf numFmtId="0" fontId="51" fillId="0" borderId="0" xfId="0" applyFont="1"/>
    <xf numFmtId="10" fontId="50" fillId="0" borderId="0" xfId="0" applyNumberFormat="1" applyFont="1"/>
    <xf numFmtId="15" fontId="7" fillId="2" borderId="8" xfId="0" applyNumberFormat="1" applyFont="1" applyFill="1" applyBorder="1" applyAlignment="1">
      <alignment horizontal="center" vertical="center"/>
    </xf>
    <xf numFmtId="9" fontId="51" fillId="0" borderId="0" xfId="2" applyFont="1"/>
    <xf numFmtId="0" fontId="53" fillId="8" borderId="14" xfId="10" applyFont="1" applyFill="1" applyBorder="1" applyAlignment="1">
      <alignment horizontal="center" vertical="center" wrapText="1"/>
    </xf>
    <xf numFmtId="0" fontId="53" fillId="8" borderId="15" xfId="10" applyFont="1" applyFill="1" applyBorder="1" applyAlignment="1">
      <alignment horizontal="center" vertical="center" wrapText="1"/>
    </xf>
    <xf numFmtId="0" fontId="52" fillId="8" borderId="15" xfId="10" applyFont="1" applyFill="1" applyBorder="1" applyAlignment="1">
      <alignment horizontal="center" vertical="center" wrapText="1"/>
    </xf>
    <xf numFmtId="0" fontId="52" fillId="7" borderId="14" xfId="10" applyFont="1" applyFill="1" applyBorder="1" applyAlignment="1">
      <alignment horizontal="center" vertical="center" wrapText="1"/>
    </xf>
    <xf numFmtId="0" fontId="52" fillId="7" borderId="15" xfId="10" applyFont="1" applyFill="1" applyBorder="1" applyAlignment="1">
      <alignment horizontal="center" vertical="center" wrapText="1"/>
    </xf>
    <xf numFmtId="0" fontId="53" fillId="9" borderId="14" xfId="10" applyFont="1" applyFill="1" applyBorder="1" applyAlignment="1">
      <alignment horizontal="center" vertical="center" wrapText="1"/>
    </xf>
    <xf numFmtId="0" fontId="53" fillId="9" borderId="45" xfId="10" applyFont="1" applyFill="1" applyBorder="1" applyAlignment="1">
      <alignment horizontal="center" vertical="center" wrapText="1"/>
    </xf>
    <xf numFmtId="0" fontId="53" fillId="10" borderId="0" xfId="10" applyFont="1" applyFill="1" applyAlignment="1">
      <alignment horizontal="center" vertical="center" wrapText="1"/>
    </xf>
    <xf numFmtId="0" fontId="53" fillId="0" borderId="15" xfId="10" applyFont="1" applyBorder="1" applyAlignment="1">
      <alignment vertical="center"/>
    </xf>
    <xf numFmtId="0" fontId="53" fillId="0" borderId="15" xfId="10" applyFont="1" applyBorder="1" applyAlignment="1">
      <alignment vertical="center" wrapText="1"/>
    </xf>
    <xf numFmtId="0" fontId="53" fillId="0" borderId="19" xfId="10" applyFont="1" applyBorder="1" applyAlignment="1">
      <alignment vertical="center" wrapText="1"/>
    </xf>
    <xf numFmtId="0" fontId="54" fillId="0" borderId="0" xfId="0" applyFont="1"/>
    <xf numFmtId="0" fontId="38" fillId="6" borderId="32" xfId="964" applyFont="1" applyFill="1" applyBorder="1" applyAlignment="1" applyProtection="1">
      <alignment horizontal="center" vertical="center"/>
      <protection hidden="1"/>
    </xf>
    <xf numFmtId="0" fontId="32" fillId="0" borderId="0" xfId="964" applyFont="1" applyAlignment="1" applyProtection="1">
      <alignment vertical="center"/>
      <protection hidden="1"/>
    </xf>
    <xf numFmtId="0" fontId="55" fillId="0" borderId="0" xfId="11" applyFont="1"/>
    <xf numFmtId="15" fontId="7" fillId="2" borderId="8" xfId="0" applyNumberFormat="1" applyFont="1" applyFill="1" applyBorder="1" applyAlignment="1">
      <alignment horizontal="center"/>
    </xf>
    <xf numFmtId="0" fontId="52" fillId="8" borderId="19" xfId="10" applyFont="1" applyFill="1" applyBorder="1" applyAlignment="1">
      <alignment horizontal="center" vertical="center" wrapText="1"/>
    </xf>
    <xf numFmtId="0" fontId="53" fillId="10" borderId="0" xfId="10" applyFont="1" applyFill="1" applyAlignment="1">
      <alignment horizontal="left" vertical="center"/>
    </xf>
    <xf numFmtId="0" fontId="53" fillId="4" borderId="0" xfId="10" applyFont="1" applyFill="1" applyAlignment="1">
      <alignment horizontal="left" vertical="center"/>
    </xf>
    <xf numFmtId="41" fontId="35" fillId="3" borderId="48" xfId="1091" applyFont="1" applyFill="1" applyBorder="1" applyAlignment="1" applyProtection="1">
      <alignment vertical="center"/>
      <protection hidden="1"/>
    </xf>
    <xf numFmtId="41" fontId="40" fillId="2" borderId="48" xfId="1091" applyFont="1" applyFill="1" applyBorder="1" applyAlignment="1" applyProtection="1">
      <alignment vertical="center"/>
      <protection locked="0"/>
    </xf>
    <xf numFmtId="0" fontId="52" fillId="4" borderId="0" xfId="10" applyFont="1" applyFill="1" applyAlignment="1">
      <alignment horizontal="center" vertical="center" wrapText="1"/>
    </xf>
    <xf numFmtId="0" fontId="52" fillId="5" borderId="13" xfId="10" applyFont="1" applyFill="1" applyBorder="1" applyAlignment="1">
      <alignment horizontal="center" vertical="center" wrapText="1"/>
    </xf>
    <xf numFmtId="0" fontId="52" fillId="5" borderId="26" xfId="10" applyFont="1" applyFill="1" applyBorder="1" applyAlignment="1">
      <alignment horizontal="center" vertical="center" wrapText="1"/>
    </xf>
    <xf numFmtId="0" fontId="53" fillId="9" borderId="0" xfId="10" applyFont="1" applyFill="1" applyAlignment="1">
      <alignment horizontal="center" vertical="center" wrapText="1"/>
    </xf>
    <xf numFmtId="0" fontId="53" fillId="9" borderId="21" xfId="10" applyFont="1" applyFill="1" applyBorder="1" applyAlignment="1">
      <alignment horizontal="center" vertical="center" wrapText="1"/>
    </xf>
    <xf numFmtId="0" fontId="53" fillId="9" borderId="15" xfId="10" applyFont="1" applyFill="1" applyBorder="1" applyAlignment="1">
      <alignment horizontal="center" vertical="center" wrapText="1"/>
    </xf>
    <xf numFmtId="0" fontId="53" fillId="9" borderId="17" xfId="10" applyFont="1" applyFill="1" applyBorder="1" applyAlignment="1">
      <alignment horizontal="center" vertical="center" wrapText="1"/>
    </xf>
    <xf numFmtId="0" fontId="51" fillId="9" borderId="0" xfId="10" applyFont="1" applyFill="1" applyAlignment="1">
      <alignment horizontal="center" vertical="center" wrapText="1"/>
    </xf>
    <xf numFmtId="0" fontId="52" fillId="6" borderId="13" xfId="10" applyFont="1" applyFill="1" applyBorder="1" applyAlignment="1">
      <alignment horizontal="center" vertical="center" wrapText="1"/>
    </xf>
    <xf numFmtId="0" fontId="52" fillId="6" borderId="20" xfId="10" applyFont="1" applyFill="1" applyBorder="1" applyAlignment="1">
      <alignment horizontal="center" vertical="center" wrapText="1"/>
    </xf>
    <xf numFmtId="0" fontId="52" fillId="6" borderId="16" xfId="10" applyFont="1" applyFill="1" applyBorder="1" applyAlignment="1">
      <alignment horizontal="center" vertical="center" wrapText="1"/>
    </xf>
    <xf numFmtId="0" fontId="52" fillId="6" borderId="15" xfId="10" applyFont="1" applyFill="1" applyBorder="1" applyAlignment="1">
      <alignment horizontal="center" vertical="center"/>
    </xf>
    <xf numFmtId="0" fontId="52" fillId="6" borderId="19" xfId="10" applyFont="1" applyFill="1" applyBorder="1" applyAlignment="1">
      <alignment vertical="center"/>
    </xf>
    <xf numFmtId="0" fontId="52" fillId="6" borderId="14" xfId="10" applyFont="1" applyFill="1" applyBorder="1" applyAlignment="1">
      <alignment vertical="center" wrapText="1"/>
    </xf>
    <xf numFmtId="0" fontId="52" fillId="6" borderId="15" xfId="10" applyFont="1" applyFill="1" applyBorder="1" applyAlignment="1">
      <alignment vertical="center" wrapText="1"/>
    </xf>
    <xf numFmtId="0" fontId="52" fillId="6" borderId="16" xfId="10" applyFont="1" applyFill="1" applyBorder="1" applyAlignment="1">
      <alignment vertical="center" wrapText="1"/>
    </xf>
    <xf numFmtId="0" fontId="52" fillId="6" borderId="0" xfId="10" applyFont="1" applyFill="1" applyAlignment="1">
      <alignment vertical="center" wrapText="1"/>
    </xf>
    <xf numFmtId="0" fontId="52" fillId="6" borderId="0" xfId="10" applyFont="1" applyFill="1" applyAlignment="1">
      <alignment horizontal="left" vertical="center"/>
    </xf>
    <xf numFmtId="0" fontId="52" fillId="6" borderId="26" xfId="10" applyFont="1" applyFill="1" applyBorder="1" applyAlignment="1">
      <alignment horizontal="center" vertical="center" wrapText="1"/>
    </xf>
    <xf numFmtId="0" fontId="52" fillId="6" borderId="27" xfId="10" applyFont="1" applyFill="1" applyBorder="1" applyAlignment="1">
      <alignment horizontal="center" vertical="center" wrapText="1"/>
    </xf>
    <xf numFmtId="0" fontId="52" fillId="6" borderId="29" xfId="10" applyFont="1" applyFill="1" applyBorder="1" applyAlignment="1">
      <alignment horizontal="center" vertical="center" wrapText="1"/>
    </xf>
    <xf numFmtId="0" fontId="52" fillId="6" borderId="24" xfId="10" applyFont="1" applyFill="1" applyBorder="1" applyAlignment="1">
      <alignment horizontal="center" vertical="center" wrapText="1"/>
    </xf>
    <xf numFmtId="0" fontId="52" fillId="6" borderId="23" xfId="10" applyFont="1" applyFill="1" applyBorder="1" applyAlignment="1">
      <alignment horizontal="center" vertical="center" wrapText="1"/>
    </xf>
    <xf numFmtId="0" fontId="52" fillId="6" borderId="25" xfId="10" applyFont="1" applyFill="1" applyBorder="1" applyAlignment="1">
      <alignment horizontal="center" vertical="center" wrapText="1"/>
    </xf>
    <xf numFmtId="0" fontId="53" fillId="9" borderId="0" xfId="10" applyFont="1" applyFill="1" applyAlignment="1">
      <alignment vertical="center" wrapText="1"/>
    </xf>
    <xf numFmtId="0" fontId="52" fillId="6" borderId="15" xfId="10" applyFont="1" applyFill="1" applyBorder="1" applyAlignment="1">
      <alignment vertical="center"/>
    </xf>
    <xf numFmtId="0" fontId="52" fillId="6" borderId="0" xfId="10" applyFont="1" applyFill="1" applyAlignment="1">
      <alignment horizontal="center" vertical="center"/>
    </xf>
    <xf numFmtId="0" fontId="52" fillId="6" borderId="46" xfId="10" applyFont="1" applyFill="1" applyBorder="1" applyAlignment="1">
      <alignment horizontal="center" vertical="center" wrapText="1"/>
    </xf>
    <xf numFmtId="0" fontId="52" fillId="6" borderId="13" xfId="10" applyFont="1" applyFill="1" applyBorder="1" applyAlignment="1">
      <alignment vertical="center" wrapText="1"/>
    </xf>
    <xf numFmtId="0" fontId="52" fillId="6" borderId="17" xfId="10" applyFont="1" applyFill="1" applyBorder="1" applyAlignment="1">
      <alignment vertical="center" wrapText="1"/>
    </xf>
    <xf numFmtId="0" fontId="52" fillId="6" borderId="24" xfId="10" applyFont="1" applyFill="1" applyBorder="1" applyAlignment="1">
      <alignment horizontal="left" vertical="center"/>
    </xf>
    <xf numFmtId="0" fontId="52" fillId="6" borderId="23" xfId="10" applyFont="1" applyFill="1" applyBorder="1" applyAlignment="1">
      <alignment horizontal="left" vertical="center"/>
    </xf>
    <xf numFmtId="0" fontId="52" fillId="6" borderId="0" xfId="10" applyFont="1" applyFill="1" applyAlignment="1">
      <alignment horizontal="center" vertical="center" wrapText="1"/>
    </xf>
    <xf numFmtId="0" fontId="52" fillId="6" borderId="28" xfId="10" applyFont="1" applyFill="1" applyBorder="1" applyAlignment="1">
      <alignment horizontal="center" vertical="center" wrapText="1"/>
    </xf>
    <xf numFmtId="0" fontId="52" fillId="6" borderId="83" xfId="10" applyFont="1" applyFill="1" applyBorder="1" applyAlignment="1">
      <alignment horizontal="center" vertical="center" wrapText="1"/>
    </xf>
    <xf numFmtId="0" fontId="52" fillId="6" borderId="84" xfId="10" applyFont="1" applyFill="1" applyBorder="1" applyAlignment="1">
      <alignment horizontal="center" vertical="center" wrapText="1"/>
    </xf>
    <xf numFmtId="0" fontId="52" fillId="6" borderId="47" xfId="10" applyFont="1" applyFill="1" applyBorder="1" applyAlignment="1">
      <alignment horizontal="center" vertical="center" wrapText="1"/>
    </xf>
    <xf numFmtId="0" fontId="53" fillId="6" borderId="18" xfId="10" applyFont="1" applyFill="1" applyBorder="1" applyAlignment="1">
      <alignment horizontal="center" vertical="center" wrapText="1"/>
    </xf>
    <xf numFmtId="0" fontId="52" fillId="6" borderId="18" xfId="10" applyFont="1" applyFill="1" applyBorder="1" applyAlignment="1">
      <alignment horizontal="center" vertical="center" wrapText="1"/>
    </xf>
    <xf numFmtId="0" fontId="52" fillId="6" borderId="18" xfId="10" applyFont="1" applyFill="1" applyBorder="1" applyAlignment="1">
      <alignment vertical="center" wrapText="1"/>
    </xf>
    <xf numFmtId="0" fontId="52" fillId="6" borderId="30" xfId="10" applyFont="1" applyFill="1" applyBorder="1" applyAlignment="1">
      <alignment horizontal="center" vertical="center" wrapText="1"/>
    </xf>
    <xf numFmtId="0" fontId="53" fillId="10" borderId="0" xfId="10" applyFont="1" applyFill="1" applyAlignment="1">
      <alignment horizontal="center" vertical="center"/>
    </xf>
    <xf numFmtId="17" fontId="52" fillId="6" borderId="26" xfId="10" applyNumberFormat="1" applyFont="1" applyFill="1" applyBorder="1" applyAlignment="1">
      <alignment horizontal="center" vertical="center" wrapText="1"/>
    </xf>
    <xf numFmtId="17" fontId="52" fillId="6" borderId="30" xfId="10" applyNumberFormat="1" applyFont="1" applyFill="1" applyBorder="1" applyAlignment="1">
      <alignment horizontal="center" vertical="center" wrapText="1"/>
    </xf>
    <xf numFmtId="0" fontId="52" fillId="6" borderId="19" xfId="10" applyFont="1" applyFill="1" applyBorder="1" applyAlignment="1">
      <alignment horizontal="center" vertical="center" wrapText="1"/>
    </xf>
    <xf numFmtId="0" fontId="52" fillId="6" borderId="22" xfId="10" applyFont="1" applyFill="1" applyBorder="1" applyAlignment="1">
      <alignment horizontal="center" vertical="center" wrapText="1"/>
    </xf>
    <xf numFmtId="0" fontId="52" fillId="6" borderId="14" xfId="10" applyFont="1" applyFill="1" applyBorder="1" applyAlignment="1">
      <alignment horizontal="left" vertical="center"/>
    </xf>
    <xf numFmtId="0" fontId="52" fillId="6" borderId="34" xfId="10" applyFont="1" applyFill="1" applyBorder="1" applyAlignment="1">
      <alignment horizontal="center" vertical="center" wrapText="1"/>
    </xf>
    <xf numFmtId="0" fontId="52" fillId="6" borderId="14" xfId="10" applyFont="1" applyFill="1" applyBorder="1" applyAlignment="1">
      <alignment horizontal="center" vertical="center"/>
    </xf>
    <xf numFmtId="0" fontId="52" fillId="6" borderId="15" xfId="10" applyFont="1" applyFill="1" applyBorder="1" applyAlignment="1">
      <alignment horizontal="left" vertical="center"/>
    </xf>
    <xf numFmtId="0" fontId="52" fillId="6" borderId="85" xfId="10" applyFont="1" applyFill="1" applyBorder="1" applyAlignment="1">
      <alignment horizontal="center" vertical="center" wrapText="1"/>
    </xf>
    <xf numFmtId="9" fontId="8" fillId="2" borderId="0" xfId="2" applyFont="1" applyFill="1"/>
    <xf numFmtId="9" fontId="0" fillId="0" borderId="0" xfId="2" applyFont="1"/>
    <xf numFmtId="9" fontId="8" fillId="0" borderId="0" xfId="0" applyNumberFormat="1" applyFont="1"/>
    <xf numFmtId="0" fontId="8" fillId="0" borderId="0" xfId="0" applyFont="1"/>
    <xf numFmtId="9" fontId="8" fillId="0" borderId="0" xfId="2" applyFont="1"/>
    <xf numFmtId="0" fontId="8" fillId="2" borderId="0" xfId="0" applyFont="1" applyFill="1"/>
    <xf numFmtId="167" fontId="0" fillId="0" borderId="0" xfId="0" applyNumberFormat="1"/>
    <xf numFmtId="0" fontId="57" fillId="0" borderId="0" xfId="0" applyFont="1"/>
    <xf numFmtId="15" fontId="58" fillId="0" borderId="0" xfId="0" applyNumberFormat="1" applyFont="1" applyAlignment="1">
      <alignment horizontal="left" vertical="top"/>
    </xf>
    <xf numFmtId="0" fontId="58" fillId="0" borderId="0" xfId="0" applyFont="1" applyAlignment="1">
      <alignment horizontal="left" vertical="top"/>
    </xf>
    <xf numFmtId="0" fontId="58" fillId="0" borderId="0" xfId="0" applyFont="1"/>
    <xf numFmtId="0" fontId="35" fillId="0" borderId="0" xfId="0" applyFont="1"/>
    <xf numFmtId="0" fontId="34" fillId="0" borderId="0" xfId="0" applyFont="1"/>
    <xf numFmtId="0" fontId="34" fillId="0" borderId="0" xfId="964" applyFont="1" applyAlignment="1">
      <alignment vertical="center"/>
    </xf>
    <xf numFmtId="0" fontId="36" fillId="0" borderId="0" xfId="0" applyFont="1" applyAlignment="1">
      <alignment horizontal="center"/>
    </xf>
    <xf numFmtId="0" fontId="34" fillId="0" borderId="0" xfId="964" applyFont="1" applyAlignment="1">
      <alignment horizontal="center" vertical="center"/>
    </xf>
    <xf numFmtId="10" fontId="59" fillId="0" borderId="0" xfId="964" applyNumberFormat="1" applyFont="1" applyAlignment="1">
      <alignment horizontal="center" vertical="center"/>
    </xf>
    <xf numFmtId="0" fontId="47" fillId="0" borderId="0" xfId="964" applyFont="1" applyAlignment="1" applyProtection="1">
      <alignment vertical="center"/>
      <protection hidden="1"/>
    </xf>
    <xf numFmtId="0" fontId="57" fillId="2" borderId="31" xfId="1091" applyNumberFormat="1" applyFont="1" applyFill="1" applyBorder="1" applyAlignment="1" applyProtection="1">
      <alignment horizontal="center" vertical="center"/>
      <protection locked="0"/>
    </xf>
    <xf numFmtId="0" fontId="57" fillId="2" borderId="62" xfId="1091" applyNumberFormat="1" applyFont="1" applyFill="1" applyBorder="1" applyAlignment="1" applyProtection="1">
      <alignment horizontal="center" vertical="center"/>
      <protection locked="0"/>
    </xf>
    <xf numFmtId="0" fontId="57" fillId="0" borderId="0" xfId="0" applyFont="1" applyProtection="1">
      <protection hidden="1"/>
    </xf>
    <xf numFmtId="0" fontId="57" fillId="0" borderId="0" xfId="0" applyFont="1" applyAlignment="1" applyProtection="1">
      <alignment horizontal="left" vertical="top"/>
      <protection hidden="1"/>
    </xf>
    <xf numFmtId="0" fontId="63" fillId="0" borderId="0" xfId="0" applyFont="1" applyAlignment="1" applyProtection="1">
      <alignment horizontal="center" vertical="center"/>
      <protection hidden="1"/>
    </xf>
    <xf numFmtId="0" fontId="63" fillId="0" borderId="0" xfId="0" applyFont="1" applyAlignment="1" applyProtection="1">
      <alignment vertical="center"/>
      <protection hidden="1"/>
    </xf>
    <xf numFmtId="17" fontId="58" fillId="0" borderId="0" xfId="0" applyNumberFormat="1" applyFont="1" applyAlignment="1" applyProtection="1">
      <alignment horizontal="left" vertical="top"/>
      <protection hidden="1"/>
    </xf>
    <xf numFmtId="0" fontId="57" fillId="0" borderId="0" xfId="964" applyFont="1" applyAlignment="1" applyProtection="1">
      <alignment vertical="center"/>
      <protection hidden="1"/>
    </xf>
    <xf numFmtId="0" fontId="58" fillId="0" borderId="0" xfId="964" applyFont="1" applyAlignment="1" applyProtection="1">
      <alignment horizontal="left" vertical="top"/>
      <protection hidden="1"/>
    </xf>
    <xf numFmtId="0" fontId="57" fillId="0" borderId="0" xfId="964" applyFont="1" applyAlignment="1" applyProtection="1">
      <alignment horizontal="left" vertical="center"/>
      <protection hidden="1"/>
    </xf>
    <xf numFmtId="173" fontId="58" fillId="0" borderId="0" xfId="9" applyNumberFormat="1" applyFont="1" applyFill="1" applyBorder="1" applyAlignment="1" applyProtection="1">
      <alignment vertical="center"/>
      <protection hidden="1"/>
    </xf>
    <xf numFmtId="15" fontId="58" fillId="0" borderId="0" xfId="0" applyNumberFormat="1" applyFont="1" applyAlignment="1" applyProtection="1">
      <alignment horizontal="left" vertical="top"/>
      <protection hidden="1"/>
    </xf>
    <xf numFmtId="0" fontId="61" fillId="0" borderId="0" xfId="964" applyFont="1" applyAlignment="1" applyProtection="1">
      <alignment vertical="center"/>
      <protection hidden="1"/>
    </xf>
    <xf numFmtId="0" fontId="62" fillId="0" borderId="0" xfId="964" applyFont="1" applyAlignment="1" applyProtection="1">
      <alignment vertical="center"/>
      <protection hidden="1"/>
    </xf>
    <xf numFmtId="10" fontId="58" fillId="0" borderId="0" xfId="964" applyNumberFormat="1" applyFont="1" applyAlignment="1" applyProtection="1">
      <alignment vertical="center"/>
      <protection hidden="1"/>
    </xf>
    <xf numFmtId="0" fontId="58" fillId="2" borderId="0" xfId="964" applyFont="1" applyFill="1" applyAlignment="1" applyProtection="1">
      <alignment horizontal="left" vertical="top"/>
      <protection locked="0"/>
    </xf>
    <xf numFmtId="41" fontId="58" fillId="0" borderId="56" xfId="4" applyFont="1" applyFill="1" applyBorder="1" applyAlignment="1" applyProtection="1">
      <alignment horizontal="left" vertical="top"/>
      <protection hidden="1"/>
    </xf>
    <xf numFmtId="41" fontId="58" fillId="0" borderId="60" xfId="4" applyFont="1" applyFill="1" applyBorder="1" applyAlignment="1" applyProtection="1">
      <alignment horizontal="left" vertical="top"/>
      <protection hidden="1"/>
    </xf>
    <xf numFmtId="41" fontId="58" fillId="0" borderId="89" xfId="4" applyFont="1" applyFill="1" applyBorder="1" applyAlignment="1" applyProtection="1">
      <alignment horizontal="left" vertical="top"/>
      <protection hidden="1"/>
    </xf>
    <xf numFmtId="0" fontId="39" fillId="0" borderId="32" xfId="964" applyFont="1" applyBorder="1" applyAlignment="1" applyProtection="1">
      <alignment horizontal="left" vertical="center"/>
      <protection hidden="1"/>
    </xf>
    <xf numFmtId="0" fontId="39" fillId="0" borderId="48" xfId="964" applyFont="1" applyBorder="1" applyAlignment="1" applyProtection="1">
      <alignment horizontal="left" vertical="center"/>
      <protection hidden="1"/>
    </xf>
    <xf numFmtId="0" fontId="39" fillId="0" borderId="74" xfId="964" applyFont="1" applyBorder="1" applyAlignment="1" applyProtection="1">
      <alignment horizontal="left" vertical="center"/>
      <protection hidden="1"/>
    </xf>
    <xf numFmtId="0" fontId="39" fillId="0" borderId="72" xfId="964" applyFont="1" applyBorder="1" applyAlignment="1" applyProtection="1">
      <alignment horizontal="left" vertical="center"/>
      <protection hidden="1"/>
    </xf>
    <xf numFmtId="0" fontId="38" fillId="6" borderId="48" xfId="964" applyFont="1" applyFill="1" applyBorder="1" applyAlignment="1">
      <alignment horizontal="center" vertical="center"/>
    </xf>
    <xf numFmtId="41" fontId="58" fillId="0" borderId="91" xfId="4" applyFont="1" applyFill="1" applyBorder="1" applyAlignment="1" applyProtection="1">
      <alignment horizontal="left" vertical="top"/>
      <protection hidden="1"/>
    </xf>
    <xf numFmtId="0" fontId="62" fillId="0" borderId="48" xfId="964" applyFont="1" applyBorder="1" applyAlignment="1" applyProtection="1">
      <alignment vertical="center"/>
      <protection hidden="1"/>
    </xf>
    <xf numFmtId="0" fontId="38" fillId="6" borderId="93" xfId="964" applyFont="1" applyFill="1" applyBorder="1" applyAlignment="1">
      <alignment horizontal="center" vertical="center"/>
    </xf>
    <xf numFmtId="0" fontId="38" fillId="6" borderId="93" xfId="964" applyFont="1" applyFill="1" applyBorder="1" applyAlignment="1">
      <alignment horizontal="center" vertical="center" wrapText="1"/>
    </xf>
    <xf numFmtId="0" fontId="38" fillId="6" borderId="111" xfId="964" applyFont="1" applyFill="1" applyBorder="1" applyAlignment="1">
      <alignment horizontal="center" vertical="center"/>
    </xf>
    <xf numFmtId="170" fontId="58" fillId="0" borderId="112" xfId="4" applyNumberFormat="1" applyFont="1" applyFill="1" applyBorder="1" applyAlignment="1" applyProtection="1">
      <alignment horizontal="left" vertical="top"/>
      <protection hidden="1"/>
    </xf>
    <xf numFmtId="10" fontId="58" fillId="0" borderId="112" xfId="2" applyNumberFormat="1" applyFont="1" applyFill="1" applyBorder="1" applyAlignment="1" applyProtection="1">
      <alignment horizontal="center" vertical="center"/>
      <protection hidden="1"/>
    </xf>
    <xf numFmtId="9" fontId="58" fillId="0" borderId="112" xfId="2" applyFont="1" applyFill="1" applyBorder="1" applyAlignment="1" applyProtection="1">
      <alignment horizontal="center" vertical="center"/>
      <protection hidden="1"/>
    </xf>
    <xf numFmtId="41" fontId="58" fillId="0" borderId="113" xfId="4" applyFont="1" applyFill="1" applyBorder="1" applyAlignment="1" applyProtection="1">
      <alignment horizontal="left" vertical="top"/>
      <protection hidden="1"/>
    </xf>
    <xf numFmtId="167" fontId="58" fillId="0" borderId="114" xfId="16" applyNumberFormat="1" applyFont="1" applyFill="1" applyBorder="1" applyAlignment="1" applyProtection="1">
      <alignment horizontal="left" vertical="top"/>
      <protection hidden="1"/>
    </xf>
    <xf numFmtId="41" fontId="58" fillId="0" borderId="114" xfId="4" applyFont="1" applyFill="1" applyBorder="1" applyAlignment="1" applyProtection="1">
      <alignment horizontal="left" vertical="top"/>
      <protection hidden="1"/>
    </xf>
    <xf numFmtId="0" fontId="58" fillId="2" borderId="114" xfId="4" applyNumberFormat="1" applyFont="1" applyFill="1" applyBorder="1" applyAlignment="1" applyProtection="1">
      <alignment vertical="center"/>
      <protection locked="0"/>
    </xf>
    <xf numFmtId="0" fontId="57" fillId="0" borderId="115" xfId="964" applyFont="1" applyBorder="1" applyAlignment="1" applyProtection="1">
      <alignment horizontal="left" vertical="top"/>
      <protection hidden="1"/>
    </xf>
    <xf numFmtId="41" fontId="58" fillId="0" borderId="115" xfId="4" applyFont="1" applyFill="1" applyBorder="1" applyAlignment="1" applyProtection="1">
      <alignment vertical="center"/>
      <protection hidden="1"/>
    </xf>
    <xf numFmtId="41" fontId="58" fillId="0" borderId="116" xfId="4" applyFont="1" applyFill="1" applyBorder="1" applyAlignment="1" applyProtection="1">
      <alignment horizontal="left" vertical="top"/>
      <protection hidden="1"/>
    </xf>
    <xf numFmtId="10" fontId="58" fillId="0" borderId="116" xfId="2" applyNumberFormat="1" applyFont="1" applyFill="1" applyBorder="1" applyAlignment="1" applyProtection="1">
      <alignment horizontal="center" vertical="center"/>
      <protection hidden="1"/>
    </xf>
    <xf numFmtId="9" fontId="58" fillId="0" borderId="116" xfId="2" applyFont="1" applyFill="1" applyBorder="1" applyAlignment="1" applyProtection="1">
      <alignment horizontal="center" vertical="center"/>
      <protection hidden="1"/>
    </xf>
    <xf numFmtId="41" fontId="58" fillId="0" borderId="117" xfId="4" applyFont="1" applyFill="1" applyBorder="1" applyAlignment="1" applyProtection="1">
      <alignment horizontal="left" vertical="top"/>
      <protection hidden="1"/>
    </xf>
    <xf numFmtId="166" fontId="58" fillId="0" borderId="117" xfId="2" applyNumberFormat="1" applyFont="1" applyFill="1" applyBorder="1" applyAlignment="1" applyProtection="1">
      <alignment horizontal="center" vertical="center"/>
      <protection hidden="1"/>
    </xf>
    <xf numFmtId="9" fontId="58" fillId="0" borderId="117" xfId="2" applyFont="1" applyFill="1" applyBorder="1" applyAlignment="1" applyProtection="1">
      <alignment horizontal="center" vertical="center"/>
      <protection hidden="1"/>
    </xf>
    <xf numFmtId="10" fontId="39" fillId="0" borderId="118" xfId="2" applyNumberFormat="1" applyFont="1" applyFill="1" applyBorder="1" applyAlignment="1" applyProtection="1">
      <alignment horizontal="right"/>
      <protection hidden="1"/>
    </xf>
    <xf numFmtId="9" fontId="39" fillId="0" borderId="119" xfId="2" applyFont="1" applyFill="1" applyBorder="1" applyAlignment="1" applyProtection="1">
      <alignment horizontal="center" vertical="center"/>
      <protection hidden="1"/>
    </xf>
    <xf numFmtId="9" fontId="39" fillId="0" borderId="114" xfId="2" applyFont="1" applyFill="1" applyBorder="1" applyAlignment="1" applyProtection="1">
      <alignment horizontal="center" vertical="center"/>
      <protection hidden="1"/>
    </xf>
    <xf numFmtId="9" fontId="39" fillId="0" borderId="118" xfId="2" applyFont="1" applyFill="1" applyBorder="1" applyAlignment="1" applyProtection="1">
      <alignment horizontal="center" vertical="center"/>
      <protection hidden="1"/>
    </xf>
    <xf numFmtId="9" fontId="58" fillId="0" borderId="113" xfId="2" applyFont="1" applyFill="1" applyBorder="1" applyAlignment="1" applyProtection="1">
      <alignment horizontal="center" vertical="top"/>
      <protection hidden="1"/>
    </xf>
    <xf numFmtId="9" fontId="58" fillId="0" borderId="114" xfId="2" applyFont="1" applyFill="1" applyBorder="1" applyAlignment="1" applyProtection="1">
      <alignment horizontal="center" vertical="top"/>
      <protection hidden="1"/>
    </xf>
    <xf numFmtId="9" fontId="58" fillId="0" borderId="114" xfId="2" applyFont="1" applyFill="1" applyBorder="1" applyAlignment="1" applyProtection="1">
      <alignment horizontal="center" vertical="center"/>
      <protection hidden="1"/>
    </xf>
    <xf numFmtId="10" fontId="58" fillId="0" borderId="114" xfId="2" applyNumberFormat="1" applyFont="1" applyFill="1" applyBorder="1" applyAlignment="1" applyProtection="1">
      <alignment horizontal="center" vertical="center"/>
      <protection hidden="1"/>
    </xf>
    <xf numFmtId="165" fontId="39" fillId="0" borderId="118" xfId="9" applyFont="1" applyFill="1" applyBorder="1" applyAlignment="1" applyProtection="1">
      <alignment horizontal="right"/>
      <protection hidden="1"/>
    </xf>
    <xf numFmtId="165" fontId="39" fillId="0" borderId="119" xfId="9" applyFont="1" applyFill="1" applyBorder="1" applyAlignment="1" applyProtection="1">
      <alignment horizontal="right"/>
      <protection hidden="1"/>
    </xf>
    <xf numFmtId="167" fontId="58" fillId="0" borderId="63" xfId="16" applyNumberFormat="1" applyFont="1" applyFill="1" applyBorder="1" applyAlignment="1" applyProtection="1">
      <alignment horizontal="center" vertical="center"/>
      <protection hidden="1"/>
    </xf>
    <xf numFmtId="0" fontId="57" fillId="6" borderId="31" xfId="1091" applyNumberFormat="1" applyFont="1" applyFill="1" applyBorder="1" applyAlignment="1" applyProtection="1">
      <alignment horizontal="center" vertical="center"/>
      <protection hidden="1"/>
    </xf>
    <xf numFmtId="0" fontId="38" fillId="6" borderId="31" xfId="964" applyFont="1" applyFill="1" applyBorder="1" applyAlignment="1" applyProtection="1">
      <alignment horizontal="center" vertical="center"/>
      <protection hidden="1"/>
    </xf>
    <xf numFmtId="0" fontId="42" fillId="6" borderId="31" xfId="964" applyFont="1" applyFill="1" applyBorder="1" applyAlignment="1" applyProtection="1">
      <alignment vertical="center"/>
      <protection hidden="1"/>
    </xf>
    <xf numFmtId="167" fontId="43" fillId="6" borderId="31" xfId="16" applyNumberFormat="1" applyFont="1" applyFill="1" applyBorder="1" applyAlignment="1" applyProtection="1">
      <alignment horizontal="centerContinuous" vertical="center"/>
      <protection hidden="1"/>
    </xf>
    <xf numFmtId="41" fontId="43" fillId="6" borderId="31" xfId="4" applyFont="1" applyFill="1" applyBorder="1" applyAlignment="1" applyProtection="1">
      <alignment horizontal="center" vertical="center"/>
      <protection hidden="1"/>
    </xf>
    <xf numFmtId="41" fontId="43" fillId="6" borderId="31" xfId="1091" applyFont="1" applyFill="1" applyBorder="1" applyAlignment="1" applyProtection="1">
      <alignment vertical="top"/>
      <protection hidden="1"/>
    </xf>
    <xf numFmtId="0" fontId="32" fillId="6" borderId="31" xfId="1091" applyNumberFormat="1" applyFont="1" applyFill="1" applyBorder="1" applyAlignment="1" applyProtection="1">
      <alignment horizontal="center" vertical="center"/>
      <protection hidden="1"/>
    </xf>
    <xf numFmtId="10" fontId="43" fillId="6" borderId="31" xfId="2" applyNumberFormat="1" applyFont="1" applyFill="1" applyBorder="1" applyAlignment="1" applyProtection="1">
      <alignment vertical="center"/>
      <protection hidden="1"/>
    </xf>
    <xf numFmtId="9" fontId="43" fillId="6" borderId="31" xfId="2" applyFont="1" applyFill="1" applyBorder="1" applyAlignment="1" applyProtection="1">
      <alignment vertical="center"/>
      <protection hidden="1"/>
    </xf>
    <xf numFmtId="41" fontId="58" fillId="0" borderId="31" xfId="4" applyFont="1" applyFill="1" applyBorder="1" applyAlignment="1" applyProtection="1">
      <alignment horizontal="left" vertical="top"/>
      <protection hidden="1"/>
    </xf>
    <xf numFmtId="167" fontId="58" fillId="0" borderId="31" xfId="4" applyNumberFormat="1" applyFont="1" applyFill="1" applyBorder="1" applyAlignment="1" applyProtection="1">
      <alignment horizontal="left" vertical="top"/>
      <protection hidden="1"/>
    </xf>
    <xf numFmtId="9" fontId="38" fillId="6" borderId="80" xfId="2" applyFont="1" applyFill="1" applyBorder="1" applyAlignment="1" applyProtection="1">
      <alignment horizontal="center" vertical="center"/>
      <protection hidden="1"/>
    </xf>
    <xf numFmtId="10" fontId="38" fillId="6" borderId="81" xfId="2" applyNumberFormat="1" applyFont="1" applyFill="1" applyBorder="1" applyAlignment="1" applyProtection="1">
      <alignment horizontal="center" vertical="center"/>
      <protection hidden="1"/>
    </xf>
    <xf numFmtId="167" fontId="58" fillId="0" borderId="121" xfId="16" applyNumberFormat="1" applyFont="1" applyFill="1" applyBorder="1" applyAlignment="1" applyProtection="1">
      <alignment horizontal="center" vertical="center"/>
      <protection hidden="1"/>
    </xf>
    <xf numFmtId="9" fontId="60" fillId="0" borderId="124" xfId="2" applyFont="1" applyFill="1" applyBorder="1" applyAlignment="1" applyProtection="1">
      <alignment vertical="center"/>
      <protection hidden="1"/>
    </xf>
    <xf numFmtId="41" fontId="60" fillId="0" borderId="125" xfId="1091" applyFont="1" applyFill="1" applyBorder="1" applyAlignment="1" applyProtection="1">
      <alignment vertical="center"/>
      <protection hidden="1"/>
    </xf>
    <xf numFmtId="9" fontId="60" fillId="0" borderId="125" xfId="2" applyFont="1" applyFill="1" applyBorder="1" applyAlignment="1" applyProtection="1">
      <alignment vertical="center"/>
      <protection hidden="1"/>
    </xf>
    <xf numFmtId="9" fontId="60" fillId="0" borderId="126" xfId="2" applyFont="1" applyFill="1" applyBorder="1" applyAlignment="1" applyProtection="1">
      <alignment vertical="center"/>
      <protection hidden="1"/>
    </xf>
    <xf numFmtId="9" fontId="60" fillId="0" borderId="127" xfId="2" applyFont="1" applyFill="1" applyBorder="1" applyAlignment="1" applyProtection="1">
      <alignment vertical="center"/>
      <protection hidden="1"/>
    </xf>
    <xf numFmtId="0" fontId="57" fillId="0" borderId="65" xfId="1091" applyNumberFormat="1" applyFont="1" applyFill="1" applyBorder="1" applyAlignment="1" applyProtection="1">
      <alignment vertical="center"/>
      <protection locked="0"/>
    </xf>
    <xf numFmtId="10" fontId="58" fillId="0" borderId="129" xfId="2" applyNumberFormat="1" applyFont="1" applyFill="1" applyBorder="1" applyAlignment="1" applyProtection="1">
      <alignment horizontal="center" vertical="center"/>
      <protection hidden="1"/>
    </xf>
    <xf numFmtId="41" fontId="58" fillId="0" borderId="62" xfId="4" applyFont="1" applyFill="1" applyBorder="1" applyAlignment="1" applyProtection="1">
      <alignment horizontal="left" vertical="top"/>
      <protection hidden="1"/>
    </xf>
    <xf numFmtId="0" fontId="52" fillId="6" borderId="130" xfId="10" applyFont="1" applyFill="1" applyBorder="1" applyAlignment="1">
      <alignment horizontal="center" vertical="center"/>
    </xf>
    <xf numFmtId="0" fontId="52" fillId="6" borderId="131" xfId="10" applyFont="1" applyFill="1" applyBorder="1" applyAlignment="1">
      <alignment horizontal="center" vertical="center" wrapText="1"/>
    </xf>
    <xf numFmtId="9" fontId="58" fillId="0" borderId="115" xfId="2" applyFont="1" applyFill="1" applyBorder="1" applyAlignment="1" applyProtection="1">
      <alignment horizontal="center" vertical="center"/>
      <protection hidden="1"/>
    </xf>
    <xf numFmtId="10" fontId="58" fillId="0" borderId="117" xfId="2" applyNumberFormat="1" applyFont="1" applyFill="1" applyBorder="1" applyAlignment="1" applyProtection="1">
      <alignment horizontal="center" vertical="center"/>
      <protection hidden="1"/>
    </xf>
    <xf numFmtId="173" fontId="39" fillId="0" borderId="114" xfId="9" applyNumberFormat="1" applyFont="1" applyFill="1" applyBorder="1" applyAlignment="1" applyProtection="1">
      <alignment horizontal="right"/>
      <protection hidden="1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48" fillId="0" borderId="0" xfId="964" applyFont="1" applyAlignment="1" applyProtection="1">
      <alignment horizontal="left" vertical="center"/>
      <protection hidden="1"/>
    </xf>
    <xf numFmtId="41" fontId="58" fillId="0" borderId="115" xfId="4" applyFont="1" applyFill="1" applyBorder="1" applyAlignment="1" applyProtection="1">
      <alignment horizontal="left" vertical="top"/>
      <protection hidden="1"/>
    </xf>
    <xf numFmtId="10" fontId="58" fillId="0" borderId="115" xfId="2" applyNumberFormat="1" applyFont="1" applyFill="1" applyBorder="1" applyAlignment="1" applyProtection="1">
      <alignment horizontal="center" vertical="center"/>
      <protection hidden="1"/>
    </xf>
    <xf numFmtId="41" fontId="34" fillId="0" borderId="0" xfId="0" applyNumberFormat="1" applyFont="1" applyProtection="1">
      <protection hidden="1"/>
    </xf>
    <xf numFmtId="0" fontId="0" fillId="0" borderId="0" xfId="0" applyProtection="1">
      <protection hidden="1"/>
    </xf>
    <xf numFmtId="9" fontId="73" fillId="0" borderId="0" xfId="964" applyNumberFormat="1" applyFont="1" applyAlignment="1" applyProtection="1">
      <alignment vertical="center"/>
      <protection hidden="1"/>
    </xf>
    <xf numFmtId="166" fontId="34" fillId="0" borderId="0" xfId="0" applyNumberFormat="1" applyFont="1" applyProtection="1">
      <protection hidden="1"/>
    </xf>
    <xf numFmtId="166" fontId="34" fillId="0" borderId="0" xfId="2" applyNumberFormat="1" applyFont="1" applyProtection="1">
      <protection hidden="1"/>
    </xf>
    <xf numFmtId="0" fontId="52" fillId="6" borderId="14" xfId="10" applyFont="1" applyFill="1" applyBorder="1" applyAlignment="1">
      <alignment vertical="center"/>
    </xf>
    <xf numFmtId="0" fontId="52" fillId="6" borderId="134" xfId="10" applyFont="1" applyFill="1" applyBorder="1" applyAlignment="1">
      <alignment horizontal="center" vertical="center" wrapText="1"/>
    </xf>
    <xf numFmtId="10" fontId="58" fillId="0" borderId="128" xfId="2" applyNumberFormat="1" applyFont="1" applyFill="1" applyBorder="1" applyAlignment="1" applyProtection="1">
      <alignment horizontal="center" vertical="center"/>
      <protection hidden="1"/>
    </xf>
    <xf numFmtId="9" fontId="58" fillId="0" borderId="128" xfId="2" applyFont="1" applyFill="1" applyBorder="1" applyAlignment="1" applyProtection="1">
      <alignment horizontal="center" vertical="center"/>
      <protection hidden="1"/>
    </xf>
    <xf numFmtId="41" fontId="58" fillId="0" borderId="93" xfId="4" applyFont="1" applyFill="1" applyBorder="1" applyAlignment="1" applyProtection="1">
      <alignment horizontal="left" vertical="top"/>
      <protection hidden="1"/>
    </xf>
    <xf numFmtId="41" fontId="58" fillId="0" borderId="135" xfId="4" applyFont="1" applyFill="1" applyBorder="1" applyAlignment="1" applyProtection="1">
      <alignment horizontal="left" vertical="top"/>
      <protection hidden="1"/>
    </xf>
    <xf numFmtId="0" fontId="58" fillId="43" borderId="114" xfId="4" applyNumberFormat="1" applyFont="1" applyFill="1" applyBorder="1" applyAlignment="1" applyProtection="1">
      <alignment vertical="center"/>
      <protection hidden="1"/>
    </xf>
    <xf numFmtId="0" fontId="57" fillId="43" borderId="116" xfId="1092" applyNumberFormat="1" applyFont="1" applyFill="1" applyBorder="1" applyAlignment="1" applyProtection="1">
      <alignment vertical="center"/>
      <protection locked="0"/>
    </xf>
    <xf numFmtId="0" fontId="74" fillId="0" borderId="136" xfId="964" applyFont="1" applyBorder="1" applyAlignment="1" applyProtection="1">
      <alignment horizontal="left" vertical="top" indent="3"/>
      <protection hidden="1"/>
    </xf>
    <xf numFmtId="0" fontId="74" fillId="0" borderId="72" xfId="964" applyFont="1" applyBorder="1" applyAlignment="1" applyProtection="1">
      <alignment horizontal="left" vertical="top" indent="3"/>
      <protection hidden="1"/>
    </xf>
    <xf numFmtId="41" fontId="74" fillId="0" borderId="72" xfId="4" applyFont="1" applyFill="1" applyBorder="1" applyAlignment="1" applyProtection="1">
      <alignment horizontal="left" vertical="top" indent="3"/>
      <protection hidden="1"/>
    </xf>
    <xf numFmtId="0" fontId="58" fillId="0" borderId="136" xfId="964" applyFont="1" applyBorder="1" applyAlignment="1" applyProtection="1">
      <alignment horizontal="left" vertical="top" indent="2"/>
      <protection hidden="1"/>
    </xf>
    <xf numFmtId="0" fontId="58" fillId="0" borderId="72" xfId="964" applyFont="1" applyBorder="1" applyAlignment="1" applyProtection="1">
      <alignment horizontal="left" vertical="top" indent="2"/>
      <protection hidden="1"/>
    </xf>
    <xf numFmtId="0" fontId="58" fillId="0" borderId="72" xfId="964" applyFont="1" applyBorder="1" applyAlignment="1" applyProtection="1">
      <alignment horizontal="left" vertical="top"/>
      <protection hidden="1"/>
    </xf>
    <xf numFmtId="41" fontId="58" fillId="0" borderId="72" xfId="4" applyFont="1" applyFill="1" applyBorder="1" applyAlignment="1" applyProtection="1">
      <alignment horizontal="left" vertical="top"/>
      <protection hidden="1"/>
    </xf>
    <xf numFmtId="0" fontId="58" fillId="0" borderId="137" xfId="964" applyFont="1" applyBorder="1" applyAlignment="1" applyProtection="1">
      <alignment horizontal="left" vertical="top" indent="2"/>
      <protection hidden="1"/>
    </xf>
    <xf numFmtId="0" fontId="58" fillId="0" borderId="138" xfId="964" applyFont="1" applyBorder="1" applyAlignment="1" applyProtection="1">
      <alignment horizontal="left" vertical="top" indent="2"/>
      <protection hidden="1"/>
    </xf>
    <xf numFmtId="0" fontId="58" fillId="0" borderId="138" xfId="964" applyFont="1" applyBorder="1" applyAlignment="1" applyProtection="1">
      <alignment horizontal="left" vertical="top"/>
      <protection hidden="1"/>
    </xf>
    <xf numFmtId="41" fontId="58" fillId="0" borderId="138" xfId="4" applyFont="1" applyFill="1" applyBorder="1" applyAlignment="1" applyProtection="1">
      <alignment horizontal="left" vertical="top"/>
      <protection hidden="1"/>
    </xf>
    <xf numFmtId="41" fontId="58" fillId="0" borderId="139" xfId="4" applyFont="1" applyFill="1" applyBorder="1" applyAlignment="1" applyProtection="1">
      <alignment horizontal="left" vertical="top"/>
      <protection hidden="1"/>
    </xf>
    <xf numFmtId="0" fontId="58" fillId="2" borderId="128" xfId="1092" applyNumberFormat="1" applyFont="1" applyFill="1" applyBorder="1" applyAlignment="1" applyProtection="1">
      <alignment vertical="center"/>
      <protection locked="0"/>
    </xf>
    <xf numFmtId="0" fontId="58" fillId="2" borderId="114" xfId="1092" applyNumberFormat="1" applyFont="1" applyFill="1" applyBorder="1" applyAlignment="1" applyProtection="1">
      <alignment vertical="center"/>
      <protection locked="0"/>
    </xf>
    <xf numFmtId="0" fontId="58" fillId="2" borderId="115" xfId="1092" applyNumberFormat="1" applyFont="1" applyFill="1" applyBorder="1" applyAlignment="1" applyProtection="1">
      <alignment vertical="center"/>
      <protection locked="0"/>
    </xf>
    <xf numFmtId="0" fontId="58" fillId="2" borderId="117" xfId="1092" applyNumberFormat="1" applyFont="1" applyFill="1" applyBorder="1" applyAlignment="1" applyProtection="1">
      <alignment vertical="center"/>
      <protection locked="0"/>
    </xf>
    <xf numFmtId="173" fontId="58" fillId="2" borderId="112" xfId="9" applyNumberFormat="1" applyFont="1" applyFill="1" applyBorder="1" applyAlignment="1" applyProtection="1">
      <alignment horizontal="center" vertical="center"/>
      <protection locked="0"/>
    </xf>
    <xf numFmtId="173" fontId="58" fillId="2" borderId="113" xfId="9" applyNumberFormat="1" applyFont="1" applyFill="1" applyBorder="1" applyAlignment="1" applyProtection="1">
      <alignment vertical="center"/>
      <protection locked="0"/>
    </xf>
    <xf numFmtId="0" fontId="57" fillId="43" borderId="31" xfId="1091" applyNumberFormat="1" applyFont="1" applyFill="1" applyBorder="1" applyAlignment="1" applyProtection="1">
      <alignment horizontal="center" vertical="center"/>
      <protection hidden="1"/>
    </xf>
    <xf numFmtId="0" fontId="39" fillId="0" borderId="72" xfId="964" applyFont="1" applyBorder="1" applyAlignment="1" applyProtection="1">
      <alignment horizontal="center" vertical="center"/>
      <protection hidden="1"/>
    </xf>
    <xf numFmtId="0" fontId="51" fillId="6" borderId="16" xfId="10" applyFont="1" applyFill="1" applyBorder="1" applyAlignment="1">
      <alignment horizontal="center" vertical="center" wrapText="1"/>
    </xf>
    <xf numFmtId="0" fontId="53" fillId="9" borderId="130" xfId="10" applyFont="1" applyFill="1" applyBorder="1" applyAlignment="1">
      <alignment horizontal="center" vertical="center" wrapText="1"/>
    </xf>
    <xf numFmtId="0" fontId="52" fillId="6" borderId="141" xfId="10" applyFont="1" applyFill="1" applyBorder="1" applyAlignment="1">
      <alignment horizontal="center" vertical="center" wrapText="1"/>
    </xf>
    <xf numFmtId="0" fontId="52" fillId="6" borderId="142" xfId="10" applyFont="1" applyFill="1" applyBorder="1" applyAlignment="1">
      <alignment horizontal="center" vertical="center" wrapText="1"/>
    </xf>
    <xf numFmtId="0" fontId="35" fillId="0" borderId="0" xfId="0" applyFont="1" applyProtection="1">
      <protection hidden="1"/>
    </xf>
    <xf numFmtId="0" fontId="49" fillId="0" borderId="0" xfId="0" applyFont="1" applyAlignment="1" applyProtection="1">
      <alignment horizontal="center" vertical="center"/>
      <protection hidden="1"/>
    </xf>
    <xf numFmtId="0" fontId="38" fillId="6" borderId="49" xfId="964" applyFont="1" applyFill="1" applyBorder="1" applyAlignment="1" applyProtection="1">
      <alignment horizontal="center" vertical="center"/>
      <protection hidden="1"/>
    </xf>
    <xf numFmtId="0" fontId="38" fillId="6" borderId="53" xfId="964" applyFont="1" applyFill="1" applyBorder="1" applyAlignment="1" applyProtection="1">
      <alignment horizontal="center" vertical="center"/>
      <protection hidden="1"/>
    </xf>
    <xf numFmtId="0" fontId="38" fillId="6" borderId="53" xfId="964" applyFont="1" applyFill="1" applyBorder="1" applyAlignment="1" applyProtection="1">
      <alignment horizontal="center" vertical="center" wrapText="1"/>
      <protection hidden="1"/>
    </xf>
    <xf numFmtId="41" fontId="36" fillId="0" borderId="32" xfId="4" applyFont="1" applyFill="1" applyBorder="1" applyAlignment="1" applyProtection="1">
      <alignment vertical="center"/>
      <protection hidden="1"/>
    </xf>
    <xf numFmtId="41" fontId="58" fillId="0" borderId="52" xfId="4" applyFont="1" applyFill="1" applyBorder="1" applyAlignment="1" applyProtection="1">
      <alignment vertical="center"/>
      <protection hidden="1"/>
    </xf>
    <xf numFmtId="41" fontId="60" fillId="0" borderId="52" xfId="5" applyFont="1" applyFill="1" applyBorder="1" applyAlignment="1" applyProtection="1">
      <alignment vertical="center"/>
      <protection locked="0"/>
    </xf>
    <xf numFmtId="41" fontId="58" fillId="0" borderId="32" xfId="4" applyFont="1" applyFill="1" applyBorder="1" applyAlignment="1" applyProtection="1">
      <alignment vertical="center"/>
      <protection hidden="1"/>
    </xf>
    <xf numFmtId="167" fontId="58" fillId="0" borderId="32" xfId="4" applyNumberFormat="1" applyFont="1" applyFill="1" applyBorder="1" applyAlignment="1" applyProtection="1">
      <alignment vertical="center"/>
      <protection hidden="1"/>
    </xf>
    <xf numFmtId="41" fontId="57" fillId="0" borderId="32" xfId="5" applyFont="1" applyFill="1" applyBorder="1" applyAlignment="1" applyProtection="1">
      <alignment vertical="center"/>
      <protection hidden="1"/>
    </xf>
    <xf numFmtId="41" fontId="60" fillId="0" borderId="32" xfId="5" applyFont="1" applyFill="1" applyBorder="1" applyAlignment="1" applyProtection="1">
      <alignment vertical="center"/>
      <protection locked="0"/>
    </xf>
    <xf numFmtId="41" fontId="58" fillId="0" borderId="32" xfId="4" applyFont="1" applyFill="1" applyBorder="1" applyAlignment="1" applyProtection="1">
      <alignment horizontal="left" vertical="top"/>
      <protection hidden="1"/>
    </xf>
    <xf numFmtId="0" fontId="60" fillId="0" borderId="71" xfId="964" quotePrefix="1" applyFont="1" applyBorder="1" applyAlignment="1" applyProtection="1">
      <alignment vertical="center"/>
      <protection hidden="1"/>
    </xf>
    <xf numFmtId="0" fontId="61" fillId="0" borderId="71" xfId="964" quotePrefix="1" applyFont="1" applyBorder="1" applyAlignment="1" applyProtection="1">
      <alignment vertical="center"/>
      <protection hidden="1"/>
    </xf>
    <xf numFmtId="41" fontId="57" fillId="0" borderId="71" xfId="4" applyFont="1" applyFill="1" applyBorder="1" applyAlignment="1" applyProtection="1">
      <alignment vertical="center"/>
      <protection hidden="1"/>
    </xf>
    <xf numFmtId="41" fontId="58" fillId="0" borderId="71" xfId="4" applyFont="1" applyFill="1" applyBorder="1" applyAlignment="1" applyProtection="1">
      <alignment vertical="center"/>
      <protection hidden="1"/>
    </xf>
    <xf numFmtId="41" fontId="57" fillId="0" borderId="71" xfId="5" applyFont="1" applyFill="1" applyBorder="1" applyAlignment="1" applyProtection="1">
      <alignment vertical="center"/>
      <protection hidden="1"/>
    </xf>
    <xf numFmtId="0" fontId="39" fillId="0" borderId="49" xfId="964" applyFont="1" applyBorder="1" applyAlignment="1" applyProtection="1">
      <alignment horizontal="center" vertical="center"/>
      <protection hidden="1"/>
    </xf>
    <xf numFmtId="0" fontId="39" fillId="0" borderId="0" xfId="964" quotePrefix="1" applyFont="1" applyAlignment="1" applyProtection="1">
      <alignment vertical="center"/>
      <protection hidden="1"/>
    </xf>
    <xf numFmtId="0" fontId="75" fillId="0" borderId="0" xfId="964" quotePrefix="1" applyFont="1" applyAlignment="1" applyProtection="1">
      <alignment vertical="center"/>
      <protection hidden="1"/>
    </xf>
    <xf numFmtId="41" fontId="62" fillId="0" borderId="0" xfId="4" applyFont="1" applyFill="1" applyBorder="1" applyAlignment="1" applyProtection="1">
      <alignment vertical="center"/>
      <protection hidden="1"/>
    </xf>
    <xf numFmtId="41" fontId="39" fillId="0" borderId="32" xfId="4" applyFont="1" applyFill="1" applyBorder="1" applyAlignment="1" applyProtection="1">
      <alignment vertical="center"/>
      <protection hidden="1"/>
    </xf>
    <xf numFmtId="166" fontId="39" fillId="0" borderId="32" xfId="127" applyNumberFormat="1" applyFont="1" applyFill="1" applyBorder="1" applyAlignment="1" applyProtection="1">
      <alignment horizontal="center" vertical="center"/>
      <protection hidden="1"/>
    </xf>
    <xf numFmtId="9" fontId="39" fillId="0" borderId="32" xfId="127" applyFont="1" applyFill="1" applyBorder="1" applyAlignment="1" applyProtection="1">
      <alignment horizontal="center" vertical="center"/>
      <protection hidden="1"/>
    </xf>
    <xf numFmtId="10" fontId="39" fillId="0" borderId="32" xfId="127" applyNumberFormat="1" applyFont="1" applyFill="1" applyBorder="1" applyAlignment="1" applyProtection="1">
      <alignment horizontal="center" vertical="center"/>
      <protection hidden="1"/>
    </xf>
    <xf numFmtId="41" fontId="34" fillId="0" borderId="0" xfId="964" applyNumberFormat="1" applyFont="1" applyAlignment="1" applyProtection="1">
      <alignment vertical="center"/>
      <protection hidden="1"/>
    </xf>
    <xf numFmtId="41" fontId="41" fillId="2" borderId="32" xfId="1091" applyFont="1" applyFill="1" applyBorder="1" applyAlignment="1" applyProtection="1">
      <alignment vertical="center"/>
      <protection locked="0" hidden="1"/>
    </xf>
    <xf numFmtId="0" fontId="42" fillId="6" borderId="2" xfId="3" applyFont="1" applyFill="1" applyBorder="1" applyAlignment="1" applyProtection="1">
      <alignment vertical="center"/>
      <protection hidden="1"/>
    </xf>
    <xf numFmtId="0" fontId="38" fillId="6" borderId="2" xfId="3" applyFont="1" applyFill="1" applyBorder="1" applyAlignment="1" applyProtection="1">
      <alignment horizontal="center" vertical="center"/>
      <protection hidden="1"/>
    </xf>
    <xf numFmtId="0" fontId="38" fillId="6" borderId="6" xfId="3" applyFont="1" applyFill="1" applyBorder="1" applyAlignment="1" applyProtection="1">
      <alignment horizontal="center" vertical="center"/>
      <protection hidden="1"/>
    </xf>
    <xf numFmtId="9" fontId="38" fillId="6" borderId="6" xfId="3" applyNumberFormat="1" applyFont="1" applyFill="1" applyBorder="1" applyAlignment="1" applyProtection="1">
      <alignment horizontal="center" vertical="center"/>
      <protection hidden="1"/>
    </xf>
    <xf numFmtId="10" fontId="38" fillId="6" borderId="6" xfId="3" applyNumberFormat="1" applyFont="1" applyFill="1" applyBorder="1" applyAlignment="1" applyProtection="1">
      <alignment horizontal="center" vertical="center"/>
      <protection hidden="1"/>
    </xf>
    <xf numFmtId="0" fontId="36" fillId="0" borderId="9" xfId="3" applyFont="1" applyBorder="1" applyAlignment="1" applyProtection="1">
      <alignment horizontal="center" vertical="center"/>
      <protection hidden="1"/>
    </xf>
    <xf numFmtId="0" fontId="36" fillId="0" borderId="6" xfId="3" applyFont="1" applyBorder="1" applyAlignment="1" applyProtection="1">
      <alignment horizontal="center" vertical="center"/>
      <protection hidden="1"/>
    </xf>
    <xf numFmtId="164" fontId="36" fillId="0" borderId="32" xfId="1" applyFont="1" applyFill="1" applyBorder="1" applyAlignment="1" applyProtection="1">
      <protection hidden="1"/>
    </xf>
    <xf numFmtId="167" fontId="36" fillId="0" borderId="32" xfId="4" applyNumberFormat="1" applyFont="1" applyFill="1" applyBorder="1" applyAlignment="1" applyProtection="1">
      <alignment horizontal="left" vertical="top"/>
      <protection hidden="1"/>
    </xf>
    <xf numFmtId="164" fontId="58" fillId="0" borderId="32" xfId="1" applyFont="1" applyFill="1" applyBorder="1" applyAlignment="1" applyProtection="1">
      <protection hidden="1"/>
    </xf>
    <xf numFmtId="167" fontId="58" fillId="0" borderId="32" xfId="4" applyNumberFormat="1" applyFont="1" applyFill="1" applyBorder="1" applyAlignment="1" applyProtection="1">
      <alignment horizontal="left" vertical="top"/>
      <protection hidden="1"/>
    </xf>
    <xf numFmtId="164" fontId="36" fillId="0" borderId="32" xfId="1" applyFont="1" applyFill="1" applyBorder="1" applyAlignment="1" applyProtection="1">
      <alignment horizontal="center" vertical="center"/>
      <protection hidden="1"/>
    </xf>
    <xf numFmtId="167" fontId="36" fillId="0" borderId="32" xfId="4" applyNumberFormat="1" applyFont="1" applyFill="1" applyBorder="1" applyAlignment="1" applyProtection="1">
      <alignment horizontal="center" vertical="center"/>
      <protection hidden="1"/>
    </xf>
    <xf numFmtId="164" fontId="58" fillId="0" borderId="32" xfId="1" applyFont="1" applyFill="1" applyBorder="1" applyAlignment="1" applyProtection="1">
      <alignment vertical="center"/>
      <protection hidden="1"/>
    </xf>
    <xf numFmtId="167" fontId="58" fillId="0" borderId="32" xfId="4" applyNumberFormat="1" applyFont="1" applyFill="1" applyBorder="1" applyAlignment="1" applyProtection="1">
      <alignment horizontal="center" vertical="center"/>
      <protection hidden="1"/>
    </xf>
    <xf numFmtId="41" fontId="40" fillId="43" borderId="48" xfId="1091" applyFont="1" applyFill="1" applyBorder="1" applyAlignment="1" applyProtection="1">
      <alignment vertical="center"/>
      <protection hidden="1"/>
    </xf>
    <xf numFmtId="0" fontId="51" fillId="6" borderId="134" xfId="10" applyFont="1" applyFill="1" applyBorder="1" applyAlignment="1">
      <alignment horizontal="center" vertical="center" wrapText="1"/>
    </xf>
    <xf numFmtId="0" fontId="52" fillId="6" borderId="143" xfId="10" applyFont="1" applyFill="1" applyBorder="1" applyAlignment="1">
      <alignment horizontal="center" vertical="center" wrapText="1"/>
    </xf>
    <xf numFmtId="0" fontId="52" fillId="6" borderId="140" xfId="10" applyFont="1" applyFill="1" applyBorder="1" applyAlignment="1">
      <alignment horizontal="left" vertical="center"/>
    </xf>
    <xf numFmtId="0" fontId="52" fillId="6" borderId="144" xfId="10" applyFont="1" applyFill="1" applyBorder="1" applyAlignment="1">
      <alignment horizontal="center" vertical="center" wrapText="1"/>
    </xf>
    <xf numFmtId="0" fontId="57" fillId="0" borderId="0" xfId="3" applyFont="1" applyAlignment="1" applyProtection="1">
      <alignment vertical="center"/>
      <protection hidden="1"/>
    </xf>
    <xf numFmtId="9" fontId="39" fillId="0" borderId="32" xfId="964" applyNumberFormat="1" applyFont="1" applyBorder="1" applyAlignment="1" applyProtection="1">
      <alignment horizontal="center" vertical="center"/>
      <protection hidden="1"/>
    </xf>
    <xf numFmtId="41" fontId="60" fillId="0" borderId="32" xfId="1091" applyFont="1" applyFill="1" applyBorder="1" applyAlignment="1" applyProtection="1">
      <alignment vertical="center"/>
      <protection locked="0"/>
    </xf>
    <xf numFmtId="10" fontId="58" fillId="0" borderId="32" xfId="127" applyNumberFormat="1" applyFont="1" applyFill="1" applyBorder="1" applyAlignment="1" applyProtection="1">
      <alignment horizontal="center" vertical="center"/>
      <protection hidden="1"/>
    </xf>
    <xf numFmtId="0" fontId="39" fillId="0" borderId="48" xfId="964" applyFont="1" applyBorder="1" applyAlignment="1" applyProtection="1">
      <alignment horizontal="center" vertical="center"/>
      <protection hidden="1"/>
    </xf>
    <xf numFmtId="0" fontId="39" fillId="0" borderId="75" xfId="964" applyFont="1" applyBorder="1" applyAlignment="1" applyProtection="1">
      <alignment horizontal="right" vertical="center"/>
      <protection hidden="1"/>
    </xf>
    <xf numFmtId="0" fontId="62" fillId="0" borderId="32" xfId="964" applyFont="1" applyBorder="1" applyAlignment="1" applyProtection="1">
      <alignment horizontal="center" vertical="center"/>
      <protection locked="0"/>
    </xf>
    <xf numFmtId="0" fontId="62" fillId="6" borderId="32" xfId="964" applyFont="1" applyFill="1" applyBorder="1" applyAlignment="1" applyProtection="1">
      <alignment vertical="center"/>
      <protection hidden="1"/>
    </xf>
    <xf numFmtId="9" fontId="39" fillId="6" borderId="32" xfId="964" applyNumberFormat="1" applyFont="1" applyFill="1" applyBorder="1" applyAlignment="1" applyProtection="1">
      <alignment horizontal="center" vertical="center"/>
      <protection hidden="1"/>
    </xf>
    <xf numFmtId="10" fontId="39" fillId="6" borderId="32" xfId="964" applyNumberFormat="1" applyFont="1" applyFill="1" applyBorder="1" applyAlignment="1" applyProtection="1">
      <alignment horizontal="center" vertical="center"/>
      <protection hidden="1"/>
    </xf>
    <xf numFmtId="0" fontId="62" fillId="6" borderId="48" xfId="964" applyFont="1" applyFill="1" applyBorder="1" applyAlignment="1" applyProtection="1">
      <alignment vertical="center"/>
      <protection hidden="1"/>
    </xf>
    <xf numFmtId="0" fontId="62" fillId="6" borderId="72" xfId="964" applyFont="1" applyFill="1" applyBorder="1" applyAlignment="1" applyProtection="1">
      <alignment vertical="center"/>
      <protection hidden="1"/>
    </xf>
    <xf numFmtId="166" fontId="58" fillId="0" borderId="32" xfId="2" applyNumberFormat="1" applyFont="1" applyFill="1" applyBorder="1" applyAlignment="1" applyProtection="1">
      <alignment horizontal="center" vertical="center"/>
      <protection hidden="1"/>
    </xf>
    <xf numFmtId="166" fontId="58" fillId="0" borderId="32" xfId="127" applyNumberFormat="1" applyFont="1" applyFill="1" applyBorder="1" applyAlignment="1" applyProtection="1">
      <alignment horizontal="center" vertical="center"/>
      <protection hidden="1"/>
    </xf>
    <xf numFmtId="0" fontId="58" fillId="0" borderId="0" xfId="0" applyFont="1" applyAlignment="1" applyProtection="1">
      <alignment horizontal="left" vertical="top"/>
      <protection hidden="1"/>
    </xf>
    <xf numFmtId="0" fontId="58" fillId="0" borderId="0" xfId="0" applyFont="1" applyProtection="1">
      <protection hidden="1"/>
    </xf>
    <xf numFmtId="0" fontId="36" fillId="0" borderId="0" xfId="0" applyFont="1" applyAlignment="1" applyProtection="1">
      <alignment horizontal="center"/>
      <protection hidden="1"/>
    </xf>
    <xf numFmtId="10" fontId="59" fillId="0" borderId="0" xfId="964" applyNumberFormat="1" applyFont="1" applyAlignment="1" applyProtection="1">
      <alignment horizontal="center" vertical="center"/>
      <protection hidden="1"/>
    </xf>
    <xf numFmtId="41" fontId="46" fillId="0" borderId="0" xfId="3" applyNumberFormat="1" applyFont="1" applyAlignment="1" applyProtection="1">
      <alignment horizontal="left" vertical="center"/>
      <protection hidden="1"/>
    </xf>
    <xf numFmtId="166" fontId="34" fillId="0" borderId="0" xfId="3" applyNumberFormat="1" applyFont="1" applyAlignment="1" applyProtection="1">
      <alignment vertical="center"/>
      <protection hidden="1"/>
    </xf>
    <xf numFmtId="174" fontId="34" fillId="0" borderId="0" xfId="3" applyNumberFormat="1" applyFont="1" applyAlignment="1" applyProtection="1">
      <alignment vertical="center"/>
      <protection hidden="1"/>
    </xf>
    <xf numFmtId="172" fontId="58" fillId="0" borderId="0" xfId="0" applyNumberFormat="1" applyFont="1" applyAlignment="1" applyProtection="1">
      <alignment horizontal="left" vertical="top"/>
      <protection hidden="1"/>
    </xf>
    <xf numFmtId="0" fontId="57" fillId="0" borderId="0" xfId="0" applyFont="1" applyAlignment="1" applyProtection="1">
      <alignment vertical="center"/>
      <protection hidden="1"/>
    </xf>
    <xf numFmtId="0" fontId="58" fillId="0" borderId="0" xfId="7" applyFont="1" applyAlignment="1" applyProtection="1">
      <alignment vertical="center"/>
      <protection hidden="1"/>
    </xf>
    <xf numFmtId="0" fontId="57" fillId="0" borderId="0" xfId="3" applyFont="1" applyAlignment="1" applyProtection="1">
      <alignment horizontal="left" vertical="center"/>
      <protection hidden="1"/>
    </xf>
    <xf numFmtId="0" fontId="58" fillId="0" borderId="0" xfId="0" applyFont="1" applyAlignment="1" applyProtection="1">
      <alignment horizontal="left" vertical="center"/>
      <protection hidden="1"/>
    </xf>
    <xf numFmtId="15" fontId="58" fillId="0" borderId="0" xfId="0" applyNumberFormat="1" applyFont="1" applyAlignment="1" applyProtection="1">
      <alignment horizontal="left" vertical="center"/>
      <protection hidden="1"/>
    </xf>
    <xf numFmtId="10" fontId="58" fillId="0" borderId="0" xfId="0" applyNumberFormat="1" applyFont="1" applyAlignment="1" applyProtection="1">
      <alignment horizontal="left"/>
      <protection hidden="1"/>
    </xf>
    <xf numFmtId="0" fontId="58" fillId="2" borderId="0" xfId="0" quotePrefix="1" applyFont="1" applyFill="1" applyProtection="1">
      <protection locked="0"/>
    </xf>
    <xf numFmtId="0" fontId="58" fillId="0" borderId="0" xfId="3" applyFont="1" applyAlignment="1" applyProtection="1">
      <alignment horizontal="center" vertical="center"/>
      <protection hidden="1"/>
    </xf>
    <xf numFmtId="41" fontId="37" fillId="2" borderId="32" xfId="1091" applyFont="1" applyFill="1" applyBorder="1" applyAlignment="1" applyProtection="1">
      <alignment vertical="center"/>
      <protection locked="0"/>
    </xf>
    <xf numFmtId="9" fontId="43" fillId="6" borderId="8" xfId="3" applyNumberFormat="1" applyFont="1" applyFill="1" applyBorder="1" applyAlignment="1" applyProtection="1">
      <alignment horizontal="center" vertical="center"/>
      <protection hidden="1"/>
    </xf>
    <xf numFmtId="10" fontId="43" fillId="6" borderId="0" xfId="3" applyNumberFormat="1" applyFont="1" applyFill="1" applyAlignment="1" applyProtection="1">
      <alignment horizontal="center" vertical="center"/>
      <protection hidden="1"/>
    </xf>
    <xf numFmtId="0" fontId="52" fillId="6" borderId="15" xfId="10" applyFont="1" applyFill="1" applyBorder="1" applyAlignment="1">
      <alignment horizontal="center" vertical="center" wrapText="1"/>
    </xf>
    <xf numFmtId="0" fontId="52" fillId="6" borderId="30" xfId="10" applyFont="1" applyFill="1" applyBorder="1" applyAlignment="1">
      <alignment vertical="center" wrapText="1"/>
    </xf>
    <xf numFmtId="0" fontId="53" fillId="9" borderId="146" xfId="10" applyFont="1" applyFill="1" applyBorder="1" applyAlignment="1">
      <alignment horizontal="center" vertical="center" wrapText="1"/>
    </xf>
    <xf numFmtId="0" fontId="52" fillId="6" borderId="146" xfId="10" applyFont="1" applyFill="1" applyBorder="1" applyAlignment="1">
      <alignment horizontal="center" vertical="center" wrapText="1"/>
    </xf>
    <xf numFmtId="0" fontId="52" fillId="6" borderId="145" xfId="10" applyFont="1" applyFill="1" applyBorder="1" applyAlignment="1">
      <alignment horizontal="center" vertical="center" wrapText="1"/>
    </xf>
    <xf numFmtId="0" fontId="53" fillId="4" borderId="18" xfId="10" applyFont="1" applyFill="1" applyBorder="1" applyAlignment="1">
      <alignment horizontal="center" vertical="center" wrapText="1"/>
    </xf>
    <xf numFmtId="0" fontId="52" fillId="5" borderId="18" xfId="10" applyFont="1" applyFill="1" applyBorder="1" applyAlignment="1">
      <alignment horizontal="center" vertical="center" wrapText="1"/>
    </xf>
    <xf numFmtId="0" fontId="53" fillId="4" borderId="18" xfId="10" applyFont="1" applyFill="1" applyBorder="1" applyAlignment="1">
      <alignment vertical="center" wrapText="1"/>
    </xf>
    <xf numFmtId="172" fontId="52" fillId="5" borderId="18" xfId="1" applyNumberFormat="1" applyFont="1" applyFill="1" applyBorder="1" applyAlignment="1">
      <alignment horizontal="center" vertical="center" wrapText="1"/>
    </xf>
    <xf numFmtId="0" fontId="38" fillId="44" borderId="50" xfId="964" applyFont="1" applyFill="1" applyBorder="1" applyAlignment="1" applyProtection="1">
      <alignment vertical="center"/>
      <protection hidden="1"/>
    </xf>
    <xf numFmtId="0" fontId="38" fillId="44" borderId="0" xfId="964" applyFont="1" applyFill="1" applyAlignment="1" applyProtection="1">
      <alignment vertical="center"/>
      <protection hidden="1"/>
    </xf>
    <xf numFmtId="0" fontId="38" fillId="44" borderId="7" xfId="964" applyFont="1" applyFill="1" applyBorder="1" applyAlignment="1" applyProtection="1">
      <alignment vertical="center"/>
      <protection hidden="1"/>
    </xf>
    <xf numFmtId="0" fontId="38" fillId="6" borderId="32" xfId="964" applyFont="1" applyFill="1" applyBorder="1" applyAlignment="1" applyProtection="1">
      <alignment horizontal="center" vertical="center" wrapText="1"/>
      <protection hidden="1"/>
    </xf>
    <xf numFmtId="0" fontId="38" fillId="6" borderId="32" xfId="964" applyFont="1" applyFill="1" applyBorder="1" applyAlignment="1" applyProtection="1">
      <alignment vertical="center"/>
      <protection hidden="1"/>
    </xf>
    <xf numFmtId="41" fontId="40" fillId="0" borderId="32" xfId="1091" applyFont="1" applyFill="1" applyBorder="1" applyAlignment="1" applyProtection="1">
      <alignment vertical="center"/>
      <protection hidden="1"/>
    </xf>
    <xf numFmtId="167" fontId="36" fillId="0" borderId="32" xfId="16" applyNumberFormat="1" applyFont="1" applyFill="1" applyBorder="1" applyAlignment="1" applyProtection="1">
      <alignment horizontal="center" vertical="center"/>
      <protection hidden="1"/>
    </xf>
    <xf numFmtId="0" fontId="36" fillId="0" borderId="48" xfId="0" applyFont="1" applyBorder="1" applyAlignment="1" applyProtection="1">
      <alignment horizontal="left" vertical="center" indent="2"/>
      <protection hidden="1"/>
    </xf>
    <xf numFmtId="0" fontId="36" fillId="0" borderId="72" xfId="0" applyFont="1" applyBorder="1" applyAlignment="1" applyProtection="1">
      <alignment vertical="center"/>
      <protection hidden="1"/>
    </xf>
    <xf numFmtId="41" fontId="40" fillId="0" borderId="72" xfId="4" applyFont="1" applyFill="1" applyBorder="1" applyAlignment="1" applyProtection="1">
      <alignment vertical="center"/>
      <protection hidden="1"/>
    </xf>
    <xf numFmtId="41" fontId="36" fillId="0" borderId="72" xfId="4" applyFont="1" applyFill="1" applyBorder="1" applyAlignment="1" applyProtection="1">
      <alignment vertical="center"/>
      <protection hidden="1"/>
    </xf>
    <xf numFmtId="41" fontId="80" fillId="0" borderId="72" xfId="4" applyFont="1" applyFill="1" applyBorder="1" applyAlignment="1" applyProtection="1">
      <alignment vertical="center"/>
      <protection hidden="1"/>
    </xf>
    <xf numFmtId="41" fontId="35" fillId="0" borderId="72" xfId="1091" applyFont="1" applyFill="1" applyBorder="1" applyAlignment="1" applyProtection="1">
      <alignment vertical="center"/>
      <protection hidden="1"/>
    </xf>
    <xf numFmtId="10" fontId="36" fillId="0" borderId="72" xfId="127" applyNumberFormat="1" applyFont="1" applyFill="1" applyBorder="1" applyAlignment="1" applyProtection="1">
      <alignment vertical="center"/>
      <protection hidden="1"/>
    </xf>
    <xf numFmtId="43" fontId="36" fillId="0" borderId="72" xfId="127" applyNumberFormat="1" applyFont="1" applyFill="1" applyBorder="1" applyAlignment="1" applyProtection="1">
      <alignment vertical="center"/>
      <protection hidden="1"/>
    </xf>
    <xf numFmtId="10" fontId="36" fillId="0" borderId="74" xfId="127" applyNumberFormat="1" applyFont="1" applyFill="1" applyBorder="1" applyAlignment="1" applyProtection="1">
      <alignment vertical="center"/>
      <protection hidden="1"/>
    </xf>
    <xf numFmtId="41" fontId="43" fillId="6" borderId="32" xfId="4" applyFont="1" applyFill="1" applyBorder="1" applyAlignment="1" applyProtection="1">
      <alignment vertical="center"/>
      <protection hidden="1"/>
    </xf>
    <xf numFmtId="164" fontId="43" fillId="6" borderId="32" xfId="1" applyFont="1" applyFill="1" applyBorder="1" applyAlignment="1" applyProtection="1">
      <protection hidden="1"/>
    </xf>
    <xf numFmtId="0" fontId="43" fillId="6" borderId="148" xfId="964" applyFont="1" applyFill="1" applyBorder="1" applyAlignment="1" applyProtection="1">
      <alignment vertical="top"/>
      <protection hidden="1"/>
    </xf>
    <xf numFmtId="0" fontId="43" fillId="6" borderId="148" xfId="964" applyFont="1" applyFill="1" applyBorder="1" applyAlignment="1" applyProtection="1">
      <alignment horizontal="center" vertical="top"/>
      <protection hidden="1"/>
    </xf>
    <xf numFmtId="0" fontId="43" fillId="6" borderId="82" xfId="964" applyFont="1" applyFill="1" applyBorder="1" applyAlignment="1" applyProtection="1">
      <alignment horizontal="center" vertical="top"/>
      <protection hidden="1"/>
    </xf>
    <xf numFmtId="164" fontId="36" fillId="11" borderId="32" xfId="1" applyFont="1" applyFill="1" applyBorder="1" applyAlignment="1" applyProtection="1">
      <alignment vertical="center"/>
      <protection hidden="1"/>
    </xf>
    <xf numFmtId="167" fontId="36" fillId="11" borderId="32" xfId="4" applyNumberFormat="1" applyFont="1" applyFill="1" applyBorder="1" applyAlignment="1" applyProtection="1">
      <alignment horizontal="left" vertical="center"/>
      <protection hidden="1"/>
    </xf>
    <xf numFmtId="41" fontId="40" fillId="2" borderId="32" xfId="1091" applyFont="1" applyFill="1" applyBorder="1" applyAlignment="1" applyProtection="1">
      <alignment vertical="center"/>
      <protection hidden="1"/>
    </xf>
    <xf numFmtId="164" fontId="36" fillId="11" borderId="32" xfId="1" applyFont="1" applyFill="1" applyBorder="1" applyAlignment="1" applyProtection="1">
      <alignment horizontal="center" vertical="center"/>
      <protection hidden="1"/>
    </xf>
    <xf numFmtId="10" fontId="34" fillId="0" borderId="0" xfId="964" applyNumberFormat="1" applyFont="1" applyAlignment="1" applyProtection="1">
      <alignment vertical="center"/>
      <protection hidden="1"/>
    </xf>
    <xf numFmtId="167" fontId="36" fillId="11" borderId="73" xfId="4" applyNumberFormat="1" applyFont="1" applyFill="1" applyBorder="1" applyAlignment="1" applyProtection="1">
      <alignment horizontal="center" vertical="center"/>
      <protection hidden="1"/>
    </xf>
    <xf numFmtId="164" fontId="36" fillId="11" borderId="32" xfId="1" applyFont="1" applyFill="1" applyBorder="1" applyAlignment="1" applyProtection="1">
      <protection hidden="1"/>
    </xf>
    <xf numFmtId="167" fontId="36" fillId="11" borderId="32" xfId="4" applyNumberFormat="1" applyFont="1" applyFill="1" applyBorder="1" applyAlignment="1" applyProtection="1">
      <alignment horizontal="left" vertical="top"/>
      <protection hidden="1"/>
    </xf>
    <xf numFmtId="10" fontId="36" fillId="11" borderId="32" xfId="127" applyNumberFormat="1" applyFont="1" applyFill="1" applyBorder="1" applyAlignment="1" applyProtection="1">
      <alignment horizontal="center" vertical="center"/>
      <protection hidden="1"/>
    </xf>
    <xf numFmtId="41" fontId="36" fillId="11" borderId="32" xfId="16" applyNumberFormat="1" applyFont="1" applyFill="1" applyBorder="1" applyAlignment="1" applyProtection="1">
      <alignment horizontal="center" vertical="center"/>
      <protection hidden="1"/>
    </xf>
    <xf numFmtId="9" fontId="36" fillId="11" borderId="32" xfId="2" applyFont="1" applyFill="1" applyBorder="1" applyAlignment="1" applyProtection="1">
      <alignment horizontal="center" vertical="center"/>
      <protection hidden="1"/>
    </xf>
    <xf numFmtId="10" fontId="38" fillId="44" borderId="7" xfId="964" applyNumberFormat="1" applyFont="1" applyFill="1" applyBorder="1" applyAlignment="1" applyProtection="1">
      <alignment horizontal="center" vertical="center"/>
      <protection hidden="1"/>
    </xf>
    <xf numFmtId="173" fontId="0" fillId="0" borderId="0" xfId="9" applyNumberFormat="1" applyFont="1" applyFill="1"/>
    <xf numFmtId="165" fontId="50" fillId="0" borderId="0" xfId="9" applyFont="1" applyFill="1"/>
    <xf numFmtId="168" fontId="51" fillId="6" borderId="26" xfId="10" applyNumberFormat="1" applyFont="1" applyFill="1" applyBorder="1" applyAlignment="1">
      <alignment horizontal="center" vertical="center" wrapText="1"/>
    </xf>
    <xf numFmtId="0" fontId="51" fillId="6" borderId="26" xfId="10" applyFont="1" applyFill="1" applyBorder="1" applyAlignment="1">
      <alignment horizontal="center" vertical="center" wrapText="1"/>
    </xf>
    <xf numFmtId="168" fontId="51" fillId="6" borderId="30" xfId="10" applyNumberFormat="1" applyFont="1" applyFill="1" applyBorder="1" applyAlignment="1">
      <alignment horizontal="center" vertical="center" wrapText="1"/>
    </xf>
    <xf numFmtId="0" fontId="51" fillId="6" borderId="30" xfId="10" applyFont="1" applyFill="1" applyBorder="1" applyAlignment="1">
      <alignment horizontal="center" vertical="center" wrapText="1"/>
    </xf>
    <xf numFmtId="9" fontId="51" fillId="2" borderId="0" xfId="2" applyFont="1" applyFill="1" applyBorder="1" applyAlignment="1">
      <alignment horizontal="center" vertical="center"/>
    </xf>
    <xf numFmtId="9" fontId="36" fillId="0" borderId="32" xfId="2" applyFont="1" applyFill="1" applyBorder="1" applyAlignment="1" applyProtection="1">
      <alignment vertical="center"/>
      <protection hidden="1"/>
    </xf>
    <xf numFmtId="0" fontId="52" fillId="4" borderId="0" xfId="10" applyFont="1" applyFill="1" applyAlignment="1">
      <alignment horizontal="center" vertical="center"/>
    </xf>
    <xf numFmtId="167" fontId="50" fillId="0" borderId="31" xfId="9" applyNumberFormat="1" applyFont="1" applyFill="1" applyBorder="1"/>
    <xf numFmtId="0" fontId="50" fillId="0" borderId="31" xfId="0" applyFont="1" applyBorder="1"/>
    <xf numFmtId="0" fontId="50" fillId="0" borderId="31" xfId="0" applyFont="1" applyBorder="1" applyAlignment="1">
      <alignment horizontal="center"/>
    </xf>
    <xf numFmtId="9" fontId="50" fillId="0" borderId="31" xfId="2" applyFont="1" applyFill="1" applyBorder="1" applyAlignment="1">
      <alignment horizontal="center"/>
    </xf>
    <xf numFmtId="169" fontId="50" fillId="0" borderId="31" xfId="0" applyNumberFormat="1" applyFont="1" applyBorder="1"/>
    <xf numFmtId="164" fontId="50" fillId="0" borderId="31" xfId="1" applyFont="1" applyFill="1" applyBorder="1" applyAlignment="1"/>
    <xf numFmtId="167" fontId="50" fillId="0" borderId="31" xfId="9" applyNumberFormat="1" applyFont="1" applyFill="1" applyBorder="1" applyAlignment="1">
      <alignment horizontal="center"/>
    </xf>
    <xf numFmtId="164" fontId="50" fillId="0" borderId="31" xfId="1" applyFont="1" applyFill="1" applyBorder="1"/>
    <xf numFmtId="9" fontId="54" fillId="0" borderId="31" xfId="2" applyFont="1" applyFill="1" applyBorder="1"/>
    <xf numFmtId="167" fontId="50" fillId="0" borderId="31" xfId="0" applyNumberFormat="1" applyFont="1" applyBorder="1"/>
    <xf numFmtId="167" fontId="50" fillId="0" borderId="33" xfId="0" applyNumberFormat="1" applyFont="1" applyBorder="1"/>
    <xf numFmtId="171" fontId="50" fillId="0" borderId="31" xfId="9" applyNumberFormat="1" applyFont="1" applyFill="1" applyBorder="1"/>
    <xf numFmtId="170" fontId="50" fillId="0" borderId="31" xfId="1" applyNumberFormat="1" applyFont="1" applyFill="1" applyBorder="1"/>
    <xf numFmtId="10" fontId="50" fillId="0" borderId="31" xfId="2" applyNumberFormat="1" applyFont="1" applyFill="1" applyBorder="1"/>
    <xf numFmtId="9" fontId="50" fillId="0" borderId="31" xfId="2" applyFont="1" applyFill="1" applyBorder="1"/>
    <xf numFmtId="9" fontId="50" fillId="0" borderId="32" xfId="2" applyFont="1" applyFill="1" applyBorder="1"/>
    <xf numFmtId="166" fontId="50" fillId="0" borderId="31" xfId="2" applyNumberFormat="1" applyFont="1" applyFill="1" applyBorder="1"/>
    <xf numFmtId="10" fontId="50" fillId="0" borderId="33" xfId="2" applyNumberFormat="1" applyFont="1" applyFill="1" applyBorder="1"/>
    <xf numFmtId="10" fontId="56" fillId="0" borderId="33" xfId="2" applyNumberFormat="1" applyFont="1" applyFill="1" applyBorder="1"/>
    <xf numFmtId="165" fontId="50" fillId="0" borderId="31" xfId="9" applyFont="1" applyFill="1" applyBorder="1" applyAlignment="1">
      <alignment horizontal="center"/>
    </xf>
    <xf numFmtId="167" fontId="50" fillId="0" borderId="32" xfId="9" applyNumberFormat="1" applyFont="1" applyFill="1" applyBorder="1"/>
    <xf numFmtId="43" fontId="50" fillId="0" borderId="32" xfId="9" applyNumberFormat="1" applyFont="1" applyFill="1" applyBorder="1"/>
    <xf numFmtId="10" fontId="56" fillId="0" borderId="32" xfId="2" applyNumberFormat="1" applyFont="1" applyFill="1" applyBorder="1"/>
    <xf numFmtId="165" fontId="50" fillId="0" borderId="32" xfId="9" applyFont="1" applyFill="1" applyBorder="1" applyAlignment="1">
      <alignment horizontal="center"/>
    </xf>
    <xf numFmtId="0" fontId="53" fillId="4" borderId="151" xfId="10" applyFont="1" applyFill="1" applyBorder="1" applyAlignment="1">
      <alignment horizontal="left" vertical="center"/>
    </xf>
    <xf numFmtId="0" fontId="53" fillId="4" borderId="152" xfId="10" applyFont="1" applyFill="1" applyBorder="1" applyAlignment="1">
      <alignment horizontal="center" vertical="center" wrapText="1"/>
    </xf>
    <xf numFmtId="0" fontId="52" fillId="5" borderId="153" xfId="10" applyFont="1" applyFill="1" applyBorder="1" applyAlignment="1">
      <alignment horizontal="center" vertical="center" wrapText="1"/>
    </xf>
    <xf numFmtId="0" fontId="52" fillId="5" borderId="154" xfId="10" applyFont="1" applyFill="1" applyBorder="1" applyAlignment="1">
      <alignment horizontal="center" vertical="center" wrapText="1"/>
    </xf>
    <xf numFmtId="0" fontId="52" fillId="5" borderId="155" xfId="10" applyFont="1" applyFill="1" applyBorder="1" applyAlignment="1">
      <alignment horizontal="center" vertical="center" wrapText="1"/>
    </xf>
    <xf numFmtId="0" fontId="53" fillId="4" borderId="155" xfId="10" applyFont="1" applyFill="1" applyBorder="1" applyAlignment="1">
      <alignment horizontal="center" vertical="center" wrapText="1"/>
    </xf>
    <xf numFmtId="10" fontId="7" fillId="0" borderId="33" xfId="2" applyNumberFormat="1" applyFont="1" applyFill="1" applyBorder="1"/>
    <xf numFmtId="173" fontId="50" fillId="0" borderId="31" xfId="9" applyNumberFormat="1" applyFont="1" applyFill="1" applyBorder="1"/>
    <xf numFmtId="171" fontId="50" fillId="0" borderId="33" xfId="0" applyNumberFormat="1" applyFont="1" applyBorder="1"/>
    <xf numFmtId="171" fontId="50" fillId="0" borderId="31" xfId="0" applyNumberFormat="1" applyFont="1" applyBorder="1"/>
    <xf numFmtId="167" fontId="50" fillId="0" borderId="33" xfId="9" applyNumberFormat="1" applyFont="1" applyFill="1" applyBorder="1"/>
    <xf numFmtId="10" fontId="56" fillId="0" borderId="31" xfId="2" applyNumberFormat="1" applyFont="1" applyFill="1" applyBorder="1"/>
    <xf numFmtId="166" fontId="50" fillId="0" borderId="31" xfId="2" applyNumberFormat="1" applyFont="1" applyFill="1" applyBorder="1" applyAlignment="1">
      <alignment horizontal="center"/>
    </xf>
    <xf numFmtId="173" fontId="50" fillId="0" borderId="32" xfId="9" applyNumberFormat="1" applyFont="1" applyFill="1" applyBorder="1"/>
    <xf numFmtId="0" fontId="53" fillId="4" borderId="156" xfId="10" applyFont="1" applyFill="1" applyBorder="1" applyAlignment="1">
      <alignment horizontal="center" vertical="center" wrapText="1"/>
    </xf>
    <xf numFmtId="165" fontId="7" fillId="0" borderId="33" xfId="54" applyFont="1" applyFill="1" applyBorder="1" applyAlignment="1">
      <alignment horizontal="center"/>
    </xf>
    <xf numFmtId="10" fontId="36" fillId="11" borderId="49" xfId="127" applyNumberFormat="1" applyFont="1" applyFill="1" applyBorder="1" applyAlignment="1" applyProtection="1">
      <alignment horizontal="center" vertical="center"/>
      <protection hidden="1"/>
    </xf>
    <xf numFmtId="10" fontId="36" fillId="11" borderId="50" xfId="127" applyNumberFormat="1" applyFont="1" applyFill="1" applyBorder="1" applyAlignment="1" applyProtection="1">
      <alignment horizontal="center" vertical="center"/>
      <protection hidden="1"/>
    </xf>
    <xf numFmtId="10" fontId="36" fillId="11" borderId="149" xfId="127" applyNumberFormat="1" applyFont="1" applyFill="1" applyBorder="1" applyAlignment="1" applyProtection="1">
      <alignment horizontal="center" vertical="center"/>
      <protection hidden="1"/>
    </xf>
    <xf numFmtId="9" fontId="36" fillId="11" borderId="69" xfId="127" applyFont="1" applyFill="1" applyBorder="1" applyAlignment="1" applyProtection="1">
      <alignment horizontal="center" vertical="center"/>
      <protection hidden="1"/>
    </xf>
    <xf numFmtId="9" fontId="36" fillId="11" borderId="73" xfId="127" applyFont="1" applyFill="1" applyBorder="1" applyAlignment="1" applyProtection="1">
      <alignment horizontal="center" vertical="center"/>
      <protection hidden="1"/>
    </xf>
    <xf numFmtId="0" fontId="36" fillId="11" borderId="32" xfId="0" applyFont="1" applyFill="1" applyBorder="1" applyAlignment="1" applyProtection="1">
      <alignment horizontal="left" vertical="center" indent="3"/>
      <protection hidden="1"/>
    </xf>
    <xf numFmtId="10" fontId="36" fillId="11" borderId="147" xfId="2" applyNumberFormat="1" applyFont="1" applyFill="1" applyBorder="1" applyAlignment="1" applyProtection="1">
      <alignment horizontal="center" vertical="center"/>
      <protection hidden="1"/>
    </xf>
    <xf numFmtId="10" fontId="36" fillId="11" borderId="150" xfId="2" applyNumberFormat="1" applyFont="1" applyFill="1" applyBorder="1" applyAlignment="1" applyProtection="1">
      <alignment horizontal="center" vertical="center"/>
      <protection hidden="1"/>
    </xf>
    <xf numFmtId="167" fontId="36" fillId="11" borderId="53" xfId="4" applyNumberFormat="1" applyFont="1" applyFill="1" applyBorder="1" applyAlignment="1" applyProtection="1">
      <alignment horizontal="center" vertical="center"/>
      <protection hidden="1"/>
    </xf>
    <xf numFmtId="167" fontId="36" fillId="11" borderId="73" xfId="4" applyNumberFormat="1" applyFont="1" applyFill="1" applyBorder="1" applyAlignment="1" applyProtection="1">
      <alignment horizontal="center" vertical="center"/>
      <protection hidden="1"/>
    </xf>
    <xf numFmtId="0" fontId="81" fillId="11" borderId="32" xfId="0" applyFont="1" applyFill="1" applyBorder="1" applyAlignment="1" applyProtection="1">
      <alignment horizontal="left" vertical="center" indent="7"/>
      <protection hidden="1"/>
    </xf>
    <xf numFmtId="0" fontId="38" fillId="44" borderId="0" xfId="964" applyFont="1" applyFill="1" applyAlignment="1" applyProtection="1">
      <alignment horizontal="center" vertical="center"/>
      <protection hidden="1"/>
    </xf>
    <xf numFmtId="0" fontId="36" fillId="0" borderId="50" xfId="964" applyFont="1" applyBorder="1" applyAlignment="1" applyProtection="1">
      <alignment horizontal="center" vertical="center"/>
      <protection hidden="1"/>
    </xf>
    <xf numFmtId="0" fontId="36" fillId="0" borderId="0" xfId="964" applyFont="1" applyAlignment="1" applyProtection="1">
      <alignment horizontal="center" vertical="center"/>
      <protection hidden="1"/>
    </xf>
    <xf numFmtId="0" fontId="36" fillId="0" borderId="147" xfId="964" applyFont="1" applyBorder="1" applyAlignment="1" applyProtection="1">
      <alignment horizontal="center" vertical="center"/>
      <protection hidden="1"/>
    </xf>
    <xf numFmtId="0" fontId="38" fillId="6" borderId="48" xfId="964" applyFont="1" applyFill="1" applyBorder="1" applyAlignment="1" applyProtection="1">
      <alignment horizontal="left" vertical="center"/>
      <protection hidden="1"/>
    </xf>
    <xf numFmtId="0" fontId="38" fillId="6" borderId="72" xfId="964" applyFont="1" applyFill="1" applyBorder="1" applyAlignment="1" applyProtection="1">
      <alignment horizontal="left" vertical="center"/>
      <protection hidden="1"/>
    </xf>
    <xf numFmtId="0" fontId="38" fillId="6" borderId="74" xfId="964" applyFont="1" applyFill="1" applyBorder="1" applyAlignment="1" applyProtection="1">
      <alignment horizontal="left" vertical="center"/>
      <protection hidden="1"/>
    </xf>
    <xf numFmtId="0" fontId="36" fillId="0" borderId="32" xfId="964" applyFont="1" applyBorder="1" applyAlignment="1" applyProtection="1">
      <alignment horizontal="left" vertical="top"/>
      <protection hidden="1"/>
    </xf>
    <xf numFmtId="0" fontId="36" fillId="11" borderId="49" xfId="964" applyFont="1" applyFill="1" applyBorder="1" applyAlignment="1" applyProtection="1">
      <alignment horizontal="center" vertical="center"/>
      <protection hidden="1"/>
    </xf>
    <xf numFmtId="0" fontId="36" fillId="11" borderId="148" xfId="964" applyFont="1" applyFill="1" applyBorder="1" applyAlignment="1" applyProtection="1">
      <alignment horizontal="center" vertical="center"/>
      <protection hidden="1"/>
    </xf>
    <xf numFmtId="0" fontId="36" fillId="11" borderId="50" xfId="964" applyFont="1" applyFill="1" applyBorder="1" applyAlignment="1" applyProtection="1">
      <alignment horizontal="center" vertical="center"/>
      <protection hidden="1"/>
    </xf>
    <xf numFmtId="0" fontId="36" fillId="11" borderId="0" xfId="964" applyFont="1" applyFill="1" applyAlignment="1" applyProtection="1">
      <alignment horizontal="center" vertical="center"/>
      <protection hidden="1"/>
    </xf>
    <xf numFmtId="0" fontId="43" fillId="6" borderId="32" xfId="0" applyFont="1" applyFill="1" applyBorder="1" applyAlignment="1" applyProtection="1">
      <alignment horizontal="left" vertical="center"/>
      <protection hidden="1"/>
    </xf>
    <xf numFmtId="0" fontId="58" fillId="0" borderId="91" xfId="0" applyFont="1" applyBorder="1" applyAlignment="1" applyProtection="1">
      <alignment vertical="center"/>
      <protection hidden="1"/>
    </xf>
    <xf numFmtId="0" fontId="36" fillId="0" borderId="49" xfId="964" applyFont="1" applyBorder="1" applyAlignment="1" applyProtection="1">
      <alignment horizontal="center" vertical="center"/>
      <protection hidden="1"/>
    </xf>
    <xf numFmtId="0" fontId="36" fillId="0" borderId="148" xfId="964" applyFont="1" applyBorder="1" applyAlignment="1" applyProtection="1">
      <alignment horizontal="center" vertical="center"/>
      <protection hidden="1"/>
    </xf>
    <xf numFmtId="0" fontId="38" fillId="6" borderId="77" xfId="964" applyFont="1" applyFill="1" applyBorder="1" applyAlignment="1" applyProtection="1">
      <alignment horizontal="center" vertical="top"/>
      <protection hidden="1"/>
    </xf>
    <xf numFmtId="0" fontId="38" fillId="6" borderId="78" xfId="964" applyFont="1" applyFill="1" applyBorder="1" applyAlignment="1" applyProtection="1">
      <alignment horizontal="center" vertical="top"/>
      <protection hidden="1"/>
    </xf>
    <xf numFmtId="0" fontId="38" fillId="6" borderId="76" xfId="964" applyFont="1" applyFill="1" applyBorder="1" applyAlignment="1" applyProtection="1">
      <alignment horizontal="center" vertical="top"/>
      <protection hidden="1"/>
    </xf>
    <xf numFmtId="0" fontId="38" fillId="6" borderId="79" xfId="964" applyFont="1" applyFill="1" applyBorder="1" applyAlignment="1" applyProtection="1">
      <alignment horizontal="center" vertical="top"/>
      <protection hidden="1"/>
    </xf>
    <xf numFmtId="0" fontId="64" fillId="0" borderId="32" xfId="0" applyFont="1" applyBorder="1" applyAlignment="1">
      <alignment horizontal="left" vertical="center" indent="5"/>
    </xf>
    <xf numFmtId="0" fontId="43" fillId="6" borderId="64" xfId="0" applyFont="1" applyFill="1" applyBorder="1" applyAlignment="1" applyProtection="1">
      <alignment horizontal="left" vertical="top"/>
      <protection hidden="1"/>
    </xf>
    <xf numFmtId="0" fontId="43" fillId="6" borderId="61" xfId="0" applyFont="1" applyFill="1" applyBorder="1" applyAlignment="1" applyProtection="1">
      <alignment horizontal="left" vertical="top"/>
      <protection hidden="1"/>
    </xf>
    <xf numFmtId="0" fontId="58" fillId="0" borderId="120" xfId="964" applyFont="1" applyBorder="1" applyAlignment="1" applyProtection="1">
      <alignment horizontal="center" vertical="center"/>
      <protection hidden="1"/>
    </xf>
    <xf numFmtId="0" fontId="58" fillId="0" borderId="87" xfId="964" applyFont="1" applyBorder="1" applyAlignment="1" applyProtection="1">
      <alignment horizontal="center" vertical="center"/>
      <protection hidden="1"/>
    </xf>
    <xf numFmtId="0" fontId="58" fillId="0" borderId="90" xfId="964" applyFont="1" applyBorder="1" applyAlignment="1" applyProtection="1">
      <alignment horizontal="center" vertical="center"/>
      <protection hidden="1"/>
    </xf>
    <xf numFmtId="0" fontId="58" fillId="0" borderId="122" xfId="964" quotePrefix="1" applyFont="1" applyBorder="1" applyAlignment="1" applyProtection="1">
      <alignment horizontal="left" vertical="top"/>
      <protection hidden="1"/>
    </xf>
    <xf numFmtId="0" fontId="58" fillId="0" borderId="63" xfId="964" quotePrefix="1" applyFont="1" applyBorder="1" applyAlignment="1" applyProtection="1">
      <alignment horizontal="left" vertical="top"/>
      <protection hidden="1"/>
    </xf>
    <xf numFmtId="0" fontId="58" fillId="0" borderId="123" xfId="964" quotePrefix="1" applyFont="1" applyBorder="1" applyAlignment="1" applyProtection="1">
      <alignment horizontal="left" vertical="top"/>
      <protection hidden="1"/>
    </xf>
    <xf numFmtId="0" fontId="58" fillId="0" borderId="50" xfId="964" applyFont="1" applyBorder="1" applyAlignment="1" applyProtection="1">
      <alignment horizontal="center" vertical="center" wrapText="1"/>
      <protection hidden="1"/>
    </xf>
    <xf numFmtId="0" fontId="58" fillId="0" borderId="0" xfId="964" applyFont="1" applyAlignment="1" applyProtection="1">
      <alignment horizontal="center" vertical="center" wrapText="1"/>
      <protection hidden="1"/>
    </xf>
    <xf numFmtId="0" fontId="58" fillId="0" borderId="7" xfId="964" applyFont="1" applyBorder="1" applyAlignment="1" applyProtection="1">
      <alignment horizontal="center" vertical="center" wrapText="1"/>
      <protection hidden="1"/>
    </xf>
    <xf numFmtId="0" fontId="58" fillId="0" borderId="51" xfId="964" applyFont="1" applyBorder="1" applyAlignment="1" applyProtection="1">
      <alignment horizontal="center" vertical="center" wrapText="1"/>
      <protection hidden="1"/>
    </xf>
    <xf numFmtId="0" fontId="58" fillId="0" borderId="10" xfId="964" applyFont="1" applyBorder="1" applyAlignment="1" applyProtection="1">
      <alignment horizontal="center" vertical="center" wrapText="1"/>
      <protection hidden="1"/>
    </xf>
    <xf numFmtId="0" fontId="58" fillId="0" borderId="11" xfId="964" applyFont="1" applyBorder="1" applyAlignment="1" applyProtection="1">
      <alignment horizontal="center" vertical="center" wrapText="1"/>
      <protection hidden="1"/>
    </xf>
    <xf numFmtId="0" fontId="38" fillId="6" borderId="64" xfId="964" applyFont="1" applyFill="1" applyBorder="1" applyAlignment="1" applyProtection="1">
      <alignment horizontal="center" vertical="center"/>
      <protection hidden="1"/>
    </xf>
    <xf numFmtId="0" fontId="38" fillId="6" borderId="61" xfId="964" applyFont="1" applyFill="1" applyBorder="1" applyAlignment="1" applyProtection="1">
      <alignment horizontal="center" vertical="center"/>
      <protection hidden="1"/>
    </xf>
    <xf numFmtId="0" fontId="75" fillId="0" borderId="48" xfId="0" applyFont="1" applyBorder="1" applyAlignment="1">
      <alignment horizontal="left" vertical="center" indent="11"/>
    </xf>
    <xf numFmtId="0" fontId="75" fillId="0" borderId="72" xfId="0" applyFont="1" applyBorder="1" applyAlignment="1">
      <alignment horizontal="left" vertical="center" indent="11"/>
    </xf>
    <xf numFmtId="0" fontId="75" fillId="0" borderId="74" xfId="0" applyFont="1" applyBorder="1" applyAlignment="1">
      <alignment horizontal="left" vertical="center" indent="11"/>
    </xf>
    <xf numFmtId="0" fontId="77" fillId="0" borderId="48" xfId="0" applyFont="1" applyBorder="1" applyAlignment="1">
      <alignment horizontal="left" vertical="center" indent="11"/>
    </xf>
    <xf numFmtId="9" fontId="42" fillId="6" borderId="33" xfId="2" applyFont="1" applyFill="1" applyBorder="1" applyAlignment="1" applyProtection="1">
      <alignment horizontal="center" vertical="center"/>
      <protection hidden="1"/>
    </xf>
    <xf numFmtId="0" fontId="43" fillId="6" borderId="64" xfId="964" applyFont="1" applyFill="1" applyBorder="1" applyAlignment="1" applyProtection="1">
      <alignment horizontal="left" vertical="top"/>
      <protection hidden="1"/>
    </xf>
    <xf numFmtId="0" fontId="43" fillId="6" borderId="61" xfId="964" applyFont="1" applyFill="1" applyBorder="1" applyAlignment="1" applyProtection="1">
      <alignment horizontal="left" vertical="top"/>
      <protection hidden="1"/>
    </xf>
    <xf numFmtId="166" fontId="58" fillId="0" borderId="92" xfId="2" applyNumberFormat="1" applyFont="1" applyFill="1" applyBorder="1" applyAlignment="1" applyProtection="1">
      <alignment horizontal="center" vertical="center"/>
      <protection hidden="1"/>
    </xf>
    <xf numFmtId="166" fontId="58" fillId="0" borderId="69" xfId="2" applyNumberFormat="1" applyFont="1" applyFill="1" applyBorder="1" applyAlignment="1" applyProtection="1">
      <alignment horizontal="center" vertical="center"/>
      <protection hidden="1"/>
    </xf>
    <xf numFmtId="166" fontId="58" fillId="0" borderId="73" xfId="2" applyNumberFormat="1" applyFont="1" applyFill="1" applyBorder="1" applyAlignment="1" applyProtection="1">
      <alignment horizontal="center" vertical="center"/>
      <protection hidden="1"/>
    </xf>
    <xf numFmtId="9" fontId="58" fillId="0" borderId="92" xfId="2" applyFont="1" applyFill="1" applyBorder="1" applyAlignment="1" applyProtection="1">
      <alignment horizontal="center" vertical="center"/>
      <protection hidden="1"/>
    </xf>
    <xf numFmtId="9" fontId="58" fillId="0" borderId="69" xfId="2" applyFont="1" applyFill="1" applyBorder="1" applyAlignment="1" applyProtection="1">
      <alignment horizontal="center" vertical="center"/>
      <protection hidden="1"/>
    </xf>
    <xf numFmtId="9" fontId="58" fillId="0" borderId="73" xfId="2" applyFont="1" applyFill="1" applyBorder="1" applyAlignment="1" applyProtection="1">
      <alignment horizontal="center" vertical="center"/>
      <protection hidden="1"/>
    </xf>
    <xf numFmtId="10" fontId="58" fillId="0" borderId="69" xfId="2" applyNumberFormat="1" applyFont="1" applyFill="1" applyBorder="1" applyAlignment="1" applyProtection="1">
      <alignment horizontal="center" vertical="center"/>
      <protection hidden="1"/>
    </xf>
    <xf numFmtId="10" fontId="58" fillId="0" borderId="73" xfId="2" applyNumberFormat="1" applyFont="1" applyFill="1" applyBorder="1" applyAlignment="1" applyProtection="1">
      <alignment horizontal="center" vertical="center"/>
      <protection hidden="1"/>
    </xf>
    <xf numFmtId="0" fontId="58" fillId="0" borderId="102" xfId="964" applyFont="1" applyBorder="1" applyAlignment="1" applyProtection="1">
      <alignment horizontal="center" vertical="center"/>
      <protection hidden="1"/>
    </xf>
    <xf numFmtId="0" fontId="58" fillId="0" borderId="54" xfId="964" applyFont="1" applyBorder="1" applyAlignment="1" applyProtection="1">
      <alignment horizontal="center" vertical="center"/>
      <protection hidden="1"/>
    </xf>
    <xf numFmtId="0" fontId="58" fillId="0" borderId="103" xfId="964" applyFont="1" applyBorder="1" applyAlignment="1" applyProtection="1">
      <alignment horizontal="center" vertical="center"/>
      <protection hidden="1"/>
    </xf>
    <xf numFmtId="0" fontId="58" fillId="0" borderId="106" xfId="964" applyFont="1" applyBorder="1" applyAlignment="1" applyProtection="1">
      <alignment horizontal="center" vertical="center"/>
      <protection hidden="1"/>
    </xf>
    <xf numFmtId="0" fontId="58" fillId="0" borderId="31" xfId="964" applyFont="1" applyBorder="1" applyAlignment="1" applyProtection="1">
      <alignment horizontal="center" vertical="center"/>
      <protection hidden="1"/>
    </xf>
    <xf numFmtId="0" fontId="58" fillId="0" borderId="107" xfId="964" applyFont="1" applyBorder="1" applyAlignment="1" applyProtection="1">
      <alignment horizontal="center" vertical="center"/>
      <protection hidden="1"/>
    </xf>
    <xf numFmtId="0" fontId="58" fillId="0" borderId="108" xfId="964" applyFont="1" applyBorder="1" applyAlignment="1" applyProtection="1">
      <alignment horizontal="center" vertical="center"/>
      <protection hidden="1"/>
    </xf>
    <xf numFmtId="0" fontId="58" fillId="0" borderId="92" xfId="964" applyFont="1" applyBorder="1" applyAlignment="1" applyProtection="1">
      <alignment horizontal="center" vertical="center"/>
      <protection hidden="1"/>
    </xf>
    <xf numFmtId="0" fontId="58" fillId="0" borderId="109" xfId="964" applyFont="1" applyBorder="1" applyAlignment="1" applyProtection="1">
      <alignment horizontal="center" vertical="center"/>
      <protection hidden="1"/>
    </xf>
    <xf numFmtId="0" fontId="39" fillId="0" borderId="72" xfId="964" applyFont="1" applyBorder="1" applyAlignment="1" applyProtection="1">
      <alignment horizontal="center" vertical="center"/>
      <protection hidden="1"/>
    </xf>
    <xf numFmtId="0" fontId="39" fillId="0" borderId="74" xfId="964" applyFont="1" applyBorder="1" applyAlignment="1" applyProtection="1">
      <alignment horizontal="center" vertical="center"/>
      <protection hidden="1"/>
    </xf>
    <xf numFmtId="9" fontId="39" fillId="0" borderId="116" xfId="127" applyFont="1" applyFill="1" applyBorder="1" applyAlignment="1" applyProtection="1">
      <alignment horizontal="center" vertical="center"/>
      <protection hidden="1"/>
    </xf>
    <xf numFmtId="9" fontId="39" fillId="0" borderId="128" xfId="127" applyFont="1" applyFill="1" applyBorder="1" applyAlignment="1" applyProtection="1">
      <alignment horizontal="center" vertical="center"/>
      <protection hidden="1"/>
    </xf>
    <xf numFmtId="9" fontId="39" fillId="0" borderId="110" xfId="127" applyFont="1" applyFill="1" applyBorder="1" applyAlignment="1" applyProtection="1">
      <alignment horizontal="center" vertical="center"/>
      <protection hidden="1"/>
    </xf>
    <xf numFmtId="10" fontId="39" fillId="0" borderId="116" xfId="127" applyNumberFormat="1" applyFont="1" applyFill="1" applyBorder="1" applyAlignment="1" applyProtection="1">
      <alignment horizontal="center" vertical="center"/>
      <protection hidden="1"/>
    </xf>
    <xf numFmtId="10" fontId="39" fillId="0" borderId="128" xfId="127" applyNumberFormat="1" applyFont="1" applyFill="1" applyBorder="1" applyAlignment="1" applyProtection="1">
      <alignment horizontal="center" vertical="center"/>
      <protection hidden="1"/>
    </xf>
    <xf numFmtId="10" fontId="39" fillId="0" borderId="110" xfId="127" applyNumberFormat="1" applyFont="1" applyFill="1" applyBorder="1" applyAlignment="1" applyProtection="1">
      <alignment horizontal="center" vertical="center"/>
      <protection hidden="1"/>
    </xf>
    <xf numFmtId="9" fontId="39" fillId="0" borderId="112" xfId="127" applyFont="1" applyFill="1" applyBorder="1" applyAlignment="1" applyProtection="1">
      <alignment horizontal="center" vertical="center"/>
      <protection hidden="1"/>
    </xf>
    <xf numFmtId="10" fontId="39" fillId="0" borderId="112" xfId="127" applyNumberFormat="1" applyFont="1" applyFill="1" applyBorder="1" applyAlignment="1" applyProtection="1">
      <alignment horizontal="center" vertical="center"/>
      <protection hidden="1"/>
    </xf>
    <xf numFmtId="0" fontId="58" fillId="0" borderId="102" xfId="964" applyFont="1" applyBorder="1" applyAlignment="1" applyProtection="1">
      <alignment horizontal="center" vertical="center" wrapText="1"/>
      <protection hidden="1"/>
    </xf>
    <xf numFmtId="0" fontId="58" fillId="0" borderId="54" xfId="964" applyFont="1" applyBorder="1" applyAlignment="1" applyProtection="1">
      <alignment horizontal="center" vertical="center" wrapText="1"/>
      <protection hidden="1"/>
    </xf>
    <xf numFmtId="0" fontId="58" fillId="0" borderId="103" xfId="964" applyFont="1" applyBorder="1" applyAlignment="1" applyProtection="1">
      <alignment horizontal="center" vertical="center" wrapText="1"/>
      <protection hidden="1"/>
    </xf>
    <xf numFmtId="0" fontId="58" fillId="0" borderId="132" xfId="964" applyFont="1" applyBorder="1" applyAlignment="1" applyProtection="1">
      <alignment horizontal="center" vertical="center" wrapText="1"/>
      <protection hidden="1"/>
    </xf>
    <xf numFmtId="0" fontId="58" fillId="0" borderId="69" xfId="964" applyFont="1" applyBorder="1" applyAlignment="1" applyProtection="1">
      <alignment horizontal="center" vertical="center" wrapText="1"/>
      <protection hidden="1"/>
    </xf>
    <xf numFmtId="0" fontId="58" fillId="0" borderId="133" xfId="964" applyFont="1" applyBorder="1" applyAlignment="1" applyProtection="1">
      <alignment horizontal="center" vertical="center" wrapText="1"/>
      <protection hidden="1"/>
    </xf>
    <xf numFmtId="0" fontId="58" fillId="0" borderId="104" xfId="964" applyFont="1" applyBorder="1" applyAlignment="1" applyProtection="1">
      <alignment horizontal="center" vertical="center" wrapText="1"/>
      <protection hidden="1"/>
    </xf>
    <xf numFmtId="0" fontId="58" fillId="0" borderId="55" xfId="964" applyFont="1" applyBorder="1" applyAlignment="1" applyProtection="1">
      <alignment horizontal="center" vertical="center" wrapText="1"/>
      <protection hidden="1"/>
    </xf>
    <xf numFmtId="0" fontId="58" fillId="0" borderId="105" xfId="964" applyFont="1" applyBorder="1" applyAlignment="1" applyProtection="1">
      <alignment horizontal="center" vertical="center" wrapText="1"/>
      <protection hidden="1"/>
    </xf>
    <xf numFmtId="0" fontId="58" fillId="0" borderId="95" xfId="964" applyFont="1" applyBorder="1" applyAlignment="1" applyProtection="1">
      <alignment horizontal="left" vertical="top"/>
      <protection hidden="1"/>
    </xf>
    <xf numFmtId="0" fontId="58" fillId="0" borderId="86" xfId="964" applyFont="1" applyBorder="1" applyAlignment="1" applyProtection="1">
      <alignment horizontal="left" vertical="top"/>
      <protection hidden="1"/>
    </xf>
    <xf numFmtId="0" fontId="58" fillId="0" borderId="88" xfId="964" applyFont="1" applyBorder="1" applyAlignment="1" applyProtection="1">
      <alignment horizontal="left" vertical="top"/>
      <protection hidden="1"/>
    </xf>
    <xf numFmtId="0" fontId="58" fillId="0" borderId="100" xfId="964" applyFont="1" applyBorder="1" applyAlignment="1" applyProtection="1">
      <alignment horizontal="center" vertical="center" wrapText="1"/>
      <protection hidden="1"/>
    </xf>
    <xf numFmtId="0" fontId="58" fillId="0" borderId="52" xfId="964" applyFont="1" applyBorder="1" applyAlignment="1" applyProtection="1">
      <alignment horizontal="center" vertical="center" wrapText="1"/>
      <protection hidden="1"/>
    </xf>
    <xf numFmtId="0" fontId="58" fillId="0" borderId="101" xfId="964" applyFont="1" applyBorder="1" applyAlignment="1" applyProtection="1">
      <alignment horizontal="center" vertical="center" wrapText="1"/>
      <protection hidden="1"/>
    </xf>
    <xf numFmtId="0" fontId="58" fillId="0" borderId="96" xfId="964" applyFont="1" applyBorder="1" applyAlignment="1" applyProtection="1">
      <alignment horizontal="center" vertical="center" wrapText="1"/>
      <protection hidden="1"/>
    </xf>
    <xf numFmtId="0" fontId="58" fillId="0" borderId="32" xfId="964" applyFont="1" applyBorder="1" applyAlignment="1" applyProtection="1">
      <alignment horizontal="center" vertical="center" wrapText="1"/>
      <protection hidden="1"/>
    </xf>
    <xf numFmtId="0" fontId="58" fillId="0" borderId="97" xfId="964" applyFont="1" applyBorder="1" applyAlignment="1" applyProtection="1">
      <alignment horizontal="center" vertical="center" wrapText="1"/>
      <protection hidden="1"/>
    </xf>
    <xf numFmtId="0" fontId="58" fillId="0" borderId="98" xfId="964" applyFont="1" applyBorder="1" applyAlignment="1" applyProtection="1">
      <alignment horizontal="center" vertical="center" wrapText="1"/>
      <protection hidden="1"/>
    </xf>
    <xf numFmtId="0" fontId="58" fillId="0" borderId="53" xfId="964" applyFont="1" applyBorder="1" applyAlignment="1" applyProtection="1">
      <alignment horizontal="center" vertical="center" wrapText="1"/>
      <protection hidden="1"/>
    </xf>
    <xf numFmtId="0" fontId="58" fillId="0" borderId="99" xfId="964" applyFont="1" applyBorder="1" applyAlignment="1" applyProtection="1">
      <alignment horizontal="center" vertical="center" wrapText="1"/>
      <protection hidden="1"/>
    </xf>
    <xf numFmtId="0" fontId="58" fillId="0" borderId="57" xfId="964" applyFont="1" applyBorder="1" applyAlignment="1" applyProtection="1">
      <alignment horizontal="left" vertical="top"/>
      <protection hidden="1"/>
    </xf>
    <xf numFmtId="0" fontId="58" fillId="0" borderId="54" xfId="964" applyFont="1" applyBorder="1" applyAlignment="1" applyProtection="1">
      <alignment horizontal="left" vertical="top"/>
      <protection hidden="1"/>
    </xf>
    <xf numFmtId="9" fontId="58" fillId="0" borderId="113" xfId="2" applyFont="1" applyFill="1" applyBorder="1" applyAlignment="1" applyProtection="1">
      <alignment horizontal="center" vertical="center"/>
      <protection hidden="1"/>
    </xf>
    <xf numFmtId="9" fontId="58" fillId="0" borderId="114" xfId="2" applyFont="1" applyFill="1" applyBorder="1" applyAlignment="1" applyProtection="1">
      <alignment horizontal="center" vertical="center"/>
      <protection hidden="1"/>
    </xf>
    <xf numFmtId="10" fontId="58" fillId="0" borderId="113" xfId="2" applyNumberFormat="1" applyFont="1" applyFill="1" applyBorder="1" applyAlignment="1" applyProtection="1">
      <alignment horizontal="center" vertical="center"/>
      <protection hidden="1"/>
    </xf>
    <xf numFmtId="10" fontId="58" fillId="0" borderId="114" xfId="2" applyNumberFormat="1" applyFont="1" applyFill="1" applyBorder="1" applyAlignment="1" applyProtection="1">
      <alignment horizontal="center" vertical="center"/>
      <protection hidden="1"/>
    </xf>
    <xf numFmtId="0" fontId="58" fillId="0" borderId="94" xfId="0" applyFont="1" applyBorder="1" applyAlignment="1" applyProtection="1">
      <alignment horizontal="left" vertical="center" indent="3"/>
      <protection hidden="1"/>
    </xf>
    <xf numFmtId="0" fontId="58" fillId="0" borderId="31" xfId="0" applyFont="1" applyBorder="1" applyAlignment="1" applyProtection="1">
      <alignment horizontal="left" vertical="center" indent="3"/>
      <protection hidden="1"/>
    </xf>
    <xf numFmtId="0" fontId="58" fillId="0" borderId="60" xfId="0" applyFont="1" applyBorder="1" applyAlignment="1" applyProtection="1">
      <alignment horizontal="left" vertical="center" indent="3"/>
      <protection hidden="1"/>
    </xf>
    <xf numFmtId="0" fontId="58" fillId="0" borderId="94" xfId="964" applyFont="1" applyBorder="1" applyAlignment="1" applyProtection="1">
      <alignment horizontal="left" vertical="top"/>
      <protection hidden="1"/>
    </xf>
    <xf numFmtId="0" fontId="58" fillId="0" borderId="31" xfId="964" applyFont="1" applyBorder="1" applyAlignment="1" applyProtection="1">
      <alignment horizontal="left" vertical="top"/>
      <protection hidden="1"/>
    </xf>
    <xf numFmtId="10" fontId="39" fillId="0" borderId="53" xfId="127" applyNumberFormat="1" applyFont="1" applyFill="1" applyBorder="1" applyAlignment="1" applyProtection="1">
      <alignment horizontal="center" vertical="center"/>
      <protection hidden="1"/>
    </xf>
    <xf numFmtId="10" fontId="39" fillId="0" borderId="69" xfId="127" applyNumberFormat="1" applyFont="1" applyFill="1" applyBorder="1" applyAlignment="1" applyProtection="1">
      <alignment horizontal="center" vertical="center"/>
      <protection hidden="1"/>
    </xf>
    <xf numFmtId="10" fontId="39" fillId="0" borderId="73" xfId="127" applyNumberFormat="1" applyFont="1" applyFill="1" applyBorder="1" applyAlignment="1" applyProtection="1">
      <alignment horizontal="center" vertical="center"/>
      <protection hidden="1"/>
    </xf>
    <xf numFmtId="9" fontId="58" fillId="0" borderId="115" xfId="2" applyFont="1" applyFill="1" applyBorder="1" applyAlignment="1" applyProtection="1">
      <alignment horizontal="center" vertical="center"/>
      <protection hidden="1"/>
    </xf>
    <xf numFmtId="10" fontId="58" fillId="0" borderId="115" xfId="2" applyNumberFormat="1" applyFont="1" applyFill="1" applyBorder="1" applyAlignment="1" applyProtection="1">
      <alignment horizontal="center" vertical="center"/>
      <protection hidden="1"/>
    </xf>
    <xf numFmtId="0" fontId="57" fillId="0" borderId="59" xfId="964" applyFont="1" applyBorder="1" applyAlignment="1" applyProtection="1">
      <alignment horizontal="left" vertical="top"/>
      <protection hidden="1"/>
    </xf>
    <xf numFmtId="0" fontId="57" fillId="0" borderId="55" xfId="964" applyFont="1" applyBorder="1" applyAlignment="1" applyProtection="1">
      <alignment horizontal="left" vertical="top"/>
      <protection hidden="1"/>
    </xf>
    <xf numFmtId="0" fontId="57" fillId="0" borderId="58" xfId="964" applyFont="1" applyBorder="1" applyAlignment="1" applyProtection="1">
      <alignment horizontal="left" vertical="top"/>
      <protection hidden="1"/>
    </xf>
    <xf numFmtId="0" fontId="58" fillId="0" borderId="98" xfId="964" applyFont="1" applyBorder="1" applyAlignment="1" applyProtection="1">
      <alignment horizontal="center" vertical="center"/>
      <protection hidden="1"/>
    </xf>
    <xf numFmtId="0" fontId="58" fillId="0" borderId="53" xfId="964" applyFont="1" applyBorder="1" applyAlignment="1" applyProtection="1">
      <alignment horizontal="center" vertical="center"/>
      <protection hidden="1"/>
    </xf>
    <xf numFmtId="0" fontId="58" fillId="0" borderId="99" xfId="964" applyFont="1" applyBorder="1" applyAlignment="1" applyProtection="1">
      <alignment horizontal="center" vertical="center"/>
      <protection hidden="1"/>
    </xf>
    <xf numFmtId="0" fontId="58" fillId="0" borderId="82" xfId="964" applyFont="1" applyBorder="1" applyAlignment="1" applyProtection="1">
      <alignment horizontal="left" vertical="top"/>
      <protection hidden="1"/>
    </xf>
    <xf numFmtId="0" fontId="58" fillId="0" borderId="53" xfId="964" applyFont="1" applyBorder="1" applyAlignment="1" applyProtection="1">
      <alignment horizontal="left" vertical="top"/>
      <protection hidden="1"/>
    </xf>
    <xf numFmtId="0" fontId="58" fillId="0" borderId="49" xfId="964" applyFont="1" applyBorder="1" applyAlignment="1" applyProtection="1">
      <alignment horizontal="left" vertical="top"/>
      <protection hidden="1"/>
    </xf>
    <xf numFmtId="0" fontId="33" fillId="5" borderId="0" xfId="0" applyFont="1" applyFill="1" applyAlignment="1" applyProtection="1">
      <alignment horizontal="center" vertical="center"/>
      <protection hidden="1"/>
    </xf>
    <xf numFmtId="0" fontId="38" fillId="6" borderId="50" xfId="964" applyFont="1" applyFill="1" applyBorder="1" applyAlignment="1">
      <alignment horizontal="center" vertical="center"/>
    </xf>
    <xf numFmtId="0" fontId="38" fillId="6" borderId="0" xfId="964" applyFont="1" applyFill="1" applyAlignment="1">
      <alignment horizontal="center" vertical="center"/>
    </xf>
    <xf numFmtId="0" fontId="38" fillId="6" borderId="7" xfId="964" applyFont="1" applyFill="1" applyBorder="1" applyAlignment="1">
      <alignment horizontal="center" vertical="center"/>
    </xf>
    <xf numFmtId="0" fontId="38" fillId="6" borderId="96" xfId="964" applyFont="1" applyFill="1" applyBorder="1" applyAlignment="1">
      <alignment horizontal="center" vertical="center"/>
    </xf>
    <xf numFmtId="0" fontId="38" fillId="6" borderId="32" xfId="964" applyFont="1" applyFill="1" applyBorder="1" applyAlignment="1">
      <alignment horizontal="center" vertical="center"/>
    </xf>
    <xf numFmtId="0" fontId="38" fillId="6" borderId="97" xfId="964" applyFont="1" applyFill="1" applyBorder="1" applyAlignment="1">
      <alignment horizontal="center" vertical="center"/>
    </xf>
    <xf numFmtId="0" fontId="38" fillId="6" borderId="74" xfId="964" applyFont="1" applyFill="1" applyBorder="1" applyAlignment="1">
      <alignment horizontal="center" vertical="center"/>
    </xf>
    <xf numFmtId="10" fontId="71" fillId="0" borderId="0" xfId="0" applyNumberFormat="1" applyFont="1" applyAlignment="1" applyProtection="1">
      <alignment horizontal="center"/>
      <protection hidden="1"/>
    </xf>
    <xf numFmtId="0" fontId="72" fillId="0" borderId="0" xfId="0" applyFont="1" applyAlignment="1" applyProtection="1">
      <alignment horizontal="center" vertical="center"/>
      <protection hidden="1"/>
    </xf>
    <xf numFmtId="0" fontId="79" fillId="0" borderId="0" xfId="964" applyFont="1" applyAlignment="1" applyProtection="1">
      <alignment horizontal="left" vertical="top" wrapText="1"/>
      <protection hidden="1"/>
    </xf>
    <xf numFmtId="0" fontId="43" fillId="6" borderId="1" xfId="3" applyFont="1" applyFill="1" applyBorder="1" applyAlignment="1" applyProtection="1">
      <alignment horizontal="center" vertical="center"/>
      <protection hidden="1"/>
    </xf>
    <xf numFmtId="0" fontId="43" fillId="6" borderId="2" xfId="3" applyFont="1" applyFill="1" applyBorder="1" applyAlignment="1" applyProtection="1">
      <alignment horizontal="center" vertical="center"/>
      <protection hidden="1"/>
    </xf>
    <xf numFmtId="0" fontId="43" fillId="6" borderId="3" xfId="3" applyFont="1" applyFill="1" applyBorder="1" applyAlignment="1" applyProtection="1">
      <alignment horizontal="center" vertical="center"/>
      <protection hidden="1"/>
    </xf>
    <xf numFmtId="0" fontId="78" fillId="0" borderId="32" xfId="0" applyFont="1" applyBorder="1" applyAlignment="1" applyProtection="1">
      <alignment horizontal="left" vertical="center" indent="3"/>
      <protection hidden="1"/>
    </xf>
    <xf numFmtId="0" fontId="58" fillId="0" borderId="73" xfId="964" applyFont="1" applyBorder="1" applyAlignment="1" applyProtection="1">
      <alignment horizontal="center" vertical="center" wrapText="1"/>
      <protection hidden="1"/>
    </xf>
    <xf numFmtId="0" fontId="58" fillId="0" borderId="69" xfId="964" applyFont="1" applyBorder="1" applyAlignment="1" applyProtection="1">
      <alignment horizontal="center" vertical="center"/>
      <protection hidden="1"/>
    </xf>
    <xf numFmtId="0" fontId="58" fillId="0" borderId="73" xfId="964" applyFont="1" applyBorder="1" applyAlignment="1" applyProtection="1">
      <alignment horizontal="center" vertical="center"/>
      <protection hidden="1"/>
    </xf>
    <xf numFmtId="0" fontId="39" fillId="0" borderId="32" xfId="964" applyFont="1" applyBorder="1" applyAlignment="1" applyProtection="1">
      <alignment horizontal="left" vertical="center"/>
      <protection hidden="1"/>
    </xf>
    <xf numFmtId="9" fontId="58" fillId="0" borderId="53" xfId="6" applyFont="1" applyFill="1" applyBorder="1" applyAlignment="1" applyProtection="1">
      <alignment horizontal="center" vertical="center"/>
      <protection hidden="1"/>
    </xf>
    <xf numFmtId="9" fontId="58" fillId="0" borderId="69" xfId="6" applyFont="1" applyFill="1" applyBorder="1" applyAlignment="1" applyProtection="1">
      <alignment horizontal="center" vertical="center"/>
      <protection hidden="1"/>
    </xf>
    <xf numFmtId="9" fontId="58" fillId="0" borderId="73" xfId="6" applyFont="1" applyFill="1" applyBorder="1" applyAlignment="1" applyProtection="1">
      <alignment horizontal="center" vertical="center"/>
      <protection hidden="1"/>
    </xf>
    <xf numFmtId="166" fontId="58" fillId="0" borderId="53" xfId="2" applyNumberFormat="1" applyFont="1" applyFill="1" applyBorder="1" applyAlignment="1" applyProtection="1">
      <alignment horizontal="center" vertical="center"/>
      <protection hidden="1"/>
    </xf>
    <xf numFmtId="0" fontId="75" fillId="0" borderId="48" xfId="0" applyFont="1" applyBorder="1" applyAlignment="1">
      <alignment horizontal="left" vertical="center" indent="8"/>
    </xf>
    <xf numFmtId="0" fontId="75" fillId="0" borderId="72" xfId="0" applyFont="1" applyBorder="1" applyAlignment="1">
      <alignment horizontal="left" vertical="center" indent="8"/>
    </xf>
    <xf numFmtId="0" fontId="75" fillId="0" borderId="74" xfId="0" applyFont="1" applyBorder="1" applyAlignment="1">
      <alignment horizontal="left" vertical="center" indent="8"/>
    </xf>
    <xf numFmtId="0" fontId="33" fillId="6" borderId="0" xfId="0" applyFont="1" applyFill="1" applyAlignment="1" applyProtection="1">
      <alignment horizontal="center" vertical="center"/>
      <protection hidden="1"/>
    </xf>
    <xf numFmtId="0" fontId="38" fillId="6" borderId="32" xfId="964" applyFont="1" applyFill="1" applyBorder="1" applyAlignment="1" applyProtection="1">
      <alignment horizontal="center" vertical="center"/>
      <protection hidden="1"/>
    </xf>
    <xf numFmtId="0" fontId="38" fillId="6" borderId="53" xfId="964" applyFont="1" applyFill="1" applyBorder="1" applyAlignment="1" applyProtection="1">
      <alignment horizontal="center" vertical="center"/>
      <protection hidden="1"/>
    </xf>
    <xf numFmtId="0" fontId="36" fillId="0" borderId="4" xfId="3" applyFont="1" applyBorder="1" applyAlignment="1" applyProtection="1">
      <alignment horizontal="center" vertical="center" wrapText="1"/>
      <protection hidden="1"/>
    </xf>
    <xf numFmtId="0" fontId="36" fillId="0" borderId="0" xfId="3" applyFont="1" applyAlignment="1" applyProtection="1">
      <alignment horizontal="center" vertical="center" wrapText="1"/>
      <protection hidden="1"/>
    </xf>
    <xf numFmtId="0" fontId="36" fillId="0" borderId="7" xfId="3" applyFont="1" applyBorder="1" applyAlignment="1" applyProtection="1">
      <alignment horizontal="center" vertical="center" wrapText="1"/>
      <protection hidden="1"/>
    </xf>
    <xf numFmtId="0" fontId="58" fillId="0" borderId="32" xfId="964" applyFont="1" applyBorder="1" applyAlignment="1" applyProtection="1">
      <alignment horizontal="left" vertical="top"/>
      <protection hidden="1"/>
    </xf>
    <xf numFmtId="0" fontId="39" fillId="0" borderId="48" xfId="964" quotePrefix="1" applyFont="1" applyBorder="1" applyAlignment="1" applyProtection="1">
      <alignment horizontal="left" vertical="center"/>
      <protection hidden="1"/>
    </xf>
    <xf numFmtId="0" fontId="39" fillId="0" borderId="72" xfId="964" quotePrefix="1" applyFont="1" applyBorder="1" applyAlignment="1" applyProtection="1">
      <alignment horizontal="left" vertical="center"/>
      <protection hidden="1"/>
    </xf>
    <xf numFmtId="0" fontId="39" fillId="0" borderId="74" xfId="964" quotePrefix="1" applyFont="1" applyBorder="1" applyAlignment="1" applyProtection="1">
      <alignment horizontal="left" vertical="center"/>
      <protection hidden="1"/>
    </xf>
    <xf numFmtId="0" fontId="36" fillId="0" borderId="5" xfId="0" applyFont="1" applyBorder="1" applyAlignment="1" applyProtection="1">
      <alignment horizontal="center" vertical="center" wrapText="1"/>
      <protection hidden="1"/>
    </xf>
    <xf numFmtId="0" fontId="36" fillId="0" borderId="8" xfId="0" applyFont="1" applyBorder="1" applyAlignment="1" applyProtection="1">
      <alignment horizontal="center" vertical="center" wrapText="1"/>
      <protection hidden="1"/>
    </xf>
    <xf numFmtId="0" fontId="58" fillId="0" borderId="32" xfId="0" applyFont="1" applyBorder="1" applyAlignment="1" applyProtection="1">
      <alignment horizontal="left" vertical="center"/>
      <protection hidden="1"/>
    </xf>
    <xf numFmtId="0" fontId="58" fillId="0" borderId="67" xfId="3" applyFont="1" applyBorder="1" applyAlignment="1" applyProtection="1">
      <alignment horizontal="center" vertical="center"/>
      <protection hidden="1"/>
    </xf>
    <xf numFmtId="0" fontId="58" fillId="0" borderId="68" xfId="3" applyFont="1" applyBorder="1" applyAlignment="1" applyProtection="1">
      <alignment horizontal="center" vertical="center"/>
      <protection hidden="1"/>
    </xf>
    <xf numFmtId="0" fontId="58" fillId="0" borderId="70" xfId="3" applyFont="1" applyBorder="1" applyAlignment="1" applyProtection="1">
      <alignment horizontal="center" vertical="center"/>
      <protection hidden="1"/>
    </xf>
    <xf numFmtId="0" fontId="58" fillId="0" borderId="52" xfId="964" applyFont="1" applyBorder="1" applyAlignment="1" applyProtection="1">
      <alignment horizontal="left" vertical="top"/>
      <protection hidden="1"/>
    </xf>
    <xf numFmtId="0" fontId="58" fillId="0" borderId="32" xfId="0" applyFont="1" applyBorder="1" applyAlignment="1" applyProtection="1">
      <alignment horizontal="left" vertical="center" indent="3"/>
      <protection hidden="1"/>
    </xf>
    <xf numFmtId="0" fontId="38" fillId="6" borderId="50" xfId="964" applyFont="1" applyFill="1" applyBorder="1" applyAlignment="1" applyProtection="1">
      <alignment horizontal="center" vertical="center"/>
      <protection hidden="1"/>
    </xf>
    <xf numFmtId="0" fontId="38" fillId="6" borderId="0" xfId="964" applyFont="1" applyFill="1" applyAlignment="1" applyProtection="1">
      <alignment horizontal="center" vertical="center"/>
      <protection hidden="1"/>
    </xf>
    <xf numFmtId="0" fontId="38" fillId="6" borderId="7" xfId="964" applyFont="1" applyFill="1" applyBorder="1" applyAlignment="1" applyProtection="1">
      <alignment horizontal="center" vertical="center"/>
      <protection hidden="1"/>
    </xf>
    <xf numFmtId="0" fontId="40" fillId="0" borderId="32" xfId="0" applyFont="1" applyBorder="1" applyAlignment="1" applyProtection="1">
      <alignment horizontal="right"/>
      <protection hidden="1"/>
    </xf>
    <xf numFmtId="10" fontId="58" fillId="0" borderId="52" xfId="6" applyNumberFormat="1" applyFont="1" applyFill="1" applyBorder="1" applyAlignment="1" applyProtection="1">
      <alignment horizontal="center" vertical="center"/>
      <protection hidden="1"/>
    </xf>
    <xf numFmtId="10" fontId="58" fillId="0" borderId="32" xfId="6" applyNumberFormat="1" applyFont="1" applyFill="1" applyBorder="1" applyAlignment="1" applyProtection="1">
      <alignment horizontal="center" vertical="center"/>
      <protection hidden="1"/>
    </xf>
    <xf numFmtId="9" fontId="58" fillId="0" borderId="52" xfId="6" applyFont="1" applyFill="1" applyBorder="1" applyAlignment="1" applyProtection="1">
      <alignment horizontal="center" vertical="center"/>
      <protection hidden="1"/>
    </xf>
    <xf numFmtId="9" fontId="58" fillId="0" borderId="32" xfId="6" applyFont="1" applyFill="1" applyBorder="1" applyAlignment="1" applyProtection="1">
      <alignment horizontal="center" vertical="center"/>
      <protection hidden="1"/>
    </xf>
    <xf numFmtId="9" fontId="58" fillId="0" borderId="71" xfId="6" applyFont="1" applyFill="1" applyBorder="1" applyAlignment="1" applyProtection="1">
      <alignment horizontal="center" vertical="center"/>
      <protection hidden="1"/>
    </xf>
    <xf numFmtId="10" fontId="58" fillId="0" borderId="71" xfId="6" applyNumberFormat="1" applyFont="1" applyFill="1" applyBorder="1" applyAlignment="1" applyProtection="1">
      <alignment horizontal="center" vertical="center"/>
      <protection hidden="1"/>
    </xf>
    <xf numFmtId="10" fontId="58" fillId="0" borderId="53" xfId="6" applyNumberFormat="1" applyFont="1" applyFill="1" applyBorder="1" applyAlignment="1" applyProtection="1">
      <alignment horizontal="center" vertical="center"/>
      <protection hidden="1"/>
    </xf>
    <xf numFmtId="10" fontId="58" fillId="0" borderId="69" xfId="6" applyNumberFormat="1" applyFont="1" applyFill="1" applyBorder="1" applyAlignment="1" applyProtection="1">
      <alignment horizontal="center" vertical="center"/>
      <protection hidden="1"/>
    </xf>
    <xf numFmtId="10" fontId="58" fillId="0" borderId="73" xfId="6" applyNumberFormat="1" applyFont="1" applyFill="1" applyBorder="1" applyAlignment="1" applyProtection="1">
      <alignment horizontal="center" vertical="center"/>
      <protection hidden="1"/>
    </xf>
    <xf numFmtId="0" fontId="52" fillId="4" borderId="16" xfId="10" applyFont="1" applyFill="1" applyBorder="1" applyAlignment="1">
      <alignment horizontal="center" vertical="center"/>
    </xf>
    <xf numFmtId="0" fontId="52" fillId="4" borderId="0" xfId="10" applyFont="1" applyFill="1" applyAlignment="1">
      <alignment horizontal="center" vertical="center"/>
    </xf>
    <xf numFmtId="0" fontId="52" fillId="5" borderId="13" xfId="10" applyFont="1" applyFill="1" applyBorder="1" applyAlignment="1">
      <alignment horizontal="center" vertical="center" wrapText="1"/>
    </xf>
    <xf numFmtId="0" fontId="52" fillId="5" borderId="18" xfId="10" applyFont="1" applyFill="1" applyBorder="1" applyAlignment="1">
      <alignment horizontal="center" vertical="center" wrapText="1"/>
    </xf>
    <xf numFmtId="0" fontId="52" fillId="5" borderId="26" xfId="10" applyFont="1" applyFill="1" applyBorder="1" applyAlignment="1">
      <alignment horizontal="center" vertical="center" wrapText="1"/>
    </xf>
    <xf numFmtId="0" fontId="52" fillId="6" borderId="14" xfId="10" applyFont="1" applyFill="1" applyBorder="1" applyAlignment="1">
      <alignment horizontal="center" vertical="center"/>
    </xf>
    <xf numFmtId="0" fontId="52" fillId="6" borderId="15" xfId="10" applyFont="1" applyFill="1" applyBorder="1" applyAlignment="1">
      <alignment horizontal="center" vertical="center"/>
    </xf>
    <xf numFmtId="0" fontId="52" fillId="6" borderId="20" xfId="10" applyFont="1" applyFill="1" applyBorder="1" applyAlignment="1">
      <alignment horizontal="center" vertical="center" wrapText="1"/>
    </xf>
    <xf numFmtId="0" fontId="52" fillId="6" borderId="21" xfId="10" applyFont="1" applyFill="1" applyBorder="1" applyAlignment="1">
      <alignment horizontal="center" vertical="center" wrapText="1"/>
    </xf>
    <xf numFmtId="0" fontId="52" fillId="6" borderId="22" xfId="10" applyFont="1" applyFill="1" applyBorder="1" applyAlignment="1">
      <alignment horizontal="center" vertical="center" wrapText="1"/>
    </xf>
    <xf numFmtId="0" fontId="53" fillId="9" borderId="16" xfId="10" applyFont="1" applyFill="1" applyBorder="1" applyAlignment="1">
      <alignment horizontal="center" vertical="center" wrapText="1"/>
    </xf>
    <xf numFmtId="0" fontId="53" fillId="9" borderId="0" xfId="10" applyFont="1" applyFill="1" applyAlignment="1">
      <alignment horizontal="center" vertical="center" wrapText="1"/>
    </xf>
    <xf numFmtId="0" fontId="53" fillId="9" borderId="20" xfId="10" applyFont="1" applyFill="1" applyBorder="1" applyAlignment="1">
      <alignment horizontal="center" vertical="center" wrapText="1"/>
    </xf>
    <xf numFmtId="0" fontId="53" fillId="9" borderId="21" xfId="10" applyFont="1" applyFill="1" applyBorder="1" applyAlignment="1">
      <alignment horizontal="center" vertical="center" wrapText="1"/>
    </xf>
    <xf numFmtId="0" fontId="51" fillId="9" borderId="130" xfId="10" applyFont="1" applyFill="1" applyBorder="1" applyAlignment="1">
      <alignment horizontal="center" vertical="center" wrapText="1"/>
    </xf>
    <xf numFmtId="0" fontId="51" fillId="9" borderId="0" xfId="10" applyFont="1" applyFill="1" applyAlignment="1">
      <alignment horizontal="center" vertical="center" wrapText="1"/>
    </xf>
    <xf numFmtId="0" fontId="51" fillId="9" borderId="44" xfId="10" applyFont="1" applyFill="1" applyBorder="1" applyAlignment="1">
      <alignment horizontal="center" vertical="center" wrapText="1"/>
    </xf>
    <xf numFmtId="0" fontId="52" fillId="6" borderId="13" xfId="10" applyFont="1" applyFill="1" applyBorder="1" applyAlignment="1">
      <alignment horizontal="center" vertical="center" wrapText="1"/>
    </xf>
    <xf numFmtId="0" fontId="52" fillId="6" borderId="18" xfId="10" applyFont="1" applyFill="1" applyBorder="1" applyAlignment="1">
      <alignment horizontal="center" vertical="center" wrapText="1"/>
    </xf>
    <xf numFmtId="0" fontId="52" fillId="6" borderId="26" xfId="10" applyFont="1" applyFill="1" applyBorder="1" applyAlignment="1">
      <alignment horizontal="center" vertical="center" wrapText="1"/>
    </xf>
    <xf numFmtId="0" fontId="52" fillId="6" borderId="20" xfId="10" applyFont="1" applyFill="1" applyBorder="1" applyAlignment="1">
      <alignment horizontal="left" vertical="center" wrapText="1"/>
    </xf>
    <xf numFmtId="0" fontId="52" fillId="6" borderId="21" xfId="10" applyFont="1" applyFill="1" applyBorder="1" applyAlignment="1">
      <alignment horizontal="left" vertical="center" wrapText="1"/>
    </xf>
    <xf numFmtId="0" fontId="52" fillId="6" borderId="24" xfId="10" applyFont="1" applyFill="1" applyBorder="1" applyAlignment="1">
      <alignment horizontal="center" vertical="center"/>
    </xf>
    <xf numFmtId="0" fontId="52" fillId="6" borderId="23" xfId="10" applyFont="1" applyFill="1" applyBorder="1" applyAlignment="1">
      <alignment horizontal="center" vertical="center"/>
    </xf>
    <xf numFmtId="0" fontId="52" fillId="6" borderId="15" xfId="10" applyFont="1" applyFill="1" applyBorder="1" applyAlignment="1">
      <alignment horizontal="center" vertical="center" wrapText="1"/>
    </xf>
    <xf numFmtId="0" fontId="52" fillId="6" borderId="19" xfId="10" applyFont="1" applyFill="1" applyBorder="1" applyAlignment="1">
      <alignment horizontal="center" vertical="center" wrapText="1"/>
    </xf>
    <xf numFmtId="0" fontId="53" fillId="9" borderId="130" xfId="10" applyFont="1" applyFill="1" applyBorder="1" applyAlignment="1">
      <alignment horizontal="center" vertical="center" wrapText="1"/>
    </xf>
    <xf numFmtId="0" fontId="52" fillId="6" borderId="140" xfId="10" applyFont="1" applyFill="1" applyBorder="1" applyAlignment="1">
      <alignment horizontal="center" vertical="center"/>
    </xf>
    <xf numFmtId="0" fontId="52" fillId="6" borderId="19" xfId="10" applyFont="1" applyFill="1" applyBorder="1" applyAlignment="1">
      <alignment horizontal="center" vertical="center"/>
    </xf>
    <xf numFmtId="0" fontId="53" fillId="4" borderId="157" xfId="10" applyFont="1" applyFill="1" applyBorder="1" applyAlignment="1">
      <alignment horizontal="center" vertical="center" wrapText="1"/>
    </xf>
    <xf numFmtId="0" fontId="53" fillId="4" borderId="158" xfId="10" applyFont="1" applyFill="1" applyBorder="1" applyAlignment="1">
      <alignment horizontal="center" vertical="center" wrapText="1"/>
    </xf>
    <xf numFmtId="0" fontId="52" fillId="4" borderId="15" xfId="10" applyFont="1" applyFill="1" applyBorder="1" applyAlignment="1">
      <alignment horizontal="center" vertical="center"/>
    </xf>
    <xf numFmtId="0" fontId="52" fillId="7" borderId="12" xfId="10" applyFont="1" applyFill="1" applyBorder="1" applyAlignment="1">
      <alignment horizontal="center" vertical="center" wrapText="1"/>
    </xf>
    <xf numFmtId="0" fontId="52" fillId="7" borderId="0" xfId="10" applyFont="1" applyFill="1" applyAlignment="1">
      <alignment horizontal="center" vertical="center" wrapText="1"/>
    </xf>
  </cellXfs>
  <cellStyles count="1094">
    <cellStyle name="20% - Accent1 10" xfId="141" xr:uid="{00000000-0005-0000-0000-000000000000}"/>
    <cellStyle name="20% - Accent1 10 2" xfId="142" xr:uid="{00000000-0005-0000-0000-000001000000}"/>
    <cellStyle name="20% - Accent1 11" xfId="143" xr:uid="{00000000-0005-0000-0000-000002000000}"/>
    <cellStyle name="20% - Accent1 11 2" xfId="144" xr:uid="{00000000-0005-0000-0000-000003000000}"/>
    <cellStyle name="20% - Accent1 12" xfId="145" xr:uid="{00000000-0005-0000-0000-000004000000}"/>
    <cellStyle name="20% - Accent1 12 2" xfId="146" xr:uid="{00000000-0005-0000-0000-000005000000}"/>
    <cellStyle name="20% - Accent1 13" xfId="147" xr:uid="{00000000-0005-0000-0000-000006000000}"/>
    <cellStyle name="20% - Accent1 13 2" xfId="148" xr:uid="{00000000-0005-0000-0000-000007000000}"/>
    <cellStyle name="20% - Accent1 14" xfId="149" xr:uid="{00000000-0005-0000-0000-000008000000}"/>
    <cellStyle name="20% - Accent1 14 2" xfId="150" xr:uid="{00000000-0005-0000-0000-000009000000}"/>
    <cellStyle name="20% - Accent1 15" xfId="151" xr:uid="{00000000-0005-0000-0000-00000A000000}"/>
    <cellStyle name="20% - Accent1 15 2" xfId="152" xr:uid="{00000000-0005-0000-0000-00000B000000}"/>
    <cellStyle name="20% - Accent1 16" xfId="153" xr:uid="{00000000-0005-0000-0000-00000C000000}"/>
    <cellStyle name="20% - Accent1 16 2" xfId="154" xr:uid="{00000000-0005-0000-0000-00000D000000}"/>
    <cellStyle name="20% - Accent1 17" xfId="155" xr:uid="{00000000-0005-0000-0000-00000E000000}"/>
    <cellStyle name="20% - Accent1 17 2" xfId="156" xr:uid="{00000000-0005-0000-0000-00000F000000}"/>
    <cellStyle name="20% - Accent1 18" xfId="157" xr:uid="{00000000-0005-0000-0000-000010000000}"/>
    <cellStyle name="20% - Accent1 18 2" xfId="158" xr:uid="{00000000-0005-0000-0000-000011000000}"/>
    <cellStyle name="20% - Accent1 19" xfId="159" xr:uid="{00000000-0005-0000-0000-000012000000}"/>
    <cellStyle name="20% - Accent1 19 2" xfId="160" xr:uid="{00000000-0005-0000-0000-000013000000}"/>
    <cellStyle name="20% - Accent1 2" xfId="161" xr:uid="{00000000-0005-0000-0000-000014000000}"/>
    <cellStyle name="20% - Accent1 2 2" xfId="162" xr:uid="{00000000-0005-0000-0000-000015000000}"/>
    <cellStyle name="20% - Accent1 20" xfId="163" xr:uid="{00000000-0005-0000-0000-000016000000}"/>
    <cellStyle name="20% - Accent1 20 2" xfId="164" xr:uid="{00000000-0005-0000-0000-000017000000}"/>
    <cellStyle name="20% - Accent1 21" xfId="165" xr:uid="{00000000-0005-0000-0000-000018000000}"/>
    <cellStyle name="20% - Accent1 21 2" xfId="166" xr:uid="{00000000-0005-0000-0000-000019000000}"/>
    <cellStyle name="20% - Accent1 3" xfId="167" xr:uid="{00000000-0005-0000-0000-00001A000000}"/>
    <cellStyle name="20% - Accent1 3 2" xfId="168" xr:uid="{00000000-0005-0000-0000-00001B000000}"/>
    <cellStyle name="20% - Accent1 4" xfId="169" xr:uid="{00000000-0005-0000-0000-00001C000000}"/>
    <cellStyle name="20% - Accent1 4 2" xfId="170" xr:uid="{00000000-0005-0000-0000-00001D000000}"/>
    <cellStyle name="20% - Accent1 5" xfId="171" xr:uid="{00000000-0005-0000-0000-00001E000000}"/>
    <cellStyle name="20% - Accent1 5 2" xfId="172" xr:uid="{00000000-0005-0000-0000-00001F000000}"/>
    <cellStyle name="20% - Accent1 6" xfId="173" xr:uid="{00000000-0005-0000-0000-000020000000}"/>
    <cellStyle name="20% - Accent1 6 2" xfId="174" xr:uid="{00000000-0005-0000-0000-000021000000}"/>
    <cellStyle name="20% - Accent1 7" xfId="175" xr:uid="{00000000-0005-0000-0000-000022000000}"/>
    <cellStyle name="20% - Accent1 7 2" xfId="176" xr:uid="{00000000-0005-0000-0000-000023000000}"/>
    <cellStyle name="20% - Accent1 8" xfId="177" xr:uid="{00000000-0005-0000-0000-000024000000}"/>
    <cellStyle name="20% - Accent1 8 2" xfId="178" xr:uid="{00000000-0005-0000-0000-000025000000}"/>
    <cellStyle name="20% - Accent1 9" xfId="179" xr:uid="{00000000-0005-0000-0000-000026000000}"/>
    <cellStyle name="20% - Accent1 9 2" xfId="180" xr:uid="{00000000-0005-0000-0000-000027000000}"/>
    <cellStyle name="20% - Accent2 10" xfId="181" xr:uid="{00000000-0005-0000-0000-000028000000}"/>
    <cellStyle name="20% - Accent2 10 2" xfId="182" xr:uid="{00000000-0005-0000-0000-000029000000}"/>
    <cellStyle name="20% - Accent2 11" xfId="183" xr:uid="{00000000-0005-0000-0000-00002A000000}"/>
    <cellStyle name="20% - Accent2 11 2" xfId="184" xr:uid="{00000000-0005-0000-0000-00002B000000}"/>
    <cellStyle name="20% - Accent2 12" xfId="185" xr:uid="{00000000-0005-0000-0000-00002C000000}"/>
    <cellStyle name="20% - Accent2 12 2" xfId="186" xr:uid="{00000000-0005-0000-0000-00002D000000}"/>
    <cellStyle name="20% - Accent2 13" xfId="187" xr:uid="{00000000-0005-0000-0000-00002E000000}"/>
    <cellStyle name="20% - Accent2 13 2" xfId="188" xr:uid="{00000000-0005-0000-0000-00002F000000}"/>
    <cellStyle name="20% - Accent2 14" xfId="189" xr:uid="{00000000-0005-0000-0000-000030000000}"/>
    <cellStyle name="20% - Accent2 14 2" xfId="190" xr:uid="{00000000-0005-0000-0000-000031000000}"/>
    <cellStyle name="20% - Accent2 15" xfId="191" xr:uid="{00000000-0005-0000-0000-000032000000}"/>
    <cellStyle name="20% - Accent2 15 2" xfId="192" xr:uid="{00000000-0005-0000-0000-000033000000}"/>
    <cellStyle name="20% - Accent2 16" xfId="193" xr:uid="{00000000-0005-0000-0000-000034000000}"/>
    <cellStyle name="20% - Accent2 16 2" xfId="194" xr:uid="{00000000-0005-0000-0000-000035000000}"/>
    <cellStyle name="20% - Accent2 17" xfId="195" xr:uid="{00000000-0005-0000-0000-000036000000}"/>
    <cellStyle name="20% - Accent2 17 2" xfId="196" xr:uid="{00000000-0005-0000-0000-000037000000}"/>
    <cellStyle name="20% - Accent2 18" xfId="197" xr:uid="{00000000-0005-0000-0000-000038000000}"/>
    <cellStyle name="20% - Accent2 18 2" xfId="198" xr:uid="{00000000-0005-0000-0000-000039000000}"/>
    <cellStyle name="20% - Accent2 19" xfId="199" xr:uid="{00000000-0005-0000-0000-00003A000000}"/>
    <cellStyle name="20% - Accent2 19 2" xfId="200" xr:uid="{00000000-0005-0000-0000-00003B000000}"/>
    <cellStyle name="20% - Accent2 2" xfId="201" xr:uid="{00000000-0005-0000-0000-00003C000000}"/>
    <cellStyle name="20% - Accent2 2 2" xfId="202" xr:uid="{00000000-0005-0000-0000-00003D000000}"/>
    <cellStyle name="20% - Accent2 20" xfId="203" xr:uid="{00000000-0005-0000-0000-00003E000000}"/>
    <cellStyle name="20% - Accent2 20 2" xfId="204" xr:uid="{00000000-0005-0000-0000-00003F000000}"/>
    <cellStyle name="20% - Accent2 21" xfId="205" xr:uid="{00000000-0005-0000-0000-000040000000}"/>
    <cellStyle name="20% - Accent2 21 2" xfId="206" xr:uid="{00000000-0005-0000-0000-000041000000}"/>
    <cellStyle name="20% - Accent2 3" xfId="207" xr:uid="{00000000-0005-0000-0000-000042000000}"/>
    <cellStyle name="20% - Accent2 3 2" xfId="208" xr:uid="{00000000-0005-0000-0000-000043000000}"/>
    <cellStyle name="20% - Accent2 4" xfId="209" xr:uid="{00000000-0005-0000-0000-000044000000}"/>
    <cellStyle name="20% - Accent2 4 2" xfId="210" xr:uid="{00000000-0005-0000-0000-000045000000}"/>
    <cellStyle name="20% - Accent2 5" xfId="211" xr:uid="{00000000-0005-0000-0000-000046000000}"/>
    <cellStyle name="20% - Accent2 5 2" xfId="212" xr:uid="{00000000-0005-0000-0000-000047000000}"/>
    <cellStyle name="20% - Accent2 6" xfId="213" xr:uid="{00000000-0005-0000-0000-000048000000}"/>
    <cellStyle name="20% - Accent2 6 2" xfId="214" xr:uid="{00000000-0005-0000-0000-000049000000}"/>
    <cellStyle name="20% - Accent2 7" xfId="215" xr:uid="{00000000-0005-0000-0000-00004A000000}"/>
    <cellStyle name="20% - Accent2 7 2" xfId="216" xr:uid="{00000000-0005-0000-0000-00004B000000}"/>
    <cellStyle name="20% - Accent2 8" xfId="217" xr:uid="{00000000-0005-0000-0000-00004C000000}"/>
    <cellStyle name="20% - Accent2 8 2" xfId="218" xr:uid="{00000000-0005-0000-0000-00004D000000}"/>
    <cellStyle name="20% - Accent2 9" xfId="219" xr:uid="{00000000-0005-0000-0000-00004E000000}"/>
    <cellStyle name="20% - Accent2 9 2" xfId="220" xr:uid="{00000000-0005-0000-0000-00004F000000}"/>
    <cellStyle name="20% - Accent3 10" xfId="221" xr:uid="{00000000-0005-0000-0000-000050000000}"/>
    <cellStyle name="20% - Accent3 10 2" xfId="222" xr:uid="{00000000-0005-0000-0000-000051000000}"/>
    <cellStyle name="20% - Accent3 11" xfId="223" xr:uid="{00000000-0005-0000-0000-000052000000}"/>
    <cellStyle name="20% - Accent3 11 2" xfId="224" xr:uid="{00000000-0005-0000-0000-000053000000}"/>
    <cellStyle name="20% - Accent3 12" xfId="225" xr:uid="{00000000-0005-0000-0000-000054000000}"/>
    <cellStyle name="20% - Accent3 12 2" xfId="226" xr:uid="{00000000-0005-0000-0000-000055000000}"/>
    <cellStyle name="20% - Accent3 13" xfId="227" xr:uid="{00000000-0005-0000-0000-000056000000}"/>
    <cellStyle name="20% - Accent3 13 2" xfId="228" xr:uid="{00000000-0005-0000-0000-000057000000}"/>
    <cellStyle name="20% - Accent3 14" xfId="229" xr:uid="{00000000-0005-0000-0000-000058000000}"/>
    <cellStyle name="20% - Accent3 14 2" xfId="230" xr:uid="{00000000-0005-0000-0000-000059000000}"/>
    <cellStyle name="20% - Accent3 15" xfId="231" xr:uid="{00000000-0005-0000-0000-00005A000000}"/>
    <cellStyle name="20% - Accent3 15 2" xfId="232" xr:uid="{00000000-0005-0000-0000-00005B000000}"/>
    <cellStyle name="20% - Accent3 16" xfId="233" xr:uid="{00000000-0005-0000-0000-00005C000000}"/>
    <cellStyle name="20% - Accent3 16 2" xfId="234" xr:uid="{00000000-0005-0000-0000-00005D000000}"/>
    <cellStyle name="20% - Accent3 17" xfId="235" xr:uid="{00000000-0005-0000-0000-00005E000000}"/>
    <cellStyle name="20% - Accent3 17 2" xfId="236" xr:uid="{00000000-0005-0000-0000-00005F000000}"/>
    <cellStyle name="20% - Accent3 18" xfId="237" xr:uid="{00000000-0005-0000-0000-000060000000}"/>
    <cellStyle name="20% - Accent3 18 2" xfId="238" xr:uid="{00000000-0005-0000-0000-000061000000}"/>
    <cellStyle name="20% - Accent3 19" xfId="239" xr:uid="{00000000-0005-0000-0000-000062000000}"/>
    <cellStyle name="20% - Accent3 19 2" xfId="240" xr:uid="{00000000-0005-0000-0000-000063000000}"/>
    <cellStyle name="20% - Accent3 2" xfId="241" xr:uid="{00000000-0005-0000-0000-000064000000}"/>
    <cellStyle name="20% - Accent3 2 2" xfId="242" xr:uid="{00000000-0005-0000-0000-000065000000}"/>
    <cellStyle name="20% - Accent3 20" xfId="243" xr:uid="{00000000-0005-0000-0000-000066000000}"/>
    <cellStyle name="20% - Accent3 20 2" xfId="244" xr:uid="{00000000-0005-0000-0000-000067000000}"/>
    <cellStyle name="20% - Accent3 21" xfId="245" xr:uid="{00000000-0005-0000-0000-000068000000}"/>
    <cellStyle name="20% - Accent3 21 2" xfId="246" xr:uid="{00000000-0005-0000-0000-000069000000}"/>
    <cellStyle name="20% - Accent3 3" xfId="247" xr:uid="{00000000-0005-0000-0000-00006A000000}"/>
    <cellStyle name="20% - Accent3 3 2" xfId="248" xr:uid="{00000000-0005-0000-0000-00006B000000}"/>
    <cellStyle name="20% - Accent3 4" xfId="249" xr:uid="{00000000-0005-0000-0000-00006C000000}"/>
    <cellStyle name="20% - Accent3 4 2" xfId="250" xr:uid="{00000000-0005-0000-0000-00006D000000}"/>
    <cellStyle name="20% - Accent3 5" xfId="251" xr:uid="{00000000-0005-0000-0000-00006E000000}"/>
    <cellStyle name="20% - Accent3 5 2" xfId="252" xr:uid="{00000000-0005-0000-0000-00006F000000}"/>
    <cellStyle name="20% - Accent3 6" xfId="253" xr:uid="{00000000-0005-0000-0000-000070000000}"/>
    <cellStyle name="20% - Accent3 6 2" xfId="254" xr:uid="{00000000-0005-0000-0000-000071000000}"/>
    <cellStyle name="20% - Accent3 7" xfId="255" xr:uid="{00000000-0005-0000-0000-000072000000}"/>
    <cellStyle name="20% - Accent3 7 2" xfId="256" xr:uid="{00000000-0005-0000-0000-000073000000}"/>
    <cellStyle name="20% - Accent3 8" xfId="257" xr:uid="{00000000-0005-0000-0000-000074000000}"/>
    <cellStyle name="20% - Accent3 8 2" xfId="258" xr:uid="{00000000-0005-0000-0000-000075000000}"/>
    <cellStyle name="20% - Accent3 9" xfId="259" xr:uid="{00000000-0005-0000-0000-000076000000}"/>
    <cellStyle name="20% - Accent3 9 2" xfId="260" xr:uid="{00000000-0005-0000-0000-000077000000}"/>
    <cellStyle name="20% - Accent4 10" xfId="261" xr:uid="{00000000-0005-0000-0000-000078000000}"/>
    <cellStyle name="20% - Accent4 10 2" xfId="262" xr:uid="{00000000-0005-0000-0000-000079000000}"/>
    <cellStyle name="20% - Accent4 11" xfId="263" xr:uid="{00000000-0005-0000-0000-00007A000000}"/>
    <cellStyle name="20% - Accent4 11 2" xfId="264" xr:uid="{00000000-0005-0000-0000-00007B000000}"/>
    <cellStyle name="20% - Accent4 12" xfId="265" xr:uid="{00000000-0005-0000-0000-00007C000000}"/>
    <cellStyle name="20% - Accent4 12 2" xfId="266" xr:uid="{00000000-0005-0000-0000-00007D000000}"/>
    <cellStyle name="20% - Accent4 13" xfId="267" xr:uid="{00000000-0005-0000-0000-00007E000000}"/>
    <cellStyle name="20% - Accent4 13 2" xfId="268" xr:uid="{00000000-0005-0000-0000-00007F000000}"/>
    <cellStyle name="20% - Accent4 14" xfId="269" xr:uid="{00000000-0005-0000-0000-000080000000}"/>
    <cellStyle name="20% - Accent4 14 2" xfId="270" xr:uid="{00000000-0005-0000-0000-000081000000}"/>
    <cellStyle name="20% - Accent4 15" xfId="271" xr:uid="{00000000-0005-0000-0000-000082000000}"/>
    <cellStyle name="20% - Accent4 15 2" xfId="272" xr:uid="{00000000-0005-0000-0000-000083000000}"/>
    <cellStyle name="20% - Accent4 16" xfId="273" xr:uid="{00000000-0005-0000-0000-000084000000}"/>
    <cellStyle name="20% - Accent4 16 2" xfId="274" xr:uid="{00000000-0005-0000-0000-000085000000}"/>
    <cellStyle name="20% - Accent4 17" xfId="275" xr:uid="{00000000-0005-0000-0000-000086000000}"/>
    <cellStyle name="20% - Accent4 17 2" xfId="276" xr:uid="{00000000-0005-0000-0000-000087000000}"/>
    <cellStyle name="20% - Accent4 18" xfId="277" xr:uid="{00000000-0005-0000-0000-000088000000}"/>
    <cellStyle name="20% - Accent4 18 2" xfId="278" xr:uid="{00000000-0005-0000-0000-000089000000}"/>
    <cellStyle name="20% - Accent4 19" xfId="279" xr:uid="{00000000-0005-0000-0000-00008A000000}"/>
    <cellStyle name="20% - Accent4 19 2" xfId="280" xr:uid="{00000000-0005-0000-0000-00008B000000}"/>
    <cellStyle name="20% - Accent4 2" xfId="281" xr:uid="{00000000-0005-0000-0000-00008C000000}"/>
    <cellStyle name="20% - Accent4 2 2" xfId="282" xr:uid="{00000000-0005-0000-0000-00008D000000}"/>
    <cellStyle name="20% - Accent4 20" xfId="283" xr:uid="{00000000-0005-0000-0000-00008E000000}"/>
    <cellStyle name="20% - Accent4 20 2" xfId="284" xr:uid="{00000000-0005-0000-0000-00008F000000}"/>
    <cellStyle name="20% - Accent4 21" xfId="285" xr:uid="{00000000-0005-0000-0000-000090000000}"/>
    <cellStyle name="20% - Accent4 21 2" xfId="286" xr:uid="{00000000-0005-0000-0000-000091000000}"/>
    <cellStyle name="20% - Accent4 3" xfId="287" xr:uid="{00000000-0005-0000-0000-000092000000}"/>
    <cellStyle name="20% - Accent4 3 2" xfId="288" xr:uid="{00000000-0005-0000-0000-000093000000}"/>
    <cellStyle name="20% - Accent4 4" xfId="289" xr:uid="{00000000-0005-0000-0000-000094000000}"/>
    <cellStyle name="20% - Accent4 4 2" xfId="290" xr:uid="{00000000-0005-0000-0000-000095000000}"/>
    <cellStyle name="20% - Accent4 5" xfId="291" xr:uid="{00000000-0005-0000-0000-000096000000}"/>
    <cellStyle name="20% - Accent4 5 2" xfId="292" xr:uid="{00000000-0005-0000-0000-000097000000}"/>
    <cellStyle name="20% - Accent4 6" xfId="293" xr:uid="{00000000-0005-0000-0000-000098000000}"/>
    <cellStyle name="20% - Accent4 6 2" xfId="294" xr:uid="{00000000-0005-0000-0000-000099000000}"/>
    <cellStyle name="20% - Accent4 7" xfId="295" xr:uid="{00000000-0005-0000-0000-00009A000000}"/>
    <cellStyle name="20% - Accent4 7 2" xfId="296" xr:uid="{00000000-0005-0000-0000-00009B000000}"/>
    <cellStyle name="20% - Accent4 8" xfId="297" xr:uid="{00000000-0005-0000-0000-00009C000000}"/>
    <cellStyle name="20% - Accent4 8 2" xfId="298" xr:uid="{00000000-0005-0000-0000-00009D000000}"/>
    <cellStyle name="20% - Accent4 9" xfId="299" xr:uid="{00000000-0005-0000-0000-00009E000000}"/>
    <cellStyle name="20% - Accent4 9 2" xfId="300" xr:uid="{00000000-0005-0000-0000-00009F000000}"/>
    <cellStyle name="20% - Accent5 10" xfId="301" xr:uid="{00000000-0005-0000-0000-0000A0000000}"/>
    <cellStyle name="20% - Accent5 10 2" xfId="302" xr:uid="{00000000-0005-0000-0000-0000A1000000}"/>
    <cellStyle name="20% - Accent5 11" xfId="303" xr:uid="{00000000-0005-0000-0000-0000A2000000}"/>
    <cellStyle name="20% - Accent5 11 2" xfId="304" xr:uid="{00000000-0005-0000-0000-0000A3000000}"/>
    <cellStyle name="20% - Accent5 12" xfId="305" xr:uid="{00000000-0005-0000-0000-0000A4000000}"/>
    <cellStyle name="20% - Accent5 12 2" xfId="306" xr:uid="{00000000-0005-0000-0000-0000A5000000}"/>
    <cellStyle name="20% - Accent5 13" xfId="307" xr:uid="{00000000-0005-0000-0000-0000A6000000}"/>
    <cellStyle name="20% - Accent5 13 2" xfId="308" xr:uid="{00000000-0005-0000-0000-0000A7000000}"/>
    <cellStyle name="20% - Accent5 14" xfId="309" xr:uid="{00000000-0005-0000-0000-0000A8000000}"/>
    <cellStyle name="20% - Accent5 14 2" xfId="310" xr:uid="{00000000-0005-0000-0000-0000A9000000}"/>
    <cellStyle name="20% - Accent5 15" xfId="311" xr:uid="{00000000-0005-0000-0000-0000AA000000}"/>
    <cellStyle name="20% - Accent5 15 2" xfId="312" xr:uid="{00000000-0005-0000-0000-0000AB000000}"/>
    <cellStyle name="20% - Accent5 16" xfId="313" xr:uid="{00000000-0005-0000-0000-0000AC000000}"/>
    <cellStyle name="20% - Accent5 16 2" xfId="314" xr:uid="{00000000-0005-0000-0000-0000AD000000}"/>
    <cellStyle name="20% - Accent5 17" xfId="315" xr:uid="{00000000-0005-0000-0000-0000AE000000}"/>
    <cellStyle name="20% - Accent5 17 2" xfId="316" xr:uid="{00000000-0005-0000-0000-0000AF000000}"/>
    <cellStyle name="20% - Accent5 18" xfId="317" xr:uid="{00000000-0005-0000-0000-0000B0000000}"/>
    <cellStyle name="20% - Accent5 18 2" xfId="318" xr:uid="{00000000-0005-0000-0000-0000B1000000}"/>
    <cellStyle name="20% - Accent5 19" xfId="319" xr:uid="{00000000-0005-0000-0000-0000B2000000}"/>
    <cellStyle name="20% - Accent5 19 2" xfId="320" xr:uid="{00000000-0005-0000-0000-0000B3000000}"/>
    <cellStyle name="20% - Accent5 2" xfId="321" xr:uid="{00000000-0005-0000-0000-0000B4000000}"/>
    <cellStyle name="20% - Accent5 2 2" xfId="322" xr:uid="{00000000-0005-0000-0000-0000B5000000}"/>
    <cellStyle name="20% - Accent5 20" xfId="323" xr:uid="{00000000-0005-0000-0000-0000B6000000}"/>
    <cellStyle name="20% - Accent5 20 2" xfId="324" xr:uid="{00000000-0005-0000-0000-0000B7000000}"/>
    <cellStyle name="20% - Accent5 21" xfId="325" xr:uid="{00000000-0005-0000-0000-0000B8000000}"/>
    <cellStyle name="20% - Accent5 21 2" xfId="326" xr:uid="{00000000-0005-0000-0000-0000B9000000}"/>
    <cellStyle name="20% - Accent5 3" xfId="327" xr:uid="{00000000-0005-0000-0000-0000BA000000}"/>
    <cellStyle name="20% - Accent5 3 2" xfId="328" xr:uid="{00000000-0005-0000-0000-0000BB000000}"/>
    <cellStyle name="20% - Accent5 4" xfId="329" xr:uid="{00000000-0005-0000-0000-0000BC000000}"/>
    <cellStyle name="20% - Accent5 4 2" xfId="330" xr:uid="{00000000-0005-0000-0000-0000BD000000}"/>
    <cellStyle name="20% - Accent5 5" xfId="331" xr:uid="{00000000-0005-0000-0000-0000BE000000}"/>
    <cellStyle name="20% - Accent5 5 2" xfId="332" xr:uid="{00000000-0005-0000-0000-0000BF000000}"/>
    <cellStyle name="20% - Accent5 6" xfId="333" xr:uid="{00000000-0005-0000-0000-0000C0000000}"/>
    <cellStyle name="20% - Accent5 6 2" xfId="334" xr:uid="{00000000-0005-0000-0000-0000C1000000}"/>
    <cellStyle name="20% - Accent5 7" xfId="335" xr:uid="{00000000-0005-0000-0000-0000C2000000}"/>
    <cellStyle name="20% - Accent5 7 2" xfId="336" xr:uid="{00000000-0005-0000-0000-0000C3000000}"/>
    <cellStyle name="20% - Accent5 8" xfId="337" xr:uid="{00000000-0005-0000-0000-0000C4000000}"/>
    <cellStyle name="20% - Accent5 8 2" xfId="338" xr:uid="{00000000-0005-0000-0000-0000C5000000}"/>
    <cellStyle name="20% - Accent5 9" xfId="339" xr:uid="{00000000-0005-0000-0000-0000C6000000}"/>
    <cellStyle name="20% - Accent5 9 2" xfId="340" xr:uid="{00000000-0005-0000-0000-0000C7000000}"/>
    <cellStyle name="20% - Accent6 10" xfId="341" xr:uid="{00000000-0005-0000-0000-0000C8000000}"/>
    <cellStyle name="20% - Accent6 10 2" xfId="342" xr:uid="{00000000-0005-0000-0000-0000C9000000}"/>
    <cellStyle name="20% - Accent6 11" xfId="343" xr:uid="{00000000-0005-0000-0000-0000CA000000}"/>
    <cellStyle name="20% - Accent6 11 2" xfId="344" xr:uid="{00000000-0005-0000-0000-0000CB000000}"/>
    <cellStyle name="20% - Accent6 12" xfId="345" xr:uid="{00000000-0005-0000-0000-0000CC000000}"/>
    <cellStyle name="20% - Accent6 12 2" xfId="346" xr:uid="{00000000-0005-0000-0000-0000CD000000}"/>
    <cellStyle name="20% - Accent6 13" xfId="347" xr:uid="{00000000-0005-0000-0000-0000CE000000}"/>
    <cellStyle name="20% - Accent6 13 2" xfId="348" xr:uid="{00000000-0005-0000-0000-0000CF000000}"/>
    <cellStyle name="20% - Accent6 14" xfId="349" xr:uid="{00000000-0005-0000-0000-0000D0000000}"/>
    <cellStyle name="20% - Accent6 14 2" xfId="350" xr:uid="{00000000-0005-0000-0000-0000D1000000}"/>
    <cellStyle name="20% - Accent6 15" xfId="351" xr:uid="{00000000-0005-0000-0000-0000D2000000}"/>
    <cellStyle name="20% - Accent6 15 2" xfId="352" xr:uid="{00000000-0005-0000-0000-0000D3000000}"/>
    <cellStyle name="20% - Accent6 16" xfId="353" xr:uid="{00000000-0005-0000-0000-0000D4000000}"/>
    <cellStyle name="20% - Accent6 16 2" xfId="354" xr:uid="{00000000-0005-0000-0000-0000D5000000}"/>
    <cellStyle name="20% - Accent6 17" xfId="355" xr:uid="{00000000-0005-0000-0000-0000D6000000}"/>
    <cellStyle name="20% - Accent6 17 2" xfId="356" xr:uid="{00000000-0005-0000-0000-0000D7000000}"/>
    <cellStyle name="20% - Accent6 18" xfId="357" xr:uid="{00000000-0005-0000-0000-0000D8000000}"/>
    <cellStyle name="20% - Accent6 18 2" xfId="358" xr:uid="{00000000-0005-0000-0000-0000D9000000}"/>
    <cellStyle name="20% - Accent6 19" xfId="359" xr:uid="{00000000-0005-0000-0000-0000DA000000}"/>
    <cellStyle name="20% - Accent6 19 2" xfId="360" xr:uid="{00000000-0005-0000-0000-0000DB000000}"/>
    <cellStyle name="20% - Accent6 2" xfId="361" xr:uid="{00000000-0005-0000-0000-0000DC000000}"/>
    <cellStyle name="20% - Accent6 2 2" xfId="362" xr:uid="{00000000-0005-0000-0000-0000DD000000}"/>
    <cellStyle name="20% - Accent6 20" xfId="363" xr:uid="{00000000-0005-0000-0000-0000DE000000}"/>
    <cellStyle name="20% - Accent6 20 2" xfId="364" xr:uid="{00000000-0005-0000-0000-0000DF000000}"/>
    <cellStyle name="20% - Accent6 21" xfId="365" xr:uid="{00000000-0005-0000-0000-0000E0000000}"/>
    <cellStyle name="20% - Accent6 21 2" xfId="366" xr:uid="{00000000-0005-0000-0000-0000E1000000}"/>
    <cellStyle name="20% - Accent6 3" xfId="367" xr:uid="{00000000-0005-0000-0000-0000E2000000}"/>
    <cellStyle name="20% - Accent6 3 2" xfId="368" xr:uid="{00000000-0005-0000-0000-0000E3000000}"/>
    <cellStyle name="20% - Accent6 4" xfId="369" xr:uid="{00000000-0005-0000-0000-0000E4000000}"/>
    <cellStyle name="20% - Accent6 4 2" xfId="370" xr:uid="{00000000-0005-0000-0000-0000E5000000}"/>
    <cellStyle name="20% - Accent6 5" xfId="371" xr:uid="{00000000-0005-0000-0000-0000E6000000}"/>
    <cellStyle name="20% - Accent6 5 2" xfId="372" xr:uid="{00000000-0005-0000-0000-0000E7000000}"/>
    <cellStyle name="20% - Accent6 6" xfId="373" xr:uid="{00000000-0005-0000-0000-0000E8000000}"/>
    <cellStyle name="20% - Accent6 6 2" xfId="374" xr:uid="{00000000-0005-0000-0000-0000E9000000}"/>
    <cellStyle name="20% - Accent6 7" xfId="375" xr:uid="{00000000-0005-0000-0000-0000EA000000}"/>
    <cellStyle name="20% - Accent6 7 2" xfId="376" xr:uid="{00000000-0005-0000-0000-0000EB000000}"/>
    <cellStyle name="20% - Accent6 8" xfId="377" xr:uid="{00000000-0005-0000-0000-0000EC000000}"/>
    <cellStyle name="20% - Accent6 8 2" xfId="378" xr:uid="{00000000-0005-0000-0000-0000ED000000}"/>
    <cellStyle name="20% - Accent6 9" xfId="379" xr:uid="{00000000-0005-0000-0000-0000EE000000}"/>
    <cellStyle name="20% - Accent6 9 2" xfId="380" xr:uid="{00000000-0005-0000-0000-0000EF000000}"/>
    <cellStyle name="40% - Accent1 10" xfId="381" xr:uid="{00000000-0005-0000-0000-0000F0000000}"/>
    <cellStyle name="40% - Accent1 10 2" xfId="382" xr:uid="{00000000-0005-0000-0000-0000F1000000}"/>
    <cellStyle name="40% - Accent1 11" xfId="383" xr:uid="{00000000-0005-0000-0000-0000F2000000}"/>
    <cellStyle name="40% - Accent1 11 2" xfId="384" xr:uid="{00000000-0005-0000-0000-0000F3000000}"/>
    <cellStyle name="40% - Accent1 12" xfId="385" xr:uid="{00000000-0005-0000-0000-0000F4000000}"/>
    <cellStyle name="40% - Accent1 12 2" xfId="386" xr:uid="{00000000-0005-0000-0000-0000F5000000}"/>
    <cellStyle name="40% - Accent1 13" xfId="387" xr:uid="{00000000-0005-0000-0000-0000F6000000}"/>
    <cellStyle name="40% - Accent1 13 2" xfId="388" xr:uid="{00000000-0005-0000-0000-0000F7000000}"/>
    <cellStyle name="40% - Accent1 14" xfId="389" xr:uid="{00000000-0005-0000-0000-0000F8000000}"/>
    <cellStyle name="40% - Accent1 14 2" xfId="390" xr:uid="{00000000-0005-0000-0000-0000F9000000}"/>
    <cellStyle name="40% - Accent1 15" xfId="391" xr:uid="{00000000-0005-0000-0000-0000FA000000}"/>
    <cellStyle name="40% - Accent1 15 2" xfId="392" xr:uid="{00000000-0005-0000-0000-0000FB000000}"/>
    <cellStyle name="40% - Accent1 16" xfId="393" xr:uid="{00000000-0005-0000-0000-0000FC000000}"/>
    <cellStyle name="40% - Accent1 16 2" xfId="394" xr:uid="{00000000-0005-0000-0000-0000FD000000}"/>
    <cellStyle name="40% - Accent1 17" xfId="395" xr:uid="{00000000-0005-0000-0000-0000FE000000}"/>
    <cellStyle name="40% - Accent1 17 2" xfId="396" xr:uid="{00000000-0005-0000-0000-0000FF000000}"/>
    <cellStyle name="40% - Accent1 18" xfId="397" xr:uid="{00000000-0005-0000-0000-000000010000}"/>
    <cellStyle name="40% - Accent1 18 2" xfId="398" xr:uid="{00000000-0005-0000-0000-000001010000}"/>
    <cellStyle name="40% - Accent1 19" xfId="399" xr:uid="{00000000-0005-0000-0000-000002010000}"/>
    <cellStyle name="40% - Accent1 19 2" xfId="400" xr:uid="{00000000-0005-0000-0000-000003010000}"/>
    <cellStyle name="40% - Accent1 2" xfId="401" xr:uid="{00000000-0005-0000-0000-000004010000}"/>
    <cellStyle name="40% - Accent1 2 2" xfId="402" xr:uid="{00000000-0005-0000-0000-000005010000}"/>
    <cellStyle name="40% - Accent1 20" xfId="403" xr:uid="{00000000-0005-0000-0000-000006010000}"/>
    <cellStyle name="40% - Accent1 20 2" xfId="404" xr:uid="{00000000-0005-0000-0000-000007010000}"/>
    <cellStyle name="40% - Accent1 21" xfId="405" xr:uid="{00000000-0005-0000-0000-000008010000}"/>
    <cellStyle name="40% - Accent1 21 2" xfId="406" xr:uid="{00000000-0005-0000-0000-000009010000}"/>
    <cellStyle name="40% - Accent1 3" xfId="407" xr:uid="{00000000-0005-0000-0000-00000A010000}"/>
    <cellStyle name="40% - Accent1 3 2" xfId="408" xr:uid="{00000000-0005-0000-0000-00000B010000}"/>
    <cellStyle name="40% - Accent1 4" xfId="409" xr:uid="{00000000-0005-0000-0000-00000C010000}"/>
    <cellStyle name="40% - Accent1 4 2" xfId="410" xr:uid="{00000000-0005-0000-0000-00000D010000}"/>
    <cellStyle name="40% - Accent1 5" xfId="411" xr:uid="{00000000-0005-0000-0000-00000E010000}"/>
    <cellStyle name="40% - Accent1 5 2" xfId="412" xr:uid="{00000000-0005-0000-0000-00000F010000}"/>
    <cellStyle name="40% - Accent1 6" xfId="413" xr:uid="{00000000-0005-0000-0000-000010010000}"/>
    <cellStyle name="40% - Accent1 6 2" xfId="414" xr:uid="{00000000-0005-0000-0000-000011010000}"/>
    <cellStyle name="40% - Accent1 7" xfId="415" xr:uid="{00000000-0005-0000-0000-000012010000}"/>
    <cellStyle name="40% - Accent1 7 2" xfId="416" xr:uid="{00000000-0005-0000-0000-000013010000}"/>
    <cellStyle name="40% - Accent1 8" xfId="417" xr:uid="{00000000-0005-0000-0000-000014010000}"/>
    <cellStyle name="40% - Accent1 8 2" xfId="418" xr:uid="{00000000-0005-0000-0000-000015010000}"/>
    <cellStyle name="40% - Accent1 9" xfId="419" xr:uid="{00000000-0005-0000-0000-000016010000}"/>
    <cellStyle name="40% - Accent1 9 2" xfId="420" xr:uid="{00000000-0005-0000-0000-000017010000}"/>
    <cellStyle name="40% - Accent2 10" xfId="421" xr:uid="{00000000-0005-0000-0000-000018010000}"/>
    <cellStyle name="40% - Accent2 10 2" xfId="422" xr:uid="{00000000-0005-0000-0000-000019010000}"/>
    <cellStyle name="40% - Accent2 11" xfId="423" xr:uid="{00000000-0005-0000-0000-00001A010000}"/>
    <cellStyle name="40% - Accent2 11 2" xfId="424" xr:uid="{00000000-0005-0000-0000-00001B010000}"/>
    <cellStyle name="40% - Accent2 12" xfId="425" xr:uid="{00000000-0005-0000-0000-00001C010000}"/>
    <cellStyle name="40% - Accent2 12 2" xfId="426" xr:uid="{00000000-0005-0000-0000-00001D010000}"/>
    <cellStyle name="40% - Accent2 13" xfId="427" xr:uid="{00000000-0005-0000-0000-00001E010000}"/>
    <cellStyle name="40% - Accent2 13 2" xfId="428" xr:uid="{00000000-0005-0000-0000-00001F010000}"/>
    <cellStyle name="40% - Accent2 14" xfId="429" xr:uid="{00000000-0005-0000-0000-000020010000}"/>
    <cellStyle name="40% - Accent2 14 2" xfId="430" xr:uid="{00000000-0005-0000-0000-000021010000}"/>
    <cellStyle name="40% - Accent2 15" xfId="431" xr:uid="{00000000-0005-0000-0000-000022010000}"/>
    <cellStyle name="40% - Accent2 15 2" xfId="432" xr:uid="{00000000-0005-0000-0000-000023010000}"/>
    <cellStyle name="40% - Accent2 16" xfId="433" xr:uid="{00000000-0005-0000-0000-000024010000}"/>
    <cellStyle name="40% - Accent2 16 2" xfId="434" xr:uid="{00000000-0005-0000-0000-000025010000}"/>
    <cellStyle name="40% - Accent2 17" xfId="435" xr:uid="{00000000-0005-0000-0000-000026010000}"/>
    <cellStyle name="40% - Accent2 17 2" xfId="436" xr:uid="{00000000-0005-0000-0000-000027010000}"/>
    <cellStyle name="40% - Accent2 18" xfId="437" xr:uid="{00000000-0005-0000-0000-000028010000}"/>
    <cellStyle name="40% - Accent2 18 2" xfId="438" xr:uid="{00000000-0005-0000-0000-000029010000}"/>
    <cellStyle name="40% - Accent2 19" xfId="439" xr:uid="{00000000-0005-0000-0000-00002A010000}"/>
    <cellStyle name="40% - Accent2 19 2" xfId="440" xr:uid="{00000000-0005-0000-0000-00002B010000}"/>
    <cellStyle name="40% - Accent2 2" xfId="441" xr:uid="{00000000-0005-0000-0000-00002C010000}"/>
    <cellStyle name="40% - Accent2 2 2" xfId="442" xr:uid="{00000000-0005-0000-0000-00002D010000}"/>
    <cellStyle name="40% - Accent2 20" xfId="443" xr:uid="{00000000-0005-0000-0000-00002E010000}"/>
    <cellStyle name="40% - Accent2 20 2" xfId="444" xr:uid="{00000000-0005-0000-0000-00002F010000}"/>
    <cellStyle name="40% - Accent2 21" xfId="445" xr:uid="{00000000-0005-0000-0000-000030010000}"/>
    <cellStyle name="40% - Accent2 21 2" xfId="446" xr:uid="{00000000-0005-0000-0000-000031010000}"/>
    <cellStyle name="40% - Accent2 3" xfId="447" xr:uid="{00000000-0005-0000-0000-000032010000}"/>
    <cellStyle name="40% - Accent2 3 2" xfId="448" xr:uid="{00000000-0005-0000-0000-000033010000}"/>
    <cellStyle name="40% - Accent2 4" xfId="449" xr:uid="{00000000-0005-0000-0000-000034010000}"/>
    <cellStyle name="40% - Accent2 4 2" xfId="450" xr:uid="{00000000-0005-0000-0000-000035010000}"/>
    <cellStyle name="40% - Accent2 5" xfId="451" xr:uid="{00000000-0005-0000-0000-000036010000}"/>
    <cellStyle name="40% - Accent2 5 2" xfId="452" xr:uid="{00000000-0005-0000-0000-000037010000}"/>
    <cellStyle name="40% - Accent2 6" xfId="453" xr:uid="{00000000-0005-0000-0000-000038010000}"/>
    <cellStyle name="40% - Accent2 6 2" xfId="454" xr:uid="{00000000-0005-0000-0000-000039010000}"/>
    <cellStyle name="40% - Accent2 7" xfId="455" xr:uid="{00000000-0005-0000-0000-00003A010000}"/>
    <cellStyle name="40% - Accent2 7 2" xfId="456" xr:uid="{00000000-0005-0000-0000-00003B010000}"/>
    <cellStyle name="40% - Accent2 8" xfId="457" xr:uid="{00000000-0005-0000-0000-00003C010000}"/>
    <cellStyle name="40% - Accent2 8 2" xfId="458" xr:uid="{00000000-0005-0000-0000-00003D010000}"/>
    <cellStyle name="40% - Accent2 9" xfId="459" xr:uid="{00000000-0005-0000-0000-00003E010000}"/>
    <cellStyle name="40% - Accent2 9 2" xfId="460" xr:uid="{00000000-0005-0000-0000-00003F010000}"/>
    <cellStyle name="40% - Accent3 10" xfId="461" xr:uid="{00000000-0005-0000-0000-000040010000}"/>
    <cellStyle name="40% - Accent3 10 2" xfId="462" xr:uid="{00000000-0005-0000-0000-000041010000}"/>
    <cellStyle name="40% - Accent3 11" xfId="463" xr:uid="{00000000-0005-0000-0000-000042010000}"/>
    <cellStyle name="40% - Accent3 11 2" xfId="464" xr:uid="{00000000-0005-0000-0000-000043010000}"/>
    <cellStyle name="40% - Accent3 12" xfId="465" xr:uid="{00000000-0005-0000-0000-000044010000}"/>
    <cellStyle name="40% - Accent3 12 2" xfId="466" xr:uid="{00000000-0005-0000-0000-000045010000}"/>
    <cellStyle name="40% - Accent3 13" xfId="467" xr:uid="{00000000-0005-0000-0000-000046010000}"/>
    <cellStyle name="40% - Accent3 13 2" xfId="468" xr:uid="{00000000-0005-0000-0000-000047010000}"/>
    <cellStyle name="40% - Accent3 14" xfId="469" xr:uid="{00000000-0005-0000-0000-000048010000}"/>
    <cellStyle name="40% - Accent3 14 2" xfId="470" xr:uid="{00000000-0005-0000-0000-000049010000}"/>
    <cellStyle name="40% - Accent3 15" xfId="471" xr:uid="{00000000-0005-0000-0000-00004A010000}"/>
    <cellStyle name="40% - Accent3 15 2" xfId="472" xr:uid="{00000000-0005-0000-0000-00004B010000}"/>
    <cellStyle name="40% - Accent3 16" xfId="473" xr:uid="{00000000-0005-0000-0000-00004C010000}"/>
    <cellStyle name="40% - Accent3 16 2" xfId="474" xr:uid="{00000000-0005-0000-0000-00004D010000}"/>
    <cellStyle name="40% - Accent3 17" xfId="475" xr:uid="{00000000-0005-0000-0000-00004E010000}"/>
    <cellStyle name="40% - Accent3 17 2" xfId="476" xr:uid="{00000000-0005-0000-0000-00004F010000}"/>
    <cellStyle name="40% - Accent3 18" xfId="477" xr:uid="{00000000-0005-0000-0000-000050010000}"/>
    <cellStyle name="40% - Accent3 18 2" xfId="478" xr:uid="{00000000-0005-0000-0000-000051010000}"/>
    <cellStyle name="40% - Accent3 19" xfId="479" xr:uid="{00000000-0005-0000-0000-000052010000}"/>
    <cellStyle name="40% - Accent3 19 2" xfId="480" xr:uid="{00000000-0005-0000-0000-000053010000}"/>
    <cellStyle name="40% - Accent3 2" xfId="481" xr:uid="{00000000-0005-0000-0000-000054010000}"/>
    <cellStyle name="40% - Accent3 2 2" xfId="482" xr:uid="{00000000-0005-0000-0000-000055010000}"/>
    <cellStyle name="40% - Accent3 20" xfId="483" xr:uid="{00000000-0005-0000-0000-000056010000}"/>
    <cellStyle name="40% - Accent3 20 2" xfId="484" xr:uid="{00000000-0005-0000-0000-000057010000}"/>
    <cellStyle name="40% - Accent3 21" xfId="485" xr:uid="{00000000-0005-0000-0000-000058010000}"/>
    <cellStyle name="40% - Accent3 21 2" xfId="486" xr:uid="{00000000-0005-0000-0000-000059010000}"/>
    <cellStyle name="40% - Accent3 3" xfId="487" xr:uid="{00000000-0005-0000-0000-00005A010000}"/>
    <cellStyle name="40% - Accent3 3 2" xfId="488" xr:uid="{00000000-0005-0000-0000-00005B010000}"/>
    <cellStyle name="40% - Accent3 4" xfId="489" xr:uid="{00000000-0005-0000-0000-00005C010000}"/>
    <cellStyle name="40% - Accent3 4 2" xfId="490" xr:uid="{00000000-0005-0000-0000-00005D010000}"/>
    <cellStyle name="40% - Accent3 5" xfId="491" xr:uid="{00000000-0005-0000-0000-00005E010000}"/>
    <cellStyle name="40% - Accent3 5 2" xfId="492" xr:uid="{00000000-0005-0000-0000-00005F010000}"/>
    <cellStyle name="40% - Accent3 6" xfId="493" xr:uid="{00000000-0005-0000-0000-000060010000}"/>
    <cellStyle name="40% - Accent3 6 2" xfId="494" xr:uid="{00000000-0005-0000-0000-000061010000}"/>
    <cellStyle name="40% - Accent3 7" xfId="495" xr:uid="{00000000-0005-0000-0000-000062010000}"/>
    <cellStyle name="40% - Accent3 7 2" xfId="496" xr:uid="{00000000-0005-0000-0000-000063010000}"/>
    <cellStyle name="40% - Accent3 8" xfId="497" xr:uid="{00000000-0005-0000-0000-000064010000}"/>
    <cellStyle name="40% - Accent3 8 2" xfId="498" xr:uid="{00000000-0005-0000-0000-000065010000}"/>
    <cellStyle name="40% - Accent3 9" xfId="499" xr:uid="{00000000-0005-0000-0000-000066010000}"/>
    <cellStyle name="40% - Accent3 9 2" xfId="500" xr:uid="{00000000-0005-0000-0000-000067010000}"/>
    <cellStyle name="40% - Accent4 10" xfId="501" xr:uid="{00000000-0005-0000-0000-000068010000}"/>
    <cellStyle name="40% - Accent4 10 2" xfId="502" xr:uid="{00000000-0005-0000-0000-000069010000}"/>
    <cellStyle name="40% - Accent4 11" xfId="503" xr:uid="{00000000-0005-0000-0000-00006A010000}"/>
    <cellStyle name="40% - Accent4 11 2" xfId="504" xr:uid="{00000000-0005-0000-0000-00006B010000}"/>
    <cellStyle name="40% - Accent4 12" xfId="505" xr:uid="{00000000-0005-0000-0000-00006C010000}"/>
    <cellStyle name="40% - Accent4 12 2" xfId="506" xr:uid="{00000000-0005-0000-0000-00006D010000}"/>
    <cellStyle name="40% - Accent4 13" xfId="507" xr:uid="{00000000-0005-0000-0000-00006E010000}"/>
    <cellStyle name="40% - Accent4 13 2" xfId="508" xr:uid="{00000000-0005-0000-0000-00006F010000}"/>
    <cellStyle name="40% - Accent4 14" xfId="509" xr:uid="{00000000-0005-0000-0000-000070010000}"/>
    <cellStyle name="40% - Accent4 14 2" xfId="510" xr:uid="{00000000-0005-0000-0000-000071010000}"/>
    <cellStyle name="40% - Accent4 15" xfId="511" xr:uid="{00000000-0005-0000-0000-000072010000}"/>
    <cellStyle name="40% - Accent4 15 2" xfId="512" xr:uid="{00000000-0005-0000-0000-000073010000}"/>
    <cellStyle name="40% - Accent4 16" xfId="513" xr:uid="{00000000-0005-0000-0000-000074010000}"/>
    <cellStyle name="40% - Accent4 16 2" xfId="514" xr:uid="{00000000-0005-0000-0000-000075010000}"/>
    <cellStyle name="40% - Accent4 17" xfId="515" xr:uid="{00000000-0005-0000-0000-000076010000}"/>
    <cellStyle name="40% - Accent4 17 2" xfId="516" xr:uid="{00000000-0005-0000-0000-000077010000}"/>
    <cellStyle name="40% - Accent4 18" xfId="517" xr:uid="{00000000-0005-0000-0000-000078010000}"/>
    <cellStyle name="40% - Accent4 18 2" xfId="518" xr:uid="{00000000-0005-0000-0000-000079010000}"/>
    <cellStyle name="40% - Accent4 19" xfId="519" xr:uid="{00000000-0005-0000-0000-00007A010000}"/>
    <cellStyle name="40% - Accent4 19 2" xfId="520" xr:uid="{00000000-0005-0000-0000-00007B010000}"/>
    <cellStyle name="40% - Accent4 2" xfId="521" xr:uid="{00000000-0005-0000-0000-00007C010000}"/>
    <cellStyle name="40% - Accent4 2 2" xfId="522" xr:uid="{00000000-0005-0000-0000-00007D010000}"/>
    <cellStyle name="40% - Accent4 20" xfId="523" xr:uid="{00000000-0005-0000-0000-00007E010000}"/>
    <cellStyle name="40% - Accent4 20 2" xfId="524" xr:uid="{00000000-0005-0000-0000-00007F010000}"/>
    <cellStyle name="40% - Accent4 21" xfId="525" xr:uid="{00000000-0005-0000-0000-000080010000}"/>
    <cellStyle name="40% - Accent4 21 2" xfId="526" xr:uid="{00000000-0005-0000-0000-000081010000}"/>
    <cellStyle name="40% - Accent4 3" xfId="527" xr:uid="{00000000-0005-0000-0000-000082010000}"/>
    <cellStyle name="40% - Accent4 3 2" xfId="528" xr:uid="{00000000-0005-0000-0000-000083010000}"/>
    <cellStyle name="40% - Accent4 4" xfId="529" xr:uid="{00000000-0005-0000-0000-000084010000}"/>
    <cellStyle name="40% - Accent4 4 2" xfId="530" xr:uid="{00000000-0005-0000-0000-000085010000}"/>
    <cellStyle name="40% - Accent4 5" xfId="531" xr:uid="{00000000-0005-0000-0000-000086010000}"/>
    <cellStyle name="40% - Accent4 5 2" xfId="532" xr:uid="{00000000-0005-0000-0000-000087010000}"/>
    <cellStyle name="40% - Accent4 6" xfId="533" xr:uid="{00000000-0005-0000-0000-000088010000}"/>
    <cellStyle name="40% - Accent4 6 2" xfId="534" xr:uid="{00000000-0005-0000-0000-000089010000}"/>
    <cellStyle name="40% - Accent4 7" xfId="535" xr:uid="{00000000-0005-0000-0000-00008A010000}"/>
    <cellStyle name="40% - Accent4 7 2" xfId="536" xr:uid="{00000000-0005-0000-0000-00008B010000}"/>
    <cellStyle name="40% - Accent4 8" xfId="537" xr:uid="{00000000-0005-0000-0000-00008C010000}"/>
    <cellStyle name="40% - Accent4 8 2" xfId="538" xr:uid="{00000000-0005-0000-0000-00008D010000}"/>
    <cellStyle name="40% - Accent4 9" xfId="539" xr:uid="{00000000-0005-0000-0000-00008E010000}"/>
    <cellStyle name="40% - Accent4 9 2" xfId="540" xr:uid="{00000000-0005-0000-0000-00008F010000}"/>
    <cellStyle name="40% - Accent5 10" xfId="541" xr:uid="{00000000-0005-0000-0000-000090010000}"/>
    <cellStyle name="40% - Accent5 10 2" xfId="542" xr:uid="{00000000-0005-0000-0000-000091010000}"/>
    <cellStyle name="40% - Accent5 11" xfId="543" xr:uid="{00000000-0005-0000-0000-000092010000}"/>
    <cellStyle name="40% - Accent5 11 2" xfId="544" xr:uid="{00000000-0005-0000-0000-000093010000}"/>
    <cellStyle name="40% - Accent5 12" xfId="545" xr:uid="{00000000-0005-0000-0000-000094010000}"/>
    <cellStyle name="40% - Accent5 12 2" xfId="546" xr:uid="{00000000-0005-0000-0000-000095010000}"/>
    <cellStyle name="40% - Accent5 13" xfId="547" xr:uid="{00000000-0005-0000-0000-000096010000}"/>
    <cellStyle name="40% - Accent5 13 2" xfId="548" xr:uid="{00000000-0005-0000-0000-000097010000}"/>
    <cellStyle name="40% - Accent5 14" xfId="549" xr:uid="{00000000-0005-0000-0000-000098010000}"/>
    <cellStyle name="40% - Accent5 14 2" xfId="550" xr:uid="{00000000-0005-0000-0000-000099010000}"/>
    <cellStyle name="40% - Accent5 15" xfId="551" xr:uid="{00000000-0005-0000-0000-00009A010000}"/>
    <cellStyle name="40% - Accent5 15 2" xfId="552" xr:uid="{00000000-0005-0000-0000-00009B010000}"/>
    <cellStyle name="40% - Accent5 16" xfId="553" xr:uid="{00000000-0005-0000-0000-00009C010000}"/>
    <cellStyle name="40% - Accent5 16 2" xfId="554" xr:uid="{00000000-0005-0000-0000-00009D010000}"/>
    <cellStyle name="40% - Accent5 17" xfId="555" xr:uid="{00000000-0005-0000-0000-00009E010000}"/>
    <cellStyle name="40% - Accent5 17 2" xfId="556" xr:uid="{00000000-0005-0000-0000-00009F010000}"/>
    <cellStyle name="40% - Accent5 18" xfId="557" xr:uid="{00000000-0005-0000-0000-0000A0010000}"/>
    <cellStyle name="40% - Accent5 18 2" xfId="558" xr:uid="{00000000-0005-0000-0000-0000A1010000}"/>
    <cellStyle name="40% - Accent5 19" xfId="559" xr:uid="{00000000-0005-0000-0000-0000A2010000}"/>
    <cellStyle name="40% - Accent5 19 2" xfId="560" xr:uid="{00000000-0005-0000-0000-0000A3010000}"/>
    <cellStyle name="40% - Accent5 2" xfId="561" xr:uid="{00000000-0005-0000-0000-0000A4010000}"/>
    <cellStyle name="40% - Accent5 2 2" xfId="562" xr:uid="{00000000-0005-0000-0000-0000A5010000}"/>
    <cellStyle name="40% - Accent5 20" xfId="563" xr:uid="{00000000-0005-0000-0000-0000A6010000}"/>
    <cellStyle name="40% - Accent5 20 2" xfId="564" xr:uid="{00000000-0005-0000-0000-0000A7010000}"/>
    <cellStyle name="40% - Accent5 21" xfId="565" xr:uid="{00000000-0005-0000-0000-0000A8010000}"/>
    <cellStyle name="40% - Accent5 21 2" xfId="566" xr:uid="{00000000-0005-0000-0000-0000A9010000}"/>
    <cellStyle name="40% - Accent5 3" xfId="567" xr:uid="{00000000-0005-0000-0000-0000AA010000}"/>
    <cellStyle name="40% - Accent5 3 2" xfId="568" xr:uid="{00000000-0005-0000-0000-0000AB010000}"/>
    <cellStyle name="40% - Accent5 4" xfId="569" xr:uid="{00000000-0005-0000-0000-0000AC010000}"/>
    <cellStyle name="40% - Accent5 4 2" xfId="570" xr:uid="{00000000-0005-0000-0000-0000AD010000}"/>
    <cellStyle name="40% - Accent5 5" xfId="571" xr:uid="{00000000-0005-0000-0000-0000AE010000}"/>
    <cellStyle name="40% - Accent5 5 2" xfId="572" xr:uid="{00000000-0005-0000-0000-0000AF010000}"/>
    <cellStyle name="40% - Accent5 6" xfId="573" xr:uid="{00000000-0005-0000-0000-0000B0010000}"/>
    <cellStyle name="40% - Accent5 6 2" xfId="574" xr:uid="{00000000-0005-0000-0000-0000B1010000}"/>
    <cellStyle name="40% - Accent5 7" xfId="575" xr:uid="{00000000-0005-0000-0000-0000B2010000}"/>
    <cellStyle name="40% - Accent5 7 2" xfId="576" xr:uid="{00000000-0005-0000-0000-0000B3010000}"/>
    <cellStyle name="40% - Accent5 8" xfId="577" xr:uid="{00000000-0005-0000-0000-0000B4010000}"/>
    <cellStyle name="40% - Accent5 8 2" xfId="578" xr:uid="{00000000-0005-0000-0000-0000B5010000}"/>
    <cellStyle name="40% - Accent5 9" xfId="579" xr:uid="{00000000-0005-0000-0000-0000B6010000}"/>
    <cellStyle name="40% - Accent5 9 2" xfId="580" xr:uid="{00000000-0005-0000-0000-0000B7010000}"/>
    <cellStyle name="40% - Accent6 10" xfId="581" xr:uid="{00000000-0005-0000-0000-0000B8010000}"/>
    <cellStyle name="40% - Accent6 10 2" xfId="582" xr:uid="{00000000-0005-0000-0000-0000B9010000}"/>
    <cellStyle name="40% - Accent6 11" xfId="583" xr:uid="{00000000-0005-0000-0000-0000BA010000}"/>
    <cellStyle name="40% - Accent6 11 2" xfId="584" xr:uid="{00000000-0005-0000-0000-0000BB010000}"/>
    <cellStyle name="40% - Accent6 12" xfId="585" xr:uid="{00000000-0005-0000-0000-0000BC010000}"/>
    <cellStyle name="40% - Accent6 12 2" xfId="586" xr:uid="{00000000-0005-0000-0000-0000BD010000}"/>
    <cellStyle name="40% - Accent6 13" xfId="587" xr:uid="{00000000-0005-0000-0000-0000BE010000}"/>
    <cellStyle name="40% - Accent6 13 2" xfId="588" xr:uid="{00000000-0005-0000-0000-0000BF010000}"/>
    <cellStyle name="40% - Accent6 14" xfId="589" xr:uid="{00000000-0005-0000-0000-0000C0010000}"/>
    <cellStyle name="40% - Accent6 14 2" xfId="590" xr:uid="{00000000-0005-0000-0000-0000C1010000}"/>
    <cellStyle name="40% - Accent6 15" xfId="591" xr:uid="{00000000-0005-0000-0000-0000C2010000}"/>
    <cellStyle name="40% - Accent6 15 2" xfId="592" xr:uid="{00000000-0005-0000-0000-0000C3010000}"/>
    <cellStyle name="40% - Accent6 16" xfId="593" xr:uid="{00000000-0005-0000-0000-0000C4010000}"/>
    <cellStyle name="40% - Accent6 16 2" xfId="594" xr:uid="{00000000-0005-0000-0000-0000C5010000}"/>
    <cellStyle name="40% - Accent6 17" xfId="595" xr:uid="{00000000-0005-0000-0000-0000C6010000}"/>
    <cellStyle name="40% - Accent6 17 2" xfId="596" xr:uid="{00000000-0005-0000-0000-0000C7010000}"/>
    <cellStyle name="40% - Accent6 18" xfId="597" xr:uid="{00000000-0005-0000-0000-0000C8010000}"/>
    <cellStyle name="40% - Accent6 18 2" xfId="598" xr:uid="{00000000-0005-0000-0000-0000C9010000}"/>
    <cellStyle name="40% - Accent6 19" xfId="599" xr:uid="{00000000-0005-0000-0000-0000CA010000}"/>
    <cellStyle name="40% - Accent6 19 2" xfId="600" xr:uid="{00000000-0005-0000-0000-0000CB010000}"/>
    <cellStyle name="40% - Accent6 2" xfId="601" xr:uid="{00000000-0005-0000-0000-0000CC010000}"/>
    <cellStyle name="40% - Accent6 2 2" xfId="602" xr:uid="{00000000-0005-0000-0000-0000CD010000}"/>
    <cellStyle name="40% - Accent6 20" xfId="603" xr:uid="{00000000-0005-0000-0000-0000CE010000}"/>
    <cellStyle name="40% - Accent6 20 2" xfId="604" xr:uid="{00000000-0005-0000-0000-0000CF010000}"/>
    <cellStyle name="40% - Accent6 21" xfId="605" xr:uid="{00000000-0005-0000-0000-0000D0010000}"/>
    <cellStyle name="40% - Accent6 21 2" xfId="606" xr:uid="{00000000-0005-0000-0000-0000D1010000}"/>
    <cellStyle name="40% - Accent6 3" xfId="607" xr:uid="{00000000-0005-0000-0000-0000D2010000}"/>
    <cellStyle name="40% - Accent6 3 2" xfId="608" xr:uid="{00000000-0005-0000-0000-0000D3010000}"/>
    <cellStyle name="40% - Accent6 4" xfId="609" xr:uid="{00000000-0005-0000-0000-0000D4010000}"/>
    <cellStyle name="40% - Accent6 4 2" xfId="610" xr:uid="{00000000-0005-0000-0000-0000D5010000}"/>
    <cellStyle name="40% - Accent6 5" xfId="611" xr:uid="{00000000-0005-0000-0000-0000D6010000}"/>
    <cellStyle name="40% - Accent6 5 2" xfId="612" xr:uid="{00000000-0005-0000-0000-0000D7010000}"/>
    <cellStyle name="40% - Accent6 6" xfId="613" xr:uid="{00000000-0005-0000-0000-0000D8010000}"/>
    <cellStyle name="40% - Accent6 6 2" xfId="614" xr:uid="{00000000-0005-0000-0000-0000D9010000}"/>
    <cellStyle name="40% - Accent6 7" xfId="615" xr:uid="{00000000-0005-0000-0000-0000DA010000}"/>
    <cellStyle name="40% - Accent6 7 2" xfId="616" xr:uid="{00000000-0005-0000-0000-0000DB010000}"/>
    <cellStyle name="40% - Accent6 8" xfId="617" xr:uid="{00000000-0005-0000-0000-0000DC010000}"/>
    <cellStyle name="40% - Accent6 8 2" xfId="618" xr:uid="{00000000-0005-0000-0000-0000DD010000}"/>
    <cellStyle name="40% - Accent6 9" xfId="619" xr:uid="{00000000-0005-0000-0000-0000DE010000}"/>
    <cellStyle name="40% - Accent6 9 2" xfId="620" xr:uid="{00000000-0005-0000-0000-0000DF010000}"/>
    <cellStyle name="60% - Accent1 2" xfId="621" xr:uid="{00000000-0005-0000-0000-0000E0010000}"/>
    <cellStyle name="60% - Accent2 2" xfId="622" xr:uid="{00000000-0005-0000-0000-0000E1010000}"/>
    <cellStyle name="60% - Accent3 2" xfId="623" xr:uid="{00000000-0005-0000-0000-0000E2010000}"/>
    <cellStyle name="60% - Accent4 2" xfId="624" xr:uid="{00000000-0005-0000-0000-0000E3010000}"/>
    <cellStyle name="60% - Accent5 2" xfId="625" xr:uid="{00000000-0005-0000-0000-0000E4010000}"/>
    <cellStyle name="60% - Accent6 2" xfId="626" xr:uid="{00000000-0005-0000-0000-0000E5010000}"/>
    <cellStyle name="Accent1 2" xfId="627" xr:uid="{00000000-0005-0000-0000-0000E6010000}"/>
    <cellStyle name="Accent2 2" xfId="628" xr:uid="{00000000-0005-0000-0000-0000E7010000}"/>
    <cellStyle name="Accent3 2" xfId="629" xr:uid="{00000000-0005-0000-0000-0000E8010000}"/>
    <cellStyle name="Accent4 2" xfId="630" xr:uid="{00000000-0005-0000-0000-0000E9010000}"/>
    <cellStyle name="Accent5 2" xfId="631" xr:uid="{00000000-0005-0000-0000-0000EA010000}"/>
    <cellStyle name="Accent6 2" xfId="632" xr:uid="{00000000-0005-0000-0000-0000EB010000}"/>
    <cellStyle name="Bad 2" xfId="633" xr:uid="{00000000-0005-0000-0000-0000EC010000}"/>
    <cellStyle name="Calculation 2" xfId="634" xr:uid="{00000000-0005-0000-0000-0000ED010000}"/>
    <cellStyle name="Check Cell 2" xfId="635" xr:uid="{00000000-0005-0000-0000-0000EE010000}"/>
    <cellStyle name="Comma" xfId="9" builtinId="3"/>
    <cellStyle name="Comma [0]" xfId="1" builtinId="6"/>
    <cellStyle name="Comma [0] 10" xfId="785" xr:uid="{00000000-0005-0000-0000-0000F1010000}"/>
    <cellStyle name="Comma [0] 10 2" xfId="1021" xr:uid="{00000000-0005-0000-0000-0000F2010000}"/>
    <cellStyle name="Comma [0] 11" xfId="860" xr:uid="{00000000-0005-0000-0000-0000F3010000}"/>
    <cellStyle name="Comma [0] 2" xfId="4" xr:uid="{00000000-0005-0000-0000-0000F4010000}"/>
    <cellStyle name="Comma [0] 2 2" xfId="42" xr:uid="{00000000-0005-0000-0000-0000F5010000}"/>
    <cellStyle name="Comma [0] 2 2 2" xfId="57" xr:uid="{00000000-0005-0000-0000-0000F6010000}"/>
    <cellStyle name="Comma [0] 2 2 2 2" xfId="776" xr:uid="{00000000-0005-0000-0000-0000F7010000}"/>
    <cellStyle name="Comma [0] 2 2 2 2 2" xfId="1012" xr:uid="{00000000-0005-0000-0000-0000F8010000}"/>
    <cellStyle name="Comma [0] 2 2 2 3" xfId="852" xr:uid="{00000000-0005-0000-0000-0000F9010000}"/>
    <cellStyle name="Comma [0] 2 2 2 3 2" xfId="1083" xr:uid="{00000000-0005-0000-0000-0000FA010000}"/>
    <cellStyle name="Comma [0] 2 2 2 4" xfId="898" xr:uid="{00000000-0005-0000-0000-0000FB010000}"/>
    <cellStyle name="Comma [0] 2 2 3" xfId="111" xr:uid="{00000000-0005-0000-0000-0000FC010000}"/>
    <cellStyle name="Comma [0] 2 2 3 2" xfId="947" xr:uid="{00000000-0005-0000-0000-0000FD010000}"/>
    <cellStyle name="Comma [0] 2 2 4" xfId="637" xr:uid="{00000000-0005-0000-0000-0000FE010000}"/>
    <cellStyle name="Comma [0] 2 2 4 2" xfId="978" xr:uid="{00000000-0005-0000-0000-0000FF010000}"/>
    <cellStyle name="Comma [0] 2 2 5" xfId="790" xr:uid="{00000000-0005-0000-0000-000000020000}"/>
    <cellStyle name="Comma [0] 2 2 5 2" xfId="1023" xr:uid="{00000000-0005-0000-0000-000001020000}"/>
    <cellStyle name="Comma [0] 2 2 6" xfId="823" xr:uid="{00000000-0005-0000-0000-000002020000}"/>
    <cellStyle name="Comma [0] 2 2 6 2" xfId="1054" xr:uid="{00000000-0005-0000-0000-000003020000}"/>
    <cellStyle name="Comma [0] 2 2 7" xfId="887" xr:uid="{00000000-0005-0000-0000-000004020000}"/>
    <cellStyle name="Comma [0] 2 3" xfId="38" xr:uid="{00000000-0005-0000-0000-000005020000}"/>
    <cellStyle name="Comma [0] 2 3 2" xfId="778" xr:uid="{00000000-0005-0000-0000-000006020000}"/>
    <cellStyle name="Comma [0] 2 3 2 2" xfId="854" xr:uid="{00000000-0005-0000-0000-000007020000}"/>
    <cellStyle name="Comma [0] 2 3 2 2 2" xfId="1085" xr:uid="{00000000-0005-0000-0000-000008020000}"/>
    <cellStyle name="Comma [0] 2 3 2 3" xfId="1014" xr:uid="{00000000-0005-0000-0000-000009020000}"/>
    <cellStyle name="Comma [0] 2 3 3" xfId="777" xr:uid="{00000000-0005-0000-0000-00000A020000}"/>
    <cellStyle name="Comma [0] 2 3 3 2" xfId="1013" xr:uid="{00000000-0005-0000-0000-00000B020000}"/>
    <cellStyle name="Comma [0] 2 3 4" xfId="853" xr:uid="{00000000-0005-0000-0000-00000C020000}"/>
    <cellStyle name="Comma [0] 2 3 4 2" xfId="1084" xr:uid="{00000000-0005-0000-0000-00000D020000}"/>
    <cellStyle name="Comma [0] 2 3 5" xfId="883" xr:uid="{00000000-0005-0000-0000-00000E020000}"/>
    <cellStyle name="Comma [0] 2 4" xfId="17" xr:uid="{00000000-0005-0000-0000-00000F020000}"/>
    <cellStyle name="Comma [0] 2 4 2" xfId="919" xr:uid="{00000000-0005-0000-0000-000010020000}"/>
    <cellStyle name="Comma [0] 2 4 3" xfId="79" xr:uid="{00000000-0005-0000-0000-000011020000}"/>
    <cellStyle name="Comma [0] 2 5" xfId="636" xr:uid="{00000000-0005-0000-0000-000012020000}"/>
    <cellStyle name="Comma [0] 2 5 2" xfId="977" xr:uid="{00000000-0005-0000-0000-000013020000}"/>
    <cellStyle name="Comma [0] 2 6" xfId="865" xr:uid="{00000000-0005-0000-0000-000014020000}"/>
    <cellStyle name="Comma [0] 3" xfId="5" xr:uid="{00000000-0005-0000-0000-000015020000}"/>
    <cellStyle name="Comma [0] 3 10" xfId="29" xr:uid="{00000000-0005-0000-0000-000016020000}"/>
    <cellStyle name="Comma [0] 3 11" xfId="1091" xr:uid="{00000000-0005-0000-0000-000017020000}"/>
    <cellStyle name="Comma [0] 3 2" xfId="8" xr:uid="{00000000-0005-0000-0000-000018020000}"/>
    <cellStyle name="Comma [0] 3 2 2" xfId="109" xr:uid="{00000000-0005-0000-0000-000019020000}"/>
    <cellStyle name="Comma [0] 3 2 2 2" xfId="945" xr:uid="{00000000-0005-0000-0000-00001A020000}"/>
    <cellStyle name="Comma [0] 3 2 3" xfId="774" xr:uid="{00000000-0005-0000-0000-00001B020000}"/>
    <cellStyle name="Comma [0] 3 2 3 2" xfId="1010" xr:uid="{00000000-0005-0000-0000-00001C020000}"/>
    <cellStyle name="Comma [0] 3 2 4" xfId="850" xr:uid="{00000000-0005-0000-0000-00001D020000}"/>
    <cellStyle name="Comma [0] 3 2 4 2" xfId="1081" xr:uid="{00000000-0005-0000-0000-00001E020000}"/>
    <cellStyle name="Comma [0] 3 2 5" xfId="881" xr:uid="{00000000-0005-0000-0000-00001F020000}"/>
    <cellStyle name="Comma [0] 3 2 6" xfId="35" xr:uid="{00000000-0005-0000-0000-000020020000}"/>
    <cellStyle name="Comma [0] 3 2 7" xfId="1092" xr:uid="{00000000-0005-0000-0000-000021020000}"/>
    <cellStyle name="Comma [0] 3 3" xfId="14" xr:uid="{00000000-0005-0000-0000-000022020000}"/>
    <cellStyle name="Comma [0] 3 3 2" xfId="129" xr:uid="{00000000-0005-0000-0000-000023020000}"/>
    <cellStyle name="Comma [0] 3 3 2 2" xfId="965" xr:uid="{00000000-0005-0000-0000-000024020000}"/>
    <cellStyle name="Comma [0] 3 3 3" xfId="911" xr:uid="{00000000-0005-0000-0000-000025020000}"/>
    <cellStyle name="Comma [0] 3 3 4" xfId="71" xr:uid="{00000000-0005-0000-0000-000026020000}"/>
    <cellStyle name="Comma [0] 3 4" xfId="104" xr:uid="{00000000-0005-0000-0000-000027020000}"/>
    <cellStyle name="Comma [0] 3 4 2" xfId="940" xr:uid="{00000000-0005-0000-0000-000028020000}"/>
    <cellStyle name="Comma [0] 3 5" xfId="638" xr:uid="{00000000-0005-0000-0000-000029020000}"/>
    <cellStyle name="Comma [0] 3 5 2" xfId="979" xr:uid="{00000000-0005-0000-0000-00002A020000}"/>
    <cellStyle name="Comma [0] 3 6" xfId="791" xr:uid="{00000000-0005-0000-0000-00002B020000}"/>
    <cellStyle name="Comma [0] 3 6 2" xfId="1024" xr:uid="{00000000-0005-0000-0000-00002C020000}"/>
    <cellStyle name="Comma [0] 3 7" xfId="824" xr:uid="{00000000-0005-0000-0000-00002D020000}"/>
    <cellStyle name="Comma [0] 3 7 2" xfId="1055" xr:uid="{00000000-0005-0000-0000-00002E020000}"/>
    <cellStyle name="Comma [0] 3 8" xfId="875" xr:uid="{00000000-0005-0000-0000-00002F020000}"/>
    <cellStyle name="Comma [0] 3 9" xfId="863" xr:uid="{00000000-0005-0000-0000-000030020000}"/>
    <cellStyle name="Comma [0] 4" xfId="19" xr:uid="{00000000-0005-0000-0000-000031020000}"/>
    <cellStyle name="Comma [0] 4 2" xfId="640" xr:uid="{00000000-0005-0000-0000-000032020000}"/>
    <cellStyle name="Comma [0] 4 2 2" xfId="981" xr:uid="{00000000-0005-0000-0000-000033020000}"/>
    <cellStyle name="Comma [0] 4 3" xfId="639" xr:uid="{00000000-0005-0000-0000-000034020000}"/>
    <cellStyle name="Comma [0] 4 3 2" xfId="980" xr:uid="{00000000-0005-0000-0000-000035020000}"/>
    <cellStyle name="Comma [0] 4 4" xfId="867" xr:uid="{00000000-0005-0000-0000-000036020000}"/>
    <cellStyle name="Comma [0] 5" xfId="32" xr:uid="{00000000-0005-0000-0000-000037020000}"/>
    <cellStyle name="Comma [0] 5 2" xfId="74" xr:uid="{00000000-0005-0000-0000-000038020000}"/>
    <cellStyle name="Comma [0] 5 2 2" xfId="132" xr:uid="{00000000-0005-0000-0000-000039020000}"/>
    <cellStyle name="Comma [0] 5 2 2 2" xfId="968" xr:uid="{00000000-0005-0000-0000-00003A020000}"/>
    <cellStyle name="Comma [0] 5 2 3" xfId="914" xr:uid="{00000000-0005-0000-0000-00003B020000}"/>
    <cellStyle name="Comma [0] 5 3" xfId="107" xr:uid="{00000000-0005-0000-0000-00003C020000}"/>
    <cellStyle name="Comma [0] 5 3 2" xfId="943" xr:uid="{00000000-0005-0000-0000-00003D020000}"/>
    <cellStyle name="Comma [0] 5 4" xfId="773" xr:uid="{00000000-0005-0000-0000-00003E020000}"/>
    <cellStyle name="Comma [0] 5 4 2" xfId="1009" xr:uid="{00000000-0005-0000-0000-00003F020000}"/>
    <cellStyle name="Comma [0] 5 5" xfId="878" xr:uid="{00000000-0005-0000-0000-000040020000}"/>
    <cellStyle name="Comma [0] 6" xfId="77" xr:uid="{00000000-0005-0000-0000-000041020000}"/>
    <cellStyle name="Comma [0] 6 2" xfId="134" xr:uid="{00000000-0005-0000-0000-000042020000}"/>
    <cellStyle name="Comma [0] 6 2 2" xfId="970" xr:uid="{00000000-0005-0000-0000-000043020000}"/>
    <cellStyle name="Comma [0] 6 3" xfId="917" xr:uid="{00000000-0005-0000-0000-000044020000}"/>
    <cellStyle name="Comma [0] 7" xfId="84" xr:uid="{00000000-0005-0000-0000-000045020000}"/>
    <cellStyle name="Comma [0] 7 2" xfId="924" xr:uid="{00000000-0005-0000-0000-000046020000}"/>
    <cellStyle name="Comma [0] 8" xfId="90" xr:uid="{00000000-0005-0000-0000-000047020000}"/>
    <cellStyle name="Comma [0] 8 2" xfId="929" xr:uid="{00000000-0005-0000-0000-000048020000}"/>
    <cellStyle name="Comma [0] 9" xfId="97" xr:uid="{00000000-0005-0000-0000-000049020000}"/>
    <cellStyle name="Comma [0] 9 2" xfId="933" xr:uid="{00000000-0005-0000-0000-00004A020000}"/>
    <cellStyle name="Comma 10" xfId="54" xr:uid="{00000000-0005-0000-0000-00004B020000}"/>
    <cellStyle name="Comma 10 2" xfId="641" xr:uid="{00000000-0005-0000-0000-00004C020000}"/>
    <cellStyle name="Comma 10 2 2" xfId="982" xr:uid="{00000000-0005-0000-0000-00004D020000}"/>
    <cellStyle name="Comma 10 3" xfId="52" xr:uid="{00000000-0005-0000-0000-00004E020000}"/>
    <cellStyle name="Comma 10 3 2" xfId="779" xr:uid="{00000000-0005-0000-0000-00004F020000}"/>
    <cellStyle name="Comma 10 3 2 2" xfId="1015" xr:uid="{00000000-0005-0000-0000-000050020000}"/>
    <cellStyle name="Comma 10 3 3" xfId="895" xr:uid="{00000000-0005-0000-0000-000051020000}"/>
    <cellStyle name="Comma 10 4" xfId="896" xr:uid="{00000000-0005-0000-0000-000052020000}"/>
    <cellStyle name="Comma 11" xfId="60" xr:uid="{00000000-0005-0000-0000-000053020000}"/>
    <cellStyle name="Comma 11 2" xfId="118" xr:uid="{00000000-0005-0000-0000-000054020000}"/>
    <cellStyle name="Comma 11 2 2" xfId="643" xr:uid="{00000000-0005-0000-0000-000055020000}"/>
    <cellStyle name="Comma 11 2 2 2" xfId="984" xr:uid="{00000000-0005-0000-0000-000056020000}"/>
    <cellStyle name="Comma 11 2 3" xfId="954" xr:uid="{00000000-0005-0000-0000-000057020000}"/>
    <cellStyle name="Comma 11 3" xfId="642" xr:uid="{00000000-0005-0000-0000-000058020000}"/>
    <cellStyle name="Comma 11 3 2" xfId="983" xr:uid="{00000000-0005-0000-0000-000059020000}"/>
    <cellStyle name="Comma 11 4" xfId="900" xr:uid="{00000000-0005-0000-0000-00005A020000}"/>
    <cellStyle name="Comma 12" xfId="62" xr:uid="{00000000-0005-0000-0000-00005B020000}"/>
    <cellStyle name="Comma 12 2" xfId="120" xr:uid="{00000000-0005-0000-0000-00005C020000}"/>
    <cellStyle name="Comma 12 2 2" xfId="645" xr:uid="{00000000-0005-0000-0000-00005D020000}"/>
    <cellStyle name="Comma 12 2 2 2" xfId="986" xr:uid="{00000000-0005-0000-0000-00005E020000}"/>
    <cellStyle name="Comma 12 2 3" xfId="837" xr:uid="{00000000-0005-0000-0000-00005F020000}"/>
    <cellStyle name="Comma 12 2 3 2" xfId="1068" xr:uid="{00000000-0005-0000-0000-000060020000}"/>
    <cellStyle name="Comma 12 2 4" xfId="956" xr:uid="{00000000-0005-0000-0000-000061020000}"/>
    <cellStyle name="Comma 12 3" xfId="644" xr:uid="{00000000-0005-0000-0000-000062020000}"/>
    <cellStyle name="Comma 12 3 2" xfId="985" xr:uid="{00000000-0005-0000-0000-000063020000}"/>
    <cellStyle name="Comma 12 4" xfId="836" xr:uid="{00000000-0005-0000-0000-000064020000}"/>
    <cellStyle name="Comma 12 4 2" xfId="1067" xr:uid="{00000000-0005-0000-0000-000065020000}"/>
    <cellStyle name="Comma 12 5" xfId="902" xr:uid="{00000000-0005-0000-0000-000066020000}"/>
    <cellStyle name="Comma 13" xfId="63" xr:uid="{00000000-0005-0000-0000-000067020000}"/>
    <cellStyle name="Comma 13 2" xfId="121" xr:uid="{00000000-0005-0000-0000-000068020000}"/>
    <cellStyle name="Comma 13 2 2" xfId="957" xr:uid="{00000000-0005-0000-0000-000069020000}"/>
    <cellStyle name="Comma 13 3" xfId="646" xr:uid="{00000000-0005-0000-0000-00006A020000}"/>
    <cellStyle name="Comma 13 3 2" xfId="987" xr:uid="{00000000-0005-0000-0000-00006B020000}"/>
    <cellStyle name="Comma 13 4" xfId="838" xr:uid="{00000000-0005-0000-0000-00006C020000}"/>
    <cellStyle name="Comma 13 4 2" xfId="1069" xr:uid="{00000000-0005-0000-0000-00006D020000}"/>
    <cellStyle name="Comma 13 5" xfId="903" xr:uid="{00000000-0005-0000-0000-00006E020000}"/>
    <cellStyle name="Comma 14" xfId="78" xr:uid="{00000000-0005-0000-0000-00006F020000}"/>
    <cellStyle name="Comma 14 2" xfId="135" xr:uid="{00000000-0005-0000-0000-000070020000}"/>
    <cellStyle name="Comma 14 2 2" xfId="971" xr:uid="{00000000-0005-0000-0000-000071020000}"/>
    <cellStyle name="Comma 14 3" xfId="647" xr:uid="{00000000-0005-0000-0000-000072020000}"/>
    <cellStyle name="Comma 14 3 2" xfId="988" xr:uid="{00000000-0005-0000-0000-000073020000}"/>
    <cellStyle name="Comma 14 4" xfId="839" xr:uid="{00000000-0005-0000-0000-000074020000}"/>
    <cellStyle name="Comma 14 4 2" xfId="1070" xr:uid="{00000000-0005-0000-0000-000075020000}"/>
    <cellStyle name="Comma 14 5" xfId="918" xr:uid="{00000000-0005-0000-0000-000076020000}"/>
    <cellStyle name="Comma 15" xfId="80" xr:uid="{00000000-0005-0000-0000-000077020000}"/>
    <cellStyle name="Comma 15 2" xfId="136" xr:uid="{00000000-0005-0000-0000-000078020000}"/>
    <cellStyle name="Comma 15 2 2" xfId="972" xr:uid="{00000000-0005-0000-0000-000079020000}"/>
    <cellStyle name="Comma 15 3" xfId="648" xr:uid="{00000000-0005-0000-0000-00007A020000}"/>
    <cellStyle name="Comma 15 3 2" xfId="989" xr:uid="{00000000-0005-0000-0000-00007B020000}"/>
    <cellStyle name="Comma 15 4" xfId="840" xr:uid="{00000000-0005-0000-0000-00007C020000}"/>
    <cellStyle name="Comma 15 4 2" xfId="1071" xr:uid="{00000000-0005-0000-0000-00007D020000}"/>
    <cellStyle name="Comma 15 5" xfId="920" xr:uid="{00000000-0005-0000-0000-00007E020000}"/>
    <cellStyle name="Comma 16" xfId="81" xr:uid="{00000000-0005-0000-0000-00007F020000}"/>
    <cellStyle name="Comma 16 2" xfId="137" xr:uid="{00000000-0005-0000-0000-000080020000}"/>
    <cellStyle name="Comma 16 2 2" xfId="973" xr:uid="{00000000-0005-0000-0000-000081020000}"/>
    <cellStyle name="Comma 16 3" xfId="649" xr:uid="{00000000-0005-0000-0000-000082020000}"/>
    <cellStyle name="Comma 16 3 2" xfId="990" xr:uid="{00000000-0005-0000-0000-000083020000}"/>
    <cellStyle name="Comma 16 4" xfId="841" xr:uid="{00000000-0005-0000-0000-000084020000}"/>
    <cellStyle name="Comma 16 4 2" xfId="1072" xr:uid="{00000000-0005-0000-0000-000085020000}"/>
    <cellStyle name="Comma 16 5" xfId="921" xr:uid="{00000000-0005-0000-0000-000086020000}"/>
    <cellStyle name="Comma 17" xfId="82" xr:uid="{00000000-0005-0000-0000-000087020000}"/>
    <cellStyle name="Comma 17 2" xfId="138" xr:uid="{00000000-0005-0000-0000-000088020000}"/>
    <cellStyle name="Comma 17 2 2" xfId="974" xr:uid="{00000000-0005-0000-0000-000089020000}"/>
    <cellStyle name="Comma 17 3" xfId="650" xr:uid="{00000000-0005-0000-0000-00008A020000}"/>
    <cellStyle name="Comma 17 3 2" xfId="991" xr:uid="{00000000-0005-0000-0000-00008B020000}"/>
    <cellStyle name="Comma 17 4" xfId="842" xr:uid="{00000000-0005-0000-0000-00008C020000}"/>
    <cellStyle name="Comma 17 4 2" xfId="1073" xr:uid="{00000000-0005-0000-0000-00008D020000}"/>
    <cellStyle name="Comma 17 5" xfId="922" xr:uid="{00000000-0005-0000-0000-00008E020000}"/>
    <cellStyle name="Comma 18" xfId="86" xr:uid="{00000000-0005-0000-0000-00008F020000}"/>
    <cellStyle name="Comma 18 2" xfId="926" xr:uid="{00000000-0005-0000-0000-000090020000}"/>
    <cellStyle name="Comma 19" xfId="95" xr:uid="{00000000-0005-0000-0000-000091020000}"/>
    <cellStyle name="Comma 19 2" xfId="932" xr:uid="{00000000-0005-0000-0000-000092020000}"/>
    <cellStyle name="Comma 2" xfId="16" xr:uid="{00000000-0005-0000-0000-000093020000}"/>
    <cellStyle name="Comma 2 10" xfId="1093" xr:uid="{00000000-0005-0000-0000-000094020000}"/>
    <cellStyle name="Comma 2 2" xfId="26" xr:uid="{00000000-0005-0000-0000-000095020000}"/>
    <cellStyle name="Comma 2 2 2" xfId="68" xr:uid="{00000000-0005-0000-0000-000096020000}"/>
    <cellStyle name="Comma 2 2 2 2" xfId="126" xr:uid="{00000000-0005-0000-0000-000097020000}"/>
    <cellStyle name="Comma 2 2 2 2 2" xfId="962" xr:uid="{00000000-0005-0000-0000-000098020000}"/>
    <cellStyle name="Comma 2 2 2 3" xfId="908" xr:uid="{00000000-0005-0000-0000-000099020000}"/>
    <cellStyle name="Comma 2 2 3" xfId="101" xr:uid="{00000000-0005-0000-0000-00009A020000}"/>
    <cellStyle name="Comma 2 2 3 2" xfId="937" xr:uid="{00000000-0005-0000-0000-00009B020000}"/>
    <cellStyle name="Comma 2 2 4" xfId="652" xr:uid="{00000000-0005-0000-0000-00009C020000}"/>
    <cellStyle name="Comma 2 2 4 2" xfId="993" xr:uid="{00000000-0005-0000-0000-00009D020000}"/>
    <cellStyle name="Comma 2 2 5" xfId="811" xr:uid="{00000000-0005-0000-0000-00009E020000}"/>
    <cellStyle name="Comma 2 2 5 2" xfId="1042" xr:uid="{00000000-0005-0000-0000-00009F020000}"/>
    <cellStyle name="Comma 2 2 6" xfId="843" xr:uid="{00000000-0005-0000-0000-0000A0020000}"/>
    <cellStyle name="Comma 2 2 6 2" xfId="1074" xr:uid="{00000000-0005-0000-0000-0000A1020000}"/>
    <cellStyle name="Comma 2 2 7" xfId="872" xr:uid="{00000000-0005-0000-0000-0000A2020000}"/>
    <cellStyle name="Comma 2 3" xfId="37" xr:uid="{00000000-0005-0000-0000-0000A3020000}"/>
    <cellStyle name="Comma 2 3 2" xfId="882" xr:uid="{00000000-0005-0000-0000-0000A4020000}"/>
    <cellStyle name="Comma 2 4" xfId="75" xr:uid="{00000000-0005-0000-0000-0000A5020000}"/>
    <cellStyle name="Comma 2 4 2" xfId="915" xr:uid="{00000000-0005-0000-0000-0000A6020000}"/>
    <cellStyle name="Comma 2 5" xfId="88" xr:uid="{00000000-0005-0000-0000-0000A7020000}"/>
    <cellStyle name="Comma 2 5 2" xfId="927" xr:uid="{00000000-0005-0000-0000-0000A8020000}"/>
    <cellStyle name="Comma 2 6" xfId="651" xr:uid="{00000000-0005-0000-0000-0000A9020000}"/>
    <cellStyle name="Comma 2 6 2" xfId="992" xr:uid="{00000000-0005-0000-0000-0000AA020000}"/>
    <cellStyle name="Comma 2 7" xfId="812" xr:uid="{00000000-0005-0000-0000-0000AB020000}"/>
    <cellStyle name="Comma 2 7 2" xfId="1043" xr:uid="{00000000-0005-0000-0000-0000AC020000}"/>
    <cellStyle name="Comma 2 8" xfId="866" xr:uid="{00000000-0005-0000-0000-0000AD020000}"/>
    <cellStyle name="Comma 2 9" xfId="18" xr:uid="{00000000-0005-0000-0000-0000AE020000}"/>
    <cellStyle name="Comma 20" xfId="789" xr:uid="{00000000-0005-0000-0000-0000AF020000}"/>
    <cellStyle name="Comma 20 2" xfId="1022" xr:uid="{00000000-0005-0000-0000-0000B0020000}"/>
    <cellStyle name="Comma 21" xfId="799" xr:uid="{00000000-0005-0000-0000-0000B1020000}"/>
    <cellStyle name="Comma 21 2" xfId="1032" xr:uid="{00000000-0005-0000-0000-0000B2020000}"/>
    <cellStyle name="Comma 22" xfId="802" xr:uid="{00000000-0005-0000-0000-0000B3020000}"/>
    <cellStyle name="Comma 22 2" xfId="1035" xr:uid="{00000000-0005-0000-0000-0000B4020000}"/>
    <cellStyle name="Comma 23" xfId="798" xr:uid="{00000000-0005-0000-0000-0000B5020000}"/>
    <cellStyle name="Comma 23 2" xfId="1031" xr:uid="{00000000-0005-0000-0000-0000B6020000}"/>
    <cellStyle name="Comma 24" xfId="801" xr:uid="{00000000-0005-0000-0000-0000B7020000}"/>
    <cellStyle name="Comma 24 2" xfId="1034" xr:uid="{00000000-0005-0000-0000-0000B8020000}"/>
    <cellStyle name="Comma 25" xfId="794" xr:uid="{00000000-0005-0000-0000-0000B9020000}"/>
    <cellStyle name="Comma 25 2" xfId="1027" xr:uid="{00000000-0005-0000-0000-0000BA020000}"/>
    <cellStyle name="Comma 26" xfId="808" xr:uid="{00000000-0005-0000-0000-0000BB020000}"/>
    <cellStyle name="Comma 26 2" xfId="1040" xr:uid="{00000000-0005-0000-0000-0000BC020000}"/>
    <cellStyle name="Comma 27" xfId="807" xr:uid="{00000000-0005-0000-0000-0000BD020000}"/>
    <cellStyle name="Comma 27 2" xfId="1039" xr:uid="{00000000-0005-0000-0000-0000BE020000}"/>
    <cellStyle name="Comma 28" xfId="815" xr:uid="{00000000-0005-0000-0000-0000BF020000}"/>
    <cellStyle name="Comma 28 2" xfId="1046" xr:uid="{00000000-0005-0000-0000-0000C0020000}"/>
    <cellStyle name="Comma 29" xfId="814" xr:uid="{00000000-0005-0000-0000-0000C1020000}"/>
    <cellStyle name="Comma 29 2" xfId="1045" xr:uid="{00000000-0005-0000-0000-0000C2020000}"/>
    <cellStyle name="Comma 3" xfId="39" xr:uid="{00000000-0005-0000-0000-0000C3020000}"/>
    <cellStyle name="Comma 3 2" xfId="780" xr:uid="{00000000-0005-0000-0000-0000C4020000}"/>
    <cellStyle name="Comma 3 2 2" xfId="855" xr:uid="{00000000-0005-0000-0000-0000C5020000}"/>
    <cellStyle name="Comma 3 2 2 2" xfId="1086" xr:uid="{00000000-0005-0000-0000-0000C6020000}"/>
    <cellStyle name="Comma 3 2 3" xfId="1016" xr:uid="{00000000-0005-0000-0000-0000C7020000}"/>
    <cellStyle name="Comma 3 3" xfId="653" xr:uid="{00000000-0005-0000-0000-0000C8020000}"/>
    <cellStyle name="Comma 3 3 2" xfId="994" xr:uid="{00000000-0005-0000-0000-0000C9020000}"/>
    <cellStyle name="Comma 3 4" xfId="884" xr:uid="{00000000-0005-0000-0000-0000CA020000}"/>
    <cellStyle name="Comma 30" xfId="813" xr:uid="{00000000-0005-0000-0000-0000CB020000}"/>
    <cellStyle name="Comma 30 2" xfId="1044" xr:uid="{00000000-0005-0000-0000-0000CC020000}"/>
    <cellStyle name="Comma 31" xfId="816" xr:uid="{00000000-0005-0000-0000-0000CD020000}"/>
    <cellStyle name="Comma 31 2" xfId="1047" xr:uid="{00000000-0005-0000-0000-0000CE020000}"/>
    <cellStyle name="Comma 32" xfId="817" xr:uid="{00000000-0005-0000-0000-0000CF020000}"/>
    <cellStyle name="Comma 32 2" xfId="1048" xr:uid="{00000000-0005-0000-0000-0000D0020000}"/>
    <cellStyle name="Comma 33" xfId="818" xr:uid="{00000000-0005-0000-0000-0000D1020000}"/>
    <cellStyle name="Comma 33 2" xfId="1049" xr:uid="{00000000-0005-0000-0000-0000D2020000}"/>
    <cellStyle name="Comma 34" xfId="819" xr:uid="{00000000-0005-0000-0000-0000D3020000}"/>
    <cellStyle name="Comma 34 2" xfId="1050" xr:uid="{00000000-0005-0000-0000-0000D4020000}"/>
    <cellStyle name="Comma 35" xfId="822" xr:uid="{00000000-0005-0000-0000-0000D5020000}"/>
    <cellStyle name="Comma 35 2" xfId="1053" xr:uid="{00000000-0005-0000-0000-0000D6020000}"/>
    <cellStyle name="Comma 36" xfId="832" xr:uid="{00000000-0005-0000-0000-0000D7020000}"/>
    <cellStyle name="Comma 36 2" xfId="1063" xr:uid="{00000000-0005-0000-0000-0000D8020000}"/>
    <cellStyle name="Comma 37" xfId="835" xr:uid="{00000000-0005-0000-0000-0000D9020000}"/>
    <cellStyle name="Comma 37 2" xfId="1066" xr:uid="{00000000-0005-0000-0000-0000DA020000}"/>
    <cellStyle name="Comma 38" xfId="831" xr:uid="{00000000-0005-0000-0000-0000DB020000}"/>
    <cellStyle name="Comma 38 2" xfId="1062" xr:uid="{00000000-0005-0000-0000-0000DC020000}"/>
    <cellStyle name="Comma 39" xfId="834" xr:uid="{00000000-0005-0000-0000-0000DD020000}"/>
    <cellStyle name="Comma 39 2" xfId="1065" xr:uid="{00000000-0005-0000-0000-0000DE020000}"/>
    <cellStyle name="Comma 4" xfId="40" xr:uid="{00000000-0005-0000-0000-0000DF020000}"/>
    <cellStyle name="Comma 4 2" xfId="654" xr:uid="{00000000-0005-0000-0000-0000E0020000}"/>
    <cellStyle name="Comma 4 2 2" xfId="995" xr:uid="{00000000-0005-0000-0000-0000E1020000}"/>
    <cellStyle name="Comma 4 3" xfId="885" xr:uid="{00000000-0005-0000-0000-0000E2020000}"/>
    <cellStyle name="Comma 40" xfId="827" xr:uid="{00000000-0005-0000-0000-0000E3020000}"/>
    <cellStyle name="Comma 40 2" xfId="1058" xr:uid="{00000000-0005-0000-0000-0000E4020000}"/>
    <cellStyle name="Comma 5" xfId="44" xr:uid="{00000000-0005-0000-0000-0000E5020000}"/>
    <cellStyle name="Comma 5 2" xfId="655" xr:uid="{00000000-0005-0000-0000-0000E6020000}"/>
    <cellStyle name="Comma 5 2 2" xfId="996" xr:uid="{00000000-0005-0000-0000-0000E7020000}"/>
    <cellStyle name="Comma 5 3" xfId="889" xr:uid="{00000000-0005-0000-0000-0000E8020000}"/>
    <cellStyle name="Comma 6" xfId="43" xr:uid="{00000000-0005-0000-0000-0000E9020000}"/>
    <cellStyle name="Comma 6 2" xfId="656" xr:uid="{00000000-0005-0000-0000-0000EA020000}"/>
    <cellStyle name="Comma 6 2 2" xfId="997" xr:uid="{00000000-0005-0000-0000-0000EB020000}"/>
    <cellStyle name="Comma 6 3" xfId="888" xr:uid="{00000000-0005-0000-0000-0000EC020000}"/>
    <cellStyle name="Comma 7" xfId="45" xr:uid="{00000000-0005-0000-0000-0000ED020000}"/>
    <cellStyle name="Comma 7 2" xfId="112" xr:uid="{00000000-0005-0000-0000-0000EE020000}"/>
    <cellStyle name="Comma 7 2 2" xfId="948" xr:uid="{00000000-0005-0000-0000-0000EF020000}"/>
    <cellStyle name="Comma 7 3" xfId="657" xr:uid="{00000000-0005-0000-0000-0000F0020000}"/>
    <cellStyle name="Comma 7 3 2" xfId="998" xr:uid="{00000000-0005-0000-0000-0000F1020000}"/>
    <cellStyle name="Comma 7 4" xfId="792" xr:uid="{00000000-0005-0000-0000-0000F2020000}"/>
    <cellStyle name="Comma 7 4 2" xfId="1025" xr:uid="{00000000-0005-0000-0000-0000F3020000}"/>
    <cellStyle name="Comma 7 5" xfId="825" xr:uid="{00000000-0005-0000-0000-0000F4020000}"/>
    <cellStyle name="Comma 7 5 2" xfId="1056" xr:uid="{00000000-0005-0000-0000-0000F5020000}"/>
    <cellStyle name="Comma 7 6" xfId="890" xr:uid="{00000000-0005-0000-0000-0000F6020000}"/>
    <cellStyle name="Comma 8" xfId="47" xr:uid="{00000000-0005-0000-0000-0000F7020000}"/>
    <cellStyle name="Comma 8 2" xfId="659" xr:uid="{00000000-0005-0000-0000-0000F8020000}"/>
    <cellStyle name="Comma 8 2 2" xfId="845" xr:uid="{00000000-0005-0000-0000-0000F9020000}"/>
    <cellStyle name="Comma 8 2 2 2" xfId="1076" xr:uid="{00000000-0005-0000-0000-0000FA020000}"/>
    <cellStyle name="Comma 8 2 3" xfId="1000" xr:uid="{00000000-0005-0000-0000-0000FB020000}"/>
    <cellStyle name="Comma 8 3" xfId="660" xr:uid="{00000000-0005-0000-0000-0000FC020000}"/>
    <cellStyle name="Comma 8 3 2" xfId="846" xr:uid="{00000000-0005-0000-0000-0000FD020000}"/>
    <cellStyle name="Comma 8 3 2 2" xfId="1077" xr:uid="{00000000-0005-0000-0000-0000FE020000}"/>
    <cellStyle name="Comma 8 3 3" xfId="1001" xr:uid="{00000000-0005-0000-0000-0000FF020000}"/>
    <cellStyle name="Comma 8 4" xfId="658" xr:uid="{00000000-0005-0000-0000-000000030000}"/>
    <cellStyle name="Comma 8 4 2" xfId="999" xr:uid="{00000000-0005-0000-0000-000001030000}"/>
    <cellStyle name="Comma 8 5" xfId="844" xr:uid="{00000000-0005-0000-0000-000002030000}"/>
    <cellStyle name="Comma 8 5 2" xfId="1075" xr:uid="{00000000-0005-0000-0000-000003030000}"/>
    <cellStyle name="Comma 8 6" xfId="892" xr:uid="{00000000-0005-0000-0000-000004030000}"/>
    <cellStyle name="Comma 9" xfId="33" xr:uid="{00000000-0005-0000-0000-000005030000}"/>
    <cellStyle name="Comma 9 2" xfId="661" xr:uid="{00000000-0005-0000-0000-000006030000}"/>
    <cellStyle name="Comma 9 2 2" xfId="1002" xr:uid="{00000000-0005-0000-0000-000007030000}"/>
    <cellStyle name="Comma 9 3" xfId="847" xr:uid="{00000000-0005-0000-0000-000008030000}"/>
    <cellStyle name="Comma 9 3 2" xfId="1078" xr:uid="{00000000-0005-0000-0000-000009030000}"/>
    <cellStyle name="Comma 9 4" xfId="879" xr:uid="{00000000-0005-0000-0000-00000A030000}"/>
    <cellStyle name="Explanatory Text 2" xfId="662" xr:uid="{00000000-0005-0000-0000-00000B030000}"/>
    <cellStyle name="Good 2" xfId="663" xr:uid="{00000000-0005-0000-0000-00000C030000}"/>
    <cellStyle name="Heading 1 2" xfId="664" xr:uid="{00000000-0005-0000-0000-00000D030000}"/>
    <cellStyle name="Heading 2 2" xfId="665" xr:uid="{00000000-0005-0000-0000-00000E030000}"/>
    <cellStyle name="Heading 3 2" xfId="666" xr:uid="{00000000-0005-0000-0000-00000F030000}"/>
    <cellStyle name="Heading 4 2" xfId="667" xr:uid="{00000000-0005-0000-0000-000010030000}"/>
    <cellStyle name="Hyperlink" xfId="11" builtinId="8"/>
    <cellStyle name="Input 2" xfId="668" xr:uid="{00000000-0005-0000-0000-000012030000}"/>
    <cellStyle name="Linked Cell 2" xfId="669" xr:uid="{00000000-0005-0000-0000-000013030000}"/>
    <cellStyle name="Neutral 2" xfId="670" xr:uid="{00000000-0005-0000-0000-000014030000}"/>
    <cellStyle name="Normal" xfId="0" builtinId="0"/>
    <cellStyle name="Normal 10" xfId="59" xr:uid="{00000000-0005-0000-0000-000016030000}"/>
    <cellStyle name="Normal 10 2" xfId="117" xr:uid="{00000000-0005-0000-0000-000017030000}"/>
    <cellStyle name="Normal 10 2 2" xfId="672" xr:uid="{00000000-0005-0000-0000-000018030000}"/>
    <cellStyle name="Normal 10 2 3" xfId="953" xr:uid="{00000000-0005-0000-0000-000019030000}"/>
    <cellStyle name="Normal 10 3" xfId="671" xr:uid="{00000000-0005-0000-0000-00001A030000}"/>
    <cellStyle name="Normal 10 4" xfId="899" xr:uid="{00000000-0005-0000-0000-00001B030000}"/>
    <cellStyle name="Normal 11" xfId="76" xr:uid="{00000000-0005-0000-0000-00001C030000}"/>
    <cellStyle name="Normal 11 2" xfId="133" xr:uid="{00000000-0005-0000-0000-00001D030000}"/>
    <cellStyle name="Normal 11 2 2" xfId="674" xr:uid="{00000000-0005-0000-0000-00001E030000}"/>
    <cellStyle name="Normal 11 2 3" xfId="969" xr:uid="{00000000-0005-0000-0000-00001F030000}"/>
    <cellStyle name="Normal 11 3" xfId="673" xr:uid="{00000000-0005-0000-0000-000020030000}"/>
    <cellStyle name="Normal 11 4" xfId="916" xr:uid="{00000000-0005-0000-0000-000021030000}"/>
    <cellStyle name="Normal 12" xfId="83" xr:uid="{00000000-0005-0000-0000-000022030000}"/>
    <cellStyle name="Normal 12 2" xfId="50" xr:uid="{00000000-0005-0000-0000-000023030000}"/>
    <cellStyle name="Normal 12 2 2" xfId="114" xr:uid="{00000000-0005-0000-0000-000024030000}"/>
    <cellStyle name="Normal 12 2 2 2" xfId="781" xr:uid="{00000000-0005-0000-0000-000025030000}"/>
    <cellStyle name="Normal 12 2 2 2 2" xfId="1017" xr:uid="{00000000-0005-0000-0000-000026030000}"/>
    <cellStyle name="Normal 12 2 2 3" xfId="856" xr:uid="{00000000-0005-0000-0000-000027030000}"/>
    <cellStyle name="Normal 12 2 2 3 2" xfId="1087" xr:uid="{00000000-0005-0000-0000-000028030000}"/>
    <cellStyle name="Normal 12 2 2 4" xfId="950" xr:uid="{00000000-0005-0000-0000-000029030000}"/>
    <cellStyle name="Normal 12 2 3" xfId="676" xr:uid="{00000000-0005-0000-0000-00002A030000}"/>
    <cellStyle name="Normal 12 2 3 2" xfId="1003" xr:uid="{00000000-0005-0000-0000-00002B030000}"/>
    <cellStyle name="Normal 12 2 4" xfId="793" xr:uid="{00000000-0005-0000-0000-00002C030000}"/>
    <cellStyle name="Normal 12 2 4 2" xfId="1026" xr:uid="{00000000-0005-0000-0000-00002D030000}"/>
    <cellStyle name="Normal 12 2 5" xfId="826" xr:uid="{00000000-0005-0000-0000-00002E030000}"/>
    <cellStyle name="Normal 12 2 5 2" xfId="1057" xr:uid="{00000000-0005-0000-0000-00002F030000}"/>
    <cellStyle name="Normal 12 2 6" xfId="893" xr:uid="{00000000-0005-0000-0000-000030030000}"/>
    <cellStyle name="Normal 12 3" xfId="677" xr:uid="{00000000-0005-0000-0000-000031030000}"/>
    <cellStyle name="Normal 12 4" xfId="675" xr:uid="{00000000-0005-0000-0000-000032030000}"/>
    <cellStyle name="Normal 12 5" xfId="923" xr:uid="{00000000-0005-0000-0000-000033030000}"/>
    <cellStyle name="Normal 13" xfId="89" xr:uid="{00000000-0005-0000-0000-000034030000}"/>
    <cellStyle name="Normal 13 2" xfId="679" xr:uid="{00000000-0005-0000-0000-000035030000}"/>
    <cellStyle name="Normal 13 3" xfId="678" xr:uid="{00000000-0005-0000-0000-000036030000}"/>
    <cellStyle name="Normal 13 4" xfId="928" xr:uid="{00000000-0005-0000-0000-000037030000}"/>
    <cellStyle name="Normal 14" xfId="94" xr:uid="{00000000-0005-0000-0000-000038030000}"/>
    <cellStyle name="Normal 14 2" xfId="681" xr:uid="{00000000-0005-0000-0000-000039030000}"/>
    <cellStyle name="Normal 14 3" xfId="680" xr:uid="{00000000-0005-0000-0000-00003A030000}"/>
    <cellStyle name="Normal 15" xfId="96" xr:uid="{00000000-0005-0000-0000-00003B030000}"/>
    <cellStyle name="Normal 15 2" xfId="683" xr:uid="{00000000-0005-0000-0000-00003C030000}"/>
    <cellStyle name="Normal 15 3" xfId="682" xr:uid="{00000000-0005-0000-0000-00003D030000}"/>
    <cellStyle name="Normal 16" xfId="48" xr:uid="{00000000-0005-0000-0000-00003E030000}"/>
    <cellStyle name="Normal 16 2" xfId="684" xr:uid="{00000000-0005-0000-0000-00003F030000}"/>
    <cellStyle name="Normal 16 2 2" xfId="685" xr:uid="{00000000-0005-0000-0000-000040030000}"/>
    <cellStyle name="Normal 16 2 2 2" xfId="686" xr:uid="{00000000-0005-0000-0000-000041030000}"/>
    <cellStyle name="Normal 16 2 2 2 2" xfId="687" xr:uid="{00000000-0005-0000-0000-000042030000}"/>
    <cellStyle name="Normal 16 2 2 2 2 2" xfId="688" xr:uid="{00000000-0005-0000-0000-000043030000}"/>
    <cellStyle name="Normal 16 2 2 2 3" xfId="689" xr:uid="{00000000-0005-0000-0000-000044030000}"/>
    <cellStyle name="Normal 16 2 2 3" xfId="690" xr:uid="{00000000-0005-0000-0000-000045030000}"/>
    <cellStyle name="Normal 16 2 3" xfId="691" xr:uid="{00000000-0005-0000-0000-000046030000}"/>
    <cellStyle name="Normal 16 3" xfId="692" xr:uid="{00000000-0005-0000-0000-000047030000}"/>
    <cellStyle name="Normal 16 4" xfId="693" xr:uid="{00000000-0005-0000-0000-000048030000}"/>
    <cellStyle name="Normal 17" xfId="49" xr:uid="{00000000-0005-0000-0000-000049030000}"/>
    <cellStyle name="Normal 17 2" xfId="694" xr:uid="{00000000-0005-0000-0000-00004A030000}"/>
    <cellStyle name="Normal 17 2 2" xfId="695" xr:uid="{00000000-0005-0000-0000-00004B030000}"/>
    <cellStyle name="Normal 17 3" xfId="696" xr:uid="{00000000-0005-0000-0000-00004C030000}"/>
    <cellStyle name="Normal 18" xfId="697" xr:uid="{00000000-0005-0000-0000-00004D030000}"/>
    <cellStyle name="Normal 18 2" xfId="698" xr:uid="{00000000-0005-0000-0000-00004E030000}"/>
    <cellStyle name="Normal 19" xfId="699" xr:uid="{00000000-0005-0000-0000-00004F030000}"/>
    <cellStyle name="Normal 19 2" xfId="700" xr:uid="{00000000-0005-0000-0000-000050030000}"/>
    <cellStyle name="Normal 2" xfId="10" xr:uid="{00000000-0005-0000-0000-000051030000}"/>
    <cellStyle name="Normal 2 2" xfId="22" xr:uid="{00000000-0005-0000-0000-000052030000}"/>
    <cellStyle name="Normal 2 2 10" xfId="869" xr:uid="{00000000-0005-0000-0000-000053030000}"/>
    <cellStyle name="Normal 2 2 2" xfId="41" xr:uid="{00000000-0005-0000-0000-000054030000}"/>
    <cellStyle name="Normal 2 2 2 2" xfId="110" xr:uid="{00000000-0005-0000-0000-000055030000}"/>
    <cellStyle name="Normal 2 2 2 2 2" xfId="946" xr:uid="{00000000-0005-0000-0000-000056030000}"/>
    <cellStyle name="Normal 2 2 2 3" xfId="886" xr:uid="{00000000-0005-0000-0000-000057030000}"/>
    <cellStyle name="Normal 2 2 3" xfId="56" xr:uid="{00000000-0005-0000-0000-000058030000}"/>
    <cellStyle name="Normal 2 2 4" xfId="65" xr:uid="{00000000-0005-0000-0000-000059030000}"/>
    <cellStyle name="Normal 2 2 4 2" xfId="123" xr:uid="{00000000-0005-0000-0000-00005A030000}"/>
    <cellStyle name="Normal 2 2 4 2 2" xfId="959" xr:uid="{00000000-0005-0000-0000-00005B030000}"/>
    <cellStyle name="Normal 2 2 4 3" xfId="905" xr:uid="{00000000-0005-0000-0000-00005C030000}"/>
    <cellStyle name="Normal 2 2 5" xfId="92" xr:uid="{00000000-0005-0000-0000-00005D030000}"/>
    <cellStyle name="Normal 2 2 5 2" xfId="931" xr:uid="{00000000-0005-0000-0000-00005E030000}"/>
    <cellStyle name="Normal 2 2 6" xfId="701" xr:uid="{00000000-0005-0000-0000-00005F030000}"/>
    <cellStyle name="Normal 2 2 6 2" xfId="1004" xr:uid="{00000000-0005-0000-0000-000060030000}"/>
    <cellStyle name="Normal 2 2 7" xfId="795" xr:uid="{00000000-0005-0000-0000-000061030000}"/>
    <cellStyle name="Normal 2 2 7 2" xfId="1028" xr:uid="{00000000-0005-0000-0000-000062030000}"/>
    <cellStyle name="Normal 2 2 8" xfId="810" xr:uid="{00000000-0005-0000-0000-000063030000}"/>
    <cellStyle name="Normal 2 2 9" xfId="828" xr:uid="{00000000-0005-0000-0000-000064030000}"/>
    <cellStyle name="Normal 2 2 9 2" xfId="1059" xr:uid="{00000000-0005-0000-0000-000065030000}"/>
    <cellStyle name="Normal 2 3" xfId="36" xr:uid="{00000000-0005-0000-0000-000066030000}"/>
    <cellStyle name="Normal 2 3 2" xfId="702" xr:uid="{00000000-0005-0000-0000-000067030000}"/>
    <cellStyle name="Normal 2 3 2 2" xfId="1005" xr:uid="{00000000-0005-0000-0000-000068030000}"/>
    <cellStyle name="Normal 2 3 3" xfId="848" xr:uid="{00000000-0005-0000-0000-000069030000}"/>
    <cellStyle name="Normal 2 3 3 2" xfId="1079" xr:uid="{00000000-0005-0000-0000-00006A030000}"/>
    <cellStyle name="Normal 2 4" xfId="55" xr:uid="{00000000-0005-0000-0000-00006B030000}"/>
    <cellStyle name="Normal 2 4 2" xfId="116" xr:uid="{00000000-0005-0000-0000-00006C030000}"/>
    <cellStyle name="Normal 2 4 2 2" xfId="952" xr:uid="{00000000-0005-0000-0000-00006D030000}"/>
    <cellStyle name="Normal 2 4 3" xfId="897" xr:uid="{00000000-0005-0000-0000-00006E030000}"/>
    <cellStyle name="Normal 2 5" xfId="809" xr:uid="{00000000-0005-0000-0000-00006F030000}"/>
    <cellStyle name="Normal 2 5 2" xfId="1041" xr:uid="{00000000-0005-0000-0000-000070030000}"/>
    <cellStyle name="Normal 20" xfId="703" xr:uid="{00000000-0005-0000-0000-000071030000}"/>
    <cellStyle name="Normal 20 2" xfId="704" xr:uid="{00000000-0005-0000-0000-000072030000}"/>
    <cellStyle name="Normal 21" xfId="705" xr:uid="{00000000-0005-0000-0000-000073030000}"/>
    <cellStyle name="Normal 21 2" xfId="706" xr:uid="{00000000-0005-0000-0000-000074030000}"/>
    <cellStyle name="Normal 22" xfId="707" xr:uid="{00000000-0005-0000-0000-000075030000}"/>
    <cellStyle name="Normal 22 2" xfId="708" xr:uid="{00000000-0005-0000-0000-000076030000}"/>
    <cellStyle name="Normal 23" xfId="709" xr:uid="{00000000-0005-0000-0000-000077030000}"/>
    <cellStyle name="Normal 24" xfId="93" xr:uid="{00000000-0005-0000-0000-000078030000}"/>
    <cellStyle name="Normal 25" xfId="775" xr:uid="{00000000-0005-0000-0000-000079030000}"/>
    <cellStyle name="Normal 25 2" xfId="851" xr:uid="{00000000-0005-0000-0000-00007A030000}"/>
    <cellStyle name="Normal 25 2 2" xfId="1082" xr:uid="{00000000-0005-0000-0000-00007B030000}"/>
    <cellStyle name="Normal 25 3" xfId="1011" xr:uid="{00000000-0005-0000-0000-00007C030000}"/>
    <cellStyle name="Normal 26" xfId="786" xr:uid="{00000000-0005-0000-0000-00007D030000}"/>
    <cellStyle name="Normal 27" xfId="787" xr:uid="{00000000-0005-0000-0000-00007E030000}"/>
    <cellStyle name="Normal 28" xfId="788" xr:uid="{00000000-0005-0000-0000-00007F030000}"/>
    <cellStyle name="Normal 29" xfId="139" xr:uid="{00000000-0005-0000-0000-000080030000}"/>
    <cellStyle name="Normal 29 2" xfId="975" xr:uid="{00000000-0005-0000-0000-000081030000}"/>
    <cellStyle name="Normal 3" xfId="24" xr:uid="{00000000-0005-0000-0000-000082030000}"/>
    <cellStyle name="Normal 3 2" xfId="34" xr:uid="{00000000-0005-0000-0000-000083030000}"/>
    <cellStyle name="Normal 3 2 2" xfId="108" xr:uid="{00000000-0005-0000-0000-000084030000}"/>
    <cellStyle name="Normal 3 2 2 2" xfId="944" xr:uid="{00000000-0005-0000-0000-000085030000}"/>
    <cellStyle name="Normal 3 2 3" xfId="711" xr:uid="{00000000-0005-0000-0000-000086030000}"/>
    <cellStyle name="Normal 3 2 3 2" xfId="1007" xr:uid="{00000000-0005-0000-0000-000087030000}"/>
    <cellStyle name="Normal 3 2 4" xfId="849" xr:uid="{00000000-0005-0000-0000-000088030000}"/>
    <cellStyle name="Normal 3 2 4 2" xfId="1080" xr:uid="{00000000-0005-0000-0000-000089030000}"/>
    <cellStyle name="Normal 3 2 5" xfId="880" xr:uid="{00000000-0005-0000-0000-00008A030000}"/>
    <cellStyle name="Normal 3 3" xfId="67" xr:uid="{00000000-0005-0000-0000-00008B030000}"/>
    <cellStyle name="Normal 3 3 2" xfId="51" xr:uid="{00000000-0005-0000-0000-00008C030000}"/>
    <cellStyle name="Normal 3 3 2 2" xfId="115" xr:uid="{00000000-0005-0000-0000-00008D030000}"/>
    <cellStyle name="Normal 3 3 2 2 2" xfId="951" xr:uid="{00000000-0005-0000-0000-00008E030000}"/>
    <cellStyle name="Normal 3 3 2 3" xfId="782" xr:uid="{00000000-0005-0000-0000-00008F030000}"/>
    <cellStyle name="Normal 3 3 2 3 2" xfId="1018" xr:uid="{00000000-0005-0000-0000-000090030000}"/>
    <cellStyle name="Normal 3 3 2 4" xfId="797" xr:uid="{00000000-0005-0000-0000-000091030000}"/>
    <cellStyle name="Normal 3 3 2 4 2" xfId="1030" xr:uid="{00000000-0005-0000-0000-000092030000}"/>
    <cellStyle name="Normal 3 3 2 5" xfId="830" xr:uid="{00000000-0005-0000-0000-000093030000}"/>
    <cellStyle name="Normal 3 3 2 5 2" xfId="1061" xr:uid="{00000000-0005-0000-0000-000094030000}"/>
    <cellStyle name="Normal 3 3 2 6" xfId="894" xr:uid="{00000000-0005-0000-0000-000095030000}"/>
    <cellStyle name="Normal 3 3 3" xfId="125" xr:uid="{00000000-0005-0000-0000-000096030000}"/>
    <cellStyle name="Normal 3 3 3 2" xfId="961" xr:uid="{00000000-0005-0000-0000-000097030000}"/>
    <cellStyle name="Normal 3 3 4" xfId="907" xr:uid="{00000000-0005-0000-0000-000098030000}"/>
    <cellStyle name="Normal 3 4" xfId="100" xr:uid="{00000000-0005-0000-0000-000099030000}"/>
    <cellStyle name="Normal 3 4 2" xfId="936" xr:uid="{00000000-0005-0000-0000-00009A030000}"/>
    <cellStyle name="Normal 3 5" xfId="710" xr:uid="{00000000-0005-0000-0000-00009B030000}"/>
    <cellStyle name="Normal 3 5 2" xfId="1006" xr:uid="{00000000-0005-0000-0000-00009C030000}"/>
    <cellStyle name="Normal 3 6" xfId="796" xr:uid="{00000000-0005-0000-0000-00009D030000}"/>
    <cellStyle name="Normal 3 6 2" xfId="1029" xr:uid="{00000000-0005-0000-0000-00009E030000}"/>
    <cellStyle name="Normal 3 7" xfId="829" xr:uid="{00000000-0005-0000-0000-00009F030000}"/>
    <cellStyle name="Normal 3 7 2" xfId="1060" xr:uid="{00000000-0005-0000-0000-0000A0030000}"/>
    <cellStyle name="Normal 3 8" xfId="871" xr:uid="{00000000-0005-0000-0000-0000A1030000}"/>
    <cellStyle name="Normal 30" xfId="803" xr:uid="{00000000-0005-0000-0000-0000A2030000}"/>
    <cellStyle name="Normal 30 2" xfId="1036" xr:uid="{00000000-0005-0000-0000-0000A3030000}"/>
    <cellStyle name="Normal 31" xfId="804" xr:uid="{00000000-0005-0000-0000-0000A4030000}"/>
    <cellStyle name="Normal 31 2" xfId="1037" xr:uid="{00000000-0005-0000-0000-0000A5030000}"/>
    <cellStyle name="Normal 32" xfId="805" xr:uid="{00000000-0005-0000-0000-0000A6030000}"/>
    <cellStyle name="Normal 33" xfId="806" xr:uid="{00000000-0005-0000-0000-0000A7030000}"/>
    <cellStyle name="Normal 33 2" xfId="1038" xr:uid="{00000000-0005-0000-0000-0000A8030000}"/>
    <cellStyle name="Normal 34" xfId="859" xr:uid="{00000000-0005-0000-0000-0000A9030000}"/>
    <cellStyle name="Normal 34 2" xfId="1090" xr:uid="{00000000-0005-0000-0000-0000AA030000}"/>
    <cellStyle name="Normal 4" xfId="20" xr:uid="{00000000-0005-0000-0000-0000AB030000}"/>
    <cellStyle name="Normal 4 2" xfId="713" xr:uid="{00000000-0005-0000-0000-0000AC030000}"/>
    <cellStyle name="Normal 4 3" xfId="712" xr:uid="{00000000-0005-0000-0000-0000AD030000}"/>
    <cellStyle name="Normal 5" xfId="21" xr:uid="{00000000-0005-0000-0000-0000AE030000}"/>
    <cellStyle name="Normal 5 2" xfId="64" xr:uid="{00000000-0005-0000-0000-0000AF030000}"/>
    <cellStyle name="Normal 5 2 2" xfId="122" xr:uid="{00000000-0005-0000-0000-0000B0030000}"/>
    <cellStyle name="Normal 5 2 2 2" xfId="958" xr:uid="{00000000-0005-0000-0000-0000B1030000}"/>
    <cellStyle name="Normal 5 2 3" xfId="715" xr:uid="{00000000-0005-0000-0000-0000B2030000}"/>
    <cellStyle name="Normal 5 2 4" xfId="904" xr:uid="{00000000-0005-0000-0000-0000B3030000}"/>
    <cellStyle name="Normal 5 3" xfId="98" xr:uid="{00000000-0005-0000-0000-0000B4030000}"/>
    <cellStyle name="Normal 5 3 2" xfId="934" xr:uid="{00000000-0005-0000-0000-0000B5030000}"/>
    <cellStyle name="Normal 5 4" xfId="714" xr:uid="{00000000-0005-0000-0000-0000B6030000}"/>
    <cellStyle name="Normal 5 5" xfId="868" xr:uid="{00000000-0005-0000-0000-0000B7030000}"/>
    <cellStyle name="Normal 6" xfId="23" xr:uid="{00000000-0005-0000-0000-0000B8030000}"/>
    <cellStyle name="Normal 6 2" xfId="66" xr:uid="{00000000-0005-0000-0000-0000B9030000}"/>
    <cellStyle name="Normal 6 2 2" xfId="124" xr:uid="{00000000-0005-0000-0000-0000BA030000}"/>
    <cellStyle name="Normal 6 2 2 2" xfId="960" xr:uid="{00000000-0005-0000-0000-0000BB030000}"/>
    <cellStyle name="Normal 6 2 3" xfId="717" xr:uid="{00000000-0005-0000-0000-0000BC030000}"/>
    <cellStyle name="Normal 6 2 4" xfId="906" xr:uid="{00000000-0005-0000-0000-0000BD030000}"/>
    <cellStyle name="Normal 6 3" xfId="99" xr:uid="{00000000-0005-0000-0000-0000BE030000}"/>
    <cellStyle name="Normal 6 3 2" xfId="935" xr:uid="{00000000-0005-0000-0000-0000BF030000}"/>
    <cellStyle name="Normal 6 4" xfId="716" xr:uid="{00000000-0005-0000-0000-0000C0030000}"/>
    <cellStyle name="Normal 6 5" xfId="870" xr:uid="{00000000-0005-0000-0000-0000C1030000}"/>
    <cellStyle name="Normal 7" xfId="3" xr:uid="{00000000-0005-0000-0000-0000C2030000}"/>
    <cellStyle name="Normal 7 2" xfId="7" xr:uid="{00000000-0005-0000-0000-0000C3030000}"/>
    <cellStyle name="Normal 7 2 2" xfId="13" xr:uid="{00000000-0005-0000-0000-0000C4030000}"/>
    <cellStyle name="Normal 7 2 2 2" xfId="720" xr:uid="{00000000-0005-0000-0000-0000C5030000}"/>
    <cellStyle name="Normal 7 2 2 3" xfId="964" xr:uid="{00000000-0005-0000-0000-0000C6030000}"/>
    <cellStyle name="Normal 7 2 2 4" xfId="128" xr:uid="{00000000-0005-0000-0000-0000C7030000}"/>
    <cellStyle name="Normal 7 2 3" xfId="719" xr:uid="{00000000-0005-0000-0000-0000C8030000}"/>
    <cellStyle name="Normal 7 2 4" xfId="910" xr:uid="{00000000-0005-0000-0000-0000C9030000}"/>
    <cellStyle name="Normal 7 2 5" xfId="862" xr:uid="{00000000-0005-0000-0000-0000CA030000}"/>
    <cellStyle name="Normal 7 2 6" xfId="70" xr:uid="{00000000-0005-0000-0000-0000CB030000}"/>
    <cellStyle name="Normal 7 3" xfId="12" xr:uid="{00000000-0005-0000-0000-0000CC030000}"/>
    <cellStyle name="Normal 7 3 2" xfId="721" xr:uid="{00000000-0005-0000-0000-0000CD030000}"/>
    <cellStyle name="Normal 7 3 3" xfId="939" xr:uid="{00000000-0005-0000-0000-0000CE030000}"/>
    <cellStyle name="Normal 7 3 4" xfId="103" xr:uid="{00000000-0005-0000-0000-0000CF030000}"/>
    <cellStyle name="Normal 7 4" xfId="718" xr:uid="{00000000-0005-0000-0000-0000D0030000}"/>
    <cellStyle name="Normal 7 5" xfId="874" xr:uid="{00000000-0005-0000-0000-0000D1030000}"/>
    <cellStyle name="Normal 7 6" xfId="861" xr:uid="{00000000-0005-0000-0000-0000D2030000}"/>
    <cellStyle name="Normal 7 7" xfId="28" xr:uid="{00000000-0005-0000-0000-0000D3030000}"/>
    <cellStyle name="Normal 74 3 2" xfId="25" xr:uid="{00000000-0005-0000-0000-0000D4030000}"/>
    <cellStyle name="Normal 8" xfId="31" xr:uid="{00000000-0005-0000-0000-0000D5030000}"/>
    <cellStyle name="Normal 8 2" xfId="73" xr:uid="{00000000-0005-0000-0000-0000D6030000}"/>
    <cellStyle name="Normal 8 2 2" xfId="131" xr:uid="{00000000-0005-0000-0000-0000D7030000}"/>
    <cellStyle name="Normal 8 2 2 2" xfId="967" xr:uid="{00000000-0005-0000-0000-0000D8030000}"/>
    <cellStyle name="Normal 8 2 3" xfId="723" xr:uid="{00000000-0005-0000-0000-0000D9030000}"/>
    <cellStyle name="Normal 8 2 4" xfId="913" xr:uid="{00000000-0005-0000-0000-0000DA030000}"/>
    <cellStyle name="Normal 8 3" xfId="106" xr:uid="{00000000-0005-0000-0000-0000DB030000}"/>
    <cellStyle name="Normal 8 3 2" xfId="942" xr:uid="{00000000-0005-0000-0000-0000DC030000}"/>
    <cellStyle name="Normal 8 4" xfId="722" xr:uid="{00000000-0005-0000-0000-0000DD030000}"/>
    <cellStyle name="Normal 8 5" xfId="877" xr:uid="{00000000-0005-0000-0000-0000DE030000}"/>
    <cellStyle name="Normal 9" xfId="58" xr:uid="{00000000-0005-0000-0000-0000DF030000}"/>
    <cellStyle name="Normal 9 2" xfId="725" xr:uid="{00000000-0005-0000-0000-0000E0030000}"/>
    <cellStyle name="Normal 9 3" xfId="724" xr:uid="{00000000-0005-0000-0000-0000E1030000}"/>
    <cellStyle name="Note 10" xfId="726" xr:uid="{00000000-0005-0000-0000-0000E2030000}"/>
    <cellStyle name="Note 10 2" xfId="727" xr:uid="{00000000-0005-0000-0000-0000E3030000}"/>
    <cellStyle name="Note 11" xfId="728" xr:uid="{00000000-0005-0000-0000-0000E4030000}"/>
    <cellStyle name="Note 11 2" xfId="729" xr:uid="{00000000-0005-0000-0000-0000E5030000}"/>
    <cellStyle name="Note 12" xfId="730" xr:uid="{00000000-0005-0000-0000-0000E6030000}"/>
    <cellStyle name="Note 12 2" xfId="731" xr:uid="{00000000-0005-0000-0000-0000E7030000}"/>
    <cellStyle name="Note 13" xfId="732" xr:uid="{00000000-0005-0000-0000-0000E8030000}"/>
    <cellStyle name="Note 13 2" xfId="733" xr:uid="{00000000-0005-0000-0000-0000E9030000}"/>
    <cellStyle name="Note 14" xfId="734" xr:uid="{00000000-0005-0000-0000-0000EA030000}"/>
    <cellStyle name="Note 14 2" xfId="735" xr:uid="{00000000-0005-0000-0000-0000EB030000}"/>
    <cellStyle name="Note 15" xfId="736" xr:uid="{00000000-0005-0000-0000-0000EC030000}"/>
    <cellStyle name="Note 15 2" xfId="737" xr:uid="{00000000-0005-0000-0000-0000ED030000}"/>
    <cellStyle name="Note 16" xfId="738" xr:uid="{00000000-0005-0000-0000-0000EE030000}"/>
    <cellStyle name="Note 16 2" xfId="739" xr:uid="{00000000-0005-0000-0000-0000EF030000}"/>
    <cellStyle name="Note 17" xfId="740" xr:uid="{00000000-0005-0000-0000-0000F0030000}"/>
    <cellStyle name="Note 17 2" xfId="741" xr:uid="{00000000-0005-0000-0000-0000F1030000}"/>
    <cellStyle name="Note 18" xfId="742" xr:uid="{00000000-0005-0000-0000-0000F2030000}"/>
    <cellStyle name="Note 18 2" xfId="743" xr:uid="{00000000-0005-0000-0000-0000F3030000}"/>
    <cellStyle name="Note 19" xfId="744" xr:uid="{00000000-0005-0000-0000-0000F4030000}"/>
    <cellStyle name="Note 19 2" xfId="745" xr:uid="{00000000-0005-0000-0000-0000F5030000}"/>
    <cellStyle name="Note 2" xfId="746" xr:uid="{00000000-0005-0000-0000-0000F6030000}"/>
    <cellStyle name="Note 2 2" xfId="747" xr:uid="{00000000-0005-0000-0000-0000F7030000}"/>
    <cellStyle name="Note 20" xfId="748" xr:uid="{00000000-0005-0000-0000-0000F8030000}"/>
    <cellStyle name="Note 20 2" xfId="749" xr:uid="{00000000-0005-0000-0000-0000F9030000}"/>
    <cellStyle name="Note 21" xfId="750" xr:uid="{00000000-0005-0000-0000-0000FA030000}"/>
    <cellStyle name="Note 21 2" xfId="751" xr:uid="{00000000-0005-0000-0000-0000FB030000}"/>
    <cellStyle name="Note 3" xfId="752" xr:uid="{00000000-0005-0000-0000-0000FC030000}"/>
    <cellStyle name="Note 3 2" xfId="753" xr:uid="{00000000-0005-0000-0000-0000FD030000}"/>
    <cellStyle name="Note 4" xfId="754" xr:uid="{00000000-0005-0000-0000-0000FE030000}"/>
    <cellStyle name="Note 4 2" xfId="755" xr:uid="{00000000-0005-0000-0000-0000FF030000}"/>
    <cellStyle name="Note 5" xfId="756" xr:uid="{00000000-0005-0000-0000-000000040000}"/>
    <cellStyle name="Note 5 2" xfId="757" xr:uid="{00000000-0005-0000-0000-000001040000}"/>
    <cellStyle name="Note 6" xfId="758" xr:uid="{00000000-0005-0000-0000-000002040000}"/>
    <cellStyle name="Note 6 2" xfId="759" xr:uid="{00000000-0005-0000-0000-000003040000}"/>
    <cellStyle name="Note 7" xfId="760" xr:uid="{00000000-0005-0000-0000-000004040000}"/>
    <cellStyle name="Note 7 2" xfId="761" xr:uid="{00000000-0005-0000-0000-000005040000}"/>
    <cellStyle name="Note 8" xfId="762" xr:uid="{00000000-0005-0000-0000-000006040000}"/>
    <cellStyle name="Note 8 2" xfId="763" xr:uid="{00000000-0005-0000-0000-000007040000}"/>
    <cellStyle name="Note 9" xfId="764" xr:uid="{00000000-0005-0000-0000-000008040000}"/>
    <cellStyle name="Note 9 2" xfId="765" xr:uid="{00000000-0005-0000-0000-000009040000}"/>
    <cellStyle name="Output 2" xfId="766" xr:uid="{00000000-0005-0000-0000-00000A040000}"/>
    <cellStyle name="Percent" xfId="2" builtinId="5"/>
    <cellStyle name="Percent 12" xfId="53" xr:uid="{00000000-0005-0000-0000-00000C040000}"/>
    <cellStyle name="Percent 2" xfId="30" xr:uid="{00000000-0005-0000-0000-00000D040000}"/>
    <cellStyle name="Percent 2 10" xfId="876" xr:uid="{00000000-0005-0000-0000-00000E040000}"/>
    <cellStyle name="Percent 2 2" xfId="6" xr:uid="{00000000-0005-0000-0000-00000F040000}"/>
    <cellStyle name="Percent 2 2 2" xfId="15" xr:uid="{00000000-0005-0000-0000-000010040000}"/>
    <cellStyle name="Percent 2 2 2 2" xfId="127" xr:uid="{00000000-0005-0000-0000-000011040000}"/>
    <cellStyle name="Percent 2 2 2 2 2" xfId="963" xr:uid="{00000000-0005-0000-0000-000012040000}"/>
    <cellStyle name="Percent 2 2 2 3" xfId="909" xr:uid="{00000000-0005-0000-0000-000013040000}"/>
    <cellStyle name="Percent 2 2 2 4" xfId="69" xr:uid="{00000000-0005-0000-0000-000014040000}"/>
    <cellStyle name="Percent 2 2 3" xfId="102" xr:uid="{00000000-0005-0000-0000-000015040000}"/>
    <cellStyle name="Percent 2 2 3 2" xfId="938" xr:uid="{00000000-0005-0000-0000-000016040000}"/>
    <cellStyle name="Percent 2 2 4" xfId="783" xr:uid="{00000000-0005-0000-0000-000017040000}"/>
    <cellStyle name="Percent 2 2 4 2" xfId="1019" xr:uid="{00000000-0005-0000-0000-000018040000}"/>
    <cellStyle name="Percent 2 2 5" xfId="820" xr:uid="{00000000-0005-0000-0000-000019040000}"/>
    <cellStyle name="Percent 2 2 5 2" xfId="1051" xr:uid="{00000000-0005-0000-0000-00001A040000}"/>
    <cellStyle name="Percent 2 2 6" xfId="857" xr:uid="{00000000-0005-0000-0000-00001B040000}"/>
    <cellStyle name="Percent 2 2 6 2" xfId="1088" xr:uid="{00000000-0005-0000-0000-00001C040000}"/>
    <cellStyle name="Percent 2 2 7" xfId="873" xr:uid="{00000000-0005-0000-0000-00001D040000}"/>
    <cellStyle name="Percent 2 2 8" xfId="864" xr:uid="{00000000-0005-0000-0000-00001E040000}"/>
    <cellStyle name="Percent 2 2 9" xfId="27" xr:uid="{00000000-0005-0000-0000-00001F040000}"/>
    <cellStyle name="Percent 2 3" xfId="46" xr:uid="{00000000-0005-0000-0000-000020040000}"/>
    <cellStyle name="Percent 2 3 2" xfId="113" xr:uid="{00000000-0005-0000-0000-000021040000}"/>
    <cellStyle name="Percent 2 3 2 2" xfId="949" xr:uid="{00000000-0005-0000-0000-000022040000}"/>
    <cellStyle name="Percent 2 3 3" xfId="784" xr:uid="{00000000-0005-0000-0000-000023040000}"/>
    <cellStyle name="Percent 2 3 3 2" xfId="1020" xr:uid="{00000000-0005-0000-0000-000024040000}"/>
    <cellStyle name="Percent 2 3 4" xfId="858" xr:uid="{00000000-0005-0000-0000-000025040000}"/>
    <cellStyle name="Percent 2 3 4 2" xfId="1089" xr:uid="{00000000-0005-0000-0000-000026040000}"/>
    <cellStyle name="Percent 2 3 5" xfId="891" xr:uid="{00000000-0005-0000-0000-000027040000}"/>
    <cellStyle name="Percent 2 4" xfId="72" xr:uid="{00000000-0005-0000-0000-000028040000}"/>
    <cellStyle name="Percent 2 4 2" xfId="130" xr:uid="{00000000-0005-0000-0000-000029040000}"/>
    <cellStyle name="Percent 2 4 2 2" xfId="966" xr:uid="{00000000-0005-0000-0000-00002A040000}"/>
    <cellStyle name="Percent 2 4 3" xfId="912" xr:uid="{00000000-0005-0000-0000-00002B040000}"/>
    <cellStyle name="Percent 2 5" xfId="87" xr:uid="{00000000-0005-0000-0000-00002C040000}"/>
    <cellStyle name="Percent 2 6" xfId="105" xr:uid="{00000000-0005-0000-0000-00002D040000}"/>
    <cellStyle name="Percent 2 6 2" xfId="941" xr:uid="{00000000-0005-0000-0000-00002E040000}"/>
    <cellStyle name="Percent 2 7" xfId="767" xr:uid="{00000000-0005-0000-0000-00002F040000}"/>
    <cellStyle name="Percent 2 7 2" xfId="1008" xr:uid="{00000000-0005-0000-0000-000030040000}"/>
    <cellStyle name="Percent 2 8" xfId="800" xr:uid="{00000000-0005-0000-0000-000031040000}"/>
    <cellStyle name="Percent 2 8 2" xfId="1033" xr:uid="{00000000-0005-0000-0000-000032040000}"/>
    <cellStyle name="Percent 2 9" xfId="833" xr:uid="{00000000-0005-0000-0000-000033040000}"/>
    <cellStyle name="Percent 2 9 2" xfId="1064" xr:uid="{00000000-0005-0000-0000-000034040000}"/>
    <cellStyle name="Percent 3" xfId="61" xr:uid="{00000000-0005-0000-0000-000035040000}"/>
    <cellStyle name="Percent 3 2" xfId="119" xr:uid="{00000000-0005-0000-0000-000036040000}"/>
    <cellStyle name="Percent 3 2 2" xfId="769" xr:uid="{00000000-0005-0000-0000-000037040000}"/>
    <cellStyle name="Percent 3 2 3" xfId="955" xr:uid="{00000000-0005-0000-0000-000038040000}"/>
    <cellStyle name="Percent 3 3" xfId="768" xr:uid="{00000000-0005-0000-0000-000039040000}"/>
    <cellStyle name="Percent 3 4" xfId="901" xr:uid="{00000000-0005-0000-0000-00003A040000}"/>
    <cellStyle name="Percent 4" xfId="85" xr:uid="{00000000-0005-0000-0000-00003B040000}"/>
    <cellStyle name="Percent 4 2" xfId="821" xr:uid="{00000000-0005-0000-0000-00003C040000}"/>
    <cellStyle name="Percent 4 2 2" xfId="1052" xr:uid="{00000000-0005-0000-0000-00003D040000}"/>
    <cellStyle name="Percent 4 3" xfId="925" xr:uid="{00000000-0005-0000-0000-00003E040000}"/>
    <cellStyle name="Percent 5" xfId="91" xr:uid="{00000000-0005-0000-0000-00003F040000}"/>
    <cellStyle name="Percent 5 2" xfId="930" xr:uid="{00000000-0005-0000-0000-000040040000}"/>
    <cellStyle name="Percent 6" xfId="140" xr:uid="{00000000-0005-0000-0000-000041040000}"/>
    <cellStyle name="Percent 6 2" xfId="976" xr:uid="{00000000-0005-0000-0000-000042040000}"/>
    <cellStyle name="Title 2" xfId="770" xr:uid="{00000000-0005-0000-0000-000043040000}"/>
    <cellStyle name="Total 2" xfId="771" xr:uid="{00000000-0005-0000-0000-000044040000}"/>
    <cellStyle name="Warning Text 2" xfId="772" xr:uid="{00000000-0005-0000-0000-000045040000}"/>
  </cellStyles>
  <dxfs count="4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FF00"/>
      </font>
      <fill>
        <patternFill>
          <bgColor theme="0"/>
        </patternFill>
      </fill>
    </dxf>
    <dxf>
      <font>
        <color rgb="FF92D05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2D050"/>
      </font>
    </dxf>
    <dxf>
      <font>
        <color rgb="FFFFC000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rgb="FFFFFF00"/>
      </font>
    </dxf>
    <dxf>
      <font>
        <color rgb="FFFF0000"/>
      </font>
    </dxf>
    <dxf>
      <font>
        <color rgb="FFFFC000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FF00"/>
      </font>
      <fill>
        <patternFill>
          <bgColor theme="0"/>
        </patternFill>
      </fill>
    </dxf>
    <dxf>
      <font>
        <color rgb="FF92D05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2D050"/>
      </font>
    </dxf>
    <dxf>
      <font>
        <color rgb="FFFFC000"/>
      </font>
      <fill>
        <patternFill patternType="none">
          <bgColor auto="1"/>
        </patternFill>
      </fill>
    </dxf>
    <dxf>
      <font>
        <color theme="5" tint="-0.24994659260841701"/>
      </font>
    </dxf>
    <dxf>
      <font>
        <color rgb="FFFFFF00"/>
      </font>
    </dxf>
    <dxf>
      <font>
        <color rgb="FFFF0000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60066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Branch'!$X$3</c:f>
              <c:strCache>
                <c:ptCount val="1"/>
                <c:pt idx="0">
                  <c:v>CASA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0">
                      <a:schemeClr val="accent2">
                        <a:lumMod val="89000"/>
                      </a:schemeClr>
                    </a:gs>
                    <a:gs pos="23000">
                      <a:schemeClr val="accent2">
                        <a:lumMod val="89000"/>
                      </a:schemeClr>
                    </a:gs>
                    <a:gs pos="69000">
                      <a:schemeClr val="accent2">
                        <a:lumMod val="75000"/>
                      </a:schemeClr>
                    </a:gs>
                    <a:gs pos="97000">
                      <a:schemeClr val="accent2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C530-C04B-A3D6-3B760ECA132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0">
                      <a:schemeClr val="accent2">
                        <a:lumMod val="89000"/>
                      </a:schemeClr>
                    </a:gs>
                    <a:gs pos="23000">
                      <a:schemeClr val="accent2">
                        <a:lumMod val="89000"/>
                      </a:schemeClr>
                    </a:gs>
                    <a:gs pos="69000">
                      <a:schemeClr val="accent2">
                        <a:lumMod val="75000"/>
                      </a:schemeClr>
                    </a:gs>
                    <a:gs pos="97000">
                      <a:schemeClr val="accent2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C530-C04B-A3D6-3B760ECA13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60066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 Branch'!$Y$2:$Z$2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'Calc Branch'!$Y$3:$Z$3</c:f>
              <c:numCache>
                <c:formatCode>_(* #,##0_);_(* \(#,##0\);_(* "-"_);_(@_)</c:formatCode>
                <c:ptCount val="2"/>
                <c:pt idx="0">
                  <c:v>278745.55199999997</c:v>
                </c:pt>
                <c:pt idx="1">
                  <c:v>329670.44502829551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0-C04B-A3D6-3B760ECA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09328"/>
        <c:axId val="567512048"/>
      </c:barChart>
      <c:catAx>
        <c:axId val="5675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67512048"/>
        <c:crosses val="autoZero"/>
        <c:auto val="1"/>
        <c:lblAlgn val="ctr"/>
        <c:lblOffset val="100"/>
        <c:noMultiLvlLbl val="0"/>
      </c:catAx>
      <c:valAx>
        <c:axId val="56751204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5675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60066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 Branch'!$X$4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CCA0-2540-88B0-67B6759D60B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CCA0-2540-88B0-67B6759D60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60066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 Branch'!$Y$2:$Z$2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'Calc Branch'!$Y$4:$Z$4</c:f>
              <c:numCache>
                <c:formatCode>_(* #,##0_);_(* \(#,##0\);_(* "-"_);_(@_)</c:formatCode>
                <c:ptCount val="2"/>
                <c:pt idx="0">
                  <c:v>214682.372</c:v>
                </c:pt>
                <c:pt idx="1">
                  <c:v>195649.13288157235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A0-2540-88B0-67B6759D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8418288"/>
        <c:axId val="-748412848"/>
      </c:barChart>
      <c:catAx>
        <c:axId val="-748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-748412848"/>
        <c:crosses val="autoZero"/>
        <c:auto val="1"/>
        <c:lblAlgn val="ctr"/>
        <c:lblOffset val="100"/>
        <c:noMultiLvlLbl val="0"/>
      </c:catAx>
      <c:valAx>
        <c:axId val="-74841284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-7484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7446420944718"/>
          <c:y val="1.2745526965378296E-3"/>
          <c:w val="0.60013664676929279"/>
          <c:h val="0.95614988284174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12-48AE-9909-B8525FACD5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12-48AE-9909-B8525FACD539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FF00"/>
                  </a:gs>
                  <a:gs pos="23000">
                    <a:srgbClr val="FFFF00"/>
                  </a:gs>
                  <a:gs pos="69000">
                    <a:srgbClr val="FF0000"/>
                  </a:gs>
                  <a:gs pos="97000">
                    <a:srgbClr val="FF0000"/>
                  </a:gs>
                </a:gsLst>
                <a:lin ang="108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E12-48AE-9909-B8525FACD53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E-4990-80F6-011347399FBD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12-48AE-9909-B8525FACD539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23000">
                    <a:schemeClr val="accent6">
                      <a:lumMod val="75000"/>
                    </a:schemeClr>
                  </a:gs>
                  <a:gs pos="69000">
                    <a:srgbClr val="FFFF00"/>
                  </a:gs>
                  <a:gs pos="97000">
                    <a:srgbClr val="FFFF00"/>
                  </a:gs>
                </a:gsLst>
                <a:lin ang="108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E12-48AE-9909-B8525FACD539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12-48AE-9909-B8525FACD539}"/>
              </c:ext>
            </c:extLst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E12-48AE-9909-B8525FACD539}"/>
              </c:ext>
            </c:extLst>
          </c:dPt>
          <c:dPt>
            <c:idx val="8"/>
            <c:bubble3D val="0"/>
            <c:spPr>
              <a:solidFill>
                <a:sysClr val="window" lastClr="F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12-48AE-9909-B8525FACD539}"/>
              </c:ext>
            </c:extLst>
          </c:dPt>
          <c:val>
            <c:numRef>
              <c:f>'Calc Branch'!$Z$12:$Z$20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2-48AE-9909-B8525FAC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spPr>
            <a:solidFill>
              <a:schemeClr val="tx1"/>
            </a:solidFill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FC-2541-B23E-57F44CA7A13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317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AFC-2541-B23E-57F44CA7A13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AFC-2541-B23E-57F44CA7A135}"/>
              </c:ext>
            </c:extLst>
          </c:dPt>
          <c:val>
            <c:numRef>
              <c:f>'Calc Branch'!$AA$12:$AA$14</c:f>
              <c:numCache>
                <c:formatCode>General</c:formatCode>
                <c:ptCount val="3"/>
                <c:pt idx="0">
                  <c:v>0.81169441208522775</c:v>
                </c:pt>
                <c:pt idx="1">
                  <c:v>0.2</c:v>
                </c:pt>
                <c:pt idx="2">
                  <c:v>16.988305587914773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FC-2541-B23E-57F44CA7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08873154665324E-2"/>
          <c:y val="3.8424248323757779E-2"/>
          <c:w val="0.91880047905973627"/>
          <c:h val="0.9511692023684257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0937011665819506"/>
                  <c:y val="-3.482503288917186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66006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6005730465833"/>
                      <c:h val="0.197828310949031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CFB-7E4D-A7D5-371B0B8B81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660066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'Calc Branch'!$Y$5</c:f>
              <c:numCache>
                <c:formatCode>0.0%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B-7E4D-A7D5-371B0B8B8142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'Calc Branch'!$Z$5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B-7E4D-A7D5-371B0B8B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21524656"/>
        <c:axId val="121522480"/>
      </c:barChart>
      <c:catAx>
        <c:axId val="121524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522480"/>
        <c:crosses val="autoZero"/>
        <c:auto val="1"/>
        <c:lblAlgn val="ctr"/>
        <c:lblOffset val="100"/>
        <c:noMultiLvlLbl val="0"/>
      </c:catAx>
      <c:valAx>
        <c:axId val="12152248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15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60066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00806641865302"/>
          <c:y val="0.1840048118985127"/>
          <c:w val="0.67009939682994135"/>
          <c:h val="0.64846383785360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'Calc PCM'!$W$4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726D-C94A-B6DE-771D7605C17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726D-C94A-B6DE-771D7605C1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660066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 PCM'!$X$2:$Y$2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'Calc PCM'!$X$4:$Y$4</c:f>
              <c:numCache>
                <c:formatCode>_(* #,##0_);_(* \(#,##0\);_(* "-"_);_(@_)</c:formatCode>
                <c:ptCount val="2"/>
                <c:pt idx="0">
                  <c:v>196443.96480656194</c:v>
                </c:pt>
                <c:pt idx="1">
                  <c:v>225496.45313087065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D-C94A-B6DE-771D7605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-27"/>
        <c:axId val="938548784"/>
        <c:axId val="938549328"/>
      </c:barChart>
      <c:catAx>
        <c:axId val="9385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938549328"/>
        <c:crosses val="autoZero"/>
        <c:auto val="1"/>
        <c:lblAlgn val="ctr"/>
        <c:lblOffset val="100"/>
        <c:noMultiLvlLbl val="0"/>
      </c:catAx>
      <c:valAx>
        <c:axId val="93854932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9385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60066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00806641865302"/>
          <c:y val="0.1840048118985127"/>
          <c:w val="0.67009939682994135"/>
          <c:h val="0.64846383785360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'Calc PCM'!$W$5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F9E2-654A-AA5F-0A7FFDC20930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F9E2-654A-AA5F-0A7FFDC209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660066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 PCM'!$X$2:$Y$2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'Calc PCM'!$X$5:$Y$5</c:f>
              <c:numCache>
                <c:formatCode>_(* #,##0_);_(* \(#,##0\);_(* "-"_);_(@_)</c:formatCode>
                <c:ptCount val="2"/>
                <c:pt idx="0">
                  <c:v>263918.84265581501</c:v>
                </c:pt>
                <c:pt idx="1">
                  <c:v>270539.68924336002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2-654A-AA5F-0A7FFDC2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-27"/>
        <c:axId val="938549872"/>
        <c:axId val="517316144"/>
      </c:barChart>
      <c:catAx>
        <c:axId val="9385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7316144"/>
        <c:crosses val="autoZero"/>
        <c:auto val="1"/>
        <c:lblAlgn val="ctr"/>
        <c:lblOffset val="100"/>
        <c:noMultiLvlLbl val="0"/>
      </c:catAx>
      <c:valAx>
        <c:axId val="517316144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9385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690668685040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60066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24534082652729"/>
          <c:y val="0.16480742807097842"/>
          <c:w val="0.43520052305766743"/>
          <c:h val="0.78390160702121514"/>
        </c:manualLayout>
      </c:layout>
      <c:doughnutChart>
        <c:varyColors val="1"/>
        <c:ser>
          <c:idx val="0"/>
          <c:order val="0"/>
          <c:tx>
            <c:strRef>
              <c:f>'Calc PCM'!$W$6</c:f>
              <c:strCache>
                <c:ptCount val="1"/>
                <c:pt idx="0">
                  <c:v>NTB 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78DF-4E18-A3F7-2A1C7E2D875E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78DF-4E18-A3F7-2A1C7E2D875E}"/>
              </c:ext>
            </c:extLst>
          </c:dPt>
          <c:val>
            <c:numRef>
              <c:f>'Calc PCM'!$X$6:$Y$6</c:f>
              <c:numCache>
                <c:formatCode>0.0%</c:formatCode>
                <c:ptCount val="2"/>
                <c:pt idx="0">
                  <c:v>0.16666666666666666</c:v>
                </c:pt>
                <c:pt idx="1">
                  <c:v>1.1333333333333333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DF-4E18-A3F7-2A1C7E2D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7"/>
        <c:holeSize val="66"/>
      </c:doughnutChart>
      <c:spPr>
        <a:noFill/>
        <a:ln>
          <a:noFill/>
        </a:ln>
        <a:effectLst>
          <a:outerShdw sx="1000" sy="1000" algn="ctr" rotWithShape="0">
            <a:srgbClr val="000000"/>
          </a:outerShdw>
          <a:softEdge rad="635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60066"/>
                </a:solidFill>
                <a:latin typeface="Arial Black" panose="020B0A04020102020204" pitchFamily="34" charset="0"/>
              </a:rPr>
              <a:t>FEE &amp;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793537605831646"/>
          <c:y val="0.10604287196907222"/>
          <c:w val="0.56549818938883423"/>
          <c:h val="0.8752436800363857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57E-D14E-A68F-CA26545A163F}"/>
              </c:ext>
            </c:extLst>
          </c:dPt>
          <c:dLbls>
            <c:dLbl>
              <c:idx val="0"/>
              <c:layout>
                <c:manualLayout>
                  <c:x val="-0.17095153204373734"/>
                  <c:y val="-1.143586388858914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7E-D14E-A68F-CA26545A1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660066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 PCM'!$X$7</c:f>
              <c:numCache>
                <c:formatCode>0.0%</c:formatCode>
                <c:ptCount val="1"/>
                <c:pt idx="0">
                  <c:v>1.4008180880491736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E-D14E-A68F-CA26545A16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57E-D14E-A68F-CA26545A163F}"/>
              </c:ext>
            </c:extLst>
          </c:dPt>
          <c:val>
            <c:numRef>
              <c:f>'Calc PCM'!$Y$7</c:f>
              <c:numCache>
                <c:formatCode>0.000%</c:formatCode>
                <c:ptCount val="1"/>
                <c:pt idx="0">
                  <c:v>0.59918191195082637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E-D14E-A68F-CA26545A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2725600"/>
        <c:axId val="1595619840"/>
        <c:axId val="0"/>
      </c:bar3DChart>
      <c:catAx>
        <c:axId val="12272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5619840"/>
        <c:crosses val="autoZero"/>
        <c:auto val="1"/>
        <c:lblAlgn val="ctr"/>
        <c:lblOffset val="100"/>
        <c:noMultiLvlLbl val="0"/>
      </c:catAx>
      <c:valAx>
        <c:axId val="15956198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27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Branch!A1"/><Relationship Id="rId6" Type="http://schemas.openxmlformats.org/officeDocument/2006/relationships/image" Target="../media/image3.gi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PCM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Calc Branch'!A1"/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Calc PCM'!A1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61231</xdr:colOff>
      <xdr:row>2</xdr:row>
      <xdr:rowOff>136071</xdr:rowOff>
    </xdr:from>
    <xdr:to>
      <xdr:col>2</xdr:col>
      <xdr:colOff>1253560</xdr:colOff>
      <xdr:row>2</xdr:row>
      <xdr:rowOff>890639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4" y="530678"/>
          <a:ext cx="1192329" cy="754568"/>
        </a:xfrm>
        <a:prstGeom prst="rect">
          <a:avLst/>
        </a:prstGeom>
      </xdr:spPr>
    </xdr:pic>
    <xdr:clientData/>
  </xdr:twoCellAnchor>
  <xdr:twoCellAnchor editAs="oneCell">
    <xdr:from>
      <xdr:col>2</xdr:col>
      <xdr:colOff>62596</xdr:colOff>
      <xdr:row>3</xdr:row>
      <xdr:rowOff>217714</xdr:rowOff>
    </xdr:from>
    <xdr:to>
      <xdr:col>2</xdr:col>
      <xdr:colOff>1206203</xdr:colOff>
      <xdr:row>3</xdr:row>
      <xdr:rowOff>1102177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239" y="1578428"/>
          <a:ext cx="1143607" cy="884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154781</xdr:rowOff>
    </xdr:from>
    <xdr:to>
      <xdr:col>15</xdr:col>
      <xdr:colOff>71437</xdr:colOff>
      <xdr:row>2</xdr:row>
      <xdr:rowOff>0</xdr:rowOff>
    </xdr:to>
    <xdr:sp macro="" textlink="">
      <xdr:nvSpPr>
        <xdr:cNvPr id="12" name="Rounded Rectangl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42875" y="154781"/>
          <a:ext cx="15561468" cy="47625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Arial Black" panose="020B0A04020102020204" pitchFamily="34" charset="0"/>
            </a:rPr>
            <a:t>CALCULATOR KPI BM A-B 2022</a:t>
          </a:r>
        </a:p>
      </xdr:txBody>
    </xdr:sp>
    <xdr:clientData/>
  </xdr:twoCellAnchor>
  <xdr:twoCellAnchor>
    <xdr:from>
      <xdr:col>0</xdr:col>
      <xdr:colOff>119063</xdr:colOff>
      <xdr:row>10</xdr:row>
      <xdr:rowOff>47633</xdr:rowOff>
    </xdr:from>
    <xdr:to>
      <xdr:col>5</xdr:col>
      <xdr:colOff>571500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678656</xdr:colOff>
      <xdr:row>10</xdr:row>
      <xdr:rowOff>59531</xdr:rowOff>
    </xdr:from>
    <xdr:to>
      <xdr:col>9</xdr:col>
      <xdr:colOff>785812</xdr:colOff>
      <xdr:row>19</xdr:row>
      <xdr:rowOff>154773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869157</xdr:colOff>
      <xdr:row>10</xdr:row>
      <xdr:rowOff>35720</xdr:rowOff>
    </xdr:from>
    <xdr:to>
      <xdr:col>12</xdr:col>
      <xdr:colOff>631032</xdr:colOff>
      <xdr:row>19</xdr:row>
      <xdr:rowOff>166689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762876" y="2250283"/>
          <a:ext cx="3810000" cy="2381250"/>
        </a:xfrm>
        <a:prstGeom prst="roundRect">
          <a:avLst>
            <a:gd name="adj" fmla="val 6935"/>
          </a:avLst>
        </a:prstGeom>
        <a:solidFill>
          <a:sysClr val="window" lastClr="FFFFFF"/>
        </a:solidFill>
        <a:ln w="25400"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1404939</xdr:colOff>
      <xdr:row>11</xdr:row>
      <xdr:rowOff>190500</xdr:rowOff>
    </xdr:from>
    <xdr:to>
      <xdr:col>12</xdr:col>
      <xdr:colOff>714376</xdr:colOff>
      <xdr:row>19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214312</xdr:colOff>
      <xdr:row>10</xdr:row>
      <xdr:rowOff>202406</xdr:rowOff>
    </xdr:from>
    <xdr:to>
      <xdr:col>11</xdr:col>
      <xdr:colOff>1095375</xdr:colOff>
      <xdr:row>19</xdr:row>
      <xdr:rowOff>35718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691562" y="2416969"/>
          <a:ext cx="2214563" cy="2083593"/>
        </a:xfrm>
        <a:prstGeom prst="donut">
          <a:avLst>
            <a:gd name="adj" fmla="val 9717"/>
          </a:avLst>
        </a:prstGeom>
        <a:gradFill>
          <a:gsLst>
            <a:gs pos="0">
              <a:srgbClr val="FFFF00"/>
            </a:gs>
            <a:gs pos="23000">
              <a:srgbClr val="FFFF00"/>
            </a:gs>
            <a:gs pos="69000">
              <a:srgbClr val="FF0000"/>
            </a:gs>
            <a:gs pos="97000">
              <a:srgbClr val="FF0000"/>
            </a:gs>
          </a:gsLst>
          <a:lin ang="10800000" scaled="1"/>
        </a:gradFill>
        <a:effectLst>
          <a:glow rad="228600">
            <a:schemeClr val="accent6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14300" prst="artDeco"/>
          <a:bevelB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881062</xdr:colOff>
      <xdr:row>16</xdr:row>
      <xdr:rowOff>11906</xdr:rowOff>
    </xdr:from>
    <xdr:to>
      <xdr:col>11</xdr:col>
      <xdr:colOff>464344</xdr:colOff>
      <xdr:row>17</xdr:row>
      <xdr:rowOff>130969</xdr:rowOff>
    </xdr:to>
    <xdr:sp macro="" textlink="$M$33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358312" y="3726656"/>
          <a:ext cx="916782" cy="369094"/>
        </a:xfrm>
        <a:prstGeom prst="roundRect">
          <a:avLst/>
        </a:prstGeom>
        <a:solidFill>
          <a:srgbClr val="660066"/>
        </a:solidFill>
        <a:ln>
          <a:solidFill>
            <a:schemeClr val="bg1"/>
          </a:solidFill>
        </a:ln>
        <a:effectLst>
          <a:glow rad="228600">
            <a:schemeClr val="accent6">
              <a:lumMod val="50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437D465-9B23-4FCD-8927-2168392FA6D4}" type="TxLink">
            <a:rPr lang="en-US" sz="1200" b="1" i="0" u="none" strike="noStrike">
              <a:solidFill>
                <a:schemeClr val="bg1"/>
              </a:solidFill>
              <a:latin typeface="Arial Black" panose="020B0A04020102020204" pitchFamily="34" charset="0"/>
              <a:cs typeface="Calibri Light"/>
            </a:rPr>
            <a:pPr algn="ctr"/>
            <a:t>18,0%</a:t>
          </a:fld>
          <a:endParaRPr lang="en-US" sz="12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83346</xdr:colOff>
      <xdr:row>10</xdr:row>
      <xdr:rowOff>23814</xdr:rowOff>
    </xdr:from>
    <xdr:to>
      <xdr:col>11</xdr:col>
      <xdr:colOff>1107283</xdr:colOff>
      <xdr:row>11</xdr:row>
      <xdr:rowOff>59533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560596" y="2238377"/>
          <a:ext cx="2357437" cy="28575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660066"/>
              </a:solidFill>
              <a:latin typeface="Arial Black" panose="020B0A04020102020204" pitchFamily="34" charset="0"/>
            </a:rPr>
            <a:t>BOOKING PROHAJJ</a:t>
          </a:r>
        </a:p>
      </xdr:txBody>
    </xdr:sp>
    <xdr:clientData/>
  </xdr:twoCellAnchor>
  <xdr:twoCellAnchor>
    <xdr:from>
      <xdr:col>12</xdr:col>
      <xdr:colOff>678655</xdr:colOff>
      <xdr:row>10</xdr:row>
      <xdr:rowOff>71445</xdr:rowOff>
    </xdr:from>
    <xdr:to>
      <xdr:col>15</xdr:col>
      <xdr:colOff>107156</xdr:colOff>
      <xdr:row>19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1345406</xdr:colOff>
      <xdr:row>12</xdr:row>
      <xdr:rowOff>83344</xdr:rowOff>
    </xdr:from>
    <xdr:to>
      <xdr:col>14</xdr:col>
      <xdr:colOff>773905</xdr:colOff>
      <xdr:row>19</xdr:row>
      <xdr:rowOff>121024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8577" t="23946" r="11119" b="26719"/>
        <a:stretch/>
      </xdr:blipFill>
      <xdr:spPr>
        <a:xfrm>
          <a:off x="12287250" y="2797969"/>
          <a:ext cx="2190749" cy="1787899"/>
        </a:xfrm>
        <a:prstGeom prst="rect">
          <a:avLst/>
        </a:prstGeom>
      </xdr:spPr>
    </xdr:pic>
    <xdr:clientData/>
  </xdr:twoCellAnchor>
  <xdr:twoCellAnchor>
    <xdr:from>
      <xdr:col>12</xdr:col>
      <xdr:colOff>1131094</xdr:colOff>
      <xdr:row>10</xdr:row>
      <xdr:rowOff>83343</xdr:rowOff>
    </xdr:from>
    <xdr:to>
      <xdr:col>14</xdr:col>
      <xdr:colOff>726281</xdr:colOff>
      <xdr:row>11</xdr:row>
      <xdr:rowOff>119062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2072938" y="2297906"/>
          <a:ext cx="2357437" cy="28575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660066"/>
              </a:solidFill>
              <a:latin typeface="Arial Black" panose="020B0A04020102020204" pitchFamily="34" charset="0"/>
            </a:rPr>
            <a:t>FEE &amp; SERVICES</a:t>
          </a:r>
        </a:p>
      </xdr:txBody>
    </xdr:sp>
    <xdr:clientData/>
  </xdr:twoCellAnchor>
  <xdr:twoCellAnchor>
    <xdr:from>
      <xdr:col>14</xdr:col>
      <xdr:colOff>130968</xdr:colOff>
      <xdr:row>1</xdr:row>
      <xdr:rowOff>23813</xdr:rowOff>
    </xdr:from>
    <xdr:to>
      <xdr:col>14</xdr:col>
      <xdr:colOff>1238249</xdr:colOff>
      <xdr:row>1</xdr:row>
      <xdr:rowOff>381001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835062" y="214313"/>
          <a:ext cx="1107281" cy="3571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To Table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0.39314</cdr:x>
      <cdr:y>0.42373</cdr:y>
    </cdr:from>
    <cdr:to>
      <cdr:x>0.48936</cdr:x>
      <cdr:y>0.53412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F7AF4886-19EB-4543-B881-5CBDAC4BCE32}"/>
            </a:ext>
          </a:extLst>
        </cdr:cNvPr>
        <cdr:cNvSpPr/>
      </cdr:nvSpPr>
      <cdr:spPr>
        <a:xfrm xmlns:a="http://schemas.openxmlformats.org/drawingml/2006/main">
          <a:off x="1320005" y="892974"/>
          <a:ext cx="323065" cy="232636"/>
        </a:xfrm>
        <a:prstGeom xmlns:a="http://schemas.openxmlformats.org/drawingml/2006/main" prst="ellipse">
          <a:avLst/>
        </a:prstGeom>
        <a:gradFill xmlns:a="http://schemas.openxmlformats.org/drawingml/2006/main">
          <a:gsLst>
            <a:gs pos="0">
              <a:schemeClr val="bg1"/>
            </a:gs>
            <a:gs pos="23000">
              <a:schemeClr val="accent6">
                <a:lumMod val="50000"/>
              </a:schemeClr>
            </a:gs>
            <a:gs pos="69000">
              <a:schemeClr val="tx1"/>
            </a:gs>
            <a:gs pos="97000">
              <a:schemeClr val="tx1"/>
            </a:gs>
          </a:gsLst>
          <a:path path="circle">
            <a:fillToRect l="50000" t="50000" r="50000" b="50000"/>
          </a:path>
        </a:gradFill>
        <a:ln xmlns:a="http://schemas.openxmlformats.org/drawingml/2006/main">
          <a:solidFill>
            <a:schemeClr val="accent6">
              <a:lumMod val="50000"/>
            </a:schemeClr>
          </a:solidFill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35720</xdr:colOff>
      <xdr:row>0</xdr:row>
      <xdr:rowOff>83344</xdr:rowOff>
    </xdr:from>
    <xdr:to>
      <xdr:col>15</xdr:col>
      <xdr:colOff>35719</xdr:colOff>
      <xdr:row>2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720" y="83344"/>
          <a:ext cx="15763874" cy="488156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Arial Black" panose="020B0A04020102020204" pitchFamily="34" charset="0"/>
            </a:rPr>
            <a:t>CALCULATOR KPI PCM 2022</a:t>
          </a:r>
        </a:p>
      </xdr:txBody>
    </xdr:sp>
    <xdr:clientData/>
  </xdr:twoCellAnchor>
  <xdr:twoCellAnchor>
    <xdr:from>
      <xdr:col>14</xdr:col>
      <xdr:colOff>35720</xdr:colOff>
      <xdr:row>1</xdr:row>
      <xdr:rowOff>35719</xdr:rowOff>
    </xdr:from>
    <xdr:to>
      <xdr:col>14</xdr:col>
      <xdr:colOff>1143001</xdr:colOff>
      <xdr:row>1</xdr:row>
      <xdr:rowOff>392907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3930314" y="166688"/>
          <a:ext cx="1107281" cy="3571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To Table</a:t>
          </a:r>
        </a:p>
      </xdr:txBody>
    </xdr:sp>
    <xdr:clientData/>
  </xdr:twoCellAnchor>
  <xdr:twoCellAnchor>
    <xdr:from>
      <xdr:col>1</xdr:col>
      <xdr:colOff>33228</xdr:colOff>
      <xdr:row>10</xdr:row>
      <xdr:rowOff>30887</xdr:rowOff>
    </xdr:from>
    <xdr:to>
      <xdr:col>5</xdr:col>
      <xdr:colOff>321468</xdr:colOff>
      <xdr:row>18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402064</xdr:colOff>
      <xdr:row>10</xdr:row>
      <xdr:rowOff>61057</xdr:rowOff>
    </xdr:from>
    <xdr:to>
      <xdr:col>9</xdr:col>
      <xdr:colOff>476250</xdr:colOff>
      <xdr:row>18</xdr:row>
      <xdr:rowOff>219808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964711</xdr:colOff>
      <xdr:row>14</xdr:row>
      <xdr:rowOff>36635</xdr:rowOff>
    </xdr:from>
    <xdr:to>
      <xdr:col>14</xdr:col>
      <xdr:colOff>1129817</xdr:colOff>
      <xdr:row>16</xdr:row>
      <xdr:rowOff>228674</xdr:rowOff>
    </xdr:to>
    <xdr:sp macro="" textlink="$M$30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3413886" y="3513260"/>
          <a:ext cx="1346206" cy="687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6C2162D-B9D4-4B26-8FD7-DBDCE9335850}" type="TxLink">
            <a:rPr lang="en-US" sz="2000" b="1" i="0" u="none" strike="noStrike">
              <a:solidFill>
                <a:srgbClr val="660066"/>
              </a:solidFill>
              <a:latin typeface="Arial Black" panose="020B0A04020102020204" pitchFamily="34" charset="0"/>
              <a:cs typeface="Calibri Light"/>
            </a:rPr>
            <a:pPr algn="ctr"/>
            <a:t> </a:t>
          </a:fld>
          <a:endParaRPr lang="en-US" sz="6600">
            <a:solidFill>
              <a:srgbClr val="660066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609353</xdr:colOff>
      <xdr:row>10</xdr:row>
      <xdr:rowOff>85480</xdr:rowOff>
    </xdr:from>
    <xdr:to>
      <xdr:col>12</xdr:col>
      <xdr:colOff>166687</xdr:colOff>
      <xdr:row>18</xdr:row>
      <xdr:rowOff>202912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226218</xdr:colOff>
      <xdr:row>10</xdr:row>
      <xdr:rowOff>95251</xdr:rowOff>
    </xdr:from>
    <xdr:to>
      <xdr:col>14</xdr:col>
      <xdr:colOff>1202531</xdr:colOff>
      <xdr:row>18</xdr:row>
      <xdr:rowOff>202407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0.30517</cdr:x>
      <cdr:y>0.27641</cdr:y>
    </cdr:from>
    <cdr:to>
      <cdr:x>0.79138</cdr:x>
      <cdr:y>0.86026</cdr:y>
    </cdr:to>
    <cdr:sp macro="" textlink="'Calc PCM'!$M$27">
      <cdr:nvSpPr>
        <cdr:cNvPr id="2" name="Rectangle 1"/>
        <cdr:cNvSpPr/>
      </cdr:nvSpPr>
      <cdr:spPr>
        <a:xfrm xmlns:a="http://schemas.openxmlformats.org/drawingml/2006/main">
          <a:off x="934711" y="585350"/>
          <a:ext cx="1489241" cy="12364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3C698338-3DEE-4438-A3B7-453A8BE08744}" type="TxLink">
            <a:rPr lang="en-US" sz="1600" b="1" i="0" u="none" strike="noStrike">
              <a:solidFill>
                <a:srgbClr val="660066"/>
              </a:solidFill>
              <a:latin typeface="Arial Black" panose="020B0A04020102020204" pitchFamily="34" charset="0"/>
              <a:cs typeface="Calibri Light"/>
            </a:rPr>
            <a:pPr algn="ctr"/>
            <a:t>16,7%</a:t>
          </a:fld>
          <a:endParaRPr lang="en-US" sz="2800">
            <a:solidFill>
              <a:srgbClr val="660066"/>
            </a:solidFill>
            <a:latin typeface="Arial Black" panose="020B0A040201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13608</xdr:colOff>
      <xdr:row>0</xdr:row>
      <xdr:rowOff>0</xdr:rowOff>
    </xdr:from>
    <xdr:to>
      <xdr:col>1</xdr:col>
      <xdr:colOff>1051730</xdr:colOff>
      <xdr:row>2</xdr:row>
      <xdr:rowOff>196826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8" y="0"/>
          <a:ext cx="3112114" cy="688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245806</xdr:colOff>
      <xdr:row>0</xdr:row>
      <xdr:rowOff>153629</xdr:rowOff>
    </xdr:from>
    <xdr:to>
      <xdr:col>4</xdr:col>
      <xdr:colOff>15363</xdr:colOff>
      <xdr:row>2</xdr:row>
      <xdr:rowOff>107540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392379" y="153629"/>
          <a:ext cx="1382661" cy="445524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Click To Calc</a:t>
          </a:r>
        </a:p>
      </xdr:txBody>
    </xdr:sp>
    <xdr:clientData/>
  </xdr:twoCellAnchor>
  <xdr:twoCellAnchor>
    <xdr:from>
      <xdr:col>44</xdr:col>
      <xdr:colOff>1090766</xdr:colOff>
      <xdr:row>0</xdr:row>
      <xdr:rowOff>76814</xdr:rowOff>
    </xdr:from>
    <xdr:to>
      <xdr:col>46</xdr:col>
      <xdr:colOff>354664</xdr:colOff>
      <xdr:row>6</xdr:row>
      <xdr:rowOff>57939</xdr:rowOff>
    </xdr:to>
    <xdr:sp macro="" textlink="">
      <xdr:nvSpPr>
        <xdr:cNvPr id="4" name="Down Arrow Callou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359435" y="76814"/>
          <a:ext cx="2490108" cy="1455964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Pencapaian Prohajj bisa berkurang jika sampai</a:t>
          </a:r>
          <a:r>
            <a:rPr lang="en-US" sz="1200" baseline="0"/>
            <a:t> dengan KPI FINAL (tanggal 25 bulan berikutnya) belum terbentuk nomor porsi</a:t>
          </a:r>
          <a:endParaRPr lang="en-US" sz="1200"/>
        </a:p>
      </xdr:txBody>
    </xdr:sp>
    <xdr:clientData/>
  </xdr:twoCellAnchor>
  <xdr:twoCellAnchor>
    <xdr:from>
      <xdr:col>71</xdr:col>
      <xdr:colOff>0</xdr:colOff>
      <xdr:row>0</xdr:row>
      <xdr:rowOff>0</xdr:rowOff>
    </xdr:from>
    <xdr:to>
      <xdr:col>75</xdr:col>
      <xdr:colOff>88790</xdr:colOff>
      <xdr:row>6</xdr:row>
      <xdr:rowOff>89983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2117218" y="0"/>
          <a:ext cx="3253548" cy="156482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PER SEPTEMBER</a:t>
          </a:r>
          <a:r>
            <a:rPr lang="en-US" sz="1400" baseline="0"/>
            <a:t> 2022, REFERRAL FINANCING HANYA UNTUK PRODUK KPR SAJA,</a:t>
          </a:r>
        </a:p>
        <a:p>
          <a:pPr algn="l"/>
          <a:endParaRPr lang="en-US" sz="1400" baseline="0"/>
        </a:p>
        <a:p>
          <a:pPr algn="l"/>
          <a:r>
            <a:rPr lang="en-US" sz="1400" baseline="0"/>
            <a:t>UNTUK MULTIGUNA, MENJADI POINT BOOKING RM RETAIL BUSINESS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13608</xdr:colOff>
      <xdr:row>0</xdr:row>
      <xdr:rowOff>13415</xdr:rowOff>
    </xdr:from>
    <xdr:to>
      <xdr:col>2</xdr:col>
      <xdr:colOff>455808</xdr:colOff>
      <xdr:row>3</xdr:row>
      <xdr:rowOff>40193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8" y="13415"/>
          <a:ext cx="3138714" cy="751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1382661</xdr:colOff>
      <xdr:row>1</xdr:row>
      <xdr:rowOff>204045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413697" y="0"/>
          <a:ext cx="1382661" cy="445524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Click To Calc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nts%20and%20Settings/BMI.KPO06/Desktop/Zaenah/My%20Documents/FILE%20PEMBIAYAAN/PROOFSHEET/PROFSHEET%202006/sby/Data%20Pemby%20Sby%20Apr%2004,%20Mei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MBIAYAAN (2)"/>
      <sheetName val="PEMBIAYAAN"/>
      <sheetName val="Budget"/>
      <sheetName val="LIST"/>
      <sheetName val="Sheet2"/>
      <sheetName val="Sheet5"/>
      <sheetName val="validation list"/>
      <sheetName val="Param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N904"/>
  <sheetViews>
    <sheetView zoomScale="70" zoomScaleNormal="70" workbookViewId="0">
      <selection activeCell="D9" sqref="D9"/>
    </sheetView>
  </sheetViews>
  <sheetFormatPr baseColWidth="10" defaultColWidth="8.83203125" defaultRowHeight="15" x14ac:dyDescent="0.2"/>
  <cols>
    <col min="2" max="2" width="9.1640625"/>
    <col min="3" max="3" width="20.5" customWidth="1"/>
    <col min="4" max="5" width="9.1640625"/>
    <col min="6" max="6" width="16.6640625" customWidth="1"/>
    <col min="7" max="7" width="17.6640625" customWidth="1"/>
    <col min="8" max="8" width="12.33203125" customWidth="1"/>
    <col min="11" max="11" width="12.33203125" customWidth="1"/>
    <col min="14" max="14" width="18.83203125" customWidth="1"/>
    <col min="17" max="17" width="18.83203125" customWidth="1"/>
    <col min="19" max="21" width="18.83203125" customWidth="1"/>
    <col min="35" max="35" width="12" bestFit="1" customWidth="1"/>
    <col min="36" max="36" width="13.5" bestFit="1" customWidth="1"/>
    <col min="37" max="37" width="17.1640625" bestFit="1" customWidth="1"/>
    <col min="44" max="44" width="13.5" customWidth="1"/>
    <col min="45" max="45" width="11.83203125" customWidth="1"/>
  </cols>
  <sheetData>
    <row r="1" spans="2:66" x14ac:dyDescent="0.2">
      <c r="BF1" t="s">
        <v>149</v>
      </c>
    </row>
    <row r="2" spans="2:66" ht="16" thickBot="1" x14ac:dyDescent="0.25">
      <c r="Z2" t="s">
        <v>20</v>
      </c>
      <c r="AA2" t="s">
        <v>21</v>
      </c>
      <c r="AB2" t="s">
        <v>22</v>
      </c>
      <c r="AC2" t="s">
        <v>23</v>
      </c>
      <c r="AI2" t="s">
        <v>19</v>
      </c>
      <c r="AJ2" t="s">
        <v>138</v>
      </c>
      <c r="AK2" t="s">
        <v>139</v>
      </c>
      <c r="AR2" t="s">
        <v>143</v>
      </c>
      <c r="BF2" t="s">
        <v>19</v>
      </c>
      <c r="BG2" t="s">
        <v>12</v>
      </c>
      <c r="BJ2" t="s">
        <v>19</v>
      </c>
      <c r="BK2" t="s">
        <v>150</v>
      </c>
      <c r="BM2" t="s">
        <v>19</v>
      </c>
      <c r="BN2" t="s">
        <v>151</v>
      </c>
    </row>
    <row r="3" spans="2:66" ht="75.75" customHeight="1" thickTop="1" thickBot="1" x14ac:dyDescent="0.3">
      <c r="B3">
        <v>1</v>
      </c>
      <c r="C3" s="18"/>
      <c r="F3" s="19"/>
      <c r="G3" s="20"/>
      <c r="H3" s="1"/>
      <c r="K3" s="1"/>
      <c r="N3" s="1"/>
      <c r="Q3" s="1"/>
      <c r="S3" s="1"/>
      <c r="T3" s="1"/>
      <c r="U3" s="1"/>
      <c r="W3" t="s">
        <v>0</v>
      </c>
      <c r="Z3">
        <v>0</v>
      </c>
      <c r="AA3">
        <v>0.65</v>
      </c>
      <c r="AB3">
        <v>0</v>
      </c>
      <c r="AE3" t="s">
        <v>1</v>
      </c>
      <c r="AI3" s="5">
        <v>0</v>
      </c>
      <c r="AJ3">
        <v>0</v>
      </c>
      <c r="AK3">
        <v>0</v>
      </c>
      <c r="BF3" s="1">
        <v>0</v>
      </c>
      <c r="BG3">
        <v>0</v>
      </c>
    </row>
    <row r="4" spans="2:66" ht="93" customHeight="1" thickTop="1" thickBot="1" x14ac:dyDescent="0.3">
      <c r="B4">
        <v>2</v>
      </c>
      <c r="C4" s="18"/>
      <c r="G4" s="20"/>
      <c r="H4" s="1"/>
      <c r="K4" s="1"/>
      <c r="N4" s="1"/>
      <c r="Q4" s="1"/>
      <c r="S4" s="1"/>
      <c r="T4" s="1"/>
      <c r="U4" s="1"/>
      <c r="W4" t="s">
        <v>24</v>
      </c>
      <c r="Z4">
        <v>0.65</v>
      </c>
      <c r="AA4">
        <v>0.8</v>
      </c>
      <c r="AB4">
        <v>1</v>
      </c>
      <c r="AC4" t="s">
        <v>25</v>
      </c>
      <c r="AE4" t="s">
        <v>26</v>
      </c>
      <c r="AI4" s="5">
        <v>100</v>
      </c>
      <c r="AJ4">
        <v>10</v>
      </c>
      <c r="AK4">
        <v>5</v>
      </c>
      <c r="BF4" s="1">
        <v>1</v>
      </c>
      <c r="BG4">
        <v>10</v>
      </c>
      <c r="BJ4">
        <v>100</v>
      </c>
      <c r="BK4">
        <v>10</v>
      </c>
      <c r="BM4">
        <v>100</v>
      </c>
      <c r="BN4">
        <v>1</v>
      </c>
    </row>
    <row r="5" spans="2:66" ht="22" thickTop="1" x14ac:dyDescent="0.25">
      <c r="D5" t="s">
        <v>20</v>
      </c>
      <c r="E5" t="s">
        <v>21</v>
      </c>
      <c r="F5" t="s">
        <v>22</v>
      </c>
      <c r="G5" s="20" t="s">
        <v>23</v>
      </c>
      <c r="H5" s="1"/>
      <c r="K5" s="1"/>
      <c r="N5" s="1"/>
      <c r="Q5" s="1"/>
      <c r="S5" s="1"/>
      <c r="T5" s="1"/>
      <c r="U5" s="1"/>
      <c r="Z5">
        <v>0.8</v>
      </c>
      <c r="AA5">
        <v>1</v>
      </c>
      <c r="AB5">
        <v>2</v>
      </c>
      <c r="AC5" t="s">
        <v>27</v>
      </c>
      <c r="AI5" s="5">
        <v>200</v>
      </c>
      <c r="AJ5">
        <v>20</v>
      </c>
      <c r="AK5">
        <v>10</v>
      </c>
      <c r="AS5" t="s">
        <v>144</v>
      </c>
      <c r="AV5" t="s">
        <v>145</v>
      </c>
      <c r="AY5" t="s">
        <v>146</v>
      </c>
      <c r="BB5" t="s">
        <v>147</v>
      </c>
      <c r="BF5" s="1">
        <v>2</v>
      </c>
      <c r="BG5">
        <v>20</v>
      </c>
      <c r="BJ5">
        <v>200</v>
      </c>
      <c r="BK5">
        <v>20</v>
      </c>
      <c r="BM5">
        <v>200</v>
      </c>
      <c r="BN5">
        <v>2</v>
      </c>
    </row>
    <row r="6" spans="2:66" ht="20" x14ac:dyDescent="0.2">
      <c r="D6">
        <v>0</v>
      </c>
      <c r="E6">
        <v>0.69999900000000004</v>
      </c>
      <c r="F6">
        <v>0</v>
      </c>
      <c r="G6" s="211" t="s">
        <v>416</v>
      </c>
      <c r="H6" s="1"/>
      <c r="K6" s="1"/>
      <c r="N6" s="1"/>
      <c r="Q6" s="1"/>
      <c r="S6" s="1"/>
      <c r="T6" s="1"/>
      <c r="U6" s="1"/>
      <c r="Z6">
        <v>1</v>
      </c>
      <c r="AA6">
        <v>1.2</v>
      </c>
      <c r="AB6">
        <v>3</v>
      </c>
      <c r="AC6" t="s">
        <v>28</v>
      </c>
      <c r="AI6" s="5">
        <v>300</v>
      </c>
      <c r="AJ6">
        <v>30</v>
      </c>
      <c r="AK6">
        <v>15</v>
      </c>
      <c r="AS6" s="4"/>
      <c r="AY6" s="4"/>
      <c r="BF6" s="1">
        <v>3</v>
      </c>
      <c r="BG6">
        <v>30</v>
      </c>
      <c r="BJ6">
        <v>300</v>
      </c>
      <c r="BK6">
        <v>30</v>
      </c>
      <c r="BM6">
        <v>300</v>
      </c>
      <c r="BN6">
        <v>3</v>
      </c>
    </row>
    <row r="7" spans="2:66" ht="24" x14ac:dyDescent="0.3">
      <c r="D7">
        <v>0.7</v>
      </c>
      <c r="E7">
        <v>0.8</v>
      </c>
      <c r="F7">
        <v>1</v>
      </c>
      <c r="G7" s="212" t="s">
        <v>344</v>
      </c>
      <c r="H7" s="1"/>
      <c r="K7" s="1"/>
      <c r="N7" s="1"/>
      <c r="Q7" s="1"/>
      <c r="S7" s="1"/>
      <c r="T7" s="1"/>
      <c r="U7" s="1"/>
      <c r="Z7">
        <v>1.2</v>
      </c>
      <c r="AA7">
        <v>1.5</v>
      </c>
      <c r="AB7">
        <v>4</v>
      </c>
      <c r="AC7" t="s">
        <v>29</v>
      </c>
      <c r="AI7" s="5">
        <v>400</v>
      </c>
      <c r="AJ7">
        <v>40</v>
      </c>
      <c r="AK7">
        <v>20</v>
      </c>
      <c r="AT7" s="6"/>
      <c r="AU7" s="7"/>
      <c r="AW7" s="6"/>
      <c r="AZ7" s="6"/>
      <c r="BC7" s="6"/>
      <c r="BF7" s="1">
        <v>4</v>
      </c>
      <c r="BG7">
        <v>40</v>
      </c>
      <c r="BJ7">
        <v>400</v>
      </c>
      <c r="BK7">
        <v>40</v>
      </c>
      <c r="BM7">
        <v>400</v>
      </c>
      <c r="BN7">
        <v>4</v>
      </c>
    </row>
    <row r="8" spans="2:66" ht="24" x14ac:dyDescent="0.3">
      <c r="D8">
        <v>0.8</v>
      </c>
      <c r="E8">
        <v>1</v>
      </c>
      <c r="F8">
        <v>2</v>
      </c>
      <c r="G8" s="213" t="s">
        <v>345</v>
      </c>
      <c r="H8" s="1"/>
      <c r="K8" s="1"/>
      <c r="N8" s="1"/>
      <c r="Q8" s="1"/>
      <c r="S8" s="1"/>
      <c r="T8" s="1"/>
      <c r="U8" s="1"/>
      <c r="Z8">
        <v>1.5</v>
      </c>
      <c r="AA8">
        <v>5</v>
      </c>
      <c r="AB8">
        <v>5</v>
      </c>
      <c r="AC8" t="s">
        <v>30</v>
      </c>
      <c r="AE8" t="s">
        <v>31</v>
      </c>
      <c r="AI8" s="5">
        <v>500</v>
      </c>
      <c r="AJ8">
        <v>50</v>
      </c>
      <c r="AK8">
        <v>25</v>
      </c>
      <c r="AR8" s="9">
        <v>2000</v>
      </c>
      <c r="AS8" s="9">
        <v>4000</v>
      </c>
      <c r="AT8" s="8">
        <v>0.1</v>
      </c>
      <c r="AU8" s="7"/>
      <c r="AW8" s="6">
        <v>0.05</v>
      </c>
      <c r="AY8">
        <v>4000</v>
      </c>
      <c r="AZ8" s="6">
        <v>0.1</v>
      </c>
      <c r="BB8">
        <v>4000</v>
      </c>
      <c r="BC8" s="6">
        <v>0.05</v>
      </c>
      <c r="BF8" s="1">
        <v>5</v>
      </c>
      <c r="BG8">
        <v>50</v>
      </c>
      <c r="BJ8">
        <v>500</v>
      </c>
      <c r="BK8">
        <v>50</v>
      </c>
      <c r="BM8">
        <v>500</v>
      </c>
      <c r="BN8">
        <v>5</v>
      </c>
    </row>
    <row r="9" spans="2:66" ht="24" x14ac:dyDescent="0.3">
      <c r="D9">
        <v>1</v>
      </c>
      <c r="E9">
        <v>1.2</v>
      </c>
      <c r="F9">
        <v>3</v>
      </c>
      <c r="G9" s="214" t="s">
        <v>346</v>
      </c>
      <c r="H9" s="1"/>
      <c r="K9" s="1"/>
      <c r="N9" s="1"/>
      <c r="Q9" s="1"/>
      <c r="S9" s="1"/>
      <c r="T9" s="1"/>
      <c r="U9" s="1"/>
      <c r="AE9" t="s">
        <v>32</v>
      </c>
      <c r="AI9" s="5">
        <v>600</v>
      </c>
      <c r="AJ9">
        <v>60</v>
      </c>
      <c r="AK9">
        <v>30</v>
      </c>
      <c r="AR9" s="9">
        <v>4000</v>
      </c>
      <c r="AS9" s="9">
        <v>8000</v>
      </c>
      <c r="AT9" s="8">
        <v>0.2</v>
      </c>
      <c r="AU9" s="7"/>
      <c r="AW9" s="6">
        <v>0.1</v>
      </c>
      <c r="AY9">
        <v>8000</v>
      </c>
      <c r="AZ9" s="6">
        <v>0.2</v>
      </c>
      <c r="BB9">
        <v>8000</v>
      </c>
      <c r="BC9" s="6">
        <v>0.1</v>
      </c>
      <c r="BF9" s="1">
        <v>6</v>
      </c>
      <c r="BG9">
        <v>60</v>
      </c>
      <c r="BJ9">
        <v>600</v>
      </c>
      <c r="BK9">
        <v>60</v>
      </c>
      <c r="BM9">
        <v>600</v>
      </c>
      <c r="BN9">
        <v>6</v>
      </c>
    </row>
    <row r="10" spans="2:66" ht="24" x14ac:dyDescent="0.3">
      <c r="D10">
        <v>1.2</v>
      </c>
      <c r="E10">
        <v>1.5</v>
      </c>
      <c r="F10">
        <v>4</v>
      </c>
      <c r="G10" s="215" t="s">
        <v>347</v>
      </c>
      <c r="H10" s="1"/>
      <c r="K10" s="1"/>
      <c r="N10" s="1"/>
      <c r="Q10" s="1"/>
      <c r="S10" s="1"/>
      <c r="T10" s="1"/>
      <c r="U10" s="1"/>
      <c r="AI10" s="5">
        <v>700</v>
      </c>
      <c r="AJ10">
        <v>70</v>
      </c>
      <c r="AK10">
        <v>35</v>
      </c>
      <c r="AR10" s="9">
        <v>8000</v>
      </c>
      <c r="AS10" s="3"/>
      <c r="AT10" s="8">
        <v>0.3</v>
      </c>
      <c r="AU10" s="7"/>
      <c r="AW10" s="6">
        <v>0.15</v>
      </c>
      <c r="BF10" s="1">
        <v>7</v>
      </c>
      <c r="BG10">
        <v>70</v>
      </c>
      <c r="BJ10">
        <v>700</v>
      </c>
      <c r="BK10">
        <v>70</v>
      </c>
      <c r="BM10">
        <v>700</v>
      </c>
      <c r="BN10">
        <v>7</v>
      </c>
    </row>
    <row r="11" spans="2:66" ht="24" x14ac:dyDescent="0.3">
      <c r="D11">
        <v>1.5</v>
      </c>
      <c r="E11">
        <v>5</v>
      </c>
      <c r="F11">
        <v>5</v>
      </c>
      <c r="G11" s="216" t="s">
        <v>348</v>
      </c>
      <c r="H11" s="1"/>
      <c r="K11" s="1"/>
      <c r="N11" s="1"/>
      <c r="Q11" s="1"/>
      <c r="S11" s="1"/>
      <c r="T11" s="1"/>
      <c r="U11" s="1"/>
      <c r="AI11" s="5">
        <v>800</v>
      </c>
      <c r="AJ11">
        <v>80</v>
      </c>
      <c r="AK11">
        <v>40</v>
      </c>
      <c r="AT11" s="8"/>
      <c r="BF11" s="1">
        <v>8</v>
      </c>
      <c r="BG11">
        <v>80</v>
      </c>
      <c r="BJ11">
        <v>800</v>
      </c>
      <c r="BK11">
        <v>80</v>
      </c>
      <c r="BM11">
        <v>800</v>
      </c>
      <c r="BN11">
        <v>8</v>
      </c>
    </row>
    <row r="12" spans="2:66" x14ac:dyDescent="0.2">
      <c r="H12" s="1"/>
      <c r="K12" s="1"/>
      <c r="N12" s="1"/>
      <c r="Q12" s="1"/>
      <c r="S12" s="1"/>
      <c r="T12" s="1"/>
      <c r="U12" s="1"/>
      <c r="AI12" s="5">
        <v>900</v>
      </c>
      <c r="AJ12">
        <v>90</v>
      </c>
      <c r="AK12">
        <v>45</v>
      </c>
      <c r="BF12" s="1">
        <v>9</v>
      </c>
      <c r="BG12">
        <v>90</v>
      </c>
      <c r="BJ12">
        <v>900</v>
      </c>
      <c r="BK12">
        <v>90</v>
      </c>
      <c r="BM12">
        <v>900</v>
      </c>
      <c r="BN12">
        <v>9</v>
      </c>
    </row>
    <row r="13" spans="2:66" x14ac:dyDescent="0.2">
      <c r="H13" s="1"/>
      <c r="K13" s="1"/>
      <c r="N13" s="1"/>
      <c r="Q13" s="1"/>
      <c r="S13" s="1"/>
      <c r="T13" s="1"/>
      <c r="U13" s="1"/>
      <c r="AI13" s="5">
        <v>1000</v>
      </c>
      <c r="AJ13">
        <v>100</v>
      </c>
      <c r="AK13">
        <v>50</v>
      </c>
      <c r="BF13" s="1">
        <v>10</v>
      </c>
      <c r="BG13">
        <v>100</v>
      </c>
      <c r="BJ13">
        <v>1000</v>
      </c>
      <c r="BK13">
        <v>100</v>
      </c>
      <c r="BM13">
        <v>1000</v>
      </c>
      <c r="BN13">
        <v>10</v>
      </c>
    </row>
    <row r="14" spans="2:66" x14ac:dyDescent="0.2">
      <c r="H14" s="1"/>
      <c r="K14" s="1"/>
      <c r="N14" s="1"/>
      <c r="Q14" s="1"/>
      <c r="S14" s="1"/>
      <c r="T14" s="1"/>
      <c r="U14" s="1"/>
      <c r="AI14" s="5">
        <v>1100</v>
      </c>
      <c r="AJ14">
        <v>110</v>
      </c>
      <c r="AK14">
        <v>55</v>
      </c>
      <c r="BF14" s="1">
        <v>11</v>
      </c>
      <c r="BG14">
        <v>110</v>
      </c>
      <c r="BJ14">
        <v>1100</v>
      </c>
      <c r="BK14">
        <v>110</v>
      </c>
      <c r="BM14">
        <v>1100</v>
      </c>
      <c r="BN14">
        <v>11</v>
      </c>
    </row>
    <row r="15" spans="2:66" x14ac:dyDescent="0.2">
      <c r="H15" s="1"/>
      <c r="K15" s="1"/>
      <c r="N15" s="1"/>
      <c r="Q15" s="1"/>
      <c r="S15" s="1"/>
      <c r="T15" s="1"/>
      <c r="U15" s="1"/>
      <c r="AI15" s="5">
        <v>1200</v>
      </c>
      <c r="AJ15">
        <v>120</v>
      </c>
      <c r="AK15">
        <v>60</v>
      </c>
      <c r="BF15" s="1">
        <v>12</v>
      </c>
      <c r="BG15">
        <v>120</v>
      </c>
      <c r="BJ15">
        <v>1200</v>
      </c>
      <c r="BK15">
        <v>120</v>
      </c>
      <c r="BM15">
        <v>1200</v>
      </c>
      <c r="BN15">
        <v>12</v>
      </c>
    </row>
    <row r="16" spans="2:66" x14ac:dyDescent="0.2">
      <c r="H16" s="1"/>
      <c r="K16" s="1"/>
      <c r="N16" s="1"/>
      <c r="Q16" s="1"/>
      <c r="S16" s="1"/>
      <c r="T16" s="1"/>
      <c r="U16" s="1"/>
      <c r="AI16" s="5">
        <v>1300</v>
      </c>
      <c r="AJ16">
        <v>130</v>
      </c>
      <c r="AK16">
        <v>65</v>
      </c>
      <c r="BF16" s="1">
        <v>13</v>
      </c>
      <c r="BG16">
        <v>130</v>
      </c>
      <c r="BJ16">
        <v>1300</v>
      </c>
      <c r="BK16">
        <v>130</v>
      </c>
      <c r="BM16">
        <v>1300</v>
      </c>
      <c r="BN16">
        <v>13</v>
      </c>
    </row>
    <row r="17" spans="8:66" x14ac:dyDescent="0.2">
      <c r="H17" s="1"/>
      <c r="K17" s="1"/>
      <c r="N17" s="1"/>
      <c r="Q17" s="1"/>
      <c r="S17" s="1"/>
      <c r="T17" s="1"/>
      <c r="U17" s="1"/>
      <c r="AI17" s="5">
        <v>1400</v>
      </c>
      <c r="AJ17">
        <v>140</v>
      </c>
      <c r="AK17">
        <v>70</v>
      </c>
      <c r="BF17" s="1">
        <v>14</v>
      </c>
      <c r="BG17">
        <v>140</v>
      </c>
      <c r="BJ17">
        <v>1400</v>
      </c>
      <c r="BK17">
        <v>140</v>
      </c>
      <c r="BM17">
        <v>1400</v>
      </c>
      <c r="BN17">
        <v>14</v>
      </c>
    </row>
    <row r="18" spans="8:66" x14ac:dyDescent="0.2">
      <c r="H18" s="1"/>
      <c r="K18" s="1"/>
      <c r="N18" s="1"/>
      <c r="Q18" s="1"/>
      <c r="S18" s="1"/>
      <c r="T18" s="1"/>
      <c r="U18" s="1"/>
      <c r="AI18" s="5">
        <v>1500</v>
      </c>
      <c r="AJ18">
        <v>150</v>
      </c>
      <c r="AK18">
        <v>75</v>
      </c>
      <c r="BF18" s="1">
        <v>15</v>
      </c>
      <c r="BG18">
        <v>150</v>
      </c>
      <c r="BJ18">
        <v>1500</v>
      </c>
      <c r="BK18">
        <v>150</v>
      </c>
      <c r="BM18">
        <v>1500</v>
      </c>
      <c r="BN18">
        <v>15</v>
      </c>
    </row>
    <row r="19" spans="8:66" x14ac:dyDescent="0.2">
      <c r="H19" s="1"/>
      <c r="K19" s="1"/>
      <c r="N19" s="1"/>
      <c r="Q19" s="1"/>
      <c r="S19" s="1"/>
      <c r="T19" s="1"/>
      <c r="U19" s="1"/>
      <c r="AI19" s="5">
        <v>1600</v>
      </c>
      <c r="AJ19">
        <v>160</v>
      </c>
      <c r="AK19">
        <v>80</v>
      </c>
      <c r="BF19" s="1">
        <v>16</v>
      </c>
      <c r="BG19">
        <v>160</v>
      </c>
      <c r="BJ19">
        <v>1600</v>
      </c>
      <c r="BK19">
        <v>160</v>
      </c>
      <c r="BM19">
        <v>1600</v>
      </c>
      <c r="BN19">
        <v>16</v>
      </c>
    </row>
    <row r="20" spans="8:66" x14ac:dyDescent="0.2">
      <c r="H20" s="1"/>
      <c r="K20" s="1"/>
      <c r="N20" s="1"/>
      <c r="Q20" s="1"/>
      <c r="S20" s="1"/>
      <c r="T20" s="1"/>
      <c r="U20" s="1"/>
      <c r="AI20" s="5">
        <v>1700</v>
      </c>
      <c r="AJ20">
        <v>170</v>
      </c>
      <c r="AK20">
        <v>85</v>
      </c>
      <c r="BF20" s="1">
        <v>17</v>
      </c>
      <c r="BG20">
        <v>170</v>
      </c>
      <c r="BJ20">
        <v>1700</v>
      </c>
      <c r="BK20">
        <v>170</v>
      </c>
      <c r="BM20">
        <v>1700</v>
      </c>
      <c r="BN20">
        <v>17</v>
      </c>
    </row>
    <row r="21" spans="8:66" x14ac:dyDescent="0.2">
      <c r="H21" s="1"/>
      <c r="K21" s="1"/>
      <c r="N21" s="1"/>
      <c r="Q21" s="1"/>
      <c r="S21" s="1"/>
      <c r="T21" s="1"/>
      <c r="U21" s="1"/>
      <c r="AI21" s="5">
        <v>1800</v>
      </c>
      <c r="AJ21">
        <v>180</v>
      </c>
      <c r="AK21">
        <v>90</v>
      </c>
      <c r="BF21" s="1">
        <v>18</v>
      </c>
      <c r="BG21">
        <v>180</v>
      </c>
      <c r="BJ21">
        <v>1800</v>
      </c>
      <c r="BK21">
        <v>180</v>
      </c>
      <c r="BM21">
        <v>1800</v>
      </c>
      <c r="BN21">
        <v>18</v>
      </c>
    </row>
    <row r="22" spans="8:66" x14ac:dyDescent="0.2">
      <c r="H22" s="1"/>
      <c r="K22" s="1"/>
      <c r="N22" s="1"/>
      <c r="Q22" s="1"/>
      <c r="S22" s="1"/>
      <c r="T22" s="1"/>
      <c r="U22" s="1"/>
      <c r="AI22" s="5">
        <v>1900</v>
      </c>
      <c r="AJ22">
        <v>190</v>
      </c>
      <c r="AK22">
        <v>95</v>
      </c>
      <c r="BF22" s="1">
        <v>19</v>
      </c>
      <c r="BG22">
        <v>190</v>
      </c>
      <c r="BJ22">
        <v>1900</v>
      </c>
      <c r="BK22">
        <v>190</v>
      </c>
      <c r="BM22">
        <v>1900</v>
      </c>
      <c r="BN22">
        <v>19</v>
      </c>
    </row>
    <row r="23" spans="8:66" x14ac:dyDescent="0.2">
      <c r="H23" s="1"/>
      <c r="K23" s="1"/>
      <c r="N23" s="1"/>
      <c r="Q23" s="1"/>
      <c r="S23" s="1"/>
      <c r="T23" s="1"/>
      <c r="U23" s="1"/>
      <c r="AI23" s="5">
        <v>2000</v>
      </c>
      <c r="AJ23">
        <v>200</v>
      </c>
      <c r="AK23">
        <v>100</v>
      </c>
      <c r="BF23" s="1">
        <v>20</v>
      </c>
      <c r="BG23">
        <v>200</v>
      </c>
      <c r="BJ23">
        <v>2000</v>
      </c>
      <c r="BK23">
        <v>200</v>
      </c>
      <c r="BM23">
        <v>2000</v>
      </c>
      <c r="BN23">
        <v>20</v>
      </c>
    </row>
    <row r="24" spans="8:66" x14ac:dyDescent="0.2">
      <c r="H24" s="1"/>
      <c r="K24" s="1"/>
      <c r="N24" s="1"/>
      <c r="Q24" s="1"/>
      <c r="S24" s="1"/>
      <c r="T24" s="1"/>
      <c r="U24" s="1"/>
      <c r="AI24" s="5">
        <v>2100</v>
      </c>
      <c r="AJ24">
        <v>210</v>
      </c>
      <c r="AK24">
        <v>105</v>
      </c>
      <c r="BF24" s="1">
        <v>21</v>
      </c>
      <c r="BG24">
        <v>210</v>
      </c>
      <c r="BJ24">
        <v>2100</v>
      </c>
      <c r="BK24">
        <v>210</v>
      </c>
      <c r="BM24">
        <v>2100</v>
      </c>
      <c r="BN24">
        <v>21</v>
      </c>
    </row>
    <row r="25" spans="8:66" x14ac:dyDescent="0.2">
      <c r="H25" s="1"/>
      <c r="K25" s="1"/>
      <c r="N25" s="1"/>
      <c r="Q25" s="1"/>
      <c r="S25" s="1"/>
      <c r="T25" s="1"/>
      <c r="U25" s="1"/>
      <c r="AI25" s="5">
        <v>2200</v>
      </c>
      <c r="AJ25">
        <v>220</v>
      </c>
      <c r="AK25">
        <v>110</v>
      </c>
      <c r="BF25" s="1">
        <v>22</v>
      </c>
      <c r="BG25">
        <v>220</v>
      </c>
      <c r="BJ25">
        <v>2200</v>
      </c>
      <c r="BK25">
        <v>220</v>
      </c>
      <c r="BM25">
        <v>2200</v>
      </c>
      <c r="BN25">
        <v>22</v>
      </c>
    </row>
    <row r="26" spans="8:66" x14ac:dyDescent="0.2">
      <c r="H26" s="1"/>
      <c r="K26" s="1"/>
      <c r="N26" s="1"/>
      <c r="Q26" s="1"/>
      <c r="S26" s="1"/>
      <c r="T26" s="1"/>
      <c r="U26" s="1"/>
      <c r="AI26" s="5">
        <v>2300</v>
      </c>
      <c r="AJ26">
        <v>230</v>
      </c>
      <c r="AK26">
        <v>115</v>
      </c>
      <c r="BF26" s="1">
        <v>23</v>
      </c>
      <c r="BG26">
        <v>230</v>
      </c>
      <c r="BJ26">
        <v>2300</v>
      </c>
      <c r="BK26">
        <v>230</v>
      </c>
      <c r="BM26">
        <v>2300</v>
      </c>
      <c r="BN26">
        <v>23</v>
      </c>
    </row>
    <row r="27" spans="8:66" x14ac:dyDescent="0.2">
      <c r="H27" s="1"/>
      <c r="K27" s="1"/>
      <c r="N27" s="1"/>
      <c r="Q27" s="1"/>
      <c r="S27" s="1"/>
      <c r="T27" s="1"/>
      <c r="U27" s="1"/>
      <c r="AI27" s="5">
        <v>2400</v>
      </c>
      <c r="AJ27">
        <v>240</v>
      </c>
      <c r="AK27">
        <v>120</v>
      </c>
      <c r="BF27" s="1">
        <v>24</v>
      </c>
      <c r="BG27">
        <v>240</v>
      </c>
      <c r="BJ27">
        <v>2400</v>
      </c>
      <c r="BK27">
        <v>240</v>
      </c>
      <c r="BM27">
        <v>2400</v>
      </c>
      <c r="BN27">
        <v>24</v>
      </c>
    </row>
    <row r="28" spans="8:66" x14ac:dyDescent="0.2">
      <c r="H28" s="1"/>
      <c r="K28" s="1"/>
      <c r="N28" s="1"/>
      <c r="Q28" s="1"/>
      <c r="S28" s="1"/>
      <c r="T28" s="1"/>
      <c r="U28" s="1"/>
      <c r="AI28" s="5">
        <v>2500</v>
      </c>
      <c r="AJ28">
        <v>250</v>
      </c>
      <c r="AK28">
        <v>125</v>
      </c>
      <c r="BF28" s="1">
        <v>25</v>
      </c>
      <c r="BG28">
        <v>250</v>
      </c>
      <c r="BJ28">
        <v>2500</v>
      </c>
      <c r="BK28">
        <v>250</v>
      </c>
      <c r="BM28">
        <v>2500</v>
      </c>
      <c r="BN28">
        <v>25</v>
      </c>
    </row>
    <row r="29" spans="8:66" x14ac:dyDescent="0.2">
      <c r="H29" s="1"/>
      <c r="K29" s="1"/>
      <c r="N29" s="1"/>
      <c r="Q29" s="1"/>
      <c r="S29" s="1"/>
      <c r="T29" s="1"/>
      <c r="U29" s="1"/>
      <c r="AI29" s="5">
        <v>2600</v>
      </c>
      <c r="AJ29">
        <v>260</v>
      </c>
      <c r="AK29">
        <v>130</v>
      </c>
      <c r="BF29" s="1">
        <v>26</v>
      </c>
      <c r="BG29">
        <v>260</v>
      </c>
      <c r="BJ29">
        <v>2600</v>
      </c>
      <c r="BK29">
        <v>260</v>
      </c>
      <c r="BM29">
        <v>2600</v>
      </c>
      <c r="BN29">
        <v>26</v>
      </c>
    </row>
    <row r="30" spans="8:66" x14ac:dyDescent="0.2">
      <c r="H30" s="1"/>
      <c r="K30" s="1"/>
      <c r="N30" s="1"/>
      <c r="Q30" s="1"/>
      <c r="S30" s="1"/>
      <c r="T30" s="1"/>
      <c r="U30" s="1"/>
      <c r="AI30" s="5">
        <v>2700</v>
      </c>
      <c r="AJ30">
        <v>270</v>
      </c>
      <c r="AK30">
        <v>135</v>
      </c>
      <c r="BF30" s="1">
        <v>27</v>
      </c>
      <c r="BG30">
        <v>270</v>
      </c>
      <c r="BJ30">
        <v>2700</v>
      </c>
      <c r="BK30">
        <v>270</v>
      </c>
      <c r="BM30">
        <v>2700</v>
      </c>
      <c r="BN30">
        <v>27</v>
      </c>
    </row>
    <row r="31" spans="8:66" x14ac:dyDescent="0.2">
      <c r="H31" s="1"/>
      <c r="K31" s="1"/>
      <c r="N31" s="1"/>
      <c r="Q31" s="1"/>
      <c r="S31" s="1"/>
      <c r="T31" s="1"/>
      <c r="U31" s="1"/>
      <c r="AI31" s="5">
        <v>2800</v>
      </c>
      <c r="AJ31">
        <v>280</v>
      </c>
      <c r="AK31">
        <v>140</v>
      </c>
      <c r="BF31" s="1">
        <v>28</v>
      </c>
      <c r="BG31">
        <v>280</v>
      </c>
      <c r="BJ31">
        <v>2800</v>
      </c>
      <c r="BK31">
        <v>280</v>
      </c>
      <c r="BM31">
        <v>2800</v>
      </c>
      <c r="BN31">
        <v>28</v>
      </c>
    </row>
    <row r="32" spans="8:66" x14ac:dyDescent="0.2">
      <c r="H32" s="1"/>
      <c r="K32" s="1"/>
      <c r="N32" s="1"/>
      <c r="Q32" s="1"/>
      <c r="S32" s="1"/>
      <c r="T32" s="1"/>
      <c r="U32" s="1"/>
      <c r="AI32" s="5">
        <v>2900</v>
      </c>
      <c r="AJ32">
        <v>290</v>
      </c>
      <c r="AK32">
        <v>145</v>
      </c>
      <c r="BF32" s="1">
        <v>29</v>
      </c>
      <c r="BG32">
        <v>290</v>
      </c>
      <c r="BJ32">
        <v>2900</v>
      </c>
      <c r="BK32">
        <v>290</v>
      </c>
      <c r="BM32">
        <v>2900</v>
      </c>
      <c r="BN32">
        <v>29</v>
      </c>
    </row>
    <row r="33" spans="8:66" x14ac:dyDescent="0.2">
      <c r="H33" s="1"/>
      <c r="K33" s="1"/>
      <c r="N33" s="1"/>
      <c r="Q33" s="1"/>
      <c r="S33" s="1"/>
      <c r="T33" s="1"/>
      <c r="U33" s="1"/>
      <c r="AI33" s="5">
        <v>3000</v>
      </c>
      <c r="AJ33">
        <v>300</v>
      </c>
      <c r="AK33">
        <v>150</v>
      </c>
      <c r="BF33" s="1">
        <v>30</v>
      </c>
      <c r="BG33">
        <v>300</v>
      </c>
      <c r="BJ33">
        <v>3000</v>
      </c>
      <c r="BK33">
        <v>300</v>
      </c>
      <c r="BM33">
        <v>3000</v>
      </c>
      <c r="BN33">
        <v>30</v>
      </c>
    </row>
    <row r="34" spans="8:66" x14ac:dyDescent="0.2">
      <c r="H34" s="1"/>
      <c r="K34" s="1"/>
      <c r="N34" s="1"/>
      <c r="Q34" s="1"/>
      <c r="S34" s="1"/>
      <c r="T34" s="1"/>
      <c r="U34" s="1"/>
      <c r="AI34" s="5">
        <v>3100</v>
      </c>
      <c r="AJ34">
        <v>310</v>
      </c>
      <c r="AK34">
        <v>155</v>
      </c>
      <c r="BF34" s="1">
        <v>31</v>
      </c>
      <c r="BG34">
        <v>310</v>
      </c>
      <c r="BJ34">
        <v>3100</v>
      </c>
      <c r="BK34">
        <v>310</v>
      </c>
      <c r="BM34">
        <v>3100</v>
      </c>
      <c r="BN34">
        <v>31</v>
      </c>
    </row>
    <row r="35" spans="8:66" x14ac:dyDescent="0.2">
      <c r="H35" s="1"/>
      <c r="K35" s="1"/>
      <c r="N35" s="1"/>
      <c r="Q35" s="1"/>
      <c r="S35" s="1"/>
      <c r="T35" s="1"/>
      <c r="U35" s="1"/>
      <c r="AI35" s="5">
        <v>3200</v>
      </c>
      <c r="AJ35">
        <v>320</v>
      </c>
      <c r="AK35">
        <v>160</v>
      </c>
      <c r="BF35" s="1">
        <v>32</v>
      </c>
      <c r="BG35">
        <v>320</v>
      </c>
      <c r="BJ35">
        <v>3200</v>
      </c>
      <c r="BK35">
        <v>320</v>
      </c>
      <c r="BM35">
        <v>3200</v>
      </c>
      <c r="BN35">
        <v>32</v>
      </c>
    </row>
    <row r="36" spans="8:66" x14ac:dyDescent="0.2">
      <c r="H36" s="1"/>
      <c r="K36" s="1"/>
      <c r="N36" s="1"/>
      <c r="Q36" s="1"/>
      <c r="S36" s="1"/>
      <c r="T36" s="1"/>
      <c r="U36" s="1"/>
      <c r="AI36" s="5">
        <v>3300</v>
      </c>
      <c r="AJ36">
        <v>330</v>
      </c>
      <c r="AK36">
        <v>165</v>
      </c>
      <c r="BF36" s="1">
        <v>33</v>
      </c>
      <c r="BG36">
        <v>330</v>
      </c>
      <c r="BJ36">
        <v>3300</v>
      </c>
      <c r="BK36">
        <v>330</v>
      </c>
      <c r="BM36">
        <v>3300</v>
      </c>
      <c r="BN36">
        <v>33</v>
      </c>
    </row>
    <row r="37" spans="8:66" x14ac:dyDescent="0.2">
      <c r="H37" s="1"/>
      <c r="K37" s="1"/>
      <c r="N37" s="1"/>
      <c r="Q37" s="1"/>
      <c r="S37" s="1"/>
      <c r="T37" s="1"/>
      <c r="U37" s="1"/>
      <c r="AI37" s="5">
        <v>3400</v>
      </c>
      <c r="AJ37">
        <v>340</v>
      </c>
      <c r="AK37">
        <v>170</v>
      </c>
      <c r="BF37" s="1">
        <v>34</v>
      </c>
      <c r="BG37">
        <v>340</v>
      </c>
      <c r="BJ37">
        <v>3400</v>
      </c>
      <c r="BK37">
        <v>340</v>
      </c>
      <c r="BM37">
        <v>3400</v>
      </c>
      <c r="BN37">
        <v>34</v>
      </c>
    </row>
    <row r="38" spans="8:66" x14ac:dyDescent="0.2">
      <c r="H38" s="1"/>
      <c r="K38" s="1"/>
      <c r="N38" s="1"/>
      <c r="Q38" s="1"/>
      <c r="S38" s="1"/>
      <c r="T38" s="1"/>
      <c r="U38" s="1"/>
      <c r="AI38" s="5">
        <v>3500</v>
      </c>
      <c r="AJ38">
        <v>350</v>
      </c>
      <c r="AK38">
        <v>175</v>
      </c>
      <c r="BF38" s="1">
        <v>35</v>
      </c>
      <c r="BG38">
        <v>350</v>
      </c>
      <c r="BJ38">
        <v>3500</v>
      </c>
      <c r="BK38">
        <v>350</v>
      </c>
      <c r="BM38">
        <v>3500</v>
      </c>
      <c r="BN38">
        <v>35</v>
      </c>
    </row>
    <row r="39" spans="8:66" x14ac:dyDescent="0.2">
      <c r="H39" s="1"/>
      <c r="K39" s="1"/>
      <c r="N39" s="1"/>
      <c r="Q39" s="1"/>
      <c r="S39" s="1"/>
      <c r="T39" s="1"/>
      <c r="U39" s="1"/>
      <c r="AI39" s="5">
        <v>3600</v>
      </c>
      <c r="AJ39">
        <v>360</v>
      </c>
      <c r="AK39">
        <v>180</v>
      </c>
      <c r="BF39" s="1">
        <v>36</v>
      </c>
      <c r="BG39">
        <v>360</v>
      </c>
      <c r="BJ39">
        <v>3600</v>
      </c>
      <c r="BK39">
        <v>360</v>
      </c>
      <c r="BM39">
        <v>3600</v>
      </c>
      <c r="BN39">
        <v>36</v>
      </c>
    </row>
    <row r="40" spans="8:66" x14ac:dyDescent="0.2">
      <c r="H40" s="1"/>
      <c r="K40" s="1"/>
      <c r="N40" s="1"/>
      <c r="Q40" s="1"/>
      <c r="S40" s="1"/>
      <c r="T40" s="1"/>
      <c r="U40" s="1"/>
      <c r="AI40" s="5">
        <v>3700</v>
      </c>
      <c r="AJ40">
        <v>370</v>
      </c>
      <c r="AK40">
        <v>185</v>
      </c>
      <c r="BF40" s="1">
        <v>37</v>
      </c>
      <c r="BG40">
        <v>370</v>
      </c>
      <c r="BJ40">
        <v>3700</v>
      </c>
      <c r="BK40">
        <v>370</v>
      </c>
      <c r="BM40">
        <v>3700</v>
      </c>
      <c r="BN40">
        <v>37</v>
      </c>
    </row>
    <row r="41" spans="8:66" x14ac:dyDescent="0.2">
      <c r="H41" s="1"/>
      <c r="K41" s="1"/>
      <c r="N41" s="1"/>
      <c r="Q41" s="1"/>
      <c r="S41" s="1"/>
      <c r="T41" s="1"/>
      <c r="U41" s="1"/>
      <c r="AI41" s="5">
        <v>3800</v>
      </c>
      <c r="AJ41">
        <v>380</v>
      </c>
      <c r="AK41">
        <v>190</v>
      </c>
      <c r="BF41" s="1">
        <v>38</v>
      </c>
      <c r="BG41">
        <v>380</v>
      </c>
      <c r="BJ41">
        <v>3800</v>
      </c>
      <c r="BK41">
        <v>380</v>
      </c>
      <c r="BM41">
        <v>3800</v>
      </c>
      <c r="BN41">
        <v>38</v>
      </c>
    </row>
    <row r="42" spans="8:66" x14ac:dyDescent="0.2">
      <c r="H42" s="1"/>
      <c r="K42" s="1"/>
      <c r="N42" s="1"/>
      <c r="Q42" s="1"/>
      <c r="S42" s="1"/>
      <c r="T42" s="1"/>
      <c r="U42" s="1"/>
      <c r="AI42" s="5">
        <v>3900</v>
      </c>
      <c r="AJ42">
        <v>390</v>
      </c>
      <c r="AK42">
        <v>195</v>
      </c>
      <c r="BF42" s="1">
        <v>39</v>
      </c>
      <c r="BG42">
        <v>390</v>
      </c>
      <c r="BJ42">
        <v>3900</v>
      </c>
      <c r="BK42">
        <v>390</v>
      </c>
      <c r="BM42">
        <v>3900</v>
      </c>
      <c r="BN42">
        <v>39</v>
      </c>
    </row>
    <row r="43" spans="8:66" x14ac:dyDescent="0.2">
      <c r="H43" s="1"/>
      <c r="K43" s="1"/>
      <c r="N43" s="1"/>
      <c r="Q43" s="1"/>
      <c r="S43" s="1"/>
      <c r="T43" s="1"/>
      <c r="U43" s="1"/>
      <c r="AI43" s="5">
        <v>4000</v>
      </c>
      <c r="AJ43">
        <v>400</v>
      </c>
      <c r="AK43">
        <v>200</v>
      </c>
      <c r="BF43" s="1">
        <v>40</v>
      </c>
      <c r="BG43">
        <v>400</v>
      </c>
      <c r="BJ43">
        <v>4000</v>
      </c>
      <c r="BK43">
        <v>400</v>
      </c>
      <c r="BM43">
        <v>4000</v>
      </c>
      <c r="BN43">
        <v>40</v>
      </c>
    </row>
    <row r="44" spans="8:66" x14ac:dyDescent="0.2">
      <c r="H44" s="1"/>
      <c r="K44" s="1"/>
      <c r="N44" s="1"/>
      <c r="Q44" s="1"/>
      <c r="S44" s="1"/>
      <c r="T44" s="1"/>
      <c r="U44" s="1"/>
      <c r="AI44" s="5">
        <v>4100</v>
      </c>
      <c r="AJ44">
        <v>410</v>
      </c>
      <c r="AK44">
        <v>205</v>
      </c>
      <c r="BF44" s="1">
        <v>41</v>
      </c>
      <c r="BG44">
        <v>410</v>
      </c>
      <c r="BJ44">
        <v>4100</v>
      </c>
      <c r="BK44">
        <v>410</v>
      </c>
      <c r="BM44">
        <v>4100</v>
      </c>
      <c r="BN44">
        <v>41</v>
      </c>
    </row>
    <row r="45" spans="8:66" x14ac:dyDescent="0.2">
      <c r="H45" s="1"/>
      <c r="K45" s="1"/>
      <c r="N45" s="1"/>
      <c r="Q45" s="1"/>
      <c r="S45" s="1"/>
      <c r="T45" s="1"/>
      <c r="U45" s="1"/>
      <c r="AI45" s="5">
        <v>4200</v>
      </c>
      <c r="AJ45">
        <v>420</v>
      </c>
      <c r="AK45">
        <v>210</v>
      </c>
      <c r="BF45" s="1">
        <v>42</v>
      </c>
      <c r="BG45">
        <v>420</v>
      </c>
      <c r="BJ45">
        <v>4200</v>
      </c>
      <c r="BK45">
        <v>420</v>
      </c>
      <c r="BM45">
        <v>4200</v>
      </c>
      <c r="BN45">
        <v>42</v>
      </c>
    </row>
    <row r="46" spans="8:66" x14ac:dyDescent="0.2">
      <c r="H46" s="1"/>
      <c r="K46" s="1"/>
      <c r="N46" s="1"/>
      <c r="Q46" s="1"/>
      <c r="S46" s="1"/>
      <c r="T46" s="1"/>
      <c r="U46" s="1"/>
      <c r="AI46" s="5">
        <v>4300</v>
      </c>
      <c r="AJ46">
        <v>430</v>
      </c>
      <c r="AK46">
        <v>215</v>
      </c>
      <c r="BF46" s="1">
        <v>43</v>
      </c>
      <c r="BG46">
        <v>430</v>
      </c>
      <c r="BJ46">
        <v>4300</v>
      </c>
      <c r="BK46">
        <v>430</v>
      </c>
      <c r="BM46">
        <v>4300</v>
      </c>
      <c r="BN46">
        <v>43</v>
      </c>
    </row>
    <row r="47" spans="8:66" x14ac:dyDescent="0.2">
      <c r="H47" s="1"/>
      <c r="K47" s="1"/>
      <c r="N47" s="1"/>
      <c r="Q47" s="1"/>
      <c r="S47" s="1"/>
      <c r="T47" s="1"/>
      <c r="U47" s="1"/>
      <c r="AI47" s="5">
        <v>4400</v>
      </c>
      <c r="AJ47">
        <v>440</v>
      </c>
      <c r="AK47">
        <v>220</v>
      </c>
      <c r="BF47" s="1">
        <v>44</v>
      </c>
      <c r="BG47">
        <v>440</v>
      </c>
      <c r="BJ47">
        <v>4400</v>
      </c>
      <c r="BK47">
        <v>440</v>
      </c>
      <c r="BM47">
        <v>4400</v>
      </c>
      <c r="BN47">
        <v>44</v>
      </c>
    </row>
    <row r="48" spans="8:66" x14ac:dyDescent="0.2">
      <c r="H48" s="1"/>
      <c r="K48" s="1"/>
      <c r="N48" s="1"/>
      <c r="Q48" s="1"/>
      <c r="S48" s="1"/>
      <c r="T48" s="1"/>
      <c r="U48" s="1"/>
      <c r="AI48" s="5">
        <v>4500</v>
      </c>
      <c r="AJ48">
        <v>450</v>
      </c>
      <c r="AK48">
        <v>225</v>
      </c>
      <c r="BF48" s="1">
        <v>45</v>
      </c>
      <c r="BG48">
        <v>450</v>
      </c>
      <c r="BJ48">
        <v>4500</v>
      </c>
      <c r="BK48">
        <v>450</v>
      </c>
      <c r="BM48">
        <v>4500</v>
      </c>
      <c r="BN48">
        <v>45</v>
      </c>
    </row>
    <row r="49" spans="8:66" x14ac:dyDescent="0.2">
      <c r="H49" s="1"/>
      <c r="K49" s="1"/>
      <c r="N49" s="1"/>
      <c r="Q49" s="1"/>
      <c r="S49" s="1"/>
      <c r="T49" s="1"/>
      <c r="U49" s="1"/>
      <c r="AI49" s="5">
        <v>4600</v>
      </c>
      <c r="AJ49">
        <v>460</v>
      </c>
      <c r="AK49">
        <v>230</v>
      </c>
      <c r="BF49" s="1">
        <v>46</v>
      </c>
      <c r="BG49">
        <v>460</v>
      </c>
      <c r="BJ49">
        <v>4600</v>
      </c>
      <c r="BK49">
        <v>460</v>
      </c>
      <c r="BM49">
        <v>4600</v>
      </c>
      <c r="BN49">
        <v>46</v>
      </c>
    </row>
    <row r="50" spans="8:66" x14ac:dyDescent="0.2">
      <c r="H50" s="1"/>
      <c r="K50" s="1"/>
      <c r="N50" s="1"/>
      <c r="Q50" s="1"/>
      <c r="S50" s="1"/>
      <c r="T50" s="1"/>
      <c r="U50" s="1"/>
      <c r="AI50" s="5">
        <v>4700</v>
      </c>
      <c r="AJ50">
        <v>470</v>
      </c>
      <c r="AK50">
        <v>235</v>
      </c>
      <c r="BF50" s="1">
        <v>47</v>
      </c>
      <c r="BG50">
        <v>470</v>
      </c>
      <c r="BJ50">
        <v>4700</v>
      </c>
      <c r="BK50">
        <v>470</v>
      </c>
      <c r="BM50">
        <v>4700</v>
      </c>
      <c r="BN50">
        <v>47</v>
      </c>
    </row>
    <row r="51" spans="8:66" x14ac:dyDescent="0.2">
      <c r="H51" s="1"/>
      <c r="K51" s="1"/>
      <c r="N51" s="1"/>
      <c r="Q51" s="1"/>
      <c r="S51" s="1"/>
      <c r="T51" s="1"/>
      <c r="U51" s="1"/>
      <c r="AI51" s="5">
        <v>4800</v>
      </c>
      <c r="AJ51">
        <v>480</v>
      </c>
      <c r="AK51">
        <v>240</v>
      </c>
      <c r="BF51" s="1">
        <v>48</v>
      </c>
      <c r="BG51">
        <v>480</v>
      </c>
      <c r="BJ51">
        <v>4800</v>
      </c>
      <c r="BK51">
        <v>480</v>
      </c>
      <c r="BM51">
        <v>4800</v>
      </c>
      <c r="BN51">
        <v>48</v>
      </c>
    </row>
    <row r="52" spans="8:66" x14ac:dyDescent="0.2">
      <c r="H52" s="1"/>
      <c r="K52" s="1"/>
      <c r="N52" s="1"/>
      <c r="Q52" s="1"/>
      <c r="S52" s="1"/>
      <c r="T52" s="1"/>
      <c r="U52" s="1"/>
      <c r="AI52" s="5">
        <v>4900</v>
      </c>
      <c r="AJ52">
        <v>490</v>
      </c>
      <c r="AK52">
        <v>245</v>
      </c>
      <c r="BF52" s="1">
        <v>49</v>
      </c>
      <c r="BG52">
        <v>490</v>
      </c>
      <c r="BJ52">
        <v>4900</v>
      </c>
      <c r="BK52">
        <v>490</v>
      </c>
      <c r="BM52">
        <v>4900</v>
      </c>
      <c r="BN52">
        <v>49</v>
      </c>
    </row>
    <row r="53" spans="8:66" x14ac:dyDescent="0.2">
      <c r="H53" s="1"/>
      <c r="K53" s="1"/>
      <c r="N53" s="1"/>
      <c r="Q53" s="1"/>
      <c r="S53" s="1"/>
      <c r="T53" s="1"/>
      <c r="U53" s="1"/>
      <c r="AI53" s="5">
        <v>5000</v>
      </c>
      <c r="AJ53">
        <v>500</v>
      </c>
      <c r="AK53">
        <v>250</v>
      </c>
      <c r="BF53" s="1">
        <v>50</v>
      </c>
      <c r="BG53">
        <v>500</v>
      </c>
      <c r="BJ53">
        <v>5000</v>
      </c>
      <c r="BK53">
        <v>500</v>
      </c>
      <c r="BM53">
        <v>5000</v>
      </c>
      <c r="BN53">
        <v>50</v>
      </c>
    </row>
    <row r="54" spans="8:66" x14ac:dyDescent="0.2">
      <c r="H54" s="1"/>
      <c r="K54" s="1"/>
      <c r="N54" s="1"/>
      <c r="Q54" s="1"/>
      <c r="S54" s="1"/>
      <c r="T54" s="1"/>
      <c r="U54" s="1"/>
      <c r="AI54" s="5">
        <v>5100</v>
      </c>
      <c r="AJ54">
        <v>510</v>
      </c>
      <c r="AK54">
        <v>255</v>
      </c>
      <c r="BF54" s="1">
        <v>51</v>
      </c>
      <c r="BG54">
        <v>510</v>
      </c>
      <c r="BJ54">
        <v>5100</v>
      </c>
      <c r="BK54">
        <v>510</v>
      </c>
      <c r="BM54">
        <v>5100</v>
      </c>
      <c r="BN54">
        <v>51</v>
      </c>
    </row>
    <row r="55" spans="8:66" x14ac:dyDescent="0.2">
      <c r="H55" s="1"/>
      <c r="K55" s="1"/>
      <c r="N55" s="1"/>
      <c r="Q55" s="1"/>
      <c r="S55" s="1"/>
      <c r="T55" s="1"/>
      <c r="U55" s="1"/>
      <c r="AI55" s="5">
        <v>5200</v>
      </c>
      <c r="AJ55">
        <v>520</v>
      </c>
      <c r="AK55">
        <v>260</v>
      </c>
      <c r="BF55" s="1">
        <v>52</v>
      </c>
      <c r="BG55">
        <v>520</v>
      </c>
      <c r="BJ55">
        <v>5200</v>
      </c>
      <c r="BK55">
        <v>520</v>
      </c>
      <c r="BM55">
        <v>5200</v>
      </c>
      <c r="BN55">
        <v>52</v>
      </c>
    </row>
    <row r="56" spans="8:66" x14ac:dyDescent="0.2">
      <c r="H56" s="1"/>
      <c r="K56" s="1"/>
      <c r="N56" s="1"/>
      <c r="Q56" s="1"/>
      <c r="S56" s="1"/>
      <c r="T56" s="1"/>
      <c r="U56" s="1"/>
      <c r="AI56" s="5">
        <v>5300</v>
      </c>
      <c r="AJ56">
        <v>530</v>
      </c>
      <c r="AK56">
        <v>265</v>
      </c>
      <c r="BF56" s="1">
        <v>53</v>
      </c>
      <c r="BG56">
        <v>530</v>
      </c>
      <c r="BJ56">
        <v>5300</v>
      </c>
      <c r="BK56">
        <v>530</v>
      </c>
      <c r="BM56">
        <v>5300</v>
      </c>
      <c r="BN56">
        <v>53</v>
      </c>
    </row>
    <row r="57" spans="8:66" x14ac:dyDescent="0.2">
      <c r="H57" s="1"/>
      <c r="K57" s="1"/>
      <c r="N57" s="1"/>
      <c r="Q57" s="1"/>
      <c r="S57" s="1"/>
      <c r="T57" s="1"/>
      <c r="U57" s="1"/>
      <c r="AI57" s="5">
        <v>5400</v>
      </c>
      <c r="AJ57">
        <v>540</v>
      </c>
      <c r="AK57">
        <v>270</v>
      </c>
      <c r="BF57" s="1">
        <v>54</v>
      </c>
      <c r="BG57">
        <v>540</v>
      </c>
      <c r="BJ57">
        <v>5400</v>
      </c>
      <c r="BK57">
        <v>540</v>
      </c>
      <c r="BM57">
        <v>5400</v>
      </c>
      <c r="BN57">
        <v>54</v>
      </c>
    </row>
    <row r="58" spans="8:66" x14ac:dyDescent="0.2">
      <c r="H58" s="1"/>
      <c r="K58" s="1"/>
      <c r="N58" s="1"/>
      <c r="Q58" s="1"/>
      <c r="S58" s="1"/>
      <c r="T58" s="1"/>
      <c r="U58" s="1"/>
      <c r="AI58" s="5">
        <v>5500</v>
      </c>
      <c r="AJ58">
        <v>550</v>
      </c>
      <c r="AK58">
        <v>275</v>
      </c>
      <c r="BF58" s="1">
        <v>55</v>
      </c>
      <c r="BG58">
        <v>550</v>
      </c>
      <c r="BJ58">
        <v>5500</v>
      </c>
      <c r="BK58">
        <v>550</v>
      </c>
      <c r="BM58">
        <v>5500</v>
      </c>
      <c r="BN58">
        <v>55</v>
      </c>
    </row>
    <row r="59" spans="8:66" x14ac:dyDescent="0.2">
      <c r="H59" s="1"/>
      <c r="K59" s="1"/>
      <c r="N59" s="1"/>
      <c r="Q59" s="1"/>
      <c r="S59" s="1"/>
      <c r="T59" s="1"/>
      <c r="U59" s="1"/>
      <c r="AI59" s="5">
        <v>5600</v>
      </c>
      <c r="AJ59">
        <v>560</v>
      </c>
      <c r="AK59">
        <v>280</v>
      </c>
      <c r="BF59" s="1">
        <v>56</v>
      </c>
      <c r="BG59">
        <v>560</v>
      </c>
      <c r="BJ59">
        <v>5600</v>
      </c>
      <c r="BK59">
        <v>560</v>
      </c>
      <c r="BM59">
        <v>5600</v>
      </c>
      <c r="BN59">
        <v>56</v>
      </c>
    </row>
    <row r="60" spans="8:66" x14ac:dyDescent="0.2">
      <c r="H60" s="1"/>
      <c r="K60" s="1"/>
      <c r="N60" s="1"/>
      <c r="Q60" s="1"/>
      <c r="S60" s="1"/>
      <c r="T60" s="1"/>
      <c r="U60" s="1"/>
      <c r="AI60" s="5">
        <v>5700</v>
      </c>
      <c r="AJ60">
        <v>570</v>
      </c>
      <c r="AK60">
        <v>285</v>
      </c>
      <c r="BF60" s="1">
        <v>57</v>
      </c>
      <c r="BG60">
        <v>570</v>
      </c>
      <c r="BJ60">
        <v>5700</v>
      </c>
      <c r="BK60">
        <v>570</v>
      </c>
      <c r="BM60">
        <v>5700</v>
      </c>
      <c r="BN60">
        <v>57</v>
      </c>
    </row>
    <row r="61" spans="8:66" x14ac:dyDescent="0.2">
      <c r="H61" s="1"/>
      <c r="K61" s="1"/>
      <c r="N61" s="1"/>
      <c r="Q61" s="1"/>
      <c r="S61" s="1"/>
      <c r="T61" s="1"/>
      <c r="U61" s="1"/>
      <c r="AI61" s="5">
        <v>5800</v>
      </c>
      <c r="AJ61">
        <v>580</v>
      </c>
      <c r="AK61">
        <v>290</v>
      </c>
      <c r="BF61" s="1">
        <v>58</v>
      </c>
      <c r="BG61">
        <v>580</v>
      </c>
      <c r="BJ61">
        <v>5800</v>
      </c>
      <c r="BK61">
        <v>580</v>
      </c>
      <c r="BM61">
        <v>5800</v>
      </c>
      <c r="BN61">
        <v>58</v>
      </c>
    </row>
    <row r="62" spans="8:66" x14ac:dyDescent="0.2">
      <c r="H62" s="1"/>
      <c r="K62" s="1"/>
      <c r="N62" s="1"/>
      <c r="Q62" s="1"/>
      <c r="S62" s="1"/>
      <c r="T62" s="1"/>
      <c r="U62" s="1"/>
      <c r="AI62" s="5">
        <v>5900</v>
      </c>
      <c r="AJ62">
        <v>590</v>
      </c>
      <c r="AK62">
        <v>295</v>
      </c>
      <c r="BF62" s="1">
        <v>59</v>
      </c>
      <c r="BG62">
        <v>590</v>
      </c>
      <c r="BJ62">
        <v>5900</v>
      </c>
      <c r="BK62">
        <v>590</v>
      </c>
      <c r="BM62">
        <v>5900</v>
      </c>
      <c r="BN62">
        <v>59</v>
      </c>
    </row>
    <row r="63" spans="8:66" x14ac:dyDescent="0.2">
      <c r="H63" s="1"/>
      <c r="K63" s="1"/>
      <c r="N63" s="1"/>
      <c r="Q63" s="1"/>
      <c r="S63" s="1"/>
      <c r="T63" s="1"/>
      <c r="U63" s="1"/>
      <c r="AI63" s="5">
        <v>6000</v>
      </c>
      <c r="AJ63">
        <v>600</v>
      </c>
      <c r="AK63">
        <v>300</v>
      </c>
      <c r="BF63" s="1">
        <v>60</v>
      </c>
      <c r="BG63">
        <v>600</v>
      </c>
      <c r="BJ63">
        <v>6000</v>
      </c>
      <c r="BK63">
        <v>600</v>
      </c>
      <c r="BM63">
        <v>6000</v>
      </c>
      <c r="BN63">
        <v>60</v>
      </c>
    </row>
    <row r="64" spans="8:66" x14ac:dyDescent="0.2">
      <c r="H64" s="1"/>
      <c r="K64" s="1"/>
      <c r="N64" s="1"/>
      <c r="Q64" s="1"/>
      <c r="S64" s="1"/>
      <c r="T64" s="1"/>
      <c r="U64" s="1"/>
      <c r="AI64" s="5">
        <v>6100</v>
      </c>
      <c r="AJ64">
        <v>610</v>
      </c>
      <c r="AK64">
        <v>305</v>
      </c>
      <c r="BF64" s="1">
        <v>61</v>
      </c>
      <c r="BG64">
        <v>610</v>
      </c>
      <c r="BJ64">
        <v>6100</v>
      </c>
      <c r="BK64">
        <v>610</v>
      </c>
      <c r="BM64">
        <v>6100</v>
      </c>
      <c r="BN64">
        <v>61</v>
      </c>
    </row>
    <row r="65" spans="8:66" x14ac:dyDescent="0.2">
      <c r="H65" s="1"/>
      <c r="K65" s="1"/>
      <c r="N65" s="1"/>
      <c r="Q65" s="1"/>
      <c r="S65" s="1"/>
      <c r="T65" s="1"/>
      <c r="U65" s="1"/>
      <c r="AI65" s="5">
        <v>6200</v>
      </c>
      <c r="AJ65">
        <v>620</v>
      </c>
      <c r="AK65">
        <v>310</v>
      </c>
      <c r="BF65" s="1">
        <v>62</v>
      </c>
      <c r="BG65">
        <v>620</v>
      </c>
      <c r="BJ65">
        <v>6200</v>
      </c>
      <c r="BK65">
        <v>620</v>
      </c>
      <c r="BM65">
        <v>6200</v>
      </c>
      <c r="BN65">
        <v>62</v>
      </c>
    </row>
    <row r="66" spans="8:66" x14ac:dyDescent="0.2">
      <c r="H66" s="1"/>
      <c r="K66" s="1"/>
      <c r="N66" s="1"/>
      <c r="Q66" s="1"/>
      <c r="S66" s="1"/>
      <c r="T66" s="1"/>
      <c r="U66" s="1"/>
      <c r="AI66" s="5">
        <v>6300</v>
      </c>
      <c r="AJ66">
        <v>630</v>
      </c>
      <c r="AK66">
        <v>315</v>
      </c>
      <c r="BF66" s="1">
        <v>63</v>
      </c>
      <c r="BG66">
        <v>630</v>
      </c>
      <c r="BJ66">
        <v>6300</v>
      </c>
      <c r="BK66">
        <v>630</v>
      </c>
      <c r="BM66">
        <v>6300</v>
      </c>
      <c r="BN66">
        <v>63</v>
      </c>
    </row>
    <row r="67" spans="8:66" x14ac:dyDescent="0.2">
      <c r="H67" s="1"/>
      <c r="K67" s="1"/>
      <c r="N67" s="1"/>
      <c r="Q67" s="1"/>
      <c r="S67" s="1"/>
      <c r="T67" s="1"/>
      <c r="U67" s="1"/>
      <c r="AI67" s="5">
        <v>6400</v>
      </c>
      <c r="AJ67">
        <v>640</v>
      </c>
      <c r="AK67">
        <v>320</v>
      </c>
      <c r="BF67" s="1">
        <v>64</v>
      </c>
      <c r="BG67">
        <v>640</v>
      </c>
      <c r="BJ67">
        <v>6400</v>
      </c>
      <c r="BK67">
        <v>640</v>
      </c>
      <c r="BM67">
        <v>6400</v>
      </c>
      <c r="BN67">
        <v>64</v>
      </c>
    </row>
    <row r="68" spans="8:66" x14ac:dyDescent="0.2">
      <c r="H68" s="1"/>
      <c r="K68" s="1"/>
      <c r="N68" s="1"/>
      <c r="Q68" s="1"/>
      <c r="S68" s="1"/>
      <c r="T68" s="1"/>
      <c r="U68" s="1"/>
      <c r="AI68" s="5">
        <v>6500</v>
      </c>
      <c r="AJ68">
        <v>650</v>
      </c>
      <c r="AK68">
        <v>325</v>
      </c>
      <c r="BF68" s="1">
        <v>65</v>
      </c>
      <c r="BG68">
        <v>650</v>
      </c>
      <c r="BJ68">
        <v>6500</v>
      </c>
      <c r="BK68">
        <v>650</v>
      </c>
      <c r="BM68">
        <v>6500</v>
      </c>
      <c r="BN68">
        <v>65</v>
      </c>
    </row>
    <row r="69" spans="8:66" x14ac:dyDescent="0.2">
      <c r="H69" s="1"/>
      <c r="K69" s="1"/>
      <c r="N69" s="1"/>
      <c r="Q69" s="1"/>
      <c r="S69" s="1"/>
      <c r="T69" s="1"/>
      <c r="U69" s="1"/>
      <c r="AI69" s="5">
        <v>6600</v>
      </c>
      <c r="AJ69">
        <v>660</v>
      </c>
      <c r="AK69">
        <v>330</v>
      </c>
      <c r="BF69" s="1">
        <v>66</v>
      </c>
      <c r="BG69">
        <v>660</v>
      </c>
      <c r="BJ69">
        <v>6600</v>
      </c>
      <c r="BK69">
        <v>660</v>
      </c>
      <c r="BM69">
        <v>6600</v>
      </c>
      <c r="BN69">
        <v>66</v>
      </c>
    </row>
    <row r="70" spans="8:66" x14ac:dyDescent="0.2">
      <c r="H70" s="1"/>
      <c r="K70" s="1"/>
      <c r="N70" s="1"/>
      <c r="Q70" s="1"/>
      <c r="S70" s="1"/>
      <c r="T70" s="1"/>
      <c r="U70" s="1"/>
      <c r="AI70" s="5">
        <v>6700</v>
      </c>
      <c r="AJ70">
        <v>670</v>
      </c>
      <c r="AK70">
        <v>335</v>
      </c>
      <c r="BF70" s="1">
        <v>67</v>
      </c>
      <c r="BG70">
        <v>670</v>
      </c>
      <c r="BJ70">
        <v>6700</v>
      </c>
      <c r="BK70">
        <v>670</v>
      </c>
      <c r="BM70">
        <v>6700</v>
      </c>
      <c r="BN70">
        <v>67</v>
      </c>
    </row>
    <row r="71" spans="8:66" x14ac:dyDescent="0.2">
      <c r="H71" s="1"/>
      <c r="K71" s="1"/>
      <c r="N71" s="1"/>
      <c r="Q71" s="1"/>
      <c r="S71" s="1"/>
      <c r="T71" s="1"/>
      <c r="U71" s="1"/>
      <c r="AI71" s="5">
        <v>6800</v>
      </c>
      <c r="AJ71">
        <v>680</v>
      </c>
      <c r="AK71">
        <v>340</v>
      </c>
      <c r="BF71" s="1">
        <v>68</v>
      </c>
      <c r="BG71">
        <v>680</v>
      </c>
      <c r="BJ71">
        <v>6800</v>
      </c>
      <c r="BK71">
        <v>680</v>
      </c>
      <c r="BM71">
        <v>6800</v>
      </c>
      <c r="BN71">
        <v>68</v>
      </c>
    </row>
    <row r="72" spans="8:66" x14ac:dyDescent="0.2">
      <c r="H72" s="1"/>
      <c r="K72" s="1"/>
      <c r="N72" s="1"/>
      <c r="Q72" s="1"/>
      <c r="S72" s="1"/>
      <c r="T72" s="1"/>
      <c r="U72" s="1"/>
      <c r="AI72" s="5">
        <v>6900</v>
      </c>
      <c r="AJ72">
        <v>690</v>
      </c>
      <c r="AK72">
        <v>345</v>
      </c>
      <c r="BF72" s="1">
        <v>69</v>
      </c>
      <c r="BG72">
        <v>690</v>
      </c>
      <c r="BJ72">
        <v>6900</v>
      </c>
      <c r="BK72">
        <v>690</v>
      </c>
      <c r="BM72">
        <v>6900</v>
      </c>
      <c r="BN72">
        <v>69</v>
      </c>
    </row>
    <row r="73" spans="8:66" x14ac:dyDescent="0.2">
      <c r="H73" s="1"/>
      <c r="K73" s="1"/>
      <c r="N73" s="1"/>
      <c r="Q73" s="1"/>
      <c r="S73" s="1"/>
      <c r="T73" s="1"/>
      <c r="U73" s="1"/>
      <c r="AI73" s="5">
        <v>7000</v>
      </c>
      <c r="AJ73">
        <v>700</v>
      </c>
      <c r="AK73">
        <v>350</v>
      </c>
      <c r="BF73" s="1">
        <v>70</v>
      </c>
      <c r="BG73">
        <v>700</v>
      </c>
      <c r="BJ73">
        <v>7000</v>
      </c>
      <c r="BK73">
        <v>700</v>
      </c>
      <c r="BM73">
        <v>7000</v>
      </c>
      <c r="BN73">
        <v>70</v>
      </c>
    </row>
    <row r="74" spans="8:66" x14ac:dyDescent="0.2">
      <c r="H74" s="1"/>
      <c r="K74" s="1"/>
      <c r="N74" s="1"/>
      <c r="Q74" s="1"/>
      <c r="S74" s="1"/>
      <c r="T74" s="1"/>
      <c r="U74" s="1"/>
      <c r="AI74" s="5">
        <v>7100</v>
      </c>
      <c r="AJ74">
        <v>710</v>
      </c>
      <c r="AK74">
        <v>355</v>
      </c>
      <c r="BF74" s="1">
        <v>71</v>
      </c>
      <c r="BG74">
        <v>710</v>
      </c>
      <c r="BJ74">
        <v>7100</v>
      </c>
      <c r="BK74">
        <v>710</v>
      </c>
      <c r="BM74">
        <v>7100</v>
      </c>
      <c r="BN74">
        <v>71</v>
      </c>
    </row>
    <row r="75" spans="8:66" x14ac:dyDescent="0.2">
      <c r="H75" s="1"/>
      <c r="K75" s="1"/>
      <c r="N75" s="1"/>
      <c r="Q75" s="1"/>
      <c r="S75" s="1"/>
      <c r="T75" s="1"/>
      <c r="U75" s="1"/>
      <c r="AI75" s="5">
        <v>7200</v>
      </c>
      <c r="AJ75">
        <v>720</v>
      </c>
      <c r="AK75">
        <v>360</v>
      </c>
      <c r="BF75" s="1">
        <v>72</v>
      </c>
      <c r="BG75">
        <v>720</v>
      </c>
      <c r="BJ75">
        <v>7200</v>
      </c>
      <c r="BK75">
        <v>720</v>
      </c>
      <c r="BM75">
        <v>7200</v>
      </c>
      <c r="BN75">
        <v>72</v>
      </c>
    </row>
    <row r="76" spans="8:66" x14ac:dyDescent="0.2">
      <c r="H76" s="1"/>
      <c r="K76" s="1"/>
      <c r="N76" s="1"/>
      <c r="Q76" s="1"/>
      <c r="S76" s="1"/>
      <c r="T76" s="1"/>
      <c r="U76" s="1"/>
      <c r="AI76" s="5">
        <v>7300</v>
      </c>
      <c r="AJ76">
        <v>730</v>
      </c>
      <c r="AK76">
        <v>365</v>
      </c>
      <c r="BF76" s="1">
        <v>73</v>
      </c>
      <c r="BG76">
        <v>730</v>
      </c>
      <c r="BJ76">
        <v>7300</v>
      </c>
      <c r="BK76">
        <v>730</v>
      </c>
      <c r="BM76">
        <v>7300</v>
      </c>
      <c r="BN76">
        <v>73</v>
      </c>
    </row>
    <row r="77" spans="8:66" x14ac:dyDescent="0.2">
      <c r="H77" s="1"/>
      <c r="K77" s="1"/>
      <c r="N77" s="1"/>
      <c r="Q77" s="1"/>
      <c r="S77" s="1"/>
      <c r="T77" s="1"/>
      <c r="U77" s="1"/>
      <c r="AI77" s="5">
        <v>7400</v>
      </c>
      <c r="AJ77">
        <v>740</v>
      </c>
      <c r="AK77">
        <v>370</v>
      </c>
      <c r="BF77" s="1">
        <v>74</v>
      </c>
      <c r="BG77">
        <v>740</v>
      </c>
      <c r="BJ77">
        <v>7400</v>
      </c>
      <c r="BK77">
        <v>740</v>
      </c>
      <c r="BM77">
        <v>7400</v>
      </c>
      <c r="BN77">
        <v>74</v>
      </c>
    </row>
    <row r="78" spans="8:66" x14ac:dyDescent="0.2">
      <c r="H78" s="1"/>
      <c r="K78" s="1"/>
      <c r="N78" s="1"/>
      <c r="Q78" s="1"/>
      <c r="S78" s="1"/>
      <c r="T78" s="1"/>
      <c r="U78" s="1"/>
      <c r="AI78" s="5">
        <v>7500</v>
      </c>
      <c r="AJ78">
        <v>750</v>
      </c>
      <c r="AK78">
        <v>375</v>
      </c>
      <c r="BF78" s="1">
        <v>75</v>
      </c>
      <c r="BG78">
        <v>750</v>
      </c>
      <c r="BJ78">
        <v>7500</v>
      </c>
      <c r="BK78">
        <v>750</v>
      </c>
      <c r="BM78">
        <v>7500</v>
      </c>
      <c r="BN78">
        <v>75</v>
      </c>
    </row>
    <row r="79" spans="8:66" x14ac:dyDescent="0.2">
      <c r="H79" s="1"/>
      <c r="K79" s="1"/>
      <c r="N79" s="1"/>
      <c r="Q79" s="1"/>
      <c r="S79" s="1"/>
      <c r="T79" s="1"/>
      <c r="U79" s="1"/>
      <c r="AI79" s="5">
        <v>7600</v>
      </c>
      <c r="AJ79">
        <v>760</v>
      </c>
      <c r="AK79">
        <v>380</v>
      </c>
      <c r="BF79" s="1">
        <v>76</v>
      </c>
      <c r="BG79">
        <v>760</v>
      </c>
      <c r="BJ79">
        <v>7600</v>
      </c>
      <c r="BK79">
        <v>760</v>
      </c>
      <c r="BM79">
        <v>7600</v>
      </c>
      <c r="BN79">
        <v>76</v>
      </c>
    </row>
    <row r="80" spans="8:66" x14ac:dyDescent="0.2">
      <c r="H80" s="1"/>
      <c r="K80" s="1"/>
      <c r="N80" s="1"/>
      <c r="Q80" s="1"/>
      <c r="S80" s="1"/>
      <c r="T80" s="1"/>
      <c r="U80" s="1"/>
      <c r="AI80" s="5">
        <v>7700</v>
      </c>
      <c r="AJ80">
        <v>770</v>
      </c>
      <c r="AK80">
        <v>385</v>
      </c>
      <c r="BF80" s="1">
        <v>77</v>
      </c>
      <c r="BG80">
        <v>770</v>
      </c>
      <c r="BJ80">
        <v>7700</v>
      </c>
      <c r="BK80">
        <v>770</v>
      </c>
      <c r="BM80">
        <v>7700</v>
      </c>
      <c r="BN80">
        <v>77</v>
      </c>
    </row>
    <row r="81" spans="8:66" x14ac:dyDescent="0.2">
      <c r="H81" s="1"/>
      <c r="K81" s="1"/>
      <c r="N81" s="1"/>
      <c r="Q81" s="1"/>
      <c r="S81" s="1"/>
      <c r="T81" s="1"/>
      <c r="U81" s="1"/>
      <c r="AI81" s="5">
        <v>7800</v>
      </c>
      <c r="AJ81">
        <v>780</v>
      </c>
      <c r="AK81">
        <v>390</v>
      </c>
      <c r="BF81" s="1">
        <v>78</v>
      </c>
      <c r="BG81">
        <v>780</v>
      </c>
      <c r="BJ81">
        <v>7800</v>
      </c>
      <c r="BK81">
        <v>780</v>
      </c>
      <c r="BM81">
        <v>7800</v>
      </c>
      <c r="BN81">
        <v>78</v>
      </c>
    </row>
    <row r="82" spans="8:66" x14ac:dyDescent="0.2">
      <c r="H82" s="1"/>
      <c r="K82" s="1"/>
      <c r="N82" s="1"/>
      <c r="Q82" s="1"/>
      <c r="S82" s="1"/>
      <c r="T82" s="1"/>
      <c r="U82" s="1"/>
      <c r="AI82" s="5">
        <v>7900</v>
      </c>
      <c r="AJ82">
        <v>790</v>
      </c>
      <c r="AK82">
        <v>395</v>
      </c>
      <c r="BF82" s="1">
        <v>79</v>
      </c>
      <c r="BG82">
        <v>790</v>
      </c>
      <c r="BJ82">
        <v>7900</v>
      </c>
      <c r="BK82">
        <v>790</v>
      </c>
      <c r="BM82">
        <v>7900</v>
      </c>
      <c r="BN82">
        <v>79</v>
      </c>
    </row>
    <row r="83" spans="8:66" x14ac:dyDescent="0.2">
      <c r="H83" s="1"/>
      <c r="K83" s="1"/>
      <c r="N83" s="1"/>
      <c r="Q83" s="1"/>
      <c r="S83" s="1"/>
      <c r="T83" s="1"/>
      <c r="U83" s="1"/>
      <c r="AI83" s="5">
        <v>8000</v>
      </c>
      <c r="AJ83">
        <v>800</v>
      </c>
      <c r="AK83">
        <v>400</v>
      </c>
      <c r="BF83" s="1">
        <v>80</v>
      </c>
      <c r="BG83">
        <v>800</v>
      </c>
      <c r="BJ83">
        <v>8000</v>
      </c>
      <c r="BK83">
        <v>800</v>
      </c>
      <c r="BM83">
        <v>8000</v>
      </c>
      <c r="BN83">
        <v>80</v>
      </c>
    </row>
    <row r="84" spans="8:66" x14ac:dyDescent="0.2">
      <c r="H84" s="1"/>
      <c r="K84" s="1"/>
      <c r="N84" s="1"/>
      <c r="Q84" s="1"/>
      <c r="S84" s="1"/>
      <c r="T84" s="1"/>
      <c r="U84" s="1"/>
      <c r="AI84" s="5">
        <v>8100</v>
      </c>
      <c r="AJ84">
        <v>810</v>
      </c>
      <c r="AK84">
        <v>405</v>
      </c>
      <c r="BF84" s="1">
        <v>81</v>
      </c>
      <c r="BG84">
        <v>810</v>
      </c>
      <c r="BJ84">
        <v>8100</v>
      </c>
      <c r="BK84">
        <v>810</v>
      </c>
      <c r="BM84">
        <v>8100</v>
      </c>
      <c r="BN84">
        <v>81</v>
      </c>
    </row>
    <row r="85" spans="8:66" x14ac:dyDescent="0.2">
      <c r="H85" s="1"/>
      <c r="K85" s="1"/>
      <c r="N85" s="1"/>
      <c r="Q85" s="1"/>
      <c r="S85" s="1"/>
      <c r="T85" s="1"/>
      <c r="U85" s="1"/>
      <c r="AI85" s="5">
        <v>8200</v>
      </c>
      <c r="AJ85">
        <v>820</v>
      </c>
      <c r="AK85">
        <v>410</v>
      </c>
      <c r="BF85" s="1">
        <v>82</v>
      </c>
      <c r="BG85">
        <v>820</v>
      </c>
      <c r="BJ85">
        <v>8200</v>
      </c>
      <c r="BK85">
        <v>820</v>
      </c>
      <c r="BM85">
        <v>8200</v>
      </c>
      <c r="BN85">
        <v>82</v>
      </c>
    </row>
    <row r="86" spans="8:66" x14ac:dyDescent="0.2">
      <c r="H86" s="1"/>
      <c r="K86" s="1"/>
      <c r="N86" s="1"/>
      <c r="Q86" s="1"/>
      <c r="S86" s="1"/>
      <c r="T86" s="1"/>
      <c r="U86" s="1"/>
      <c r="AI86" s="5">
        <v>8300</v>
      </c>
      <c r="AJ86">
        <v>830</v>
      </c>
      <c r="AK86">
        <v>415</v>
      </c>
      <c r="BF86" s="1">
        <v>83</v>
      </c>
      <c r="BG86">
        <v>830</v>
      </c>
      <c r="BJ86">
        <v>8300</v>
      </c>
      <c r="BK86">
        <v>830</v>
      </c>
      <c r="BM86">
        <v>8300</v>
      </c>
      <c r="BN86">
        <v>83</v>
      </c>
    </row>
    <row r="87" spans="8:66" x14ac:dyDescent="0.2">
      <c r="H87" s="1"/>
      <c r="K87" s="1"/>
      <c r="N87" s="1"/>
      <c r="Q87" s="1"/>
      <c r="S87" s="1"/>
      <c r="T87" s="1"/>
      <c r="U87" s="1"/>
      <c r="AI87" s="5">
        <v>8400</v>
      </c>
      <c r="AJ87">
        <v>840</v>
      </c>
      <c r="AK87">
        <v>420</v>
      </c>
      <c r="BF87" s="1">
        <v>84</v>
      </c>
      <c r="BG87">
        <v>840</v>
      </c>
      <c r="BJ87">
        <v>8400</v>
      </c>
      <c r="BK87">
        <v>840</v>
      </c>
      <c r="BM87">
        <v>8400</v>
      </c>
      <c r="BN87">
        <v>84</v>
      </c>
    </row>
    <row r="88" spans="8:66" x14ac:dyDescent="0.2">
      <c r="H88" s="1"/>
      <c r="K88" s="1"/>
      <c r="N88" s="1"/>
      <c r="Q88" s="1"/>
      <c r="S88" s="1"/>
      <c r="T88" s="1"/>
      <c r="U88" s="1"/>
      <c r="AI88" s="5">
        <v>8500</v>
      </c>
      <c r="AJ88">
        <v>850</v>
      </c>
      <c r="AK88">
        <v>425</v>
      </c>
      <c r="BF88" s="1">
        <v>85</v>
      </c>
      <c r="BG88">
        <v>850</v>
      </c>
      <c r="BJ88">
        <v>8500</v>
      </c>
      <c r="BK88">
        <v>850</v>
      </c>
      <c r="BM88">
        <v>8500</v>
      </c>
      <c r="BN88">
        <v>85</v>
      </c>
    </row>
    <row r="89" spans="8:66" x14ac:dyDescent="0.2">
      <c r="H89" s="1"/>
      <c r="K89" s="1"/>
      <c r="N89" s="1"/>
      <c r="Q89" s="1"/>
      <c r="S89" s="1"/>
      <c r="T89" s="1"/>
      <c r="U89" s="1"/>
      <c r="AI89" s="5">
        <v>8600</v>
      </c>
      <c r="AJ89">
        <v>860</v>
      </c>
      <c r="AK89">
        <v>430</v>
      </c>
      <c r="BF89" s="1">
        <v>86</v>
      </c>
      <c r="BG89">
        <v>860</v>
      </c>
      <c r="BJ89">
        <v>8600</v>
      </c>
      <c r="BK89">
        <v>860</v>
      </c>
      <c r="BM89">
        <v>8600</v>
      </c>
      <c r="BN89">
        <v>86</v>
      </c>
    </row>
    <row r="90" spans="8:66" x14ac:dyDescent="0.2">
      <c r="H90" s="1"/>
      <c r="K90" s="1"/>
      <c r="N90" s="1"/>
      <c r="Q90" s="1"/>
      <c r="S90" s="1"/>
      <c r="T90" s="1"/>
      <c r="U90" s="1"/>
      <c r="AI90" s="5">
        <v>8700</v>
      </c>
      <c r="AJ90">
        <v>870</v>
      </c>
      <c r="AK90">
        <v>435</v>
      </c>
      <c r="BF90" s="1">
        <v>87</v>
      </c>
      <c r="BG90">
        <v>870</v>
      </c>
      <c r="BJ90">
        <v>8700</v>
      </c>
      <c r="BK90">
        <v>870</v>
      </c>
      <c r="BM90">
        <v>8700</v>
      </c>
      <c r="BN90">
        <v>87</v>
      </c>
    </row>
    <row r="91" spans="8:66" x14ac:dyDescent="0.2">
      <c r="H91" s="1"/>
      <c r="K91" s="1"/>
      <c r="N91" s="1"/>
      <c r="Q91" s="1"/>
      <c r="S91" s="1"/>
      <c r="T91" s="1"/>
      <c r="U91" s="1"/>
      <c r="AI91" s="5">
        <v>8800</v>
      </c>
      <c r="AJ91">
        <v>880</v>
      </c>
      <c r="AK91">
        <v>440</v>
      </c>
      <c r="BF91" s="1">
        <v>88</v>
      </c>
      <c r="BG91">
        <v>880</v>
      </c>
      <c r="BJ91">
        <v>8800</v>
      </c>
      <c r="BK91">
        <v>880</v>
      </c>
      <c r="BM91">
        <v>8800</v>
      </c>
      <c r="BN91">
        <v>88</v>
      </c>
    </row>
    <row r="92" spans="8:66" x14ac:dyDescent="0.2">
      <c r="H92" s="1"/>
      <c r="K92" s="1"/>
      <c r="N92" s="1"/>
      <c r="Q92" s="1"/>
      <c r="S92" s="1"/>
      <c r="T92" s="1"/>
      <c r="U92" s="1"/>
      <c r="AI92" s="5">
        <v>8900</v>
      </c>
      <c r="AJ92">
        <v>890</v>
      </c>
      <c r="AK92">
        <v>445</v>
      </c>
      <c r="BF92" s="1">
        <v>89</v>
      </c>
      <c r="BG92">
        <v>890</v>
      </c>
      <c r="BJ92">
        <v>8900</v>
      </c>
      <c r="BK92">
        <v>890</v>
      </c>
      <c r="BM92">
        <v>8900</v>
      </c>
      <c r="BN92">
        <v>89</v>
      </c>
    </row>
    <row r="93" spans="8:66" x14ac:dyDescent="0.2">
      <c r="H93" s="1"/>
      <c r="K93" s="1"/>
      <c r="N93" s="1"/>
      <c r="Q93" s="1"/>
      <c r="S93" s="1"/>
      <c r="T93" s="1"/>
      <c r="U93" s="1"/>
      <c r="AI93" s="5">
        <v>9000</v>
      </c>
      <c r="AJ93">
        <v>900</v>
      </c>
      <c r="AK93">
        <v>450</v>
      </c>
      <c r="BF93" s="1">
        <v>90</v>
      </c>
      <c r="BG93">
        <v>900</v>
      </c>
      <c r="BJ93">
        <v>9000</v>
      </c>
      <c r="BK93">
        <v>900</v>
      </c>
      <c r="BM93">
        <v>9000</v>
      </c>
      <c r="BN93">
        <v>90</v>
      </c>
    </row>
    <row r="94" spans="8:66" x14ac:dyDescent="0.2">
      <c r="H94" s="1"/>
      <c r="K94" s="1"/>
      <c r="N94" s="1"/>
      <c r="Q94" s="1"/>
      <c r="S94" s="1"/>
      <c r="T94" s="1"/>
      <c r="U94" s="1"/>
      <c r="AI94" s="5">
        <v>9100</v>
      </c>
      <c r="AJ94">
        <v>910</v>
      </c>
      <c r="AK94">
        <v>455</v>
      </c>
      <c r="BF94" s="1">
        <v>91</v>
      </c>
      <c r="BG94">
        <v>910</v>
      </c>
      <c r="BJ94">
        <v>9100</v>
      </c>
      <c r="BK94">
        <v>910</v>
      </c>
      <c r="BM94">
        <v>9100</v>
      </c>
      <c r="BN94">
        <v>91</v>
      </c>
    </row>
    <row r="95" spans="8:66" x14ac:dyDescent="0.2">
      <c r="H95" s="1"/>
      <c r="K95" s="1"/>
      <c r="N95" s="1"/>
      <c r="Q95" s="1"/>
      <c r="S95" s="1"/>
      <c r="T95" s="1"/>
      <c r="U95" s="1"/>
      <c r="AI95" s="5">
        <v>9200</v>
      </c>
      <c r="AJ95">
        <v>920</v>
      </c>
      <c r="AK95">
        <v>460</v>
      </c>
      <c r="BF95" s="1">
        <v>92</v>
      </c>
      <c r="BG95">
        <v>920</v>
      </c>
      <c r="BJ95">
        <v>9200</v>
      </c>
      <c r="BK95">
        <v>920</v>
      </c>
      <c r="BM95">
        <v>9200</v>
      </c>
      <c r="BN95">
        <v>92</v>
      </c>
    </row>
    <row r="96" spans="8:66" x14ac:dyDescent="0.2">
      <c r="H96" s="1"/>
      <c r="K96" s="1"/>
      <c r="N96" s="1"/>
      <c r="Q96" s="1"/>
      <c r="S96" s="1"/>
      <c r="T96" s="1"/>
      <c r="U96" s="1"/>
      <c r="AI96" s="5">
        <v>9300</v>
      </c>
      <c r="AJ96">
        <v>930</v>
      </c>
      <c r="AK96">
        <v>465</v>
      </c>
      <c r="BF96" s="1">
        <v>93</v>
      </c>
      <c r="BG96">
        <v>930</v>
      </c>
      <c r="BJ96">
        <v>9300</v>
      </c>
      <c r="BK96">
        <v>930</v>
      </c>
      <c r="BM96">
        <v>9300</v>
      </c>
      <c r="BN96">
        <v>93</v>
      </c>
    </row>
    <row r="97" spans="8:66" x14ac:dyDescent="0.2">
      <c r="H97" s="1"/>
      <c r="K97" s="1"/>
      <c r="N97" s="1"/>
      <c r="Q97" s="1"/>
      <c r="S97" s="1"/>
      <c r="T97" s="1"/>
      <c r="U97" s="1"/>
      <c r="AI97" s="5">
        <v>9400</v>
      </c>
      <c r="AJ97">
        <v>940</v>
      </c>
      <c r="AK97">
        <v>470</v>
      </c>
      <c r="BF97" s="1">
        <v>94</v>
      </c>
      <c r="BG97">
        <v>940</v>
      </c>
      <c r="BJ97">
        <v>9400</v>
      </c>
      <c r="BK97">
        <v>940</v>
      </c>
      <c r="BM97">
        <v>9400</v>
      </c>
      <c r="BN97">
        <v>94</v>
      </c>
    </row>
    <row r="98" spans="8:66" x14ac:dyDescent="0.2">
      <c r="H98" s="1"/>
      <c r="K98" s="1"/>
      <c r="N98" s="1"/>
      <c r="Q98" s="1"/>
      <c r="S98" s="1"/>
      <c r="T98" s="1"/>
      <c r="U98" s="1"/>
      <c r="AI98" s="5">
        <v>9500</v>
      </c>
      <c r="AJ98">
        <v>950</v>
      </c>
      <c r="AK98">
        <v>475</v>
      </c>
      <c r="BF98" s="1">
        <v>95</v>
      </c>
      <c r="BG98">
        <v>950</v>
      </c>
      <c r="BJ98">
        <v>9500</v>
      </c>
      <c r="BK98">
        <v>950</v>
      </c>
      <c r="BM98">
        <v>9500</v>
      </c>
      <c r="BN98">
        <v>95</v>
      </c>
    </row>
    <row r="99" spans="8:66" x14ac:dyDescent="0.2">
      <c r="H99" s="1"/>
      <c r="K99" s="1"/>
      <c r="N99" s="1"/>
      <c r="Q99" s="1"/>
      <c r="S99" s="1"/>
      <c r="T99" s="1"/>
      <c r="U99" s="1"/>
      <c r="AI99" s="5">
        <v>9600</v>
      </c>
      <c r="AJ99">
        <v>960</v>
      </c>
      <c r="AK99">
        <v>480</v>
      </c>
      <c r="BF99" s="1">
        <v>96</v>
      </c>
      <c r="BG99">
        <v>960</v>
      </c>
      <c r="BJ99">
        <v>9600</v>
      </c>
      <c r="BK99">
        <v>960</v>
      </c>
      <c r="BM99">
        <v>9600</v>
      </c>
      <c r="BN99">
        <v>96</v>
      </c>
    </row>
    <row r="100" spans="8:66" x14ac:dyDescent="0.2">
      <c r="H100" s="1"/>
      <c r="K100" s="1"/>
      <c r="N100" s="1"/>
      <c r="Q100" s="1"/>
      <c r="S100" s="1"/>
      <c r="T100" s="1"/>
      <c r="U100" s="1"/>
      <c r="AI100" s="5">
        <v>9700</v>
      </c>
      <c r="AJ100">
        <v>970</v>
      </c>
      <c r="AK100">
        <v>485</v>
      </c>
      <c r="BF100" s="1">
        <v>97</v>
      </c>
      <c r="BG100">
        <v>970</v>
      </c>
      <c r="BJ100">
        <v>9700</v>
      </c>
      <c r="BK100">
        <v>970</v>
      </c>
      <c r="BM100">
        <v>9700</v>
      </c>
      <c r="BN100">
        <v>97</v>
      </c>
    </row>
    <row r="101" spans="8:66" x14ac:dyDescent="0.2">
      <c r="H101" s="1"/>
      <c r="K101" s="1"/>
      <c r="N101" s="1"/>
      <c r="Q101" s="1"/>
      <c r="S101" s="1"/>
      <c r="T101" s="1"/>
      <c r="U101" s="1"/>
      <c r="AI101" s="5">
        <v>9800</v>
      </c>
      <c r="AJ101">
        <v>980</v>
      </c>
      <c r="AK101">
        <v>490</v>
      </c>
      <c r="BF101" s="1">
        <v>98</v>
      </c>
      <c r="BG101">
        <v>980</v>
      </c>
      <c r="BJ101">
        <v>9800</v>
      </c>
      <c r="BK101">
        <v>980</v>
      </c>
      <c r="BM101">
        <v>9800</v>
      </c>
      <c r="BN101">
        <v>98</v>
      </c>
    </row>
    <row r="102" spans="8:66" x14ac:dyDescent="0.2">
      <c r="H102" s="1"/>
      <c r="K102" s="1"/>
      <c r="N102" s="1"/>
      <c r="Q102" s="1"/>
      <c r="S102" s="1"/>
      <c r="T102" s="1"/>
      <c r="U102" s="1"/>
      <c r="AI102" s="5">
        <v>9900</v>
      </c>
      <c r="AJ102">
        <v>990</v>
      </c>
      <c r="AK102">
        <v>495</v>
      </c>
      <c r="BF102" s="1">
        <v>99</v>
      </c>
      <c r="BG102">
        <v>990</v>
      </c>
      <c r="BJ102">
        <v>9900</v>
      </c>
      <c r="BK102">
        <v>990</v>
      </c>
      <c r="BM102">
        <v>9900</v>
      </c>
      <c r="BN102">
        <v>99</v>
      </c>
    </row>
    <row r="103" spans="8:66" x14ac:dyDescent="0.2">
      <c r="H103" s="1"/>
      <c r="K103" s="1"/>
      <c r="N103" s="1"/>
      <c r="Q103" s="1"/>
      <c r="S103" s="1"/>
      <c r="T103" s="1"/>
      <c r="U103" s="1"/>
      <c r="AI103" s="5">
        <v>10000</v>
      </c>
      <c r="AJ103">
        <v>1000</v>
      </c>
      <c r="AK103">
        <v>500</v>
      </c>
      <c r="BF103" s="1">
        <v>100</v>
      </c>
      <c r="BG103">
        <v>1000</v>
      </c>
      <c r="BJ103">
        <v>10000</v>
      </c>
      <c r="BK103">
        <v>1000</v>
      </c>
      <c r="BM103">
        <v>10000</v>
      </c>
      <c r="BN103">
        <v>100</v>
      </c>
    </row>
    <row r="104" spans="8:66" x14ac:dyDescent="0.2">
      <c r="H104" s="1"/>
      <c r="K104" s="1"/>
      <c r="N104" s="1"/>
      <c r="Q104" s="1"/>
      <c r="S104" s="1"/>
      <c r="T104" s="1"/>
      <c r="U104" s="1"/>
      <c r="AI104" s="5">
        <v>10100</v>
      </c>
      <c r="AJ104">
        <v>1010</v>
      </c>
      <c r="AK104">
        <v>505</v>
      </c>
      <c r="BF104" s="1">
        <v>101</v>
      </c>
      <c r="BG104">
        <v>1010</v>
      </c>
      <c r="BJ104">
        <v>10100</v>
      </c>
      <c r="BK104">
        <v>1010</v>
      </c>
      <c r="BM104">
        <v>10100</v>
      </c>
      <c r="BN104">
        <v>101</v>
      </c>
    </row>
    <row r="105" spans="8:66" x14ac:dyDescent="0.2">
      <c r="H105" s="1"/>
      <c r="K105" s="1"/>
      <c r="N105" s="1"/>
      <c r="Q105" s="1"/>
      <c r="S105" s="1"/>
      <c r="T105" s="1"/>
      <c r="U105" s="1"/>
      <c r="AI105" s="5">
        <v>10200</v>
      </c>
      <c r="AJ105">
        <v>1020</v>
      </c>
      <c r="AK105">
        <v>510</v>
      </c>
      <c r="BF105" s="1">
        <v>102</v>
      </c>
      <c r="BG105">
        <v>1020</v>
      </c>
      <c r="BJ105">
        <v>10200</v>
      </c>
      <c r="BK105">
        <v>1020</v>
      </c>
      <c r="BM105">
        <v>10200</v>
      </c>
      <c r="BN105">
        <v>102</v>
      </c>
    </row>
    <row r="106" spans="8:66" x14ac:dyDescent="0.2">
      <c r="H106" s="1"/>
      <c r="K106" s="1"/>
      <c r="N106" s="1"/>
      <c r="Q106" s="1"/>
      <c r="S106" s="1"/>
      <c r="T106" s="1"/>
      <c r="U106" s="1"/>
      <c r="AI106" s="5">
        <v>10300</v>
      </c>
      <c r="AJ106">
        <v>1030</v>
      </c>
      <c r="AK106">
        <v>515</v>
      </c>
      <c r="BF106" s="1">
        <v>103</v>
      </c>
      <c r="BG106">
        <v>1030</v>
      </c>
      <c r="BJ106">
        <v>10300</v>
      </c>
      <c r="BK106">
        <v>1030</v>
      </c>
      <c r="BM106">
        <v>10300</v>
      </c>
      <c r="BN106">
        <v>103</v>
      </c>
    </row>
    <row r="107" spans="8:66" x14ac:dyDescent="0.2">
      <c r="H107" s="1"/>
      <c r="K107" s="1"/>
      <c r="N107" s="1"/>
      <c r="Q107" s="1"/>
      <c r="S107" s="1"/>
      <c r="T107" s="1"/>
      <c r="U107" s="1"/>
      <c r="AI107" s="5">
        <v>10400</v>
      </c>
      <c r="AJ107">
        <v>1040</v>
      </c>
      <c r="AK107">
        <v>520</v>
      </c>
      <c r="BF107" s="1">
        <v>104</v>
      </c>
      <c r="BG107">
        <v>1040</v>
      </c>
      <c r="BJ107">
        <v>10400</v>
      </c>
      <c r="BK107">
        <v>1040</v>
      </c>
      <c r="BM107">
        <v>10400</v>
      </c>
      <c r="BN107">
        <v>104</v>
      </c>
    </row>
    <row r="108" spans="8:66" x14ac:dyDescent="0.2">
      <c r="H108" s="1"/>
      <c r="K108" s="1"/>
      <c r="N108" s="1"/>
      <c r="Q108" s="1"/>
      <c r="S108" s="1"/>
      <c r="T108" s="1"/>
      <c r="U108" s="1"/>
      <c r="AI108" s="5">
        <v>10500</v>
      </c>
      <c r="AJ108">
        <v>1050</v>
      </c>
      <c r="AK108">
        <v>525</v>
      </c>
      <c r="BF108" s="1">
        <v>105</v>
      </c>
      <c r="BG108">
        <v>1050</v>
      </c>
      <c r="BJ108">
        <v>10500</v>
      </c>
      <c r="BK108">
        <v>1050</v>
      </c>
      <c r="BM108">
        <v>10500</v>
      </c>
      <c r="BN108">
        <v>105</v>
      </c>
    </row>
    <row r="109" spans="8:66" x14ac:dyDescent="0.2">
      <c r="H109" s="1"/>
      <c r="K109" s="1"/>
      <c r="N109" s="1"/>
      <c r="Q109" s="1"/>
      <c r="S109" s="1"/>
      <c r="T109" s="1"/>
      <c r="U109" s="1"/>
      <c r="AI109" s="5">
        <v>10600</v>
      </c>
      <c r="AJ109">
        <v>1060</v>
      </c>
      <c r="AK109">
        <v>530</v>
      </c>
      <c r="BF109" s="1">
        <v>106</v>
      </c>
      <c r="BG109">
        <v>1060</v>
      </c>
      <c r="BJ109">
        <v>10600</v>
      </c>
      <c r="BK109">
        <v>1060</v>
      </c>
      <c r="BM109">
        <v>10600</v>
      </c>
      <c r="BN109">
        <v>106</v>
      </c>
    </row>
    <row r="110" spans="8:66" x14ac:dyDescent="0.2">
      <c r="H110" s="1"/>
      <c r="K110" s="1"/>
      <c r="N110" s="1"/>
      <c r="Q110" s="1"/>
      <c r="S110" s="1"/>
      <c r="T110" s="1"/>
      <c r="U110" s="1"/>
      <c r="AI110" s="5">
        <v>10700</v>
      </c>
      <c r="AJ110">
        <v>1070</v>
      </c>
      <c r="AK110">
        <v>535</v>
      </c>
      <c r="BF110" s="1">
        <v>107</v>
      </c>
      <c r="BG110">
        <v>1070</v>
      </c>
      <c r="BJ110">
        <v>10700</v>
      </c>
      <c r="BK110">
        <v>1070</v>
      </c>
      <c r="BM110">
        <v>10700</v>
      </c>
      <c r="BN110">
        <v>107</v>
      </c>
    </row>
    <row r="111" spans="8:66" x14ac:dyDescent="0.2">
      <c r="H111" s="1"/>
      <c r="K111" s="1"/>
      <c r="N111" s="1"/>
      <c r="Q111" s="1"/>
      <c r="S111" s="1"/>
      <c r="T111" s="1"/>
      <c r="U111" s="1"/>
      <c r="AI111" s="5">
        <v>10800</v>
      </c>
      <c r="AJ111">
        <v>1080</v>
      </c>
      <c r="AK111">
        <v>540</v>
      </c>
      <c r="BF111" s="1">
        <v>108</v>
      </c>
      <c r="BG111">
        <v>1080</v>
      </c>
      <c r="BJ111">
        <v>10800</v>
      </c>
      <c r="BK111">
        <v>1080</v>
      </c>
      <c r="BM111">
        <v>10800</v>
      </c>
      <c r="BN111">
        <v>108</v>
      </c>
    </row>
    <row r="112" spans="8:66" x14ac:dyDescent="0.2">
      <c r="H112" s="1"/>
      <c r="K112" s="1"/>
      <c r="N112" s="1"/>
      <c r="Q112" s="1"/>
      <c r="S112" s="1"/>
      <c r="T112" s="1"/>
      <c r="U112" s="1"/>
      <c r="AI112" s="5">
        <v>10900</v>
      </c>
      <c r="AJ112">
        <v>1090</v>
      </c>
      <c r="AK112">
        <v>545</v>
      </c>
      <c r="BF112" s="1">
        <v>109</v>
      </c>
      <c r="BG112">
        <v>1090</v>
      </c>
      <c r="BJ112">
        <v>10900</v>
      </c>
      <c r="BK112">
        <v>1090</v>
      </c>
      <c r="BM112">
        <v>10900</v>
      </c>
      <c r="BN112">
        <v>109</v>
      </c>
    </row>
    <row r="113" spans="8:66" x14ac:dyDescent="0.2">
      <c r="H113" s="1"/>
      <c r="K113" s="1"/>
      <c r="N113" s="1"/>
      <c r="Q113" s="1"/>
      <c r="S113" s="1"/>
      <c r="T113" s="1"/>
      <c r="U113" s="1"/>
      <c r="AI113" s="5">
        <v>11000</v>
      </c>
      <c r="AJ113">
        <v>1100</v>
      </c>
      <c r="AK113">
        <v>550</v>
      </c>
      <c r="BF113" s="1">
        <v>110</v>
      </c>
      <c r="BG113">
        <v>1100</v>
      </c>
      <c r="BJ113">
        <v>11000</v>
      </c>
      <c r="BK113">
        <v>1100</v>
      </c>
      <c r="BM113">
        <v>11000</v>
      </c>
      <c r="BN113">
        <v>110</v>
      </c>
    </row>
    <row r="114" spans="8:66" x14ac:dyDescent="0.2">
      <c r="H114" s="1"/>
      <c r="K114" s="1"/>
      <c r="N114" s="1"/>
      <c r="Q114" s="1"/>
      <c r="S114" s="1"/>
      <c r="T114" s="1"/>
      <c r="U114" s="1"/>
      <c r="AI114" s="5">
        <v>11100</v>
      </c>
      <c r="AJ114">
        <v>1110</v>
      </c>
      <c r="AK114">
        <v>555</v>
      </c>
      <c r="BF114" s="1">
        <v>111</v>
      </c>
      <c r="BG114">
        <v>1110</v>
      </c>
      <c r="BJ114">
        <v>11100</v>
      </c>
      <c r="BK114">
        <v>1110</v>
      </c>
      <c r="BM114">
        <v>11100</v>
      </c>
      <c r="BN114">
        <v>111</v>
      </c>
    </row>
    <row r="115" spans="8:66" x14ac:dyDescent="0.2">
      <c r="H115" s="1"/>
      <c r="K115" s="1"/>
      <c r="N115" s="1"/>
      <c r="Q115" s="1"/>
      <c r="S115" s="1"/>
      <c r="T115" s="1"/>
      <c r="U115" s="1"/>
      <c r="AI115" s="5">
        <v>11200</v>
      </c>
      <c r="AJ115">
        <v>1120</v>
      </c>
      <c r="AK115">
        <v>560</v>
      </c>
      <c r="BF115" s="1">
        <v>112</v>
      </c>
      <c r="BG115">
        <v>1120</v>
      </c>
      <c r="BJ115">
        <v>11200</v>
      </c>
      <c r="BK115">
        <v>1120</v>
      </c>
      <c r="BM115">
        <v>11200</v>
      </c>
      <c r="BN115">
        <v>112</v>
      </c>
    </row>
    <row r="116" spans="8:66" x14ac:dyDescent="0.2">
      <c r="H116" s="1"/>
      <c r="K116" s="1"/>
      <c r="N116" s="1"/>
      <c r="Q116" s="1"/>
      <c r="S116" s="1"/>
      <c r="T116" s="1"/>
      <c r="U116" s="1"/>
      <c r="AI116" s="5">
        <v>11300</v>
      </c>
      <c r="AJ116">
        <v>1130</v>
      </c>
      <c r="AK116">
        <v>565</v>
      </c>
      <c r="BF116" s="1">
        <v>113</v>
      </c>
      <c r="BG116">
        <v>1130</v>
      </c>
      <c r="BJ116">
        <v>11300</v>
      </c>
      <c r="BK116">
        <v>1130</v>
      </c>
      <c r="BM116">
        <v>11300</v>
      </c>
      <c r="BN116">
        <v>113</v>
      </c>
    </row>
    <row r="117" spans="8:66" x14ac:dyDescent="0.2">
      <c r="H117" s="1"/>
      <c r="K117" s="1"/>
      <c r="N117" s="1"/>
      <c r="Q117" s="1"/>
      <c r="S117" s="1"/>
      <c r="T117" s="1"/>
      <c r="U117" s="1"/>
      <c r="AI117" s="5">
        <v>11400</v>
      </c>
      <c r="AJ117">
        <v>1140</v>
      </c>
      <c r="AK117">
        <v>570</v>
      </c>
      <c r="BF117" s="1">
        <v>114</v>
      </c>
      <c r="BG117">
        <v>1140</v>
      </c>
      <c r="BJ117">
        <v>11400</v>
      </c>
      <c r="BK117">
        <v>1140</v>
      </c>
      <c r="BM117">
        <v>11400</v>
      </c>
      <c r="BN117">
        <v>114</v>
      </c>
    </row>
    <row r="118" spans="8:66" x14ac:dyDescent="0.2">
      <c r="H118" s="1"/>
      <c r="K118" s="1"/>
      <c r="N118" s="1"/>
      <c r="Q118" s="1"/>
      <c r="S118" s="1"/>
      <c r="T118" s="1"/>
      <c r="U118" s="1"/>
      <c r="AI118" s="5">
        <v>11500</v>
      </c>
      <c r="AJ118">
        <v>1150</v>
      </c>
      <c r="AK118">
        <v>575</v>
      </c>
      <c r="BF118" s="1">
        <v>115</v>
      </c>
      <c r="BG118">
        <v>1150</v>
      </c>
      <c r="BJ118">
        <v>11500</v>
      </c>
      <c r="BK118">
        <v>1150</v>
      </c>
      <c r="BM118">
        <v>11500</v>
      </c>
      <c r="BN118">
        <v>115</v>
      </c>
    </row>
    <row r="119" spans="8:66" x14ac:dyDescent="0.2">
      <c r="H119" s="1"/>
      <c r="K119" s="1"/>
      <c r="N119" s="1"/>
      <c r="Q119" s="1"/>
      <c r="S119" s="1"/>
      <c r="T119" s="1"/>
      <c r="U119" s="1"/>
      <c r="AI119" s="5">
        <v>11600</v>
      </c>
      <c r="AJ119">
        <v>1160</v>
      </c>
      <c r="AK119">
        <v>580</v>
      </c>
      <c r="BF119" s="1">
        <v>116</v>
      </c>
      <c r="BG119">
        <v>1160</v>
      </c>
      <c r="BJ119">
        <v>11600</v>
      </c>
      <c r="BK119">
        <v>1160</v>
      </c>
      <c r="BM119">
        <v>11600</v>
      </c>
      <c r="BN119">
        <v>116</v>
      </c>
    </row>
    <row r="120" spans="8:66" x14ac:dyDescent="0.2">
      <c r="H120" s="1"/>
      <c r="K120" s="1"/>
      <c r="N120" s="1"/>
      <c r="Q120" s="1"/>
      <c r="S120" s="1"/>
      <c r="T120" s="1"/>
      <c r="U120" s="1"/>
      <c r="AI120" s="5">
        <v>11700</v>
      </c>
      <c r="AJ120">
        <v>1170</v>
      </c>
      <c r="AK120">
        <v>585</v>
      </c>
      <c r="BF120" s="1">
        <v>117</v>
      </c>
      <c r="BG120">
        <v>1170</v>
      </c>
      <c r="BJ120">
        <v>11700</v>
      </c>
      <c r="BK120">
        <v>1170</v>
      </c>
      <c r="BM120">
        <v>11700</v>
      </c>
      <c r="BN120">
        <v>117</v>
      </c>
    </row>
    <row r="121" spans="8:66" x14ac:dyDescent="0.2">
      <c r="H121" s="1"/>
      <c r="K121" s="1"/>
      <c r="N121" s="1"/>
      <c r="Q121" s="1"/>
      <c r="S121" s="1"/>
      <c r="T121" s="1"/>
      <c r="U121" s="1"/>
      <c r="AI121" s="5">
        <v>11800</v>
      </c>
      <c r="AJ121">
        <v>1180</v>
      </c>
      <c r="AK121">
        <v>590</v>
      </c>
      <c r="BF121" s="1">
        <v>118</v>
      </c>
      <c r="BG121">
        <v>1180</v>
      </c>
      <c r="BJ121">
        <v>11800</v>
      </c>
      <c r="BK121">
        <v>1180</v>
      </c>
      <c r="BM121">
        <v>11800</v>
      </c>
      <c r="BN121">
        <v>118</v>
      </c>
    </row>
    <row r="122" spans="8:66" x14ac:dyDescent="0.2">
      <c r="H122" s="1"/>
      <c r="K122" s="1"/>
      <c r="N122" s="1"/>
      <c r="Q122" s="1"/>
      <c r="S122" s="1"/>
      <c r="T122" s="1"/>
      <c r="U122" s="1"/>
      <c r="AI122" s="5">
        <v>11900</v>
      </c>
      <c r="AJ122">
        <v>1190</v>
      </c>
      <c r="AK122">
        <v>595</v>
      </c>
      <c r="BF122" s="1">
        <v>119</v>
      </c>
      <c r="BG122">
        <v>1190</v>
      </c>
      <c r="BJ122">
        <v>11900</v>
      </c>
      <c r="BK122">
        <v>1190</v>
      </c>
      <c r="BM122">
        <v>11900</v>
      </c>
      <c r="BN122">
        <v>119</v>
      </c>
    </row>
    <row r="123" spans="8:66" x14ac:dyDescent="0.2">
      <c r="H123" s="1"/>
      <c r="K123" s="1"/>
      <c r="N123" s="1"/>
      <c r="Q123" s="1"/>
      <c r="S123" s="1"/>
      <c r="T123" s="1"/>
      <c r="U123" s="1"/>
      <c r="AI123" s="5">
        <v>12000</v>
      </c>
      <c r="AJ123">
        <v>1200</v>
      </c>
      <c r="AK123">
        <v>600</v>
      </c>
      <c r="BF123" s="1">
        <v>120</v>
      </c>
      <c r="BG123">
        <v>1200</v>
      </c>
      <c r="BJ123">
        <v>12000</v>
      </c>
      <c r="BK123">
        <v>1200</v>
      </c>
      <c r="BM123">
        <v>12000</v>
      </c>
      <c r="BN123">
        <v>120</v>
      </c>
    </row>
    <row r="124" spans="8:66" x14ac:dyDescent="0.2">
      <c r="H124" s="1"/>
      <c r="K124" s="1"/>
      <c r="N124" s="1"/>
      <c r="Q124" s="1"/>
      <c r="S124" s="1"/>
      <c r="T124" s="1"/>
      <c r="U124" s="1"/>
      <c r="AI124" s="5">
        <v>12100</v>
      </c>
      <c r="AJ124">
        <v>1210</v>
      </c>
      <c r="AK124">
        <v>605</v>
      </c>
      <c r="BF124" s="1">
        <v>121</v>
      </c>
      <c r="BG124">
        <v>1210</v>
      </c>
      <c r="BJ124">
        <v>12100</v>
      </c>
      <c r="BK124">
        <v>1210</v>
      </c>
      <c r="BM124">
        <v>12100</v>
      </c>
      <c r="BN124">
        <v>121</v>
      </c>
    </row>
    <row r="125" spans="8:66" x14ac:dyDescent="0.2">
      <c r="H125" s="1"/>
      <c r="K125" s="1"/>
      <c r="N125" s="1"/>
      <c r="Q125" s="1"/>
      <c r="S125" s="1"/>
      <c r="T125" s="1"/>
      <c r="U125" s="1"/>
      <c r="AI125" s="5">
        <v>12200</v>
      </c>
      <c r="AJ125">
        <v>1220</v>
      </c>
      <c r="AK125">
        <v>610</v>
      </c>
      <c r="BF125" s="1">
        <v>122</v>
      </c>
      <c r="BG125">
        <v>1220</v>
      </c>
      <c r="BJ125">
        <v>12200</v>
      </c>
      <c r="BK125">
        <v>1220</v>
      </c>
      <c r="BM125">
        <v>12200</v>
      </c>
      <c r="BN125">
        <v>122</v>
      </c>
    </row>
    <row r="126" spans="8:66" x14ac:dyDescent="0.2">
      <c r="H126" s="1"/>
      <c r="K126" s="1"/>
      <c r="N126" s="1"/>
      <c r="Q126" s="1"/>
      <c r="S126" s="1"/>
      <c r="T126" s="1"/>
      <c r="U126" s="1"/>
      <c r="AI126" s="5">
        <v>12300</v>
      </c>
      <c r="AJ126">
        <v>1230</v>
      </c>
      <c r="AK126">
        <v>615</v>
      </c>
      <c r="BF126" s="1">
        <v>123</v>
      </c>
      <c r="BG126">
        <v>1230</v>
      </c>
      <c r="BJ126">
        <v>12300</v>
      </c>
      <c r="BK126">
        <v>1230</v>
      </c>
      <c r="BM126">
        <v>12300</v>
      </c>
      <c r="BN126">
        <v>123</v>
      </c>
    </row>
    <row r="127" spans="8:66" x14ac:dyDescent="0.2">
      <c r="H127" s="1"/>
      <c r="K127" s="1"/>
      <c r="N127" s="1"/>
      <c r="Q127" s="1"/>
      <c r="S127" s="1"/>
      <c r="T127" s="1"/>
      <c r="U127" s="1"/>
      <c r="AI127" s="5">
        <v>12400</v>
      </c>
      <c r="AJ127">
        <v>1240</v>
      </c>
      <c r="AK127">
        <v>620</v>
      </c>
      <c r="BF127" s="1">
        <v>124</v>
      </c>
      <c r="BG127">
        <v>1240</v>
      </c>
      <c r="BJ127">
        <v>12400</v>
      </c>
      <c r="BK127">
        <v>1240</v>
      </c>
      <c r="BM127">
        <v>12400</v>
      </c>
      <c r="BN127">
        <v>124</v>
      </c>
    </row>
    <row r="128" spans="8:66" x14ac:dyDescent="0.2">
      <c r="H128" s="1"/>
      <c r="K128" s="1"/>
      <c r="N128" s="1"/>
      <c r="Q128" s="1"/>
      <c r="S128" s="1"/>
      <c r="T128" s="1"/>
      <c r="U128" s="1"/>
      <c r="AI128" s="5">
        <v>12500</v>
      </c>
      <c r="AJ128">
        <v>1250</v>
      </c>
      <c r="AK128">
        <v>625</v>
      </c>
      <c r="BF128" s="1">
        <v>125</v>
      </c>
      <c r="BG128">
        <v>1250</v>
      </c>
      <c r="BJ128">
        <v>12500</v>
      </c>
      <c r="BK128">
        <v>1250</v>
      </c>
      <c r="BM128">
        <v>12500</v>
      </c>
      <c r="BN128">
        <v>125</v>
      </c>
    </row>
    <row r="129" spans="8:66" x14ac:dyDescent="0.2">
      <c r="H129" s="1"/>
      <c r="K129" s="1"/>
      <c r="N129" s="1"/>
      <c r="Q129" s="1"/>
      <c r="S129" s="1"/>
      <c r="T129" s="1"/>
      <c r="U129" s="1"/>
      <c r="AI129" s="5">
        <v>12600</v>
      </c>
      <c r="AJ129">
        <v>1260</v>
      </c>
      <c r="AK129">
        <v>630</v>
      </c>
      <c r="BF129" s="1">
        <v>126</v>
      </c>
      <c r="BG129">
        <v>1260</v>
      </c>
      <c r="BJ129">
        <v>12600</v>
      </c>
      <c r="BK129">
        <v>1260</v>
      </c>
      <c r="BM129">
        <v>12600</v>
      </c>
      <c r="BN129">
        <v>126</v>
      </c>
    </row>
    <row r="130" spans="8:66" x14ac:dyDescent="0.2">
      <c r="H130" s="1"/>
      <c r="K130" s="1"/>
      <c r="N130" s="1"/>
      <c r="Q130" s="1"/>
      <c r="S130" s="1"/>
      <c r="T130" s="1"/>
      <c r="U130" s="1"/>
      <c r="AI130" s="5">
        <v>12700</v>
      </c>
      <c r="AJ130">
        <v>1270</v>
      </c>
      <c r="AK130">
        <v>635</v>
      </c>
      <c r="BF130" s="1">
        <v>127</v>
      </c>
      <c r="BG130">
        <v>1270</v>
      </c>
      <c r="BJ130">
        <v>12700</v>
      </c>
      <c r="BK130">
        <v>1270</v>
      </c>
      <c r="BM130">
        <v>12700</v>
      </c>
      <c r="BN130">
        <v>127</v>
      </c>
    </row>
    <row r="131" spans="8:66" x14ac:dyDescent="0.2">
      <c r="H131" s="1"/>
      <c r="K131" s="1"/>
      <c r="N131" s="1"/>
      <c r="Q131" s="1"/>
      <c r="S131" s="1"/>
      <c r="T131" s="1"/>
      <c r="U131" s="1"/>
      <c r="AI131" s="5">
        <v>12800</v>
      </c>
      <c r="AJ131">
        <v>1280</v>
      </c>
      <c r="AK131">
        <v>640</v>
      </c>
      <c r="BF131" s="1">
        <v>128</v>
      </c>
      <c r="BG131">
        <v>1280</v>
      </c>
      <c r="BJ131">
        <v>12800</v>
      </c>
      <c r="BK131">
        <v>1280</v>
      </c>
      <c r="BM131">
        <v>12800</v>
      </c>
      <c r="BN131">
        <v>128</v>
      </c>
    </row>
    <row r="132" spans="8:66" x14ac:dyDescent="0.2">
      <c r="H132" s="1"/>
      <c r="K132" s="1"/>
      <c r="N132" s="1"/>
      <c r="Q132" s="1"/>
      <c r="S132" s="1"/>
      <c r="T132" s="1"/>
      <c r="U132" s="1"/>
      <c r="AI132" s="5">
        <v>12900</v>
      </c>
      <c r="AJ132">
        <v>1290</v>
      </c>
      <c r="AK132">
        <v>645</v>
      </c>
      <c r="BF132" s="1">
        <v>129</v>
      </c>
      <c r="BG132">
        <v>1290</v>
      </c>
      <c r="BJ132">
        <v>12900</v>
      </c>
      <c r="BK132">
        <v>1290</v>
      </c>
      <c r="BM132">
        <v>12900</v>
      </c>
      <c r="BN132">
        <v>129</v>
      </c>
    </row>
    <row r="133" spans="8:66" x14ac:dyDescent="0.2">
      <c r="H133" s="1"/>
      <c r="K133" s="1"/>
      <c r="N133" s="1"/>
      <c r="Q133" s="1"/>
      <c r="S133" s="1"/>
      <c r="T133" s="1"/>
      <c r="U133" s="1"/>
      <c r="AI133" s="5">
        <v>13000</v>
      </c>
      <c r="AJ133">
        <v>1300</v>
      </c>
      <c r="AK133">
        <v>650</v>
      </c>
      <c r="BF133" s="1">
        <v>130</v>
      </c>
      <c r="BG133">
        <v>1300</v>
      </c>
      <c r="BJ133">
        <v>13000</v>
      </c>
      <c r="BK133">
        <v>1300</v>
      </c>
      <c r="BM133">
        <v>13000</v>
      </c>
      <c r="BN133">
        <v>130</v>
      </c>
    </row>
    <row r="134" spans="8:66" x14ac:dyDescent="0.2">
      <c r="H134" s="1"/>
      <c r="K134" s="1"/>
      <c r="N134" s="1"/>
      <c r="Q134" s="1"/>
      <c r="S134" s="1"/>
      <c r="T134" s="1"/>
      <c r="U134" s="1"/>
      <c r="AI134" s="5">
        <v>13100</v>
      </c>
      <c r="AJ134">
        <v>1310</v>
      </c>
      <c r="AK134">
        <v>655</v>
      </c>
      <c r="BF134" s="1">
        <v>131</v>
      </c>
      <c r="BG134">
        <v>1310</v>
      </c>
      <c r="BJ134">
        <v>13100</v>
      </c>
      <c r="BK134">
        <v>1310</v>
      </c>
      <c r="BM134">
        <v>13100</v>
      </c>
      <c r="BN134">
        <v>131</v>
      </c>
    </row>
    <row r="135" spans="8:66" x14ac:dyDescent="0.2">
      <c r="H135" s="1"/>
      <c r="K135" s="1"/>
      <c r="N135" s="1"/>
      <c r="Q135" s="1"/>
      <c r="S135" s="1"/>
      <c r="T135" s="1"/>
      <c r="U135" s="1"/>
      <c r="AI135" s="5">
        <v>13200</v>
      </c>
      <c r="AJ135">
        <v>1320</v>
      </c>
      <c r="AK135">
        <v>660</v>
      </c>
      <c r="BF135" s="1">
        <v>132</v>
      </c>
      <c r="BG135">
        <v>1320</v>
      </c>
      <c r="BJ135">
        <v>13200</v>
      </c>
      <c r="BK135">
        <v>1320</v>
      </c>
      <c r="BM135">
        <v>13200</v>
      </c>
      <c r="BN135">
        <v>132</v>
      </c>
    </row>
    <row r="136" spans="8:66" x14ac:dyDescent="0.2">
      <c r="H136" s="1"/>
      <c r="K136" s="1"/>
      <c r="N136" s="1"/>
      <c r="Q136" s="1"/>
      <c r="S136" s="1"/>
      <c r="T136" s="1"/>
      <c r="U136" s="1"/>
      <c r="AI136" s="5">
        <v>13300</v>
      </c>
      <c r="AJ136">
        <v>1330</v>
      </c>
      <c r="AK136">
        <v>665</v>
      </c>
      <c r="BF136" s="1">
        <v>133</v>
      </c>
      <c r="BG136">
        <v>1330</v>
      </c>
      <c r="BJ136">
        <v>13300</v>
      </c>
      <c r="BK136">
        <v>1330</v>
      </c>
      <c r="BM136">
        <v>13300</v>
      </c>
      <c r="BN136">
        <v>133</v>
      </c>
    </row>
    <row r="137" spans="8:66" x14ac:dyDescent="0.2">
      <c r="H137" s="1"/>
      <c r="K137" s="1"/>
      <c r="N137" s="1"/>
      <c r="Q137" s="1"/>
      <c r="S137" s="1"/>
      <c r="T137" s="1"/>
      <c r="U137" s="1"/>
      <c r="AI137" s="5">
        <v>13400</v>
      </c>
      <c r="AJ137">
        <v>1340</v>
      </c>
      <c r="AK137">
        <v>670</v>
      </c>
      <c r="BF137" s="1">
        <v>134</v>
      </c>
      <c r="BG137">
        <v>1340</v>
      </c>
      <c r="BJ137">
        <v>13400</v>
      </c>
      <c r="BK137">
        <v>1340</v>
      </c>
      <c r="BM137">
        <v>13400</v>
      </c>
      <c r="BN137">
        <v>134</v>
      </c>
    </row>
    <row r="138" spans="8:66" x14ac:dyDescent="0.2">
      <c r="H138" s="1"/>
      <c r="K138" s="1"/>
      <c r="N138" s="1"/>
      <c r="Q138" s="1"/>
      <c r="S138" s="1"/>
      <c r="T138" s="1"/>
      <c r="U138" s="1"/>
      <c r="AI138" s="5">
        <v>13500</v>
      </c>
      <c r="AJ138">
        <v>1350</v>
      </c>
      <c r="AK138">
        <v>675</v>
      </c>
      <c r="BF138" s="1">
        <v>135</v>
      </c>
      <c r="BG138">
        <v>1350</v>
      </c>
      <c r="BJ138">
        <v>13500</v>
      </c>
      <c r="BK138">
        <v>1350</v>
      </c>
      <c r="BM138">
        <v>13500</v>
      </c>
      <c r="BN138">
        <v>135</v>
      </c>
    </row>
    <row r="139" spans="8:66" x14ac:dyDescent="0.2">
      <c r="H139" s="1"/>
      <c r="K139" s="1"/>
      <c r="N139" s="1"/>
      <c r="Q139" s="1"/>
      <c r="S139" s="1"/>
      <c r="T139" s="1"/>
      <c r="U139" s="1"/>
      <c r="AI139" s="5">
        <v>13600</v>
      </c>
      <c r="AJ139">
        <v>1360</v>
      </c>
      <c r="AK139">
        <v>680</v>
      </c>
      <c r="BF139" s="1">
        <v>136</v>
      </c>
      <c r="BG139">
        <v>1360</v>
      </c>
      <c r="BJ139">
        <v>13600</v>
      </c>
      <c r="BK139">
        <v>1360</v>
      </c>
      <c r="BM139">
        <v>13600</v>
      </c>
      <c r="BN139">
        <v>136</v>
      </c>
    </row>
    <row r="140" spans="8:66" x14ac:dyDescent="0.2">
      <c r="H140" s="1"/>
      <c r="K140" s="1"/>
      <c r="N140" s="1"/>
      <c r="Q140" s="1"/>
      <c r="S140" s="1"/>
      <c r="T140" s="1"/>
      <c r="U140" s="1"/>
      <c r="AI140" s="5">
        <v>13700</v>
      </c>
      <c r="AJ140">
        <v>1370</v>
      </c>
      <c r="AK140">
        <v>685</v>
      </c>
      <c r="BF140" s="1">
        <v>137</v>
      </c>
      <c r="BG140">
        <v>1370</v>
      </c>
      <c r="BJ140">
        <v>13700</v>
      </c>
      <c r="BK140">
        <v>1370</v>
      </c>
      <c r="BM140">
        <v>13700</v>
      </c>
      <c r="BN140">
        <v>137</v>
      </c>
    </row>
    <row r="141" spans="8:66" x14ac:dyDescent="0.2">
      <c r="H141" s="1"/>
      <c r="K141" s="1"/>
      <c r="N141" s="1"/>
      <c r="Q141" s="1"/>
      <c r="S141" s="1"/>
      <c r="T141" s="1"/>
      <c r="U141" s="1"/>
      <c r="AI141" s="5">
        <v>13800</v>
      </c>
      <c r="AJ141">
        <v>1380</v>
      </c>
      <c r="AK141">
        <v>690</v>
      </c>
      <c r="BF141" s="1">
        <v>138</v>
      </c>
      <c r="BG141">
        <v>1380</v>
      </c>
      <c r="BJ141">
        <v>13800</v>
      </c>
      <c r="BK141">
        <v>1380</v>
      </c>
      <c r="BM141">
        <v>13800</v>
      </c>
      <c r="BN141">
        <v>138</v>
      </c>
    </row>
    <row r="142" spans="8:66" x14ac:dyDescent="0.2">
      <c r="H142" s="1"/>
      <c r="K142" s="1"/>
      <c r="N142" s="1"/>
      <c r="Q142" s="1"/>
      <c r="S142" s="1"/>
      <c r="T142" s="1"/>
      <c r="U142" s="1"/>
      <c r="AI142" s="5">
        <v>13900</v>
      </c>
      <c r="AJ142">
        <v>1390</v>
      </c>
      <c r="AK142">
        <v>695</v>
      </c>
      <c r="BF142" s="1">
        <v>139</v>
      </c>
      <c r="BG142">
        <v>1390</v>
      </c>
      <c r="BJ142">
        <v>13900</v>
      </c>
      <c r="BK142">
        <v>1390</v>
      </c>
      <c r="BM142">
        <v>13900</v>
      </c>
      <c r="BN142">
        <v>139</v>
      </c>
    </row>
    <row r="143" spans="8:66" x14ac:dyDescent="0.2">
      <c r="H143" s="1"/>
      <c r="K143" s="1"/>
      <c r="N143" s="1"/>
      <c r="Q143" s="1"/>
      <c r="S143" s="1"/>
      <c r="T143" s="1"/>
      <c r="U143" s="1"/>
      <c r="AI143" s="5">
        <v>14000</v>
      </c>
      <c r="AJ143">
        <v>1400</v>
      </c>
      <c r="AK143">
        <v>700</v>
      </c>
      <c r="BF143" s="1">
        <v>140</v>
      </c>
      <c r="BG143">
        <v>1400</v>
      </c>
      <c r="BJ143">
        <v>14000</v>
      </c>
      <c r="BK143">
        <v>1400</v>
      </c>
      <c r="BM143">
        <v>14000</v>
      </c>
      <c r="BN143">
        <v>140</v>
      </c>
    </row>
    <row r="144" spans="8:66" x14ac:dyDescent="0.2">
      <c r="H144" s="1"/>
      <c r="K144" s="1"/>
      <c r="N144" s="1"/>
      <c r="Q144" s="1"/>
      <c r="S144" s="1"/>
      <c r="T144" s="1"/>
      <c r="U144" s="1"/>
      <c r="AI144" s="5">
        <v>14100</v>
      </c>
      <c r="AJ144">
        <v>1410</v>
      </c>
      <c r="AK144">
        <v>705</v>
      </c>
      <c r="BF144" s="1">
        <v>141</v>
      </c>
      <c r="BG144">
        <v>1410</v>
      </c>
      <c r="BJ144">
        <v>14100</v>
      </c>
      <c r="BK144">
        <v>1410</v>
      </c>
      <c r="BM144">
        <v>14100</v>
      </c>
      <c r="BN144">
        <v>141</v>
      </c>
    </row>
    <row r="145" spans="8:66" x14ac:dyDescent="0.2">
      <c r="H145" s="1"/>
      <c r="K145" s="1"/>
      <c r="N145" s="1"/>
      <c r="Q145" s="1"/>
      <c r="S145" s="1"/>
      <c r="T145" s="1"/>
      <c r="U145" s="1"/>
      <c r="AI145" s="5">
        <v>14200</v>
      </c>
      <c r="AJ145">
        <v>1420</v>
      </c>
      <c r="AK145">
        <v>710</v>
      </c>
      <c r="BF145" s="1">
        <v>142</v>
      </c>
      <c r="BG145">
        <v>1420</v>
      </c>
      <c r="BJ145">
        <v>14200</v>
      </c>
      <c r="BK145">
        <v>1420</v>
      </c>
      <c r="BM145">
        <v>14200</v>
      </c>
      <c r="BN145">
        <v>142</v>
      </c>
    </row>
    <row r="146" spans="8:66" x14ac:dyDescent="0.2">
      <c r="H146" s="1"/>
      <c r="K146" s="1"/>
      <c r="N146" s="1"/>
      <c r="Q146" s="1"/>
      <c r="S146" s="1"/>
      <c r="T146" s="1"/>
      <c r="U146" s="1"/>
      <c r="AI146" s="5">
        <v>14300</v>
      </c>
      <c r="AJ146">
        <v>1430</v>
      </c>
      <c r="AK146">
        <v>715</v>
      </c>
      <c r="BF146" s="1">
        <v>143</v>
      </c>
      <c r="BG146">
        <v>1430</v>
      </c>
      <c r="BJ146">
        <v>14300</v>
      </c>
      <c r="BK146">
        <v>1430</v>
      </c>
      <c r="BM146">
        <v>14300</v>
      </c>
      <c r="BN146">
        <v>143</v>
      </c>
    </row>
    <row r="147" spans="8:66" x14ac:dyDescent="0.2">
      <c r="H147" s="1"/>
      <c r="K147" s="1"/>
      <c r="N147" s="1"/>
      <c r="Q147" s="1"/>
      <c r="S147" s="1"/>
      <c r="T147" s="1"/>
      <c r="U147" s="1"/>
      <c r="AI147" s="5">
        <v>14400</v>
      </c>
      <c r="AJ147">
        <v>1440</v>
      </c>
      <c r="AK147">
        <v>720</v>
      </c>
      <c r="BF147" s="1">
        <v>144</v>
      </c>
      <c r="BG147">
        <v>1440</v>
      </c>
      <c r="BJ147">
        <v>14400</v>
      </c>
      <c r="BK147">
        <v>1440</v>
      </c>
      <c r="BM147">
        <v>14400</v>
      </c>
      <c r="BN147">
        <v>144</v>
      </c>
    </row>
    <row r="148" spans="8:66" x14ac:dyDescent="0.2">
      <c r="H148" s="1"/>
      <c r="K148" s="1"/>
      <c r="N148" s="1"/>
      <c r="Q148" s="1"/>
      <c r="S148" s="1"/>
      <c r="T148" s="1"/>
      <c r="U148" s="1"/>
      <c r="AI148" s="5">
        <v>14500</v>
      </c>
      <c r="AJ148">
        <v>1450</v>
      </c>
      <c r="AK148">
        <v>725</v>
      </c>
      <c r="BF148" s="1">
        <v>145</v>
      </c>
      <c r="BG148">
        <v>1450</v>
      </c>
      <c r="BJ148">
        <v>14500</v>
      </c>
      <c r="BK148">
        <v>1450</v>
      </c>
      <c r="BM148">
        <v>14500</v>
      </c>
      <c r="BN148">
        <v>145</v>
      </c>
    </row>
    <row r="149" spans="8:66" x14ac:dyDescent="0.2">
      <c r="H149" s="1"/>
      <c r="K149" s="1"/>
      <c r="N149" s="1"/>
      <c r="Q149" s="1"/>
      <c r="S149" s="1"/>
      <c r="T149" s="1"/>
      <c r="U149" s="1"/>
      <c r="AI149" s="5">
        <v>14600</v>
      </c>
      <c r="AJ149">
        <v>1460</v>
      </c>
      <c r="AK149">
        <v>730</v>
      </c>
      <c r="BF149" s="1">
        <v>146</v>
      </c>
      <c r="BG149">
        <v>1460</v>
      </c>
      <c r="BJ149">
        <v>14600</v>
      </c>
      <c r="BK149">
        <v>1460</v>
      </c>
      <c r="BM149">
        <v>14600</v>
      </c>
      <c r="BN149">
        <v>146</v>
      </c>
    </row>
    <row r="150" spans="8:66" x14ac:dyDescent="0.2">
      <c r="H150" s="1"/>
      <c r="K150" s="1"/>
      <c r="N150" s="1"/>
      <c r="Q150" s="1"/>
      <c r="S150" s="1"/>
      <c r="T150" s="1"/>
      <c r="U150" s="1"/>
      <c r="AI150" s="5">
        <v>14700</v>
      </c>
      <c r="AJ150">
        <v>1470</v>
      </c>
      <c r="AK150">
        <v>735</v>
      </c>
      <c r="BF150" s="1">
        <v>147</v>
      </c>
      <c r="BG150">
        <v>1470</v>
      </c>
      <c r="BJ150">
        <v>14700</v>
      </c>
      <c r="BK150">
        <v>1470</v>
      </c>
      <c r="BM150">
        <v>14700</v>
      </c>
      <c r="BN150">
        <v>147</v>
      </c>
    </row>
    <row r="151" spans="8:66" x14ac:dyDescent="0.2">
      <c r="H151" s="1"/>
      <c r="K151" s="1"/>
      <c r="N151" s="1"/>
      <c r="Q151" s="1"/>
      <c r="S151" s="1"/>
      <c r="T151" s="1"/>
      <c r="U151" s="1"/>
      <c r="AI151" s="5">
        <v>14800</v>
      </c>
      <c r="AJ151">
        <v>1480</v>
      </c>
      <c r="AK151">
        <v>740</v>
      </c>
      <c r="BF151" s="1">
        <v>148</v>
      </c>
      <c r="BG151">
        <v>1480</v>
      </c>
      <c r="BJ151">
        <v>14800</v>
      </c>
      <c r="BK151">
        <v>1480</v>
      </c>
      <c r="BM151">
        <v>14800</v>
      </c>
      <c r="BN151">
        <v>148</v>
      </c>
    </row>
    <row r="152" spans="8:66" x14ac:dyDescent="0.2">
      <c r="H152" s="1"/>
      <c r="K152" s="1"/>
      <c r="N152" s="1"/>
      <c r="Q152" s="1"/>
      <c r="S152" s="1"/>
      <c r="T152" s="1"/>
      <c r="U152" s="1"/>
      <c r="AI152" s="5">
        <v>14900</v>
      </c>
      <c r="AJ152">
        <v>1490</v>
      </c>
      <c r="AK152">
        <v>745</v>
      </c>
      <c r="BF152" s="1">
        <v>149</v>
      </c>
      <c r="BG152">
        <v>1490</v>
      </c>
      <c r="BJ152">
        <v>14900</v>
      </c>
      <c r="BK152">
        <v>1490</v>
      </c>
      <c r="BM152">
        <v>14900</v>
      </c>
      <c r="BN152">
        <v>149</v>
      </c>
    </row>
    <row r="153" spans="8:66" x14ac:dyDescent="0.2">
      <c r="H153" s="1"/>
      <c r="K153" s="1"/>
      <c r="N153" s="1"/>
      <c r="Q153" s="1"/>
      <c r="S153" s="1"/>
      <c r="T153" s="1"/>
      <c r="U153" s="1"/>
      <c r="AI153" s="5">
        <v>15000</v>
      </c>
      <c r="AJ153">
        <v>1500</v>
      </c>
      <c r="AK153">
        <v>750</v>
      </c>
      <c r="BF153" s="1">
        <v>150</v>
      </c>
      <c r="BG153">
        <v>1500</v>
      </c>
      <c r="BJ153">
        <v>15000</v>
      </c>
      <c r="BK153">
        <v>1500</v>
      </c>
      <c r="BM153">
        <v>15000</v>
      </c>
      <c r="BN153">
        <v>150</v>
      </c>
    </row>
    <row r="154" spans="8:66" x14ac:dyDescent="0.2">
      <c r="H154" s="1"/>
      <c r="K154" s="1"/>
      <c r="N154" s="1"/>
      <c r="Q154" s="1"/>
      <c r="S154" s="1"/>
      <c r="T154" s="1"/>
      <c r="U154" s="1"/>
      <c r="AI154" s="5">
        <v>15100</v>
      </c>
      <c r="AJ154">
        <v>1510</v>
      </c>
      <c r="AK154">
        <v>755</v>
      </c>
      <c r="BF154" s="1">
        <v>151</v>
      </c>
      <c r="BG154">
        <v>1510</v>
      </c>
      <c r="BJ154">
        <v>15100</v>
      </c>
      <c r="BK154">
        <v>1510</v>
      </c>
      <c r="BM154">
        <v>15100</v>
      </c>
      <c r="BN154">
        <v>151</v>
      </c>
    </row>
    <row r="155" spans="8:66" x14ac:dyDescent="0.2">
      <c r="H155" s="1"/>
      <c r="K155" s="1"/>
      <c r="N155" s="1"/>
      <c r="Q155" s="1"/>
      <c r="S155" s="1"/>
      <c r="T155" s="1"/>
      <c r="U155" s="1"/>
      <c r="AI155" s="5">
        <v>15200</v>
      </c>
      <c r="AJ155">
        <v>1520</v>
      </c>
      <c r="AK155">
        <v>760</v>
      </c>
      <c r="BF155" s="1">
        <v>152</v>
      </c>
      <c r="BG155">
        <v>1520</v>
      </c>
      <c r="BJ155">
        <v>15200</v>
      </c>
      <c r="BK155">
        <v>1520</v>
      </c>
      <c r="BM155">
        <v>15200</v>
      </c>
      <c r="BN155">
        <v>152</v>
      </c>
    </row>
    <row r="156" spans="8:66" x14ac:dyDescent="0.2">
      <c r="H156" s="1"/>
      <c r="K156" s="1"/>
      <c r="N156" s="1"/>
      <c r="Q156" s="1"/>
      <c r="S156" s="1"/>
      <c r="T156" s="1"/>
      <c r="U156" s="1"/>
      <c r="AI156" s="5">
        <v>15300</v>
      </c>
      <c r="AJ156">
        <v>1530</v>
      </c>
      <c r="AK156">
        <v>765</v>
      </c>
      <c r="BF156" s="1">
        <v>153</v>
      </c>
      <c r="BG156">
        <v>1530</v>
      </c>
      <c r="BJ156">
        <v>15300</v>
      </c>
      <c r="BK156">
        <v>1530</v>
      </c>
      <c r="BM156">
        <v>15300</v>
      </c>
      <c r="BN156">
        <v>153</v>
      </c>
    </row>
    <row r="157" spans="8:66" x14ac:dyDescent="0.2">
      <c r="H157" s="1"/>
      <c r="K157" s="1"/>
      <c r="N157" s="1"/>
      <c r="Q157" s="1"/>
      <c r="S157" s="1"/>
      <c r="T157" s="1"/>
      <c r="U157" s="1"/>
      <c r="AI157" s="5">
        <v>15400</v>
      </c>
      <c r="AJ157">
        <v>1540</v>
      </c>
      <c r="AK157">
        <v>770</v>
      </c>
      <c r="BF157" s="1">
        <v>154</v>
      </c>
      <c r="BG157">
        <v>1540</v>
      </c>
      <c r="BJ157">
        <v>15400</v>
      </c>
      <c r="BK157">
        <v>1540</v>
      </c>
      <c r="BM157">
        <v>15400</v>
      </c>
      <c r="BN157">
        <v>154</v>
      </c>
    </row>
    <row r="158" spans="8:66" x14ac:dyDescent="0.2">
      <c r="H158" s="1"/>
      <c r="K158" s="1"/>
      <c r="N158" s="1"/>
      <c r="Q158" s="1"/>
      <c r="S158" s="1"/>
      <c r="T158" s="1"/>
      <c r="U158" s="1"/>
      <c r="AI158" s="5">
        <v>15500</v>
      </c>
      <c r="AJ158">
        <v>1550</v>
      </c>
      <c r="AK158">
        <v>775</v>
      </c>
      <c r="BF158" s="1">
        <v>155</v>
      </c>
      <c r="BG158">
        <v>1550</v>
      </c>
      <c r="BJ158">
        <v>15500</v>
      </c>
      <c r="BK158">
        <v>1550</v>
      </c>
      <c r="BM158">
        <v>15500</v>
      </c>
      <c r="BN158">
        <v>155</v>
      </c>
    </row>
    <row r="159" spans="8:66" x14ac:dyDescent="0.2">
      <c r="H159" s="1"/>
      <c r="K159" s="1"/>
      <c r="N159" s="1"/>
      <c r="Q159" s="1"/>
      <c r="S159" s="1"/>
      <c r="T159" s="1"/>
      <c r="U159" s="1"/>
      <c r="AI159" s="5">
        <v>15600</v>
      </c>
      <c r="AJ159">
        <v>1560</v>
      </c>
      <c r="AK159">
        <v>780</v>
      </c>
      <c r="BF159" s="1">
        <v>156</v>
      </c>
      <c r="BG159">
        <v>1560</v>
      </c>
      <c r="BJ159">
        <v>15600</v>
      </c>
      <c r="BK159">
        <v>1560</v>
      </c>
      <c r="BM159">
        <v>15600</v>
      </c>
      <c r="BN159">
        <v>156</v>
      </c>
    </row>
    <row r="160" spans="8:66" x14ac:dyDescent="0.2">
      <c r="H160" s="1"/>
      <c r="K160" s="1"/>
      <c r="N160" s="1"/>
      <c r="Q160" s="1"/>
      <c r="S160" s="1"/>
      <c r="T160" s="1"/>
      <c r="U160" s="1"/>
      <c r="AI160" s="5">
        <v>15700</v>
      </c>
      <c r="AJ160">
        <v>1570</v>
      </c>
      <c r="AK160">
        <v>785</v>
      </c>
      <c r="BF160" s="1">
        <v>157</v>
      </c>
      <c r="BG160">
        <v>1570</v>
      </c>
      <c r="BJ160">
        <v>15700</v>
      </c>
      <c r="BK160">
        <v>1570</v>
      </c>
      <c r="BM160">
        <v>15700</v>
      </c>
      <c r="BN160">
        <v>157</v>
      </c>
    </row>
    <row r="161" spans="8:66" x14ac:dyDescent="0.2">
      <c r="H161" s="1"/>
      <c r="K161" s="1"/>
      <c r="N161" s="1"/>
      <c r="Q161" s="1"/>
      <c r="S161" s="1"/>
      <c r="T161" s="1"/>
      <c r="U161" s="1"/>
      <c r="AI161" s="5">
        <v>15800</v>
      </c>
      <c r="AJ161">
        <v>1580</v>
      </c>
      <c r="AK161">
        <v>790</v>
      </c>
      <c r="BF161" s="1">
        <v>158</v>
      </c>
      <c r="BG161">
        <v>1580</v>
      </c>
      <c r="BJ161">
        <v>15800</v>
      </c>
      <c r="BK161">
        <v>1580</v>
      </c>
      <c r="BM161">
        <v>15800</v>
      </c>
      <c r="BN161">
        <v>158</v>
      </c>
    </row>
    <row r="162" spans="8:66" x14ac:dyDescent="0.2">
      <c r="H162" s="1"/>
      <c r="K162" s="1"/>
      <c r="N162" s="1"/>
      <c r="Q162" s="1"/>
      <c r="S162" s="1"/>
      <c r="T162" s="1"/>
      <c r="U162" s="1"/>
      <c r="AI162" s="5">
        <v>15900</v>
      </c>
      <c r="AJ162">
        <v>1590</v>
      </c>
      <c r="AK162">
        <v>795</v>
      </c>
      <c r="BF162" s="1">
        <v>159</v>
      </c>
      <c r="BG162">
        <v>1590</v>
      </c>
      <c r="BJ162">
        <v>15900</v>
      </c>
      <c r="BK162">
        <v>1590</v>
      </c>
      <c r="BM162">
        <v>15900</v>
      </c>
      <c r="BN162">
        <v>159</v>
      </c>
    </row>
    <row r="163" spans="8:66" x14ac:dyDescent="0.2">
      <c r="H163" s="1"/>
      <c r="K163" s="1"/>
      <c r="N163" s="1"/>
      <c r="Q163" s="1"/>
      <c r="S163" s="1"/>
      <c r="T163" s="1"/>
      <c r="U163" s="1"/>
      <c r="AI163" s="5">
        <v>16000</v>
      </c>
      <c r="AJ163">
        <v>1600</v>
      </c>
      <c r="AK163">
        <v>800</v>
      </c>
      <c r="BF163" s="1">
        <v>160</v>
      </c>
      <c r="BG163">
        <v>1600</v>
      </c>
      <c r="BJ163">
        <v>16000</v>
      </c>
      <c r="BK163">
        <v>1600</v>
      </c>
      <c r="BM163">
        <v>16000</v>
      </c>
      <c r="BN163">
        <v>160</v>
      </c>
    </row>
    <row r="164" spans="8:66" x14ac:dyDescent="0.2">
      <c r="H164" s="1"/>
      <c r="K164" s="1"/>
      <c r="N164" s="1"/>
      <c r="Q164" s="1"/>
      <c r="S164" s="1"/>
      <c r="T164" s="1"/>
      <c r="U164" s="1"/>
      <c r="AI164" s="5">
        <v>16100</v>
      </c>
      <c r="AJ164">
        <v>1610</v>
      </c>
      <c r="AK164">
        <v>805</v>
      </c>
      <c r="BF164" s="1">
        <v>161</v>
      </c>
      <c r="BG164">
        <v>1610</v>
      </c>
      <c r="BJ164">
        <v>16100</v>
      </c>
      <c r="BK164">
        <v>1610</v>
      </c>
      <c r="BM164">
        <v>16100</v>
      </c>
      <c r="BN164">
        <v>161</v>
      </c>
    </row>
    <row r="165" spans="8:66" x14ac:dyDescent="0.2">
      <c r="H165" s="1"/>
      <c r="K165" s="1"/>
      <c r="N165" s="1"/>
      <c r="Q165" s="1"/>
      <c r="S165" s="1"/>
      <c r="T165" s="1"/>
      <c r="U165" s="1"/>
      <c r="AI165" s="5">
        <v>16200</v>
      </c>
      <c r="AJ165">
        <v>1620</v>
      </c>
      <c r="AK165">
        <v>810</v>
      </c>
      <c r="BF165" s="1">
        <v>162</v>
      </c>
      <c r="BG165">
        <v>1620</v>
      </c>
      <c r="BJ165">
        <v>16200</v>
      </c>
      <c r="BK165">
        <v>1620</v>
      </c>
      <c r="BM165">
        <v>16200</v>
      </c>
      <c r="BN165">
        <v>162</v>
      </c>
    </row>
    <row r="166" spans="8:66" x14ac:dyDescent="0.2">
      <c r="H166" s="1"/>
      <c r="K166" s="1"/>
      <c r="N166" s="1"/>
      <c r="Q166" s="1"/>
      <c r="S166" s="1"/>
      <c r="T166" s="1"/>
      <c r="U166" s="1"/>
      <c r="AI166" s="5">
        <v>16300</v>
      </c>
      <c r="AJ166">
        <v>1630</v>
      </c>
      <c r="AK166">
        <v>815</v>
      </c>
      <c r="BF166" s="1">
        <v>163</v>
      </c>
      <c r="BG166">
        <v>1630</v>
      </c>
      <c r="BJ166">
        <v>16300</v>
      </c>
      <c r="BK166">
        <v>1630</v>
      </c>
      <c r="BM166">
        <v>16300</v>
      </c>
      <c r="BN166">
        <v>163</v>
      </c>
    </row>
    <row r="167" spans="8:66" x14ac:dyDescent="0.2">
      <c r="H167" s="1"/>
      <c r="K167" s="1"/>
      <c r="N167" s="1"/>
      <c r="Q167" s="1"/>
      <c r="S167" s="1"/>
      <c r="T167" s="1"/>
      <c r="U167" s="1"/>
      <c r="AI167" s="5">
        <v>16400</v>
      </c>
      <c r="AJ167">
        <v>1640</v>
      </c>
      <c r="AK167">
        <v>820</v>
      </c>
      <c r="BF167" s="1">
        <v>164</v>
      </c>
      <c r="BG167">
        <v>1640</v>
      </c>
      <c r="BJ167">
        <v>16400</v>
      </c>
      <c r="BK167">
        <v>1640</v>
      </c>
      <c r="BM167">
        <v>16400</v>
      </c>
      <c r="BN167">
        <v>164</v>
      </c>
    </row>
    <row r="168" spans="8:66" x14ac:dyDescent="0.2">
      <c r="H168" s="1"/>
      <c r="K168" s="1"/>
      <c r="N168" s="1"/>
      <c r="Q168" s="1"/>
      <c r="S168" s="1"/>
      <c r="T168" s="1"/>
      <c r="U168" s="1"/>
      <c r="AI168" s="5">
        <v>16500</v>
      </c>
      <c r="AJ168">
        <v>1650</v>
      </c>
      <c r="AK168">
        <v>825</v>
      </c>
      <c r="BF168" s="1">
        <v>165</v>
      </c>
      <c r="BG168">
        <v>1650</v>
      </c>
      <c r="BJ168">
        <v>16500</v>
      </c>
      <c r="BK168">
        <v>1650</v>
      </c>
      <c r="BM168">
        <v>16500</v>
      </c>
      <c r="BN168">
        <v>165</v>
      </c>
    </row>
    <row r="169" spans="8:66" x14ac:dyDescent="0.2">
      <c r="H169" s="1"/>
      <c r="K169" s="1"/>
      <c r="N169" s="1"/>
      <c r="Q169" s="1"/>
      <c r="S169" s="1"/>
      <c r="T169" s="1"/>
      <c r="U169" s="1"/>
      <c r="AI169" s="5">
        <v>16600</v>
      </c>
      <c r="AJ169">
        <v>1660</v>
      </c>
      <c r="AK169">
        <v>830</v>
      </c>
      <c r="BF169" s="1">
        <v>166</v>
      </c>
      <c r="BG169">
        <v>1660</v>
      </c>
      <c r="BJ169">
        <v>16600</v>
      </c>
      <c r="BK169">
        <v>1660</v>
      </c>
      <c r="BM169">
        <v>16600</v>
      </c>
      <c r="BN169">
        <v>166</v>
      </c>
    </row>
    <row r="170" spans="8:66" x14ac:dyDescent="0.2">
      <c r="H170" s="1"/>
      <c r="K170" s="1"/>
      <c r="N170" s="1"/>
      <c r="Q170" s="1"/>
      <c r="S170" s="1"/>
      <c r="T170" s="1"/>
      <c r="U170" s="1"/>
      <c r="AI170" s="5">
        <v>16700</v>
      </c>
      <c r="AJ170">
        <v>1670</v>
      </c>
      <c r="AK170">
        <v>835</v>
      </c>
      <c r="BF170" s="1">
        <v>167</v>
      </c>
      <c r="BG170">
        <v>1670</v>
      </c>
      <c r="BJ170">
        <v>16700</v>
      </c>
      <c r="BK170">
        <v>1670</v>
      </c>
      <c r="BM170">
        <v>16700</v>
      </c>
      <c r="BN170">
        <v>167</v>
      </c>
    </row>
    <row r="171" spans="8:66" x14ac:dyDescent="0.2">
      <c r="H171" s="1"/>
      <c r="K171" s="1"/>
      <c r="N171" s="1"/>
      <c r="Q171" s="1"/>
      <c r="S171" s="1"/>
      <c r="T171" s="1"/>
      <c r="U171" s="1"/>
      <c r="AI171" s="5">
        <v>16800</v>
      </c>
      <c r="AJ171">
        <v>1680</v>
      </c>
      <c r="AK171">
        <v>840</v>
      </c>
      <c r="BF171" s="1">
        <v>168</v>
      </c>
      <c r="BG171">
        <v>1680</v>
      </c>
      <c r="BJ171">
        <v>16800</v>
      </c>
      <c r="BK171">
        <v>1680</v>
      </c>
      <c r="BM171">
        <v>16800</v>
      </c>
      <c r="BN171">
        <v>168</v>
      </c>
    </row>
    <row r="172" spans="8:66" x14ac:dyDescent="0.2">
      <c r="H172" s="1"/>
      <c r="K172" s="1"/>
      <c r="N172" s="1"/>
      <c r="Q172" s="1"/>
      <c r="S172" s="1"/>
      <c r="T172" s="1"/>
      <c r="U172" s="1"/>
      <c r="AI172" s="5">
        <v>16900</v>
      </c>
      <c r="AJ172">
        <v>1690</v>
      </c>
      <c r="AK172">
        <v>845</v>
      </c>
      <c r="BF172" s="1">
        <v>169</v>
      </c>
      <c r="BG172">
        <v>1690</v>
      </c>
      <c r="BJ172">
        <v>16900</v>
      </c>
      <c r="BK172">
        <v>1690</v>
      </c>
      <c r="BM172">
        <v>16900</v>
      </c>
      <c r="BN172">
        <v>169</v>
      </c>
    </row>
    <row r="173" spans="8:66" x14ac:dyDescent="0.2">
      <c r="H173" s="1"/>
      <c r="K173" s="1"/>
      <c r="N173" s="1"/>
      <c r="Q173" s="1"/>
      <c r="S173" s="1"/>
      <c r="T173" s="1"/>
      <c r="U173" s="1"/>
      <c r="AI173" s="5">
        <v>17000</v>
      </c>
      <c r="AJ173">
        <v>1700</v>
      </c>
      <c r="AK173">
        <v>850</v>
      </c>
      <c r="BF173" s="1">
        <v>170</v>
      </c>
      <c r="BG173">
        <v>1700</v>
      </c>
      <c r="BJ173">
        <v>17000</v>
      </c>
      <c r="BK173">
        <v>1700</v>
      </c>
      <c r="BM173">
        <v>17000</v>
      </c>
      <c r="BN173">
        <v>170</v>
      </c>
    </row>
    <row r="174" spans="8:66" x14ac:dyDescent="0.2">
      <c r="H174" s="1"/>
      <c r="K174" s="1"/>
      <c r="N174" s="1"/>
      <c r="Q174" s="1"/>
      <c r="S174" s="1"/>
      <c r="T174" s="1"/>
      <c r="U174" s="1"/>
      <c r="AI174" s="5">
        <v>17100</v>
      </c>
      <c r="AJ174">
        <v>1710</v>
      </c>
      <c r="AK174">
        <v>855</v>
      </c>
      <c r="BF174" s="1">
        <v>171</v>
      </c>
      <c r="BG174">
        <v>1710</v>
      </c>
      <c r="BJ174">
        <v>17100</v>
      </c>
      <c r="BK174">
        <v>1710</v>
      </c>
      <c r="BM174">
        <v>17100</v>
      </c>
      <c r="BN174">
        <v>171</v>
      </c>
    </row>
    <row r="175" spans="8:66" x14ac:dyDescent="0.2">
      <c r="H175" s="1"/>
      <c r="K175" s="1"/>
      <c r="N175" s="1"/>
      <c r="Q175" s="1"/>
      <c r="S175" s="1"/>
      <c r="T175" s="1"/>
      <c r="U175" s="1"/>
      <c r="AI175" s="5">
        <v>17200</v>
      </c>
      <c r="AJ175">
        <v>1720</v>
      </c>
      <c r="AK175">
        <v>860</v>
      </c>
      <c r="BF175" s="1">
        <v>172</v>
      </c>
      <c r="BG175">
        <v>1720</v>
      </c>
      <c r="BJ175">
        <v>17200</v>
      </c>
      <c r="BK175">
        <v>1720</v>
      </c>
      <c r="BM175">
        <v>17200</v>
      </c>
      <c r="BN175">
        <v>172</v>
      </c>
    </row>
    <row r="176" spans="8:66" x14ac:dyDescent="0.2">
      <c r="H176" s="1"/>
      <c r="K176" s="1"/>
      <c r="N176" s="1"/>
      <c r="Q176" s="1"/>
      <c r="S176" s="1"/>
      <c r="T176" s="1"/>
      <c r="U176" s="1"/>
      <c r="AI176" s="5">
        <v>17300</v>
      </c>
      <c r="AJ176">
        <v>1730</v>
      </c>
      <c r="AK176">
        <v>865</v>
      </c>
      <c r="BF176" s="1">
        <v>173</v>
      </c>
      <c r="BG176">
        <v>1730</v>
      </c>
      <c r="BJ176">
        <v>17300</v>
      </c>
      <c r="BK176">
        <v>1730</v>
      </c>
      <c r="BM176">
        <v>17300</v>
      </c>
      <c r="BN176">
        <v>173</v>
      </c>
    </row>
    <row r="177" spans="8:66" x14ac:dyDescent="0.2">
      <c r="H177" s="1"/>
      <c r="K177" s="1"/>
      <c r="N177" s="1"/>
      <c r="Q177" s="1"/>
      <c r="S177" s="1"/>
      <c r="T177" s="1"/>
      <c r="U177" s="1"/>
      <c r="AI177" s="5">
        <v>17400</v>
      </c>
      <c r="AJ177">
        <v>1740</v>
      </c>
      <c r="AK177">
        <v>870</v>
      </c>
      <c r="BF177" s="1">
        <v>174</v>
      </c>
      <c r="BG177">
        <v>1740</v>
      </c>
      <c r="BJ177">
        <v>17400</v>
      </c>
      <c r="BK177">
        <v>1740</v>
      </c>
      <c r="BM177">
        <v>17400</v>
      </c>
      <c r="BN177">
        <v>174</v>
      </c>
    </row>
    <row r="178" spans="8:66" x14ac:dyDescent="0.2">
      <c r="H178" s="1"/>
      <c r="K178" s="1"/>
      <c r="N178" s="1"/>
      <c r="Q178" s="1"/>
      <c r="S178" s="1"/>
      <c r="T178" s="1"/>
      <c r="U178" s="1"/>
      <c r="AI178" s="5">
        <v>17500</v>
      </c>
      <c r="AJ178">
        <v>1750</v>
      </c>
      <c r="AK178">
        <v>875</v>
      </c>
      <c r="BF178" s="1">
        <v>175</v>
      </c>
      <c r="BG178">
        <v>1750</v>
      </c>
      <c r="BJ178">
        <v>17500</v>
      </c>
      <c r="BK178">
        <v>1750</v>
      </c>
      <c r="BM178">
        <v>17500</v>
      </c>
      <c r="BN178">
        <v>175</v>
      </c>
    </row>
    <row r="179" spans="8:66" x14ac:dyDescent="0.2">
      <c r="H179" s="1"/>
      <c r="K179" s="1"/>
      <c r="N179" s="1"/>
      <c r="Q179" s="1"/>
      <c r="S179" s="1"/>
      <c r="T179" s="1"/>
      <c r="U179" s="1"/>
      <c r="AI179" s="5">
        <v>17600</v>
      </c>
      <c r="AJ179">
        <v>1760</v>
      </c>
      <c r="AK179">
        <v>880</v>
      </c>
      <c r="BF179" s="1">
        <v>176</v>
      </c>
      <c r="BG179">
        <v>1760</v>
      </c>
      <c r="BJ179">
        <v>17600</v>
      </c>
      <c r="BK179">
        <v>1760</v>
      </c>
      <c r="BM179">
        <v>17600</v>
      </c>
      <c r="BN179">
        <v>176</v>
      </c>
    </row>
    <row r="180" spans="8:66" x14ac:dyDescent="0.2">
      <c r="H180" s="1"/>
      <c r="K180" s="1"/>
      <c r="N180" s="1"/>
      <c r="Q180" s="1"/>
      <c r="S180" s="1"/>
      <c r="T180" s="1"/>
      <c r="U180" s="1"/>
      <c r="AI180" s="5">
        <v>17700</v>
      </c>
      <c r="AJ180">
        <v>1770</v>
      </c>
      <c r="AK180">
        <v>885</v>
      </c>
      <c r="BF180" s="1">
        <v>177</v>
      </c>
      <c r="BG180">
        <v>1770</v>
      </c>
      <c r="BJ180">
        <v>17700</v>
      </c>
      <c r="BK180">
        <v>1770</v>
      </c>
      <c r="BM180">
        <v>17700</v>
      </c>
      <c r="BN180">
        <v>177</v>
      </c>
    </row>
    <row r="181" spans="8:66" x14ac:dyDescent="0.2">
      <c r="H181" s="1"/>
      <c r="K181" s="1"/>
      <c r="N181" s="1"/>
      <c r="Q181" s="1"/>
      <c r="S181" s="1"/>
      <c r="T181" s="1"/>
      <c r="U181" s="1"/>
      <c r="AI181" s="5">
        <v>17800</v>
      </c>
      <c r="AJ181">
        <v>1780</v>
      </c>
      <c r="AK181">
        <v>890</v>
      </c>
      <c r="BF181" s="1">
        <v>178</v>
      </c>
      <c r="BG181">
        <v>1780</v>
      </c>
      <c r="BJ181">
        <v>17800</v>
      </c>
      <c r="BK181">
        <v>1780</v>
      </c>
      <c r="BM181">
        <v>17800</v>
      </c>
      <c r="BN181">
        <v>178</v>
      </c>
    </row>
    <row r="182" spans="8:66" x14ac:dyDescent="0.2">
      <c r="H182" s="1"/>
      <c r="K182" s="1"/>
      <c r="N182" s="1"/>
      <c r="Q182" s="1"/>
      <c r="S182" s="1"/>
      <c r="T182" s="1"/>
      <c r="U182" s="1"/>
      <c r="AI182" s="5">
        <v>17900</v>
      </c>
      <c r="AJ182">
        <v>1790</v>
      </c>
      <c r="AK182">
        <v>895</v>
      </c>
      <c r="BF182" s="1">
        <v>179</v>
      </c>
      <c r="BG182">
        <v>1790</v>
      </c>
      <c r="BJ182">
        <v>17900</v>
      </c>
      <c r="BK182">
        <v>1790</v>
      </c>
      <c r="BM182">
        <v>17900</v>
      </c>
      <c r="BN182">
        <v>179</v>
      </c>
    </row>
    <row r="183" spans="8:66" x14ac:dyDescent="0.2">
      <c r="H183" s="1"/>
      <c r="K183" s="1"/>
      <c r="N183" s="1"/>
      <c r="Q183" s="1"/>
      <c r="S183" s="1"/>
      <c r="T183" s="1"/>
      <c r="U183" s="1"/>
      <c r="AI183" s="5">
        <v>18000</v>
      </c>
      <c r="AJ183">
        <v>1800</v>
      </c>
      <c r="AK183">
        <v>900</v>
      </c>
      <c r="BF183" s="1">
        <v>180</v>
      </c>
      <c r="BG183">
        <v>1800</v>
      </c>
      <c r="BJ183">
        <v>18000</v>
      </c>
      <c r="BK183">
        <v>1800</v>
      </c>
      <c r="BM183">
        <v>18000</v>
      </c>
      <c r="BN183">
        <v>180</v>
      </c>
    </row>
    <row r="184" spans="8:66" x14ac:dyDescent="0.2">
      <c r="H184" s="1"/>
      <c r="K184" s="1"/>
      <c r="N184" s="1"/>
      <c r="Q184" s="1"/>
      <c r="S184" s="1"/>
      <c r="T184" s="1"/>
      <c r="U184" s="1"/>
      <c r="AI184" s="5">
        <v>18100</v>
      </c>
      <c r="AJ184">
        <v>1810</v>
      </c>
      <c r="AK184">
        <v>905</v>
      </c>
      <c r="BF184" s="1">
        <v>181</v>
      </c>
      <c r="BG184">
        <v>1810</v>
      </c>
      <c r="BJ184">
        <v>18100</v>
      </c>
      <c r="BK184">
        <v>1810</v>
      </c>
      <c r="BM184">
        <v>18100</v>
      </c>
      <c r="BN184">
        <v>181</v>
      </c>
    </row>
    <row r="185" spans="8:66" x14ac:dyDescent="0.2">
      <c r="H185" s="1"/>
      <c r="K185" s="1"/>
      <c r="N185" s="1"/>
      <c r="Q185" s="1"/>
      <c r="S185" s="1"/>
      <c r="T185" s="1"/>
      <c r="U185" s="1"/>
      <c r="AI185" s="5">
        <v>18200</v>
      </c>
      <c r="AJ185">
        <v>1820</v>
      </c>
      <c r="AK185">
        <v>910</v>
      </c>
      <c r="BF185" s="1">
        <v>182</v>
      </c>
      <c r="BG185">
        <v>1820</v>
      </c>
      <c r="BJ185">
        <v>18200</v>
      </c>
      <c r="BK185">
        <v>1820</v>
      </c>
      <c r="BM185">
        <v>18200</v>
      </c>
      <c r="BN185">
        <v>182</v>
      </c>
    </row>
    <row r="186" spans="8:66" x14ac:dyDescent="0.2">
      <c r="H186" s="1"/>
      <c r="K186" s="1"/>
      <c r="N186" s="1"/>
      <c r="Q186" s="1"/>
      <c r="S186" s="1"/>
      <c r="T186" s="1"/>
      <c r="U186" s="1"/>
      <c r="AI186" s="5">
        <v>18300</v>
      </c>
      <c r="AJ186">
        <v>1830</v>
      </c>
      <c r="AK186">
        <v>915</v>
      </c>
      <c r="BF186" s="1">
        <v>183</v>
      </c>
      <c r="BG186">
        <v>1830</v>
      </c>
      <c r="BJ186">
        <v>18300</v>
      </c>
      <c r="BK186">
        <v>1830</v>
      </c>
      <c r="BM186">
        <v>18300</v>
      </c>
      <c r="BN186">
        <v>183</v>
      </c>
    </row>
    <row r="187" spans="8:66" x14ac:dyDescent="0.2">
      <c r="H187" s="1"/>
      <c r="K187" s="1"/>
      <c r="N187" s="1"/>
      <c r="Q187" s="1"/>
      <c r="S187" s="1"/>
      <c r="T187" s="1"/>
      <c r="U187" s="1"/>
      <c r="AI187" s="5">
        <v>18400</v>
      </c>
      <c r="AJ187">
        <v>1840</v>
      </c>
      <c r="AK187">
        <v>920</v>
      </c>
      <c r="BF187" s="1">
        <v>184</v>
      </c>
      <c r="BG187">
        <v>1840</v>
      </c>
      <c r="BJ187">
        <v>18400</v>
      </c>
      <c r="BK187">
        <v>1840</v>
      </c>
      <c r="BM187">
        <v>18400</v>
      </c>
      <c r="BN187">
        <v>184</v>
      </c>
    </row>
    <row r="188" spans="8:66" x14ac:dyDescent="0.2">
      <c r="H188" s="1"/>
      <c r="K188" s="1"/>
      <c r="N188" s="1"/>
      <c r="Q188" s="1"/>
      <c r="S188" s="1"/>
      <c r="T188" s="1"/>
      <c r="U188" s="1"/>
      <c r="AI188" s="5">
        <v>18500</v>
      </c>
      <c r="AJ188">
        <v>1850</v>
      </c>
      <c r="AK188">
        <v>925</v>
      </c>
      <c r="BF188" s="1">
        <v>185</v>
      </c>
      <c r="BG188">
        <v>1850</v>
      </c>
      <c r="BJ188">
        <v>18500</v>
      </c>
      <c r="BK188">
        <v>1850</v>
      </c>
      <c r="BM188">
        <v>18500</v>
      </c>
      <c r="BN188">
        <v>185</v>
      </c>
    </row>
    <row r="189" spans="8:66" x14ac:dyDescent="0.2">
      <c r="H189" s="1"/>
      <c r="K189" s="1"/>
      <c r="N189" s="1"/>
      <c r="Q189" s="1"/>
      <c r="S189" s="1"/>
      <c r="T189" s="1"/>
      <c r="U189" s="1"/>
      <c r="AI189" s="5">
        <v>18600</v>
      </c>
      <c r="AJ189">
        <v>1860</v>
      </c>
      <c r="AK189">
        <v>930</v>
      </c>
      <c r="BF189" s="1">
        <v>186</v>
      </c>
      <c r="BG189">
        <v>1860</v>
      </c>
      <c r="BJ189">
        <v>18600</v>
      </c>
      <c r="BK189">
        <v>1860</v>
      </c>
      <c r="BM189">
        <v>18600</v>
      </c>
      <c r="BN189">
        <v>186</v>
      </c>
    </row>
    <row r="190" spans="8:66" x14ac:dyDescent="0.2">
      <c r="H190" s="1"/>
      <c r="K190" s="1"/>
      <c r="N190" s="1"/>
      <c r="Q190" s="1"/>
      <c r="S190" s="1"/>
      <c r="T190" s="1"/>
      <c r="U190" s="1"/>
      <c r="AI190" s="5">
        <v>18700</v>
      </c>
      <c r="AJ190">
        <v>1870</v>
      </c>
      <c r="AK190">
        <v>935</v>
      </c>
      <c r="BF190" s="1">
        <v>187</v>
      </c>
      <c r="BG190">
        <v>1870</v>
      </c>
      <c r="BJ190">
        <v>18700</v>
      </c>
      <c r="BK190">
        <v>1870</v>
      </c>
      <c r="BM190">
        <v>18700</v>
      </c>
      <c r="BN190">
        <v>187</v>
      </c>
    </row>
    <row r="191" spans="8:66" x14ac:dyDescent="0.2">
      <c r="H191" s="1"/>
      <c r="K191" s="1"/>
      <c r="N191" s="1"/>
      <c r="Q191" s="1"/>
      <c r="S191" s="1"/>
      <c r="T191" s="1"/>
      <c r="U191" s="1"/>
      <c r="AI191" s="5">
        <v>18800</v>
      </c>
      <c r="AJ191">
        <v>1880</v>
      </c>
      <c r="AK191">
        <v>940</v>
      </c>
      <c r="BF191" s="1">
        <v>188</v>
      </c>
      <c r="BG191">
        <v>1880</v>
      </c>
      <c r="BJ191">
        <v>18800</v>
      </c>
      <c r="BK191">
        <v>1880</v>
      </c>
      <c r="BM191">
        <v>18800</v>
      </c>
      <c r="BN191">
        <v>188</v>
      </c>
    </row>
    <row r="192" spans="8:66" x14ac:dyDescent="0.2">
      <c r="H192" s="1"/>
      <c r="K192" s="1"/>
      <c r="N192" s="1"/>
      <c r="Q192" s="1"/>
      <c r="S192" s="1"/>
      <c r="T192" s="1"/>
      <c r="U192" s="1"/>
      <c r="AI192" s="5">
        <v>18900</v>
      </c>
      <c r="AJ192">
        <v>1890</v>
      </c>
      <c r="AK192">
        <v>945</v>
      </c>
      <c r="BF192" s="1">
        <v>189</v>
      </c>
      <c r="BG192">
        <v>1890</v>
      </c>
      <c r="BJ192">
        <v>18900</v>
      </c>
      <c r="BK192">
        <v>1890</v>
      </c>
      <c r="BM192">
        <v>18900</v>
      </c>
      <c r="BN192">
        <v>189</v>
      </c>
    </row>
    <row r="193" spans="8:66" x14ac:dyDescent="0.2">
      <c r="H193" s="1"/>
      <c r="K193" s="1"/>
      <c r="N193" s="1"/>
      <c r="Q193" s="1"/>
      <c r="S193" s="1"/>
      <c r="T193" s="1"/>
      <c r="U193" s="1"/>
      <c r="AI193" s="5">
        <v>19000</v>
      </c>
      <c r="AJ193">
        <v>1900</v>
      </c>
      <c r="AK193">
        <v>950</v>
      </c>
      <c r="BF193" s="1">
        <v>190</v>
      </c>
      <c r="BG193">
        <v>1900</v>
      </c>
      <c r="BJ193">
        <v>19000</v>
      </c>
      <c r="BK193">
        <v>1900</v>
      </c>
      <c r="BM193">
        <v>19000</v>
      </c>
      <c r="BN193">
        <v>190</v>
      </c>
    </row>
    <row r="194" spans="8:66" x14ac:dyDescent="0.2">
      <c r="H194" s="1"/>
      <c r="K194" s="1"/>
      <c r="N194" s="1"/>
      <c r="Q194" s="1"/>
      <c r="S194" s="1"/>
      <c r="T194" s="1"/>
      <c r="U194" s="1"/>
      <c r="AI194" s="5">
        <v>19100</v>
      </c>
      <c r="AJ194">
        <v>1910</v>
      </c>
      <c r="AK194">
        <v>955</v>
      </c>
      <c r="BF194" s="1">
        <v>191</v>
      </c>
      <c r="BG194">
        <v>1910</v>
      </c>
      <c r="BJ194">
        <v>19100</v>
      </c>
      <c r="BK194">
        <v>1910</v>
      </c>
      <c r="BM194">
        <v>19100</v>
      </c>
      <c r="BN194">
        <v>191</v>
      </c>
    </row>
    <row r="195" spans="8:66" x14ac:dyDescent="0.2">
      <c r="H195" s="1"/>
      <c r="K195" s="1"/>
      <c r="N195" s="1"/>
      <c r="Q195" s="1"/>
      <c r="S195" s="1"/>
      <c r="T195" s="1"/>
      <c r="U195" s="1"/>
      <c r="AI195" s="5">
        <v>19200</v>
      </c>
      <c r="AJ195">
        <v>1920</v>
      </c>
      <c r="AK195">
        <v>960</v>
      </c>
      <c r="BF195" s="1">
        <v>192</v>
      </c>
      <c r="BG195">
        <v>1920</v>
      </c>
      <c r="BJ195">
        <v>19200</v>
      </c>
      <c r="BK195">
        <v>1920</v>
      </c>
      <c r="BM195">
        <v>19200</v>
      </c>
      <c r="BN195">
        <v>192</v>
      </c>
    </row>
    <row r="196" spans="8:66" x14ac:dyDescent="0.2">
      <c r="H196" s="1"/>
      <c r="K196" s="1"/>
      <c r="N196" s="1"/>
      <c r="Q196" s="1"/>
      <c r="S196" s="1"/>
      <c r="T196" s="1"/>
      <c r="U196" s="1"/>
      <c r="AI196" s="5">
        <v>19300</v>
      </c>
      <c r="AJ196">
        <v>1930</v>
      </c>
      <c r="AK196">
        <v>965</v>
      </c>
      <c r="BF196" s="1">
        <v>193</v>
      </c>
      <c r="BG196">
        <v>1930</v>
      </c>
      <c r="BJ196">
        <v>19300</v>
      </c>
      <c r="BK196">
        <v>1930</v>
      </c>
      <c r="BM196">
        <v>19300</v>
      </c>
      <c r="BN196">
        <v>193</v>
      </c>
    </row>
    <row r="197" spans="8:66" x14ac:dyDescent="0.2">
      <c r="H197" s="1"/>
      <c r="K197" s="1"/>
      <c r="N197" s="1"/>
      <c r="Q197" s="1"/>
      <c r="S197" s="1"/>
      <c r="T197" s="1"/>
      <c r="U197" s="1"/>
      <c r="AI197" s="5">
        <v>19400</v>
      </c>
      <c r="AJ197">
        <v>1940</v>
      </c>
      <c r="AK197">
        <v>970</v>
      </c>
      <c r="BF197" s="1">
        <v>194</v>
      </c>
      <c r="BG197">
        <v>1940</v>
      </c>
      <c r="BJ197">
        <v>19400</v>
      </c>
      <c r="BK197">
        <v>1940</v>
      </c>
      <c r="BM197">
        <v>19400</v>
      </c>
      <c r="BN197">
        <v>194</v>
      </c>
    </row>
    <row r="198" spans="8:66" x14ac:dyDescent="0.2">
      <c r="H198" s="1"/>
      <c r="K198" s="1"/>
      <c r="N198" s="1"/>
      <c r="Q198" s="1"/>
      <c r="S198" s="1"/>
      <c r="T198" s="1"/>
      <c r="U198" s="1"/>
      <c r="AI198" s="5">
        <v>19500</v>
      </c>
      <c r="AJ198">
        <v>1950</v>
      </c>
      <c r="AK198">
        <v>975</v>
      </c>
      <c r="BF198" s="1">
        <v>195</v>
      </c>
      <c r="BG198">
        <v>1950</v>
      </c>
      <c r="BJ198">
        <v>19500</v>
      </c>
      <c r="BK198">
        <v>1950</v>
      </c>
      <c r="BM198">
        <v>19500</v>
      </c>
      <c r="BN198">
        <v>195</v>
      </c>
    </row>
    <row r="199" spans="8:66" x14ac:dyDescent="0.2">
      <c r="H199" s="1"/>
      <c r="K199" s="1"/>
      <c r="N199" s="1"/>
      <c r="Q199" s="1"/>
      <c r="S199" s="1"/>
      <c r="T199" s="1"/>
      <c r="U199" s="1"/>
      <c r="AI199" s="5">
        <v>19600</v>
      </c>
      <c r="AJ199">
        <v>1960</v>
      </c>
      <c r="AK199">
        <v>980</v>
      </c>
      <c r="BF199" s="1">
        <v>196</v>
      </c>
      <c r="BG199">
        <v>1960</v>
      </c>
      <c r="BJ199">
        <v>19600</v>
      </c>
      <c r="BK199">
        <v>1960</v>
      </c>
      <c r="BM199">
        <v>19600</v>
      </c>
      <c r="BN199">
        <v>196</v>
      </c>
    </row>
    <row r="200" spans="8:66" x14ac:dyDescent="0.2">
      <c r="H200" s="1"/>
      <c r="K200" s="1"/>
      <c r="N200" s="1"/>
      <c r="Q200" s="1"/>
      <c r="S200" s="1"/>
      <c r="T200" s="1"/>
      <c r="U200" s="1"/>
      <c r="AI200" s="5">
        <v>19700</v>
      </c>
      <c r="AJ200">
        <v>1970</v>
      </c>
      <c r="AK200">
        <v>985</v>
      </c>
      <c r="BF200" s="1">
        <v>197</v>
      </c>
      <c r="BG200">
        <v>1970</v>
      </c>
      <c r="BJ200">
        <v>19700</v>
      </c>
      <c r="BK200">
        <v>1970</v>
      </c>
      <c r="BM200">
        <v>19700</v>
      </c>
      <c r="BN200">
        <v>197</v>
      </c>
    </row>
    <row r="201" spans="8:66" x14ac:dyDescent="0.2">
      <c r="H201" s="1"/>
      <c r="K201" s="1"/>
      <c r="N201" s="1"/>
      <c r="Q201" s="1"/>
      <c r="S201" s="1"/>
      <c r="T201" s="1"/>
      <c r="U201" s="1"/>
      <c r="AI201" s="5">
        <v>19800</v>
      </c>
      <c r="AJ201">
        <v>1980</v>
      </c>
      <c r="AK201">
        <v>990</v>
      </c>
      <c r="BF201" s="1">
        <v>198</v>
      </c>
      <c r="BG201">
        <v>1980</v>
      </c>
      <c r="BJ201">
        <v>19800</v>
      </c>
      <c r="BK201">
        <v>1980</v>
      </c>
      <c r="BM201">
        <v>19800</v>
      </c>
      <c r="BN201">
        <v>198</v>
      </c>
    </row>
    <row r="202" spans="8:66" x14ac:dyDescent="0.2">
      <c r="H202" s="1"/>
      <c r="K202" s="1"/>
      <c r="N202" s="1"/>
      <c r="Q202" s="1"/>
      <c r="S202" s="1"/>
      <c r="T202" s="1"/>
      <c r="U202" s="1"/>
      <c r="AI202" s="5">
        <v>19900</v>
      </c>
      <c r="AJ202">
        <v>1990</v>
      </c>
      <c r="AK202">
        <v>995</v>
      </c>
      <c r="BF202" s="1">
        <v>199</v>
      </c>
      <c r="BG202">
        <v>1990</v>
      </c>
      <c r="BJ202">
        <v>19900</v>
      </c>
      <c r="BK202">
        <v>1990</v>
      </c>
      <c r="BM202">
        <v>19900</v>
      </c>
      <c r="BN202">
        <v>199</v>
      </c>
    </row>
    <row r="203" spans="8:66" x14ac:dyDescent="0.2">
      <c r="H203" s="1"/>
      <c r="K203" s="1"/>
      <c r="N203" s="1"/>
      <c r="Q203" s="1"/>
      <c r="S203" s="1"/>
      <c r="T203" s="1"/>
      <c r="U203" s="1"/>
      <c r="AI203" s="5">
        <v>20000</v>
      </c>
      <c r="AJ203">
        <v>2000</v>
      </c>
      <c r="AK203">
        <v>1000</v>
      </c>
      <c r="BF203" s="1">
        <v>200</v>
      </c>
      <c r="BG203">
        <v>2000</v>
      </c>
      <c r="BJ203">
        <v>20000</v>
      </c>
      <c r="BK203">
        <v>2000</v>
      </c>
      <c r="BM203">
        <v>20000</v>
      </c>
      <c r="BN203">
        <v>200</v>
      </c>
    </row>
    <row r="204" spans="8:66" x14ac:dyDescent="0.2">
      <c r="H204" s="1"/>
      <c r="K204" s="1"/>
      <c r="N204" s="1"/>
      <c r="Q204" s="1"/>
      <c r="S204" s="1"/>
      <c r="T204" s="1"/>
      <c r="U204" s="1"/>
      <c r="BF204" s="1">
        <v>201</v>
      </c>
      <c r="BG204">
        <v>2010</v>
      </c>
      <c r="BJ204">
        <v>20100</v>
      </c>
      <c r="BK204">
        <v>2010</v>
      </c>
      <c r="BM204">
        <v>20100</v>
      </c>
      <c r="BN204">
        <v>201</v>
      </c>
    </row>
    <row r="205" spans="8:66" x14ac:dyDescent="0.2">
      <c r="H205" s="1"/>
      <c r="K205" s="1"/>
      <c r="N205" s="1"/>
      <c r="Q205" s="1"/>
      <c r="S205" s="1"/>
      <c r="T205" s="1"/>
      <c r="U205" s="1"/>
      <c r="BF205" s="1">
        <v>202</v>
      </c>
      <c r="BG205">
        <v>2020</v>
      </c>
      <c r="BJ205">
        <v>20200</v>
      </c>
      <c r="BK205">
        <v>2020</v>
      </c>
      <c r="BM205">
        <v>20200</v>
      </c>
      <c r="BN205">
        <v>202</v>
      </c>
    </row>
    <row r="206" spans="8:66" x14ac:dyDescent="0.2">
      <c r="H206" s="1"/>
      <c r="K206" s="1"/>
      <c r="N206" s="1"/>
      <c r="Q206" s="1"/>
      <c r="S206" s="1"/>
      <c r="T206" s="1"/>
      <c r="U206" s="1"/>
      <c r="BF206" s="1">
        <v>203</v>
      </c>
      <c r="BG206">
        <v>2030</v>
      </c>
      <c r="BJ206">
        <v>20300</v>
      </c>
      <c r="BK206">
        <v>2030</v>
      </c>
      <c r="BM206">
        <v>20300</v>
      </c>
      <c r="BN206">
        <v>203</v>
      </c>
    </row>
    <row r="207" spans="8:66" x14ac:dyDescent="0.2">
      <c r="H207" s="1"/>
      <c r="K207" s="1"/>
      <c r="N207" s="1"/>
      <c r="Q207" s="1"/>
      <c r="S207" s="1"/>
      <c r="T207" s="1"/>
      <c r="U207" s="1"/>
      <c r="BF207" s="1">
        <v>204</v>
      </c>
      <c r="BG207">
        <v>2040</v>
      </c>
      <c r="BJ207">
        <v>20400</v>
      </c>
      <c r="BK207">
        <v>2040</v>
      </c>
      <c r="BM207">
        <v>20400</v>
      </c>
      <c r="BN207">
        <v>204</v>
      </c>
    </row>
    <row r="208" spans="8:66" x14ac:dyDescent="0.2">
      <c r="H208" s="1"/>
      <c r="K208" s="1"/>
      <c r="N208" s="1"/>
      <c r="Q208" s="1"/>
      <c r="S208" s="1"/>
      <c r="T208" s="1"/>
      <c r="U208" s="1"/>
      <c r="BF208" s="1">
        <v>205</v>
      </c>
      <c r="BG208">
        <v>2050</v>
      </c>
      <c r="BJ208">
        <v>20500</v>
      </c>
      <c r="BK208">
        <v>2050</v>
      </c>
      <c r="BM208">
        <v>20500</v>
      </c>
      <c r="BN208">
        <v>205</v>
      </c>
    </row>
    <row r="209" spans="8:66" x14ac:dyDescent="0.2">
      <c r="H209" s="1"/>
      <c r="K209" s="1"/>
      <c r="N209" s="1"/>
      <c r="Q209" s="1"/>
      <c r="S209" s="1"/>
      <c r="T209" s="1"/>
      <c r="U209" s="1"/>
      <c r="BF209" s="1">
        <v>206</v>
      </c>
      <c r="BG209">
        <v>2060</v>
      </c>
      <c r="BJ209">
        <v>20600</v>
      </c>
      <c r="BK209">
        <v>2060</v>
      </c>
      <c r="BM209">
        <v>20600</v>
      </c>
      <c r="BN209">
        <v>206</v>
      </c>
    </row>
    <row r="210" spans="8:66" x14ac:dyDescent="0.2">
      <c r="H210" s="1"/>
      <c r="K210" s="1"/>
      <c r="N210" s="1"/>
      <c r="Q210" s="1"/>
      <c r="S210" s="1"/>
      <c r="T210" s="1"/>
      <c r="U210" s="1"/>
      <c r="BF210" s="1">
        <v>207</v>
      </c>
      <c r="BG210">
        <v>2070</v>
      </c>
      <c r="BJ210">
        <v>20700</v>
      </c>
      <c r="BK210">
        <v>2070</v>
      </c>
      <c r="BM210">
        <v>20700</v>
      </c>
      <c r="BN210">
        <v>207</v>
      </c>
    </row>
    <row r="211" spans="8:66" x14ac:dyDescent="0.2">
      <c r="H211" s="1"/>
      <c r="K211" s="1"/>
      <c r="N211" s="1"/>
      <c r="Q211" s="1"/>
      <c r="S211" s="1"/>
      <c r="T211" s="1"/>
      <c r="U211" s="1"/>
      <c r="BF211" s="1">
        <v>208</v>
      </c>
      <c r="BG211">
        <v>2080</v>
      </c>
      <c r="BJ211">
        <v>20800</v>
      </c>
      <c r="BK211">
        <v>2080</v>
      </c>
      <c r="BM211">
        <v>20800</v>
      </c>
      <c r="BN211">
        <v>208</v>
      </c>
    </row>
    <row r="212" spans="8:66" x14ac:dyDescent="0.2">
      <c r="H212" s="1"/>
      <c r="K212" s="1"/>
      <c r="N212" s="1"/>
      <c r="Q212" s="1"/>
      <c r="S212" s="1"/>
      <c r="T212" s="1"/>
      <c r="U212" s="1"/>
      <c r="BF212" s="1">
        <v>209</v>
      </c>
      <c r="BG212">
        <v>2090</v>
      </c>
      <c r="BJ212">
        <v>20900</v>
      </c>
      <c r="BK212">
        <v>2090</v>
      </c>
      <c r="BM212">
        <v>20900</v>
      </c>
      <c r="BN212">
        <v>209</v>
      </c>
    </row>
    <row r="213" spans="8:66" x14ac:dyDescent="0.2">
      <c r="H213" s="1"/>
      <c r="K213" s="1"/>
      <c r="N213" s="1"/>
      <c r="Q213" s="1"/>
      <c r="S213" s="1"/>
      <c r="T213" s="1"/>
      <c r="U213" s="1"/>
      <c r="BF213" s="1">
        <v>210</v>
      </c>
      <c r="BG213">
        <v>2100</v>
      </c>
      <c r="BJ213">
        <v>21000</v>
      </c>
      <c r="BK213">
        <v>2100</v>
      </c>
      <c r="BM213">
        <v>21000</v>
      </c>
      <c r="BN213">
        <v>210</v>
      </c>
    </row>
    <row r="214" spans="8:66" x14ac:dyDescent="0.2">
      <c r="H214" s="1"/>
      <c r="K214" s="1"/>
      <c r="N214" s="1"/>
      <c r="Q214" s="1"/>
      <c r="S214" s="1"/>
      <c r="T214" s="1"/>
      <c r="U214" s="1"/>
      <c r="BF214" s="1">
        <v>211</v>
      </c>
      <c r="BG214">
        <v>2110</v>
      </c>
      <c r="BJ214">
        <v>21100</v>
      </c>
      <c r="BK214">
        <v>2110</v>
      </c>
      <c r="BM214">
        <v>21100</v>
      </c>
      <c r="BN214">
        <v>211</v>
      </c>
    </row>
    <row r="215" spans="8:66" x14ac:dyDescent="0.2">
      <c r="H215" s="1"/>
      <c r="K215" s="1"/>
      <c r="N215" s="1"/>
      <c r="Q215" s="1"/>
      <c r="S215" s="1"/>
      <c r="T215" s="1"/>
      <c r="U215" s="1"/>
      <c r="BF215" s="1">
        <v>212</v>
      </c>
      <c r="BG215">
        <v>2120</v>
      </c>
      <c r="BJ215">
        <v>21200</v>
      </c>
      <c r="BK215">
        <v>2120</v>
      </c>
      <c r="BM215">
        <v>21200</v>
      </c>
      <c r="BN215">
        <v>212</v>
      </c>
    </row>
    <row r="216" spans="8:66" x14ac:dyDescent="0.2">
      <c r="H216" s="1"/>
      <c r="K216" s="1"/>
      <c r="N216" s="1"/>
      <c r="Q216" s="1"/>
      <c r="S216" s="1"/>
      <c r="T216" s="1"/>
      <c r="U216" s="1"/>
      <c r="BF216" s="1">
        <v>213</v>
      </c>
      <c r="BG216">
        <v>2130</v>
      </c>
      <c r="BJ216">
        <v>21300</v>
      </c>
      <c r="BK216">
        <v>2130</v>
      </c>
      <c r="BM216">
        <v>21300</v>
      </c>
      <c r="BN216">
        <v>213</v>
      </c>
    </row>
    <row r="217" spans="8:66" x14ac:dyDescent="0.2">
      <c r="H217" s="1"/>
      <c r="K217" s="1"/>
      <c r="N217" s="1"/>
      <c r="Q217" s="1"/>
      <c r="S217" s="1"/>
      <c r="T217" s="1"/>
      <c r="U217" s="1"/>
      <c r="BF217" s="1">
        <v>214</v>
      </c>
      <c r="BG217">
        <v>2140</v>
      </c>
      <c r="BJ217">
        <v>21400</v>
      </c>
      <c r="BK217">
        <v>2140</v>
      </c>
      <c r="BM217">
        <v>21400</v>
      </c>
      <c r="BN217">
        <v>214</v>
      </c>
    </row>
    <row r="218" spans="8:66" x14ac:dyDescent="0.2">
      <c r="H218" s="1"/>
      <c r="K218" s="1"/>
      <c r="N218" s="1"/>
      <c r="Q218" s="1"/>
      <c r="S218" s="1"/>
      <c r="T218" s="1"/>
      <c r="U218" s="1"/>
      <c r="BF218" s="1">
        <v>215</v>
      </c>
      <c r="BG218">
        <v>2150</v>
      </c>
      <c r="BJ218">
        <v>21500</v>
      </c>
      <c r="BK218">
        <v>2150</v>
      </c>
      <c r="BM218">
        <v>21500</v>
      </c>
      <c r="BN218">
        <v>215</v>
      </c>
    </row>
    <row r="219" spans="8:66" x14ac:dyDescent="0.2">
      <c r="H219" s="1"/>
      <c r="K219" s="1"/>
      <c r="N219" s="1"/>
      <c r="Q219" s="1"/>
      <c r="S219" s="1"/>
      <c r="T219" s="1"/>
      <c r="U219" s="1"/>
      <c r="BF219" s="1">
        <v>216</v>
      </c>
      <c r="BG219">
        <v>2160</v>
      </c>
      <c r="BJ219">
        <v>21600</v>
      </c>
      <c r="BK219">
        <v>2160</v>
      </c>
      <c r="BM219">
        <v>21600</v>
      </c>
      <c r="BN219">
        <v>216</v>
      </c>
    </row>
    <row r="220" spans="8:66" x14ac:dyDescent="0.2">
      <c r="H220" s="1"/>
      <c r="K220" s="1"/>
      <c r="N220" s="1"/>
      <c r="Q220" s="1"/>
      <c r="S220" s="1"/>
      <c r="T220" s="1"/>
      <c r="U220" s="1"/>
      <c r="BF220" s="1">
        <v>217</v>
      </c>
      <c r="BG220">
        <v>2170</v>
      </c>
      <c r="BJ220">
        <v>21700</v>
      </c>
      <c r="BK220">
        <v>2170</v>
      </c>
      <c r="BM220">
        <v>21700</v>
      </c>
      <c r="BN220">
        <v>217</v>
      </c>
    </row>
    <row r="221" spans="8:66" x14ac:dyDescent="0.2">
      <c r="H221" s="1"/>
      <c r="K221" s="1"/>
      <c r="N221" s="1"/>
      <c r="Q221" s="1"/>
      <c r="S221" s="1"/>
      <c r="T221" s="1"/>
      <c r="U221" s="1"/>
      <c r="BF221" s="1">
        <v>218</v>
      </c>
      <c r="BG221">
        <v>2180</v>
      </c>
      <c r="BJ221">
        <v>21800</v>
      </c>
      <c r="BK221">
        <v>2180</v>
      </c>
      <c r="BM221">
        <v>21800</v>
      </c>
      <c r="BN221">
        <v>218</v>
      </c>
    </row>
    <row r="222" spans="8:66" x14ac:dyDescent="0.2">
      <c r="H222" s="1"/>
      <c r="K222" s="1"/>
      <c r="N222" s="1"/>
      <c r="Q222" s="1"/>
      <c r="S222" s="1"/>
      <c r="T222" s="1"/>
      <c r="U222" s="1"/>
      <c r="BF222" s="1">
        <v>219</v>
      </c>
      <c r="BG222">
        <v>2190</v>
      </c>
      <c r="BJ222">
        <v>21900</v>
      </c>
      <c r="BK222">
        <v>2190</v>
      </c>
      <c r="BM222">
        <v>21900</v>
      </c>
      <c r="BN222">
        <v>219</v>
      </c>
    </row>
    <row r="223" spans="8:66" x14ac:dyDescent="0.2">
      <c r="H223" s="1"/>
      <c r="K223" s="1"/>
      <c r="N223" s="1"/>
      <c r="Q223" s="1"/>
      <c r="S223" s="1"/>
      <c r="T223" s="1"/>
      <c r="U223" s="1"/>
      <c r="BF223" s="1">
        <v>220</v>
      </c>
      <c r="BG223">
        <v>2200</v>
      </c>
      <c r="BJ223">
        <v>22000</v>
      </c>
      <c r="BK223">
        <v>2200</v>
      </c>
      <c r="BM223">
        <v>22000</v>
      </c>
      <c r="BN223">
        <v>220</v>
      </c>
    </row>
    <row r="224" spans="8:66" x14ac:dyDescent="0.2">
      <c r="H224" s="1"/>
      <c r="K224" s="1"/>
      <c r="N224" s="1"/>
      <c r="Q224" s="1"/>
      <c r="S224" s="1"/>
      <c r="T224" s="1"/>
      <c r="U224" s="1"/>
      <c r="BF224" s="1">
        <v>221</v>
      </c>
      <c r="BG224">
        <v>2210</v>
      </c>
      <c r="BJ224">
        <v>22100</v>
      </c>
      <c r="BK224">
        <v>2210</v>
      </c>
      <c r="BM224">
        <v>22100</v>
      </c>
      <c r="BN224">
        <v>221</v>
      </c>
    </row>
    <row r="225" spans="8:66" x14ac:dyDescent="0.2">
      <c r="H225" s="1"/>
      <c r="K225" s="1"/>
      <c r="N225" s="1"/>
      <c r="Q225" s="1"/>
      <c r="S225" s="1"/>
      <c r="T225" s="1"/>
      <c r="U225" s="1"/>
      <c r="BF225" s="1">
        <v>222</v>
      </c>
      <c r="BG225">
        <v>2220</v>
      </c>
      <c r="BJ225">
        <v>22200</v>
      </c>
      <c r="BK225">
        <v>2220</v>
      </c>
      <c r="BM225">
        <v>22200</v>
      </c>
      <c r="BN225">
        <v>222</v>
      </c>
    </row>
    <row r="226" spans="8:66" x14ac:dyDescent="0.2">
      <c r="H226" s="1"/>
      <c r="K226" s="1"/>
      <c r="N226" s="1"/>
      <c r="Q226" s="1"/>
      <c r="S226" s="1"/>
      <c r="T226" s="1"/>
      <c r="U226" s="1"/>
      <c r="BF226" s="1">
        <v>223</v>
      </c>
      <c r="BG226">
        <v>2230</v>
      </c>
      <c r="BJ226">
        <v>22300</v>
      </c>
      <c r="BK226">
        <v>2230</v>
      </c>
      <c r="BM226">
        <v>22300</v>
      </c>
      <c r="BN226">
        <v>223</v>
      </c>
    </row>
    <row r="227" spans="8:66" x14ac:dyDescent="0.2">
      <c r="H227" s="1"/>
      <c r="K227" s="1"/>
      <c r="N227" s="1"/>
      <c r="Q227" s="1"/>
      <c r="S227" s="1"/>
      <c r="T227" s="1"/>
      <c r="U227" s="1"/>
      <c r="BF227" s="1">
        <v>224</v>
      </c>
      <c r="BG227">
        <v>2240</v>
      </c>
      <c r="BJ227">
        <v>22400</v>
      </c>
      <c r="BK227">
        <v>2240</v>
      </c>
      <c r="BM227">
        <v>22400</v>
      </c>
      <c r="BN227">
        <v>224</v>
      </c>
    </row>
    <row r="228" spans="8:66" x14ac:dyDescent="0.2">
      <c r="H228" s="1"/>
      <c r="K228" s="1"/>
      <c r="N228" s="1"/>
      <c r="Q228" s="1"/>
      <c r="S228" s="1"/>
      <c r="T228" s="1"/>
      <c r="U228" s="1"/>
      <c r="BF228" s="1">
        <v>225</v>
      </c>
      <c r="BG228">
        <v>2250</v>
      </c>
      <c r="BJ228">
        <v>22500</v>
      </c>
      <c r="BK228">
        <v>2250</v>
      </c>
      <c r="BM228">
        <v>22500</v>
      </c>
      <c r="BN228">
        <v>225</v>
      </c>
    </row>
    <row r="229" spans="8:66" x14ac:dyDescent="0.2">
      <c r="H229" s="1"/>
      <c r="K229" s="1"/>
      <c r="N229" s="1"/>
      <c r="Q229" s="1"/>
      <c r="S229" s="1"/>
      <c r="T229" s="1"/>
      <c r="U229" s="1"/>
      <c r="BF229" s="1">
        <v>226</v>
      </c>
      <c r="BG229">
        <v>2260</v>
      </c>
      <c r="BJ229">
        <v>22600</v>
      </c>
      <c r="BK229">
        <v>2260</v>
      </c>
      <c r="BM229">
        <v>22600</v>
      </c>
      <c r="BN229">
        <v>226</v>
      </c>
    </row>
    <row r="230" spans="8:66" x14ac:dyDescent="0.2">
      <c r="H230" s="1"/>
      <c r="K230" s="1"/>
      <c r="N230" s="1"/>
      <c r="Q230" s="1"/>
      <c r="S230" s="1"/>
      <c r="T230" s="1"/>
      <c r="U230" s="1"/>
      <c r="BF230" s="1">
        <v>227</v>
      </c>
      <c r="BG230">
        <v>2270</v>
      </c>
      <c r="BJ230">
        <v>22700</v>
      </c>
      <c r="BK230">
        <v>2270</v>
      </c>
      <c r="BM230">
        <v>22700</v>
      </c>
      <c r="BN230">
        <v>227</v>
      </c>
    </row>
    <row r="231" spans="8:66" x14ac:dyDescent="0.2">
      <c r="H231" s="1"/>
      <c r="K231" s="1"/>
      <c r="N231" s="1"/>
      <c r="Q231" s="1"/>
      <c r="S231" s="1"/>
      <c r="T231" s="1"/>
      <c r="U231" s="1"/>
      <c r="BF231" s="1">
        <v>228</v>
      </c>
      <c r="BG231">
        <v>2280</v>
      </c>
      <c r="BJ231">
        <v>22800</v>
      </c>
      <c r="BK231">
        <v>2280</v>
      </c>
      <c r="BM231">
        <v>22800</v>
      </c>
      <c r="BN231">
        <v>228</v>
      </c>
    </row>
    <row r="232" spans="8:66" x14ac:dyDescent="0.2">
      <c r="H232" s="1"/>
      <c r="K232" s="1"/>
      <c r="N232" s="1"/>
      <c r="Q232" s="1"/>
      <c r="S232" s="1"/>
      <c r="T232" s="1"/>
      <c r="U232" s="1"/>
      <c r="BF232" s="1">
        <v>229</v>
      </c>
      <c r="BG232">
        <v>2290</v>
      </c>
      <c r="BJ232">
        <v>22900</v>
      </c>
      <c r="BK232">
        <v>2290</v>
      </c>
      <c r="BM232">
        <v>22900</v>
      </c>
      <c r="BN232">
        <v>229</v>
      </c>
    </row>
    <row r="233" spans="8:66" x14ac:dyDescent="0.2">
      <c r="H233" s="1"/>
      <c r="K233" s="1"/>
      <c r="N233" s="1"/>
      <c r="Q233" s="1"/>
      <c r="S233" s="1"/>
      <c r="T233" s="1"/>
      <c r="U233" s="1"/>
      <c r="BF233" s="1">
        <v>230</v>
      </c>
      <c r="BG233">
        <v>2300</v>
      </c>
      <c r="BJ233">
        <v>23000</v>
      </c>
      <c r="BK233">
        <v>2300</v>
      </c>
      <c r="BM233">
        <v>23000</v>
      </c>
      <c r="BN233">
        <v>230</v>
      </c>
    </row>
    <row r="234" spans="8:66" x14ac:dyDescent="0.2">
      <c r="H234" s="1"/>
      <c r="K234" s="1"/>
      <c r="N234" s="1"/>
      <c r="Q234" s="1"/>
      <c r="S234" s="1"/>
      <c r="T234" s="1"/>
      <c r="U234" s="1"/>
      <c r="BF234" s="1">
        <v>231</v>
      </c>
      <c r="BG234">
        <v>2310</v>
      </c>
      <c r="BJ234">
        <v>23100</v>
      </c>
      <c r="BK234">
        <v>2310</v>
      </c>
      <c r="BM234">
        <v>23100</v>
      </c>
      <c r="BN234">
        <v>231</v>
      </c>
    </row>
    <row r="235" spans="8:66" x14ac:dyDescent="0.2">
      <c r="H235" s="1"/>
      <c r="K235" s="1"/>
      <c r="N235" s="1"/>
      <c r="Q235" s="1"/>
      <c r="S235" s="1"/>
      <c r="T235" s="1"/>
      <c r="U235" s="1"/>
      <c r="BF235" s="1">
        <v>232</v>
      </c>
      <c r="BG235">
        <v>2320</v>
      </c>
      <c r="BJ235">
        <v>23200</v>
      </c>
      <c r="BK235">
        <v>2320</v>
      </c>
      <c r="BM235">
        <v>23200</v>
      </c>
      <c r="BN235">
        <v>232</v>
      </c>
    </row>
    <row r="236" spans="8:66" x14ac:dyDescent="0.2">
      <c r="H236" s="1"/>
      <c r="K236" s="1"/>
      <c r="N236" s="1"/>
      <c r="Q236" s="1"/>
      <c r="S236" s="1"/>
      <c r="T236" s="1"/>
      <c r="U236" s="1"/>
      <c r="BF236" s="1">
        <v>233</v>
      </c>
      <c r="BG236">
        <v>2330</v>
      </c>
      <c r="BJ236">
        <v>23300</v>
      </c>
      <c r="BK236">
        <v>2330</v>
      </c>
      <c r="BM236">
        <v>23300</v>
      </c>
      <c r="BN236">
        <v>233</v>
      </c>
    </row>
    <row r="237" spans="8:66" x14ac:dyDescent="0.2">
      <c r="H237" s="1"/>
      <c r="K237" s="1"/>
      <c r="N237" s="1"/>
      <c r="Q237" s="1"/>
      <c r="S237" s="1"/>
      <c r="T237" s="1"/>
      <c r="U237" s="1"/>
      <c r="BF237" s="1">
        <v>234</v>
      </c>
      <c r="BG237">
        <v>2340</v>
      </c>
      <c r="BJ237">
        <v>23400</v>
      </c>
      <c r="BK237">
        <v>2340</v>
      </c>
      <c r="BM237">
        <v>23400</v>
      </c>
      <c r="BN237">
        <v>234</v>
      </c>
    </row>
    <row r="238" spans="8:66" x14ac:dyDescent="0.2">
      <c r="H238" s="1"/>
      <c r="K238" s="1"/>
      <c r="N238" s="1"/>
      <c r="Q238" s="1"/>
      <c r="S238" s="1"/>
      <c r="T238" s="1"/>
      <c r="U238" s="1"/>
      <c r="BF238" s="1">
        <v>235</v>
      </c>
      <c r="BG238">
        <v>2350</v>
      </c>
      <c r="BJ238">
        <v>23500</v>
      </c>
      <c r="BK238">
        <v>2350</v>
      </c>
      <c r="BM238">
        <v>23500</v>
      </c>
      <c r="BN238">
        <v>235</v>
      </c>
    </row>
    <row r="239" spans="8:66" x14ac:dyDescent="0.2">
      <c r="H239" s="1"/>
      <c r="K239" s="1"/>
      <c r="N239" s="1"/>
      <c r="Q239" s="1"/>
      <c r="S239" s="1"/>
      <c r="T239" s="1"/>
      <c r="U239" s="1"/>
      <c r="BF239" s="1">
        <v>236</v>
      </c>
      <c r="BG239">
        <v>2360</v>
      </c>
      <c r="BJ239">
        <v>23600</v>
      </c>
      <c r="BK239">
        <v>2360</v>
      </c>
      <c r="BM239">
        <v>23600</v>
      </c>
      <c r="BN239">
        <v>236</v>
      </c>
    </row>
    <row r="240" spans="8:66" x14ac:dyDescent="0.2">
      <c r="H240" s="1"/>
      <c r="K240" s="1"/>
      <c r="N240" s="1"/>
      <c r="Q240" s="1"/>
      <c r="S240" s="1"/>
      <c r="T240" s="1"/>
      <c r="U240" s="1"/>
      <c r="BF240" s="1">
        <v>237</v>
      </c>
      <c r="BG240">
        <v>2370</v>
      </c>
      <c r="BJ240">
        <v>23700</v>
      </c>
      <c r="BK240">
        <v>2370</v>
      </c>
      <c r="BM240">
        <v>23700</v>
      </c>
      <c r="BN240">
        <v>237</v>
      </c>
    </row>
    <row r="241" spans="8:66" x14ac:dyDescent="0.2">
      <c r="H241" s="1"/>
      <c r="K241" s="1"/>
      <c r="N241" s="1"/>
      <c r="Q241" s="1"/>
      <c r="S241" s="1"/>
      <c r="T241" s="1"/>
      <c r="U241" s="1"/>
      <c r="BF241" s="1">
        <v>238</v>
      </c>
      <c r="BG241">
        <v>2380</v>
      </c>
      <c r="BJ241">
        <v>23800</v>
      </c>
      <c r="BK241">
        <v>2380</v>
      </c>
      <c r="BM241">
        <v>23800</v>
      </c>
      <c r="BN241">
        <v>238</v>
      </c>
    </row>
    <row r="242" spans="8:66" x14ac:dyDescent="0.2">
      <c r="H242" s="1"/>
      <c r="K242" s="1"/>
      <c r="N242" s="1"/>
      <c r="Q242" s="1"/>
      <c r="S242" s="1"/>
      <c r="T242" s="1"/>
      <c r="U242" s="1"/>
      <c r="BF242" s="1">
        <v>239</v>
      </c>
      <c r="BG242">
        <v>2390</v>
      </c>
      <c r="BJ242">
        <v>23900</v>
      </c>
      <c r="BK242">
        <v>2390</v>
      </c>
      <c r="BM242">
        <v>23900</v>
      </c>
      <c r="BN242">
        <v>239</v>
      </c>
    </row>
    <row r="243" spans="8:66" x14ac:dyDescent="0.2">
      <c r="H243" s="1"/>
      <c r="K243" s="1"/>
      <c r="N243" s="1"/>
      <c r="Q243" s="1"/>
      <c r="S243" s="1"/>
      <c r="T243" s="1"/>
      <c r="U243" s="1"/>
      <c r="BF243" s="1">
        <v>240</v>
      </c>
      <c r="BG243">
        <v>2400</v>
      </c>
      <c r="BJ243">
        <v>24000</v>
      </c>
      <c r="BK243">
        <v>2400</v>
      </c>
      <c r="BM243">
        <v>24000</v>
      </c>
      <c r="BN243">
        <v>240</v>
      </c>
    </row>
    <row r="244" spans="8:66" x14ac:dyDescent="0.2">
      <c r="H244" s="1"/>
      <c r="K244" s="1"/>
      <c r="N244" s="1"/>
      <c r="Q244" s="1"/>
      <c r="S244" s="1"/>
      <c r="T244" s="1"/>
      <c r="U244" s="1"/>
      <c r="BF244" s="1">
        <v>241</v>
      </c>
      <c r="BG244">
        <v>2410</v>
      </c>
      <c r="BJ244">
        <v>24100</v>
      </c>
      <c r="BK244">
        <v>2410</v>
      </c>
      <c r="BM244">
        <v>24100</v>
      </c>
      <c r="BN244">
        <v>241</v>
      </c>
    </row>
    <row r="245" spans="8:66" x14ac:dyDescent="0.2">
      <c r="H245" s="1"/>
      <c r="K245" s="1"/>
      <c r="N245" s="1"/>
      <c r="Q245" s="1"/>
      <c r="S245" s="1"/>
      <c r="T245" s="1"/>
      <c r="U245" s="1"/>
      <c r="BF245" s="1">
        <v>242</v>
      </c>
      <c r="BG245">
        <v>2420</v>
      </c>
      <c r="BJ245">
        <v>24200</v>
      </c>
      <c r="BK245">
        <v>2420</v>
      </c>
      <c r="BM245">
        <v>24200</v>
      </c>
      <c r="BN245">
        <v>242</v>
      </c>
    </row>
    <row r="246" spans="8:66" x14ac:dyDescent="0.2">
      <c r="H246" s="1"/>
      <c r="K246" s="1"/>
      <c r="N246" s="1"/>
      <c r="Q246" s="1"/>
      <c r="S246" s="1"/>
      <c r="T246" s="1"/>
      <c r="U246" s="1"/>
      <c r="BF246" s="1">
        <v>243</v>
      </c>
      <c r="BG246">
        <v>2430</v>
      </c>
      <c r="BJ246">
        <v>24300</v>
      </c>
      <c r="BK246">
        <v>2430</v>
      </c>
      <c r="BM246">
        <v>24300</v>
      </c>
      <c r="BN246">
        <v>243</v>
      </c>
    </row>
    <row r="247" spans="8:66" x14ac:dyDescent="0.2">
      <c r="H247" s="1"/>
      <c r="K247" s="1"/>
      <c r="N247" s="1"/>
      <c r="Q247" s="1"/>
      <c r="S247" s="1"/>
      <c r="T247" s="1"/>
      <c r="U247" s="1"/>
      <c r="BF247" s="1">
        <v>244</v>
      </c>
      <c r="BG247">
        <v>2440</v>
      </c>
      <c r="BJ247">
        <v>24400</v>
      </c>
      <c r="BK247">
        <v>2440</v>
      </c>
      <c r="BM247">
        <v>24400</v>
      </c>
      <c r="BN247">
        <v>244</v>
      </c>
    </row>
    <row r="248" spans="8:66" x14ac:dyDescent="0.2">
      <c r="H248" s="1"/>
      <c r="K248" s="1"/>
      <c r="N248" s="1"/>
      <c r="Q248" s="1"/>
      <c r="S248" s="1"/>
      <c r="T248" s="1"/>
      <c r="U248" s="1"/>
      <c r="BF248" s="1">
        <v>245</v>
      </c>
      <c r="BG248">
        <v>2450</v>
      </c>
      <c r="BJ248">
        <v>24500</v>
      </c>
      <c r="BK248">
        <v>2450</v>
      </c>
      <c r="BM248">
        <v>24500</v>
      </c>
      <c r="BN248">
        <v>245</v>
      </c>
    </row>
    <row r="249" spans="8:66" x14ac:dyDescent="0.2">
      <c r="H249" s="1"/>
      <c r="K249" s="1"/>
      <c r="N249" s="1"/>
      <c r="Q249" s="1"/>
      <c r="S249" s="1"/>
      <c r="T249" s="1"/>
      <c r="U249" s="1"/>
      <c r="BF249" s="1">
        <v>246</v>
      </c>
      <c r="BG249">
        <v>2460</v>
      </c>
      <c r="BJ249">
        <v>24600</v>
      </c>
      <c r="BK249">
        <v>2460</v>
      </c>
      <c r="BM249">
        <v>24600</v>
      </c>
      <c r="BN249">
        <v>246</v>
      </c>
    </row>
    <row r="250" spans="8:66" x14ac:dyDescent="0.2">
      <c r="H250" s="1"/>
      <c r="K250" s="1"/>
      <c r="N250" s="1"/>
      <c r="Q250" s="1"/>
      <c r="S250" s="1"/>
      <c r="T250" s="1"/>
      <c r="U250" s="1"/>
      <c r="BF250" s="1">
        <v>247</v>
      </c>
      <c r="BG250">
        <v>2470</v>
      </c>
      <c r="BJ250">
        <v>24700</v>
      </c>
      <c r="BK250">
        <v>2470</v>
      </c>
      <c r="BM250">
        <v>24700</v>
      </c>
      <c r="BN250">
        <v>247</v>
      </c>
    </row>
    <row r="251" spans="8:66" x14ac:dyDescent="0.2">
      <c r="H251" s="1"/>
      <c r="K251" s="1"/>
      <c r="N251" s="1"/>
      <c r="Q251" s="1"/>
      <c r="S251" s="1"/>
      <c r="T251" s="1"/>
      <c r="U251" s="1"/>
      <c r="BF251" s="1">
        <v>248</v>
      </c>
      <c r="BG251">
        <v>2480</v>
      </c>
      <c r="BJ251">
        <v>24800</v>
      </c>
      <c r="BK251">
        <v>2480</v>
      </c>
      <c r="BM251">
        <v>24800</v>
      </c>
      <c r="BN251">
        <v>248</v>
      </c>
    </row>
    <row r="252" spans="8:66" x14ac:dyDescent="0.2">
      <c r="H252" s="1"/>
      <c r="K252" s="1"/>
      <c r="N252" s="1"/>
      <c r="Q252" s="1"/>
      <c r="S252" s="1"/>
      <c r="T252" s="1"/>
      <c r="U252" s="1"/>
      <c r="BF252" s="1">
        <v>249</v>
      </c>
      <c r="BG252">
        <v>2490</v>
      </c>
      <c r="BJ252">
        <v>24900</v>
      </c>
      <c r="BK252">
        <v>2490</v>
      </c>
      <c r="BM252">
        <v>24900</v>
      </c>
      <c r="BN252">
        <v>249</v>
      </c>
    </row>
    <row r="253" spans="8:66" x14ac:dyDescent="0.2">
      <c r="H253" s="1"/>
      <c r="K253" s="1"/>
      <c r="N253" s="1"/>
      <c r="Q253" s="1"/>
      <c r="S253" s="1"/>
      <c r="T253" s="1"/>
      <c r="U253" s="1"/>
      <c r="BF253" s="1">
        <v>250</v>
      </c>
      <c r="BG253">
        <v>2500</v>
      </c>
      <c r="BJ253">
        <v>25000</v>
      </c>
      <c r="BK253">
        <v>2500</v>
      </c>
      <c r="BM253">
        <v>25000</v>
      </c>
      <c r="BN253">
        <v>250</v>
      </c>
    </row>
    <row r="254" spans="8:66" x14ac:dyDescent="0.2">
      <c r="H254" s="1"/>
      <c r="K254" s="1"/>
      <c r="N254" s="1"/>
      <c r="Q254" s="1"/>
      <c r="S254" s="1"/>
      <c r="T254" s="1"/>
      <c r="U254" s="1"/>
      <c r="BF254" s="1">
        <v>251</v>
      </c>
      <c r="BG254">
        <v>2510</v>
      </c>
      <c r="BJ254">
        <v>25100</v>
      </c>
      <c r="BK254">
        <v>2510</v>
      </c>
      <c r="BM254">
        <v>25100</v>
      </c>
      <c r="BN254">
        <v>251</v>
      </c>
    </row>
    <row r="255" spans="8:66" x14ac:dyDescent="0.2">
      <c r="H255" s="1"/>
      <c r="K255" s="1"/>
      <c r="N255" s="1"/>
      <c r="Q255" s="1"/>
      <c r="S255" s="1"/>
      <c r="T255" s="1"/>
      <c r="U255" s="1"/>
      <c r="BF255" s="1">
        <v>252</v>
      </c>
      <c r="BG255">
        <v>2520</v>
      </c>
      <c r="BJ255">
        <v>25200</v>
      </c>
      <c r="BK255">
        <v>2520</v>
      </c>
      <c r="BM255">
        <v>25200</v>
      </c>
      <c r="BN255">
        <v>252</v>
      </c>
    </row>
    <row r="256" spans="8:66" x14ac:dyDescent="0.2">
      <c r="H256" s="1"/>
      <c r="K256" s="1"/>
      <c r="N256" s="1"/>
      <c r="Q256" s="1"/>
      <c r="S256" s="1"/>
      <c r="T256" s="1"/>
      <c r="U256" s="1"/>
      <c r="BF256" s="1">
        <v>253</v>
      </c>
      <c r="BG256">
        <v>2530</v>
      </c>
      <c r="BJ256">
        <v>25300</v>
      </c>
      <c r="BK256">
        <v>2530</v>
      </c>
      <c r="BM256">
        <v>25300</v>
      </c>
      <c r="BN256">
        <v>253</v>
      </c>
    </row>
    <row r="257" spans="8:66" x14ac:dyDescent="0.2">
      <c r="H257" s="1"/>
      <c r="K257" s="1"/>
      <c r="N257" s="1"/>
      <c r="Q257" s="1"/>
      <c r="S257" s="1"/>
      <c r="T257" s="1"/>
      <c r="U257" s="1"/>
      <c r="BF257" s="1">
        <v>254</v>
      </c>
      <c r="BG257">
        <v>2540</v>
      </c>
      <c r="BJ257">
        <v>25400</v>
      </c>
      <c r="BK257">
        <v>2540</v>
      </c>
      <c r="BM257">
        <v>25400</v>
      </c>
      <c r="BN257">
        <v>254</v>
      </c>
    </row>
    <row r="258" spans="8:66" x14ac:dyDescent="0.2">
      <c r="H258" s="1"/>
      <c r="K258" s="1"/>
      <c r="N258" s="1"/>
      <c r="Q258" s="1"/>
      <c r="S258" s="1"/>
      <c r="T258" s="1"/>
      <c r="U258" s="1"/>
      <c r="BF258" s="1">
        <v>255</v>
      </c>
      <c r="BG258">
        <v>2550</v>
      </c>
      <c r="BJ258">
        <v>25500</v>
      </c>
      <c r="BK258">
        <v>2550</v>
      </c>
      <c r="BM258">
        <v>25500</v>
      </c>
      <c r="BN258">
        <v>255</v>
      </c>
    </row>
    <row r="259" spans="8:66" x14ac:dyDescent="0.2">
      <c r="H259" s="1"/>
      <c r="K259" s="1"/>
      <c r="N259" s="1"/>
      <c r="Q259" s="1"/>
      <c r="S259" s="1"/>
      <c r="T259" s="1"/>
      <c r="U259" s="1"/>
      <c r="BF259" s="1">
        <v>256</v>
      </c>
      <c r="BG259">
        <v>2560</v>
      </c>
      <c r="BJ259">
        <v>25600</v>
      </c>
      <c r="BK259">
        <v>2560</v>
      </c>
      <c r="BM259">
        <v>25600</v>
      </c>
      <c r="BN259">
        <v>256</v>
      </c>
    </row>
    <row r="260" spans="8:66" x14ac:dyDescent="0.2">
      <c r="H260" s="1"/>
      <c r="K260" s="1"/>
      <c r="N260" s="1"/>
      <c r="Q260" s="1"/>
      <c r="S260" s="1"/>
      <c r="T260" s="1"/>
      <c r="U260" s="1"/>
      <c r="BF260" s="1">
        <v>257</v>
      </c>
      <c r="BG260">
        <v>2570</v>
      </c>
      <c r="BJ260">
        <v>25700</v>
      </c>
      <c r="BK260">
        <v>2570</v>
      </c>
      <c r="BM260">
        <v>25700</v>
      </c>
      <c r="BN260">
        <v>257</v>
      </c>
    </row>
    <row r="261" spans="8:66" x14ac:dyDescent="0.2">
      <c r="H261" s="1"/>
      <c r="K261" s="1"/>
      <c r="N261" s="1"/>
      <c r="Q261" s="1"/>
      <c r="S261" s="1"/>
      <c r="T261" s="1"/>
      <c r="U261" s="1"/>
      <c r="BF261" s="1">
        <v>258</v>
      </c>
      <c r="BG261">
        <v>2580</v>
      </c>
      <c r="BJ261">
        <v>25800</v>
      </c>
      <c r="BK261">
        <v>2580</v>
      </c>
      <c r="BM261">
        <v>25800</v>
      </c>
      <c r="BN261">
        <v>258</v>
      </c>
    </row>
    <row r="262" spans="8:66" x14ac:dyDescent="0.2">
      <c r="H262" s="1"/>
      <c r="K262" s="1"/>
      <c r="N262" s="1"/>
      <c r="Q262" s="1"/>
      <c r="S262" s="1"/>
      <c r="T262" s="1"/>
      <c r="U262" s="1"/>
      <c r="BF262" s="1">
        <v>259</v>
      </c>
      <c r="BG262">
        <v>2590</v>
      </c>
      <c r="BJ262">
        <v>25900</v>
      </c>
      <c r="BK262">
        <v>2590</v>
      </c>
      <c r="BM262">
        <v>25900</v>
      </c>
      <c r="BN262">
        <v>259</v>
      </c>
    </row>
    <row r="263" spans="8:66" x14ac:dyDescent="0.2">
      <c r="H263" s="1"/>
      <c r="K263" s="1"/>
      <c r="N263" s="1"/>
      <c r="Q263" s="1"/>
      <c r="S263" s="1"/>
      <c r="T263" s="1"/>
      <c r="U263" s="1"/>
      <c r="BF263" s="1">
        <v>260</v>
      </c>
      <c r="BG263">
        <v>2600</v>
      </c>
      <c r="BJ263">
        <v>26000</v>
      </c>
      <c r="BK263">
        <v>2600</v>
      </c>
      <c r="BM263">
        <v>26000</v>
      </c>
      <c r="BN263">
        <v>260</v>
      </c>
    </row>
    <row r="264" spans="8:66" x14ac:dyDescent="0.2">
      <c r="H264" s="1"/>
      <c r="K264" s="1"/>
      <c r="N264" s="1"/>
      <c r="Q264" s="1"/>
      <c r="S264" s="1"/>
      <c r="T264" s="1"/>
      <c r="U264" s="1"/>
      <c r="BF264" s="1">
        <v>261</v>
      </c>
      <c r="BG264">
        <v>2610</v>
      </c>
      <c r="BJ264">
        <v>26100</v>
      </c>
      <c r="BK264">
        <v>2610</v>
      </c>
      <c r="BM264">
        <v>26100</v>
      </c>
      <c r="BN264">
        <v>261</v>
      </c>
    </row>
    <row r="265" spans="8:66" x14ac:dyDescent="0.2">
      <c r="H265" s="1"/>
      <c r="K265" s="1"/>
      <c r="N265" s="1"/>
      <c r="Q265" s="1"/>
      <c r="S265" s="1"/>
      <c r="T265" s="1"/>
      <c r="U265" s="1"/>
      <c r="BF265" s="1">
        <v>262</v>
      </c>
      <c r="BG265">
        <v>2620</v>
      </c>
      <c r="BJ265">
        <v>26200</v>
      </c>
      <c r="BK265">
        <v>2620</v>
      </c>
      <c r="BM265">
        <v>26200</v>
      </c>
      <c r="BN265">
        <v>262</v>
      </c>
    </row>
    <row r="266" spans="8:66" x14ac:dyDescent="0.2">
      <c r="H266" s="1"/>
      <c r="K266" s="1"/>
      <c r="N266" s="1"/>
      <c r="Q266" s="1"/>
      <c r="S266" s="1"/>
      <c r="T266" s="1"/>
      <c r="U266" s="1"/>
      <c r="BF266" s="1">
        <v>263</v>
      </c>
      <c r="BG266">
        <v>2630</v>
      </c>
      <c r="BJ266">
        <v>26300</v>
      </c>
      <c r="BK266">
        <v>2630</v>
      </c>
      <c r="BM266">
        <v>26300</v>
      </c>
      <c r="BN266">
        <v>263</v>
      </c>
    </row>
    <row r="267" spans="8:66" x14ac:dyDescent="0.2">
      <c r="H267" s="1"/>
      <c r="K267" s="1"/>
      <c r="N267" s="1"/>
      <c r="Q267" s="1"/>
      <c r="S267" s="1"/>
      <c r="T267" s="1"/>
      <c r="U267" s="1"/>
      <c r="BF267" s="1">
        <v>264</v>
      </c>
      <c r="BG267">
        <v>2640</v>
      </c>
      <c r="BJ267">
        <v>26400</v>
      </c>
      <c r="BK267">
        <v>2640</v>
      </c>
      <c r="BM267">
        <v>26400</v>
      </c>
      <c r="BN267">
        <v>264</v>
      </c>
    </row>
    <row r="268" spans="8:66" x14ac:dyDescent="0.2">
      <c r="H268" s="1"/>
      <c r="K268" s="1"/>
      <c r="N268" s="1"/>
      <c r="Q268" s="1"/>
      <c r="S268" s="1"/>
      <c r="T268" s="1"/>
      <c r="U268" s="1"/>
      <c r="BF268" s="1">
        <v>265</v>
      </c>
      <c r="BG268">
        <v>2650</v>
      </c>
      <c r="BJ268">
        <v>26500</v>
      </c>
      <c r="BK268">
        <v>2650</v>
      </c>
      <c r="BM268">
        <v>26500</v>
      </c>
      <c r="BN268">
        <v>265</v>
      </c>
    </row>
    <row r="269" spans="8:66" x14ac:dyDescent="0.2">
      <c r="H269" s="1"/>
      <c r="K269" s="1"/>
      <c r="N269" s="1"/>
      <c r="Q269" s="1"/>
      <c r="S269" s="1"/>
      <c r="T269" s="1"/>
      <c r="U269" s="1"/>
      <c r="BF269" s="1">
        <v>266</v>
      </c>
      <c r="BG269">
        <v>2660</v>
      </c>
      <c r="BJ269">
        <v>26600</v>
      </c>
      <c r="BK269">
        <v>2660</v>
      </c>
      <c r="BM269">
        <v>26600</v>
      </c>
      <c r="BN269">
        <v>266</v>
      </c>
    </row>
    <row r="270" spans="8:66" x14ac:dyDescent="0.2">
      <c r="H270" s="1"/>
      <c r="K270" s="1"/>
      <c r="N270" s="1"/>
      <c r="Q270" s="1"/>
      <c r="S270" s="1"/>
      <c r="T270" s="1"/>
      <c r="U270" s="1"/>
      <c r="BF270" s="1">
        <v>267</v>
      </c>
      <c r="BG270">
        <v>2670</v>
      </c>
      <c r="BJ270">
        <v>26700</v>
      </c>
      <c r="BK270">
        <v>2670</v>
      </c>
      <c r="BM270">
        <v>26700</v>
      </c>
      <c r="BN270">
        <v>267</v>
      </c>
    </row>
    <row r="271" spans="8:66" x14ac:dyDescent="0.2">
      <c r="H271" s="1"/>
      <c r="K271" s="1"/>
      <c r="N271" s="1"/>
      <c r="Q271" s="1"/>
      <c r="S271" s="1"/>
      <c r="T271" s="1"/>
      <c r="U271" s="1"/>
      <c r="BF271" s="1">
        <v>268</v>
      </c>
      <c r="BG271">
        <v>2680</v>
      </c>
      <c r="BJ271">
        <v>26800</v>
      </c>
      <c r="BK271">
        <v>2680</v>
      </c>
      <c r="BM271">
        <v>26800</v>
      </c>
      <c r="BN271">
        <v>268</v>
      </c>
    </row>
    <row r="272" spans="8:66" x14ac:dyDescent="0.2">
      <c r="H272" s="1"/>
      <c r="K272" s="1"/>
      <c r="N272" s="1"/>
      <c r="Q272" s="1"/>
      <c r="S272" s="1"/>
      <c r="T272" s="1"/>
      <c r="U272" s="1"/>
      <c r="BF272" s="1">
        <v>269</v>
      </c>
      <c r="BG272">
        <v>2690</v>
      </c>
      <c r="BJ272">
        <v>26900</v>
      </c>
      <c r="BK272">
        <v>2690</v>
      </c>
      <c r="BM272">
        <v>26900</v>
      </c>
      <c r="BN272">
        <v>269</v>
      </c>
    </row>
    <row r="273" spans="8:66" x14ac:dyDescent="0.2">
      <c r="H273" s="1"/>
      <c r="K273" s="1"/>
      <c r="N273" s="1"/>
      <c r="Q273" s="1"/>
      <c r="S273" s="1"/>
      <c r="T273" s="1"/>
      <c r="U273" s="1"/>
      <c r="BF273" s="1">
        <v>270</v>
      </c>
      <c r="BG273">
        <v>2700</v>
      </c>
      <c r="BJ273">
        <v>27000</v>
      </c>
      <c r="BK273">
        <v>2700</v>
      </c>
      <c r="BM273">
        <v>27000</v>
      </c>
      <c r="BN273">
        <v>270</v>
      </c>
    </row>
    <row r="274" spans="8:66" x14ac:dyDescent="0.2">
      <c r="H274" s="1"/>
      <c r="K274" s="1"/>
      <c r="N274" s="1"/>
      <c r="Q274" s="1"/>
      <c r="S274" s="1"/>
      <c r="T274" s="1"/>
      <c r="U274" s="1"/>
      <c r="BF274" s="1">
        <v>271</v>
      </c>
      <c r="BG274">
        <v>2710</v>
      </c>
      <c r="BJ274">
        <v>27100</v>
      </c>
      <c r="BK274">
        <v>2710</v>
      </c>
      <c r="BM274">
        <v>27100</v>
      </c>
      <c r="BN274">
        <v>271</v>
      </c>
    </row>
    <row r="275" spans="8:66" x14ac:dyDescent="0.2">
      <c r="H275" s="1"/>
      <c r="K275" s="1"/>
      <c r="N275" s="1"/>
      <c r="Q275" s="1"/>
      <c r="S275" s="1"/>
      <c r="T275" s="1"/>
      <c r="U275" s="1"/>
      <c r="BF275" s="1">
        <v>272</v>
      </c>
      <c r="BG275">
        <v>2720</v>
      </c>
      <c r="BJ275">
        <v>27200</v>
      </c>
      <c r="BK275">
        <v>2720</v>
      </c>
      <c r="BM275">
        <v>27200</v>
      </c>
      <c r="BN275">
        <v>272</v>
      </c>
    </row>
    <row r="276" spans="8:66" x14ac:dyDescent="0.2">
      <c r="H276" s="1"/>
      <c r="K276" s="1"/>
      <c r="N276" s="1"/>
      <c r="Q276" s="1"/>
      <c r="S276" s="1"/>
      <c r="T276" s="1"/>
      <c r="U276" s="1"/>
      <c r="BF276" s="1">
        <v>273</v>
      </c>
      <c r="BG276">
        <v>2730</v>
      </c>
      <c r="BJ276">
        <v>27300</v>
      </c>
      <c r="BK276">
        <v>2730</v>
      </c>
      <c r="BM276">
        <v>27300</v>
      </c>
      <c r="BN276">
        <v>273</v>
      </c>
    </row>
    <row r="277" spans="8:66" x14ac:dyDescent="0.2">
      <c r="H277" s="1"/>
      <c r="K277" s="1"/>
      <c r="N277" s="1"/>
      <c r="Q277" s="1"/>
      <c r="S277" s="1"/>
      <c r="T277" s="1"/>
      <c r="U277" s="1"/>
      <c r="BF277" s="1">
        <v>274</v>
      </c>
      <c r="BG277">
        <v>2740</v>
      </c>
      <c r="BJ277">
        <v>27400</v>
      </c>
      <c r="BK277">
        <v>2740</v>
      </c>
      <c r="BM277">
        <v>27400</v>
      </c>
      <c r="BN277">
        <v>274</v>
      </c>
    </row>
    <row r="278" spans="8:66" x14ac:dyDescent="0.2">
      <c r="H278" s="1"/>
      <c r="K278" s="1"/>
      <c r="N278" s="1"/>
      <c r="Q278" s="1"/>
      <c r="S278" s="1"/>
      <c r="T278" s="1"/>
      <c r="U278" s="1"/>
      <c r="BF278" s="1">
        <v>275</v>
      </c>
      <c r="BG278">
        <v>2750</v>
      </c>
      <c r="BJ278">
        <v>27500</v>
      </c>
      <c r="BK278">
        <v>2750</v>
      </c>
      <c r="BM278">
        <v>27500</v>
      </c>
      <c r="BN278">
        <v>275</v>
      </c>
    </row>
    <row r="279" spans="8:66" x14ac:dyDescent="0.2">
      <c r="H279" s="1"/>
      <c r="K279" s="1"/>
      <c r="N279" s="1"/>
      <c r="Q279" s="1"/>
      <c r="S279" s="1"/>
      <c r="T279" s="1"/>
      <c r="U279" s="1"/>
      <c r="BF279" s="1">
        <v>276</v>
      </c>
      <c r="BG279">
        <v>2760</v>
      </c>
      <c r="BJ279">
        <v>27600</v>
      </c>
      <c r="BK279">
        <v>2760</v>
      </c>
      <c r="BM279">
        <v>27600</v>
      </c>
      <c r="BN279">
        <v>276</v>
      </c>
    </row>
    <row r="280" spans="8:66" x14ac:dyDescent="0.2">
      <c r="H280" s="1"/>
      <c r="K280" s="1"/>
      <c r="N280" s="1"/>
      <c r="Q280" s="1"/>
      <c r="S280" s="1"/>
      <c r="T280" s="1"/>
      <c r="U280" s="1"/>
      <c r="BF280" s="1">
        <v>277</v>
      </c>
      <c r="BG280">
        <v>2770</v>
      </c>
      <c r="BJ280">
        <v>27700</v>
      </c>
      <c r="BK280">
        <v>2770</v>
      </c>
      <c r="BM280">
        <v>27700</v>
      </c>
      <c r="BN280">
        <v>277</v>
      </c>
    </row>
    <row r="281" spans="8:66" x14ac:dyDescent="0.2">
      <c r="H281" s="1"/>
      <c r="K281" s="1"/>
      <c r="N281" s="1"/>
      <c r="Q281" s="1"/>
      <c r="S281" s="1"/>
      <c r="T281" s="1"/>
      <c r="U281" s="1"/>
      <c r="BF281" s="1">
        <v>278</v>
      </c>
      <c r="BG281">
        <v>2780</v>
      </c>
      <c r="BJ281">
        <v>27800</v>
      </c>
      <c r="BK281">
        <v>2780</v>
      </c>
      <c r="BM281">
        <v>27800</v>
      </c>
      <c r="BN281">
        <v>278</v>
      </c>
    </row>
    <row r="282" spans="8:66" x14ac:dyDescent="0.2">
      <c r="H282" s="1"/>
      <c r="K282" s="1"/>
      <c r="N282" s="1"/>
      <c r="Q282" s="1"/>
      <c r="S282" s="1"/>
      <c r="T282" s="1"/>
      <c r="U282" s="1"/>
      <c r="BF282" s="1">
        <v>279</v>
      </c>
      <c r="BG282">
        <v>2790</v>
      </c>
      <c r="BJ282">
        <v>27900</v>
      </c>
      <c r="BK282">
        <v>2790</v>
      </c>
      <c r="BM282">
        <v>27900</v>
      </c>
      <c r="BN282">
        <v>279</v>
      </c>
    </row>
    <row r="283" spans="8:66" x14ac:dyDescent="0.2">
      <c r="H283" s="1"/>
      <c r="K283" s="1"/>
      <c r="N283" s="1"/>
      <c r="Q283" s="1"/>
      <c r="S283" s="1"/>
      <c r="T283" s="1"/>
      <c r="U283" s="1"/>
      <c r="BF283" s="1">
        <v>280</v>
      </c>
      <c r="BG283">
        <v>2800</v>
      </c>
      <c r="BJ283">
        <v>28000</v>
      </c>
      <c r="BK283">
        <v>2800</v>
      </c>
      <c r="BM283">
        <v>28000</v>
      </c>
      <c r="BN283">
        <v>280</v>
      </c>
    </row>
    <row r="284" spans="8:66" x14ac:dyDescent="0.2">
      <c r="H284" s="1"/>
      <c r="K284" s="1"/>
      <c r="N284" s="1"/>
      <c r="Q284" s="1"/>
      <c r="S284" s="1"/>
      <c r="T284" s="1"/>
      <c r="U284" s="1"/>
      <c r="BF284" s="1">
        <v>281</v>
      </c>
      <c r="BG284">
        <v>2810</v>
      </c>
      <c r="BJ284">
        <v>28100</v>
      </c>
      <c r="BK284">
        <v>2810</v>
      </c>
      <c r="BM284">
        <v>28100</v>
      </c>
      <c r="BN284">
        <v>281</v>
      </c>
    </row>
    <row r="285" spans="8:66" x14ac:dyDescent="0.2">
      <c r="H285" s="1"/>
      <c r="K285" s="1"/>
      <c r="N285" s="1"/>
      <c r="Q285" s="1"/>
      <c r="S285" s="1"/>
      <c r="T285" s="1"/>
      <c r="U285" s="1"/>
      <c r="BF285" s="1">
        <v>282</v>
      </c>
      <c r="BG285">
        <v>2820</v>
      </c>
      <c r="BJ285">
        <v>28200</v>
      </c>
      <c r="BK285">
        <v>2820</v>
      </c>
      <c r="BM285">
        <v>28200</v>
      </c>
      <c r="BN285">
        <v>282</v>
      </c>
    </row>
    <row r="286" spans="8:66" x14ac:dyDescent="0.2">
      <c r="H286" s="1"/>
      <c r="K286" s="1"/>
      <c r="N286" s="1"/>
      <c r="Q286" s="1"/>
      <c r="S286" s="1"/>
      <c r="T286" s="1"/>
      <c r="U286" s="1"/>
      <c r="BF286" s="1">
        <v>283</v>
      </c>
      <c r="BG286">
        <v>2830</v>
      </c>
      <c r="BJ286">
        <v>28300</v>
      </c>
      <c r="BK286">
        <v>2830</v>
      </c>
      <c r="BM286">
        <v>28300</v>
      </c>
      <c r="BN286">
        <v>283</v>
      </c>
    </row>
    <row r="287" spans="8:66" x14ac:dyDescent="0.2">
      <c r="H287" s="1"/>
      <c r="K287" s="1"/>
      <c r="N287" s="1"/>
      <c r="Q287" s="1"/>
      <c r="S287" s="1"/>
      <c r="T287" s="1"/>
      <c r="U287" s="1"/>
      <c r="BF287" s="1">
        <v>284</v>
      </c>
      <c r="BG287">
        <v>2840</v>
      </c>
      <c r="BJ287">
        <v>28400</v>
      </c>
      <c r="BK287">
        <v>2840</v>
      </c>
      <c r="BM287">
        <v>28400</v>
      </c>
      <c r="BN287">
        <v>284</v>
      </c>
    </row>
    <row r="288" spans="8:66" x14ac:dyDescent="0.2">
      <c r="H288" s="1"/>
      <c r="K288" s="1"/>
      <c r="N288" s="1"/>
      <c r="Q288" s="1"/>
      <c r="S288" s="1"/>
      <c r="T288" s="1"/>
      <c r="U288" s="1"/>
      <c r="BF288" s="1">
        <v>285</v>
      </c>
      <c r="BG288">
        <v>2850</v>
      </c>
      <c r="BJ288">
        <v>28500</v>
      </c>
      <c r="BK288">
        <v>2850</v>
      </c>
      <c r="BM288">
        <v>28500</v>
      </c>
      <c r="BN288">
        <v>285</v>
      </c>
    </row>
    <row r="289" spans="8:66" x14ac:dyDescent="0.2">
      <c r="H289" s="1"/>
      <c r="K289" s="1"/>
      <c r="N289" s="1"/>
      <c r="Q289" s="1"/>
      <c r="S289" s="1"/>
      <c r="T289" s="1"/>
      <c r="U289" s="1"/>
      <c r="BF289" s="1">
        <v>286</v>
      </c>
      <c r="BG289">
        <v>2860</v>
      </c>
      <c r="BJ289">
        <v>28600</v>
      </c>
      <c r="BK289">
        <v>2860</v>
      </c>
      <c r="BM289">
        <v>28600</v>
      </c>
      <c r="BN289">
        <v>286</v>
      </c>
    </row>
    <row r="290" spans="8:66" x14ac:dyDescent="0.2">
      <c r="H290" s="1"/>
      <c r="K290" s="1"/>
      <c r="N290" s="1"/>
      <c r="Q290" s="1"/>
      <c r="S290" s="1"/>
      <c r="T290" s="1"/>
      <c r="U290" s="1"/>
      <c r="BF290" s="1">
        <v>287</v>
      </c>
      <c r="BG290">
        <v>2870</v>
      </c>
      <c r="BJ290">
        <v>28700</v>
      </c>
      <c r="BK290">
        <v>2870</v>
      </c>
      <c r="BM290">
        <v>28700</v>
      </c>
      <c r="BN290">
        <v>287</v>
      </c>
    </row>
    <row r="291" spans="8:66" x14ac:dyDescent="0.2">
      <c r="H291" s="1"/>
      <c r="K291" s="1"/>
      <c r="N291" s="1"/>
      <c r="Q291" s="1"/>
      <c r="S291" s="1"/>
      <c r="T291" s="1"/>
      <c r="U291" s="1"/>
      <c r="BF291" s="1">
        <v>288</v>
      </c>
      <c r="BG291">
        <v>2880</v>
      </c>
      <c r="BJ291">
        <v>28800</v>
      </c>
      <c r="BK291">
        <v>2880</v>
      </c>
      <c r="BM291">
        <v>28800</v>
      </c>
      <c r="BN291">
        <v>288</v>
      </c>
    </row>
    <row r="292" spans="8:66" x14ac:dyDescent="0.2">
      <c r="H292" s="1"/>
      <c r="K292" s="1"/>
      <c r="N292" s="1"/>
      <c r="Q292" s="1"/>
      <c r="S292" s="1"/>
      <c r="T292" s="1"/>
      <c r="U292" s="1"/>
      <c r="BF292" s="1">
        <v>289</v>
      </c>
      <c r="BG292">
        <v>2890</v>
      </c>
      <c r="BJ292">
        <v>28900</v>
      </c>
      <c r="BK292">
        <v>2890</v>
      </c>
      <c r="BM292">
        <v>28900</v>
      </c>
      <c r="BN292">
        <v>289</v>
      </c>
    </row>
    <row r="293" spans="8:66" x14ac:dyDescent="0.2">
      <c r="H293" s="1"/>
      <c r="K293" s="1"/>
      <c r="N293" s="1"/>
      <c r="Q293" s="1"/>
      <c r="S293" s="1"/>
      <c r="T293" s="1"/>
      <c r="U293" s="1"/>
      <c r="BF293" s="1">
        <v>290</v>
      </c>
      <c r="BG293">
        <v>2900</v>
      </c>
      <c r="BJ293">
        <v>29000</v>
      </c>
      <c r="BK293">
        <v>2900</v>
      </c>
      <c r="BM293">
        <v>29000</v>
      </c>
      <c r="BN293">
        <v>290</v>
      </c>
    </row>
    <row r="294" spans="8:66" x14ac:dyDescent="0.2">
      <c r="H294" s="1"/>
      <c r="K294" s="1"/>
      <c r="N294" s="1"/>
      <c r="Q294" s="1"/>
      <c r="S294" s="1"/>
      <c r="T294" s="1"/>
      <c r="U294" s="1"/>
      <c r="BF294" s="1">
        <v>291</v>
      </c>
      <c r="BG294">
        <v>2910</v>
      </c>
      <c r="BJ294">
        <v>29100</v>
      </c>
      <c r="BK294">
        <v>2910</v>
      </c>
      <c r="BM294">
        <v>29100</v>
      </c>
      <c r="BN294">
        <v>291</v>
      </c>
    </row>
    <row r="295" spans="8:66" x14ac:dyDescent="0.2">
      <c r="H295" s="1"/>
      <c r="K295" s="1"/>
      <c r="N295" s="1"/>
      <c r="Q295" s="1"/>
      <c r="S295" s="1"/>
      <c r="T295" s="1"/>
      <c r="U295" s="1"/>
      <c r="BF295" s="1">
        <v>292</v>
      </c>
      <c r="BG295">
        <v>2920</v>
      </c>
      <c r="BJ295">
        <v>29200</v>
      </c>
      <c r="BK295">
        <v>2920</v>
      </c>
      <c r="BM295">
        <v>29200</v>
      </c>
      <c r="BN295">
        <v>292</v>
      </c>
    </row>
    <row r="296" spans="8:66" x14ac:dyDescent="0.2">
      <c r="H296" s="1"/>
      <c r="K296" s="1"/>
      <c r="N296" s="1"/>
      <c r="Q296" s="1"/>
      <c r="S296" s="1"/>
      <c r="T296" s="1"/>
      <c r="U296" s="1"/>
      <c r="BF296" s="1">
        <v>293</v>
      </c>
      <c r="BG296">
        <v>2930</v>
      </c>
      <c r="BJ296">
        <v>29300</v>
      </c>
      <c r="BK296">
        <v>2930</v>
      </c>
      <c r="BM296">
        <v>29300</v>
      </c>
      <c r="BN296">
        <v>293</v>
      </c>
    </row>
    <row r="297" spans="8:66" x14ac:dyDescent="0.2">
      <c r="H297" s="1"/>
      <c r="K297" s="1"/>
      <c r="N297" s="1"/>
      <c r="Q297" s="1"/>
      <c r="S297" s="1"/>
      <c r="T297" s="1"/>
      <c r="U297" s="1"/>
      <c r="BF297" s="1">
        <v>294</v>
      </c>
      <c r="BG297">
        <v>2940</v>
      </c>
      <c r="BJ297">
        <v>29400</v>
      </c>
      <c r="BK297">
        <v>2940</v>
      </c>
      <c r="BM297">
        <v>29400</v>
      </c>
      <c r="BN297">
        <v>294</v>
      </c>
    </row>
    <row r="298" spans="8:66" x14ac:dyDescent="0.2">
      <c r="H298" s="1"/>
      <c r="K298" s="1"/>
      <c r="N298" s="1"/>
      <c r="Q298" s="1"/>
      <c r="S298" s="1"/>
      <c r="T298" s="1"/>
      <c r="U298" s="1"/>
      <c r="BF298" s="1">
        <v>295</v>
      </c>
      <c r="BG298">
        <v>2950</v>
      </c>
      <c r="BJ298">
        <v>29500</v>
      </c>
      <c r="BK298">
        <v>2950</v>
      </c>
      <c r="BM298">
        <v>29500</v>
      </c>
      <c r="BN298">
        <v>295</v>
      </c>
    </row>
    <row r="299" spans="8:66" x14ac:dyDescent="0.2">
      <c r="H299" s="1"/>
      <c r="K299" s="1"/>
      <c r="N299" s="1"/>
      <c r="Q299" s="1"/>
      <c r="S299" s="1"/>
      <c r="T299" s="1"/>
      <c r="U299" s="1"/>
      <c r="BF299" s="1">
        <v>296</v>
      </c>
      <c r="BG299">
        <v>2960</v>
      </c>
      <c r="BJ299">
        <v>29600</v>
      </c>
      <c r="BK299">
        <v>2960</v>
      </c>
      <c r="BM299">
        <v>29600</v>
      </c>
      <c r="BN299">
        <v>296</v>
      </c>
    </row>
    <row r="300" spans="8:66" x14ac:dyDescent="0.2">
      <c r="H300" s="1"/>
      <c r="K300" s="1"/>
      <c r="N300" s="1"/>
      <c r="Q300" s="1"/>
      <c r="S300" s="1"/>
      <c r="T300" s="1"/>
      <c r="U300" s="1"/>
      <c r="BF300" s="1">
        <v>297</v>
      </c>
      <c r="BG300">
        <v>2970</v>
      </c>
      <c r="BJ300">
        <v>29700</v>
      </c>
      <c r="BK300">
        <v>2970</v>
      </c>
      <c r="BM300">
        <v>29700</v>
      </c>
      <c r="BN300">
        <v>297</v>
      </c>
    </row>
    <row r="301" spans="8:66" x14ac:dyDescent="0.2">
      <c r="H301" s="1"/>
      <c r="K301" s="1"/>
      <c r="N301" s="1"/>
      <c r="Q301" s="1"/>
      <c r="S301" s="1"/>
      <c r="T301" s="1"/>
      <c r="U301" s="1"/>
      <c r="BF301" s="1">
        <v>298</v>
      </c>
      <c r="BG301">
        <v>2980</v>
      </c>
      <c r="BJ301">
        <v>29800</v>
      </c>
      <c r="BK301">
        <v>2980</v>
      </c>
      <c r="BM301">
        <v>29800</v>
      </c>
      <c r="BN301">
        <v>298</v>
      </c>
    </row>
    <row r="302" spans="8:66" x14ac:dyDescent="0.2">
      <c r="H302" s="1"/>
      <c r="K302" s="1"/>
      <c r="N302" s="1"/>
      <c r="Q302" s="1"/>
      <c r="S302" s="1"/>
      <c r="T302" s="1"/>
      <c r="U302" s="1"/>
      <c r="BF302" s="1">
        <v>299</v>
      </c>
      <c r="BG302">
        <v>2990</v>
      </c>
      <c r="BJ302">
        <v>29900</v>
      </c>
      <c r="BK302">
        <v>2990</v>
      </c>
      <c r="BM302">
        <v>29900</v>
      </c>
      <c r="BN302">
        <v>299</v>
      </c>
    </row>
    <row r="303" spans="8:66" x14ac:dyDescent="0.2">
      <c r="H303" s="1"/>
      <c r="K303" s="1"/>
      <c r="N303" s="1"/>
      <c r="Q303" s="1"/>
      <c r="S303" s="1"/>
      <c r="T303" s="1"/>
      <c r="U303" s="1"/>
      <c r="BF303" s="1">
        <v>300</v>
      </c>
      <c r="BG303">
        <v>3000</v>
      </c>
      <c r="BJ303">
        <v>30000</v>
      </c>
      <c r="BK303">
        <v>3000</v>
      </c>
      <c r="BM303">
        <v>30000</v>
      </c>
      <c r="BN303">
        <v>300</v>
      </c>
    </row>
    <row r="304" spans="8:66" x14ac:dyDescent="0.2">
      <c r="H304" s="1"/>
      <c r="K304" s="1"/>
      <c r="N304" s="1"/>
      <c r="Q304" s="1"/>
      <c r="S304" s="1"/>
      <c r="T304" s="1"/>
      <c r="U304" s="1"/>
      <c r="BF304" s="1">
        <v>301</v>
      </c>
      <c r="BG304">
        <v>3010</v>
      </c>
      <c r="BJ304">
        <v>30100</v>
      </c>
      <c r="BK304">
        <v>3010</v>
      </c>
      <c r="BM304">
        <v>30100</v>
      </c>
      <c r="BN304">
        <v>301</v>
      </c>
    </row>
    <row r="305" spans="8:66" x14ac:dyDescent="0.2">
      <c r="H305" s="1"/>
      <c r="K305" s="1"/>
      <c r="N305" s="1"/>
      <c r="Q305" s="1"/>
      <c r="S305" s="1"/>
      <c r="T305" s="1"/>
      <c r="U305" s="1"/>
      <c r="BF305" s="1">
        <v>302</v>
      </c>
      <c r="BG305">
        <v>3020</v>
      </c>
      <c r="BJ305">
        <v>30200</v>
      </c>
      <c r="BK305">
        <v>3020</v>
      </c>
      <c r="BM305">
        <v>30200</v>
      </c>
      <c r="BN305">
        <v>302</v>
      </c>
    </row>
    <row r="306" spans="8:66" x14ac:dyDescent="0.2">
      <c r="H306" s="1"/>
      <c r="K306" s="1"/>
      <c r="N306" s="1"/>
      <c r="Q306" s="1"/>
      <c r="S306" s="1"/>
      <c r="T306" s="1"/>
      <c r="U306" s="1"/>
      <c r="BF306" s="1">
        <v>303</v>
      </c>
      <c r="BG306">
        <v>3030</v>
      </c>
      <c r="BJ306">
        <v>30300</v>
      </c>
      <c r="BK306">
        <v>3030</v>
      </c>
      <c r="BM306">
        <v>30300</v>
      </c>
      <c r="BN306">
        <v>303</v>
      </c>
    </row>
    <row r="307" spans="8:66" x14ac:dyDescent="0.2">
      <c r="H307" s="1"/>
      <c r="K307" s="1"/>
      <c r="N307" s="1"/>
      <c r="Q307" s="1"/>
      <c r="S307" s="1"/>
      <c r="T307" s="1"/>
      <c r="U307" s="1"/>
      <c r="BF307" s="1">
        <v>304</v>
      </c>
      <c r="BG307">
        <v>3040</v>
      </c>
      <c r="BJ307">
        <v>30400</v>
      </c>
      <c r="BK307">
        <v>3040</v>
      </c>
      <c r="BM307">
        <v>30400</v>
      </c>
      <c r="BN307">
        <v>304</v>
      </c>
    </row>
    <row r="308" spans="8:66" x14ac:dyDescent="0.2">
      <c r="H308" s="1"/>
      <c r="K308" s="1"/>
      <c r="N308" s="1"/>
      <c r="Q308" s="1"/>
      <c r="S308" s="1"/>
      <c r="T308" s="1"/>
      <c r="U308" s="1"/>
      <c r="BF308" s="1">
        <v>305</v>
      </c>
      <c r="BG308">
        <v>3050</v>
      </c>
      <c r="BJ308">
        <v>30500</v>
      </c>
      <c r="BK308">
        <v>3050</v>
      </c>
      <c r="BM308">
        <v>30500</v>
      </c>
      <c r="BN308">
        <v>305</v>
      </c>
    </row>
    <row r="309" spans="8:66" x14ac:dyDescent="0.2">
      <c r="H309" s="1"/>
      <c r="K309" s="1"/>
      <c r="N309" s="1"/>
      <c r="Q309" s="1"/>
      <c r="S309" s="1"/>
      <c r="T309" s="1"/>
      <c r="U309" s="1"/>
      <c r="BF309" s="1">
        <v>306</v>
      </c>
      <c r="BG309">
        <v>3060</v>
      </c>
      <c r="BJ309">
        <v>30600</v>
      </c>
      <c r="BK309">
        <v>3060</v>
      </c>
      <c r="BM309">
        <v>30600</v>
      </c>
      <c r="BN309">
        <v>306</v>
      </c>
    </row>
    <row r="310" spans="8:66" x14ac:dyDescent="0.2">
      <c r="H310" s="1"/>
      <c r="K310" s="1"/>
      <c r="N310" s="1"/>
      <c r="Q310" s="1"/>
      <c r="S310" s="1"/>
      <c r="T310" s="1"/>
      <c r="U310" s="1"/>
      <c r="BF310" s="1">
        <v>307</v>
      </c>
      <c r="BG310">
        <v>3070</v>
      </c>
      <c r="BJ310">
        <v>30700</v>
      </c>
      <c r="BK310">
        <v>3070</v>
      </c>
      <c r="BM310">
        <v>30700</v>
      </c>
      <c r="BN310">
        <v>307</v>
      </c>
    </row>
    <row r="311" spans="8:66" x14ac:dyDescent="0.2">
      <c r="H311" s="1"/>
      <c r="K311" s="1"/>
      <c r="N311" s="1"/>
      <c r="Q311" s="1"/>
      <c r="S311" s="1"/>
      <c r="T311" s="1"/>
      <c r="U311" s="1"/>
      <c r="BF311" s="1">
        <v>308</v>
      </c>
      <c r="BG311">
        <v>3080</v>
      </c>
      <c r="BJ311">
        <v>30800</v>
      </c>
      <c r="BK311">
        <v>3080</v>
      </c>
      <c r="BM311">
        <v>30800</v>
      </c>
      <c r="BN311">
        <v>308</v>
      </c>
    </row>
    <row r="312" spans="8:66" x14ac:dyDescent="0.2">
      <c r="H312" s="1"/>
      <c r="K312" s="1"/>
      <c r="N312" s="1"/>
      <c r="Q312" s="1"/>
      <c r="S312" s="1"/>
      <c r="T312" s="1"/>
      <c r="U312" s="1"/>
      <c r="BF312" s="1">
        <v>309</v>
      </c>
      <c r="BG312">
        <v>3090</v>
      </c>
      <c r="BJ312">
        <v>30900</v>
      </c>
      <c r="BK312">
        <v>3090</v>
      </c>
      <c r="BM312">
        <v>30900</v>
      </c>
      <c r="BN312">
        <v>309</v>
      </c>
    </row>
    <row r="313" spans="8:66" x14ac:dyDescent="0.2">
      <c r="H313" s="1"/>
      <c r="K313" s="1"/>
      <c r="N313" s="1"/>
      <c r="Q313" s="1"/>
      <c r="S313" s="1"/>
      <c r="T313" s="1"/>
      <c r="U313" s="1"/>
      <c r="BF313" s="1">
        <v>310</v>
      </c>
      <c r="BG313">
        <v>3100</v>
      </c>
      <c r="BJ313">
        <v>31000</v>
      </c>
      <c r="BK313">
        <v>3100</v>
      </c>
      <c r="BM313">
        <v>31000</v>
      </c>
      <c r="BN313">
        <v>310</v>
      </c>
    </row>
    <row r="314" spans="8:66" x14ac:dyDescent="0.2">
      <c r="H314" s="1"/>
      <c r="K314" s="1"/>
      <c r="N314" s="1"/>
      <c r="Q314" s="1"/>
      <c r="S314" s="1"/>
      <c r="T314" s="1"/>
      <c r="U314" s="1"/>
      <c r="BF314" s="1">
        <v>311</v>
      </c>
      <c r="BG314">
        <v>3110</v>
      </c>
      <c r="BJ314">
        <v>31100</v>
      </c>
      <c r="BK314">
        <v>3110</v>
      </c>
      <c r="BM314">
        <v>31100</v>
      </c>
      <c r="BN314">
        <v>311</v>
      </c>
    </row>
    <row r="315" spans="8:66" x14ac:dyDescent="0.2">
      <c r="H315" s="1"/>
      <c r="K315" s="1"/>
      <c r="N315" s="1"/>
      <c r="Q315" s="1"/>
      <c r="S315" s="1"/>
      <c r="T315" s="1"/>
      <c r="U315" s="1"/>
      <c r="BF315" s="1">
        <v>312</v>
      </c>
      <c r="BG315">
        <v>3120</v>
      </c>
      <c r="BJ315">
        <v>31200</v>
      </c>
      <c r="BK315">
        <v>3120</v>
      </c>
      <c r="BM315">
        <v>31200</v>
      </c>
      <c r="BN315">
        <v>312</v>
      </c>
    </row>
    <row r="316" spans="8:66" x14ac:dyDescent="0.2">
      <c r="H316" s="1"/>
      <c r="K316" s="1"/>
      <c r="N316" s="1"/>
      <c r="Q316" s="1"/>
      <c r="S316" s="1"/>
      <c r="T316" s="1"/>
      <c r="U316" s="1"/>
      <c r="BF316" s="1">
        <v>313</v>
      </c>
      <c r="BG316">
        <v>3130</v>
      </c>
      <c r="BJ316">
        <v>31300</v>
      </c>
      <c r="BK316">
        <v>3130</v>
      </c>
      <c r="BM316">
        <v>31300</v>
      </c>
      <c r="BN316">
        <v>313</v>
      </c>
    </row>
    <row r="317" spans="8:66" x14ac:dyDescent="0.2">
      <c r="H317" s="1"/>
      <c r="K317" s="1"/>
      <c r="N317" s="1"/>
      <c r="Q317" s="1"/>
      <c r="S317" s="1"/>
      <c r="T317" s="1"/>
      <c r="U317" s="1"/>
      <c r="BF317" s="1">
        <v>314</v>
      </c>
      <c r="BG317">
        <v>3140</v>
      </c>
      <c r="BJ317">
        <v>31400</v>
      </c>
      <c r="BK317">
        <v>3140</v>
      </c>
      <c r="BM317">
        <v>31400</v>
      </c>
      <c r="BN317">
        <v>314</v>
      </c>
    </row>
    <row r="318" spans="8:66" x14ac:dyDescent="0.2">
      <c r="H318" s="1"/>
      <c r="K318" s="1"/>
      <c r="N318" s="1"/>
      <c r="Q318" s="1"/>
      <c r="S318" s="1"/>
      <c r="T318" s="1"/>
      <c r="U318" s="1"/>
      <c r="BF318" s="1">
        <v>315</v>
      </c>
      <c r="BG318">
        <v>3150</v>
      </c>
      <c r="BJ318">
        <v>31500</v>
      </c>
      <c r="BK318">
        <v>3150</v>
      </c>
      <c r="BM318">
        <v>31500</v>
      </c>
      <c r="BN318">
        <v>315</v>
      </c>
    </row>
    <row r="319" spans="8:66" x14ac:dyDescent="0.2">
      <c r="H319" s="1"/>
      <c r="K319" s="1"/>
      <c r="N319" s="1"/>
      <c r="Q319" s="1"/>
      <c r="S319" s="1"/>
      <c r="T319" s="1"/>
      <c r="U319" s="1"/>
      <c r="BF319" s="1">
        <v>316</v>
      </c>
      <c r="BG319">
        <v>3160</v>
      </c>
      <c r="BJ319">
        <v>31600</v>
      </c>
      <c r="BK319">
        <v>3160</v>
      </c>
      <c r="BM319">
        <v>31600</v>
      </c>
      <c r="BN319">
        <v>316</v>
      </c>
    </row>
    <row r="320" spans="8:66" x14ac:dyDescent="0.2">
      <c r="H320" s="1"/>
      <c r="K320" s="1"/>
      <c r="N320" s="1"/>
      <c r="Q320" s="1"/>
      <c r="S320" s="1"/>
      <c r="T320" s="1"/>
      <c r="U320" s="1"/>
      <c r="BF320" s="1">
        <v>317</v>
      </c>
      <c r="BG320">
        <v>3170</v>
      </c>
      <c r="BJ320">
        <v>31700</v>
      </c>
      <c r="BK320">
        <v>3170</v>
      </c>
      <c r="BM320">
        <v>31700</v>
      </c>
      <c r="BN320">
        <v>317</v>
      </c>
    </row>
    <row r="321" spans="8:66" x14ac:dyDescent="0.2">
      <c r="H321" s="1"/>
      <c r="K321" s="1"/>
      <c r="N321" s="1"/>
      <c r="Q321" s="1"/>
      <c r="S321" s="1"/>
      <c r="T321" s="1"/>
      <c r="U321" s="1"/>
      <c r="BF321" s="1">
        <v>318</v>
      </c>
      <c r="BG321">
        <v>3180</v>
      </c>
      <c r="BJ321">
        <v>31800</v>
      </c>
      <c r="BK321">
        <v>3180</v>
      </c>
      <c r="BM321">
        <v>31800</v>
      </c>
      <c r="BN321">
        <v>318</v>
      </c>
    </row>
    <row r="322" spans="8:66" x14ac:dyDescent="0.2">
      <c r="H322" s="1"/>
      <c r="K322" s="1"/>
      <c r="N322" s="1"/>
      <c r="Q322" s="1"/>
      <c r="S322" s="1"/>
      <c r="T322" s="1"/>
      <c r="U322" s="1"/>
      <c r="BF322" s="1">
        <v>319</v>
      </c>
      <c r="BG322">
        <v>3190</v>
      </c>
      <c r="BJ322">
        <v>31900</v>
      </c>
      <c r="BK322">
        <v>3190</v>
      </c>
      <c r="BM322">
        <v>31900</v>
      </c>
      <c r="BN322">
        <v>319</v>
      </c>
    </row>
    <row r="323" spans="8:66" x14ac:dyDescent="0.2">
      <c r="H323" s="1"/>
      <c r="K323" s="1"/>
      <c r="N323" s="1"/>
      <c r="Q323" s="1"/>
      <c r="S323" s="1"/>
      <c r="T323" s="1"/>
      <c r="U323" s="1"/>
      <c r="BF323" s="1">
        <v>320</v>
      </c>
      <c r="BG323">
        <v>3200</v>
      </c>
      <c r="BJ323">
        <v>32000</v>
      </c>
      <c r="BK323">
        <v>3200</v>
      </c>
      <c r="BM323">
        <v>32000</v>
      </c>
      <c r="BN323">
        <v>320</v>
      </c>
    </row>
    <row r="324" spans="8:66" x14ac:dyDescent="0.2">
      <c r="H324" s="1"/>
      <c r="K324" s="1"/>
      <c r="N324" s="1"/>
      <c r="Q324" s="1"/>
      <c r="S324" s="1"/>
      <c r="T324" s="1"/>
      <c r="U324" s="1"/>
      <c r="BF324" s="1">
        <v>321</v>
      </c>
      <c r="BG324">
        <v>3210</v>
      </c>
      <c r="BJ324">
        <v>32100</v>
      </c>
      <c r="BK324">
        <v>3210</v>
      </c>
      <c r="BM324">
        <v>32100</v>
      </c>
      <c r="BN324">
        <v>321</v>
      </c>
    </row>
    <row r="325" spans="8:66" x14ac:dyDescent="0.2">
      <c r="H325" s="1"/>
      <c r="K325" s="1"/>
      <c r="N325" s="1"/>
      <c r="Q325" s="1"/>
      <c r="S325" s="1"/>
      <c r="T325" s="1"/>
      <c r="U325" s="1"/>
      <c r="BF325" s="1">
        <v>322</v>
      </c>
      <c r="BG325">
        <v>3220</v>
      </c>
      <c r="BJ325">
        <v>32200</v>
      </c>
      <c r="BK325">
        <v>3220</v>
      </c>
      <c r="BM325">
        <v>32200</v>
      </c>
      <c r="BN325">
        <v>322</v>
      </c>
    </row>
    <row r="326" spans="8:66" x14ac:dyDescent="0.2">
      <c r="H326" s="1"/>
      <c r="K326" s="1"/>
      <c r="N326" s="1"/>
      <c r="Q326" s="1"/>
      <c r="S326" s="1"/>
      <c r="T326" s="1"/>
      <c r="U326" s="1"/>
      <c r="BF326" s="1">
        <v>323</v>
      </c>
      <c r="BG326">
        <v>3230</v>
      </c>
      <c r="BJ326">
        <v>32300</v>
      </c>
      <c r="BK326">
        <v>3230</v>
      </c>
      <c r="BM326">
        <v>32300</v>
      </c>
      <c r="BN326">
        <v>323</v>
      </c>
    </row>
    <row r="327" spans="8:66" x14ac:dyDescent="0.2">
      <c r="H327" s="1"/>
      <c r="K327" s="1"/>
      <c r="N327" s="1"/>
      <c r="Q327" s="1"/>
      <c r="S327" s="1"/>
      <c r="T327" s="1"/>
      <c r="U327" s="1"/>
      <c r="BF327" s="1">
        <v>324</v>
      </c>
      <c r="BG327">
        <v>3240</v>
      </c>
      <c r="BJ327">
        <v>32400</v>
      </c>
      <c r="BK327">
        <v>3240</v>
      </c>
      <c r="BM327">
        <v>32400</v>
      </c>
      <c r="BN327">
        <v>324</v>
      </c>
    </row>
    <row r="328" spans="8:66" x14ac:dyDescent="0.2">
      <c r="H328" s="1"/>
      <c r="K328" s="1"/>
      <c r="N328" s="1"/>
      <c r="Q328" s="1"/>
      <c r="S328" s="1"/>
      <c r="T328" s="1"/>
      <c r="U328" s="1"/>
      <c r="BF328" s="1">
        <v>325</v>
      </c>
      <c r="BG328">
        <v>3250</v>
      </c>
      <c r="BJ328">
        <v>32500</v>
      </c>
      <c r="BK328">
        <v>3250</v>
      </c>
      <c r="BM328">
        <v>32500</v>
      </c>
      <c r="BN328">
        <v>325</v>
      </c>
    </row>
    <row r="329" spans="8:66" x14ac:dyDescent="0.2">
      <c r="H329" s="1"/>
      <c r="K329" s="1"/>
      <c r="N329" s="1"/>
      <c r="Q329" s="1"/>
      <c r="S329" s="1"/>
      <c r="T329" s="1"/>
      <c r="U329" s="1"/>
      <c r="BF329" s="1">
        <v>326</v>
      </c>
      <c r="BG329">
        <v>3260</v>
      </c>
      <c r="BJ329">
        <v>32600</v>
      </c>
      <c r="BK329">
        <v>3260</v>
      </c>
      <c r="BM329">
        <v>32600</v>
      </c>
      <c r="BN329">
        <v>326</v>
      </c>
    </row>
    <row r="330" spans="8:66" x14ac:dyDescent="0.2">
      <c r="H330" s="1"/>
      <c r="K330" s="1"/>
      <c r="N330" s="1"/>
      <c r="Q330" s="1"/>
      <c r="S330" s="1"/>
      <c r="T330" s="1"/>
      <c r="U330" s="1"/>
      <c r="BF330" s="1">
        <v>327</v>
      </c>
      <c r="BG330">
        <v>3270</v>
      </c>
      <c r="BJ330">
        <v>32700</v>
      </c>
      <c r="BK330">
        <v>3270</v>
      </c>
      <c r="BM330">
        <v>32700</v>
      </c>
      <c r="BN330">
        <v>327</v>
      </c>
    </row>
    <row r="331" spans="8:66" x14ac:dyDescent="0.2">
      <c r="H331" s="1"/>
      <c r="K331" s="1"/>
      <c r="N331" s="1"/>
      <c r="Q331" s="1"/>
      <c r="S331" s="1"/>
      <c r="T331" s="1"/>
      <c r="U331" s="1"/>
      <c r="BF331" s="1">
        <v>328</v>
      </c>
      <c r="BG331">
        <v>3280</v>
      </c>
      <c r="BJ331">
        <v>32800</v>
      </c>
      <c r="BK331">
        <v>3280</v>
      </c>
      <c r="BM331">
        <v>32800</v>
      </c>
      <c r="BN331">
        <v>328</v>
      </c>
    </row>
    <row r="332" spans="8:66" x14ac:dyDescent="0.2">
      <c r="H332" s="1"/>
      <c r="K332" s="1"/>
      <c r="N332" s="1"/>
      <c r="Q332" s="1"/>
      <c r="S332" s="1"/>
      <c r="T332" s="1"/>
      <c r="U332" s="1"/>
      <c r="BF332" s="1">
        <v>329</v>
      </c>
      <c r="BG332">
        <v>3290</v>
      </c>
      <c r="BJ332">
        <v>32900</v>
      </c>
      <c r="BK332">
        <v>3290</v>
      </c>
      <c r="BM332">
        <v>32900</v>
      </c>
      <c r="BN332">
        <v>329</v>
      </c>
    </row>
    <row r="333" spans="8:66" x14ac:dyDescent="0.2">
      <c r="H333" s="1"/>
      <c r="K333" s="1"/>
      <c r="N333" s="1"/>
      <c r="Q333" s="1"/>
      <c r="S333" s="1"/>
      <c r="T333" s="1"/>
      <c r="U333" s="1"/>
      <c r="BF333" s="1">
        <v>330</v>
      </c>
      <c r="BG333">
        <v>3300</v>
      </c>
      <c r="BJ333">
        <v>33000</v>
      </c>
      <c r="BK333">
        <v>3300</v>
      </c>
      <c r="BM333">
        <v>33000</v>
      </c>
      <c r="BN333">
        <v>330</v>
      </c>
    </row>
    <row r="334" spans="8:66" x14ac:dyDescent="0.2">
      <c r="H334" s="1"/>
      <c r="K334" s="1"/>
      <c r="N334" s="1"/>
      <c r="Q334" s="1"/>
      <c r="S334" s="1"/>
      <c r="T334" s="1"/>
      <c r="U334" s="1"/>
      <c r="BF334" s="1">
        <v>331</v>
      </c>
      <c r="BG334">
        <v>3310</v>
      </c>
      <c r="BJ334">
        <v>33100</v>
      </c>
      <c r="BK334">
        <v>3310</v>
      </c>
      <c r="BM334">
        <v>33100</v>
      </c>
      <c r="BN334">
        <v>331</v>
      </c>
    </row>
    <row r="335" spans="8:66" x14ac:dyDescent="0.2">
      <c r="H335" s="1"/>
      <c r="K335" s="1"/>
      <c r="N335" s="1"/>
      <c r="Q335" s="1"/>
      <c r="S335" s="1"/>
      <c r="T335" s="1"/>
      <c r="U335" s="1"/>
      <c r="BF335" s="1">
        <v>332</v>
      </c>
      <c r="BG335">
        <v>3320</v>
      </c>
      <c r="BJ335">
        <v>33200</v>
      </c>
      <c r="BK335">
        <v>3320</v>
      </c>
      <c r="BM335">
        <v>33200</v>
      </c>
      <c r="BN335">
        <v>332</v>
      </c>
    </row>
    <row r="336" spans="8:66" x14ac:dyDescent="0.2">
      <c r="H336" s="1"/>
      <c r="K336" s="1"/>
      <c r="N336" s="1"/>
      <c r="Q336" s="1"/>
      <c r="S336" s="1"/>
      <c r="T336" s="1"/>
      <c r="U336" s="1"/>
      <c r="BF336" s="1">
        <v>333</v>
      </c>
      <c r="BG336">
        <v>3330</v>
      </c>
      <c r="BJ336">
        <v>33300</v>
      </c>
      <c r="BK336">
        <v>3330</v>
      </c>
      <c r="BM336">
        <v>33300</v>
      </c>
      <c r="BN336">
        <v>333</v>
      </c>
    </row>
    <row r="337" spans="8:66" x14ac:dyDescent="0.2">
      <c r="H337" s="1"/>
      <c r="K337" s="1"/>
      <c r="N337" s="1"/>
      <c r="Q337" s="1"/>
      <c r="S337" s="1"/>
      <c r="T337" s="1"/>
      <c r="U337" s="1"/>
      <c r="BF337" s="1">
        <v>334</v>
      </c>
      <c r="BG337">
        <v>3340</v>
      </c>
      <c r="BJ337">
        <v>33400</v>
      </c>
      <c r="BK337">
        <v>3340</v>
      </c>
      <c r="BM337">
        <v>33400</v>
      </c>
      <c r="BN337">
        <v>334</v>
      </c>
    </row>
    <row r="338" spans="8:66" x14ac:dyDescent="0.2">
      <c r="H338" s="1"/>
      <c r="K338" s="1"/>
      <c r="N338" s="1"/>
      <c r="Q338" s="1"/>
      <c r="S338" s="1"/>
      <c r="T338" s="1"/>
      <c r="U338" s="1"/>
      <c r="BF338" s="1">
        <v>335</v>
      </c>
      <c r="BG338">
        <v>3350</v>
      </c>
      <c r="BJ338">
        <v>33500</v>
      </c>
      <c r="BK338">
        <v>3350</v>
      </c>
      <c r="BM338">
        <v>33500</v>
      </c>
      <c r="BN338">
        <v>335</v>
      </c>
    </row>
    <row r="339" spans="8:66" x14ac:dyDescent="0.2">
      <c r="H339" s="1"/>
      <c r="K339" s="1"/>
      <c r="N339" s="1"/>
      <c r="Q339" s="1"/>
      <c r="S339" s="1"/>
      <c r="T339" s="1"/>
      <c r="U339" s="1"/>
      <c r="BF339" s="1">
        <v>336</v>
      </c>
      <c r="BG339">
        <v>3360</v>
      </c>
      <c r="BJ339">
        <v>33600</v>
      </c>
      <c r="BK339">
        <v>3360</v>
      </c>
      <c r="BM339">
        <v>33600</v>
      </c>
      <c r="BN339">
        <v>336</v>
      </c>
    </row>
    <row r="340" spans="8:66" x14ac:dyDescent="0.2">
      <c r="H340" s="1"/>
      <c r="K340" s="1"/>
      <c r="N340" s="1"/>
      <c r="Q340" s="1"/>
      <c r="S340" s="1"/>
      <c r="T340" s="1"/>
      <c r="U340" s="1"/>
      <c r="BF340" s="1">
        <v>337</v>
      </c>
      <c r="BG340">
        <v>3370</v>
      </c>
      <c r="BJ340">
        <v>33700</v>
      </c>
      <c r="BK340">
        <v>3370</v>
      </c>
      <c r="BM340">
        <v>33700</v>
      </c>
      <c r="BN340">
        <v>337</v>
      </c>
    </row>
    <row r="341" spans="8:66" x14ac:dyDescent="0.2">
      <c r="H341" s="1"/>
      <c r="K341" s="1"/>
      <c r="N341" s="1"/>
      <c r="Q341" s="1"/>
      <c r="S341" s="1"/>
      <c r="T341" s="1"/>
      <c r="U341" s="1"/>
      <c r="BF341" s="1">
        <v>338</v>
      </c>
      <c r="BG341">
        <v>3380</v>
      </c>
      <c r="BJ341">
        <v>33800</v>
      </c>
      <c r="BK341">
        <v>3380</v>
      </c>
      <c r="BM341">
        <v>33800</v>
      </c>
      <c r="BN341">
        <v>338</v>
      </c>
    </row>
    <row r="342" spans="8:66" x14ac:dyDescent="0.2">
      <c r="H342" s="1"/>
      <c r="K342" s="1"/>
      <c r="N342" s="1"/>
      <c r="Q342" s="1"/>
      <c r="S342" s="1"/>
      <c r="T342" s="1"/>
      <c r="U342" s="1"/>
      <c r="BF342" s="1">
        <v>339</v>
      </c>
      <c r="BG342">
        <v>3390</v>
      </c>
      <c r="BJ342">
        <v>33900</v>
      </c>
      <c r="BK342">
        <v>3390</v>
      </c>
      <c r="BM342">
        <v>33900</v>
      </c>
      <c r="BN342">
        <v>339</v>
      </c>
    </row>
    <row r="343" spans="8:66" x14ac:dyDescent="0.2">
      <c r="H343" s="1"/>
      <c r="K343" s="1"/>
      <c r="N343" s="1"/>
      <c r="Q343" s="1"/>
      <c r="S343" s="1"/>
      <c r="T343" s="1"/>
      <c r="U343" s="1"/>
      <c r="BF343" s="1">
        <v>340</v>
      </c>
      <c r="BG343">
        <v>3400</v>
      </c>
      <c r="BJ343">
        <v>34000</v>
      </c>
      <c r="BK343">
        <v>3400</v>
      </c>
      <c r="BM343">
        <v>34000</v>
      </c>
      <c r="BN343">
        <v>340</v>
      </c>
    </row>
    <row r="344" spans="8:66" x14ac:dyDescent="0.2">
      <c r="H344" s="1"/>
      <c r="K344" s="1"/>
      <c r="N344" s="1"/>
      <c r="Q344" s="1"/>
      <c r="S344" s="1"/>
      <c r="T344" s="1"/>
      <c r="U344" s="1"/>
      <c r="BF344" s="1">
        <v>341</v>
      </c>
      <c r="BG344">
        <v>3410</v>
      </c>
      <c r="BJ344">
        <v>34100</v>
      </c>
      <c r="BK344">
        <v>3410</v>
      </c>
      <c r="BM344">
        <v>34100</v>
      </c>
      <c r="BN344">
        <v>341</v>
      </c>
    </row>
    <row r="345" spans="8:66" x14ac:dyDescent="0.2">
      <c r="H345" s="1"/>
      <c r="K345" s="1"/>
      <c r="N345" s="1"/>
      <c r="Q345" s="1"/>
      <c r="S345" s="1"/>
      <c r="T345" s="1"/>
      <c r="U345" s="1"/>
      <c r="BF345" s="1">
        <v>342</v>
      </c>
      <c r="BG345">
        <v>3420</v>
      </c>
      <c r="BJ345">
        <v>34200</v>
      </c>
      <c r="BK345">
        <v>3420</v>
      </c>
      <c r="BM345">
        <v>34200</v>
      </c>
      <c r="BN345">
        <v>342</v>
      </c>
    </row>
    <row r="346" spans="8:66" x14ac:dyDescent="0.2">
      <c r="H346" s="1"/>
      <c r="K346" s="1"/>
      <c r="N346" s="1"/>
      <c r="Q346" s="1"/>
      <c r="S346" s="1"/>
      <c r="T346" s="1"/>
      <c r="U346" s="1"/>
      <c r="BF346" s="1">
        <v>343</v>
      </c>
      <c r="BG346">
        <v>3430</v>
      </c>
      <c r="BJ346">
        <v>34300</v>
      </c>
      <c r="BK346">
        <v>3430</v>
      </c>
      <c r="BM346">
        <v>34300</v>
      </c>
      <c r="BN346">
        <v>343</v>
      </c>
    </row>
    <row r="347" spans="8:66" x14ac:dyDescent="0.2">
      <c r="H347" s="1"/>
      <c r="K347" s="1"/>
      <c r="N347" s="1"/>
      <c r="Q347" s="1"/>
      <c r="S347" s="1"/>
      <c r="T347" s="1"/>
      <c r="U347" s="1"/>
      <c r="BF347" s="1">
        <v>344</v>
      </c>
      <c r="BG347">
        <v>3440</v>
      </c>
      <c r="BJ347">
        <v>34400</v>
      </c>
      <c r="BK347">
        <v>3440</v>
      </c>
      <c r="BM347">
        <v>34400</v>
      </c>
      <c r="BN347">
        <v>344</v>
      </c>
    </row>
    <row r="348" spans="8:66" x14ac:dyDescent="0.2">
      <c r="H348" s="1"/>
      <c r="K348" s="1"/>
      <c r="N348" s="1"/>
      <c r="Q348" s="1"/>
      <c r="S348" s="1"/>
      <c r="T348" s="1"/>
      <c r="U348" s="1"/>
      <c r="BF348" s="1">
        <v>345</v>
      </c>
      <c r="BG348">
        <v>3450</v>
      </c>
      <c r="BJ348">
        <v>34500</v>
      </c>
      <c r="BK348">
        <v>3450</v>
      </c>
      <c r="BM348">
        <v>34500</v>
      </c>
      <c r="BN348">
        <v>345</v>
      </c>
    </row>
    <row r="349" spans="8:66" x14ac:dyDescent="0.2">
      <c r="H349" s="1"/>
      <c r="K349" s="1"/>
      <c r="N349" s="1"/>
      <c r="Q349" s="1"/>
      <c r="S349" s="1"/>
      <c r="T349" s="1"/>
      <c r="U349" s="1"/>
      <c r="BF349" s="1">
        <v>346</v>
      </c>
      <c r="BG349">
        <v>3460</v>
      </c>
      <c r="BJ349">
        <v>34600</v>
      </c>
      <c r="BK349">
        <v>3460</v>
      </c>
      <c r="BM349">
        <v>34600</v>
      </c>
      <c r="BN349">
        <v>346</v>
      </c>
    </row>
    <row r="350" spans="8:66" x14ac:dyDescent="0.2">
      <c r="H350" s="1"/>
      <c r="K350" s="1"/>
      <c r="N350" s="1"/>
      <c r="Q350" s="1"/>
      <c r="S350" s="1"/>
      <c r="T350" s="1"/>
      <c r="U350" s="1"/>
      <c r="BF350" s="1">
        <v>347</v>
      </c>
      <c r="BG350">
        <v>3470</v>
      </c>
      <c r="BJ350">
        <v>34700</v>
      </c>
      <c r="BK350">
        <v>3470</v>
      </c>
      <c r="BM350">
        <v>34700</v>
      </c>
      <c r="BN350">
        <v>347</v>
      </c>
    </row>
    <row r="351" spans="8:66" x14ac:dyDescent="0.2">
      <c r="H351" s="1"/>
      <c r="K351" s="1"/>
      <c r="N351" s="1"/>
      <c r="Q351" s="1"/>
      <c r="S351" s="1"/>
      <c r="T351" s="1"/>
      <c r="U351" s="1"/>
      <c r="BF351" s="1">
        <v>348</v>
      </c>
      <c r="BG351">
        <v>3480</v>
      </c>
      <c r="BJ351">
        <v>34800</v>
      </c>
      <c r="BK351">
        <v>3480</v>
      </c>
      <c r="BM351">
        <v>34800</v>
      </c>
      <c r="BN351">
        <v>348</v>
      </c>
    </row>
    <row r="352" spans="8:66" x14ac:dyDescent="0.2">
      <c r="H352" s="1"/>
      <c r="K352" s="1"/>
      <c r="N352" s="1"/>
      <c r="Q352" s="1"/>
      <c r="S352" s="1"/>
      <c r="T352" s="1"/>
      <c r="U352" s="1"/>
      <c r="BF352" s="1">
        <v>349</v>
      </c>
      <c r="BG352">
        <v>3490</v>
      </c>
      <c r="BJ352">
        <v>34900</v>
      </c>
      <c r="BK352">
        <v>3490</v>
      </c>
      <c r="BM352">
        <v>34900</v>
      </c>
      <c r="BN352">
        <v>349</v>
      </c>
    </row>
    <row r="353" spans="8:66" x14ac:dyDescent="0.2">
      <c r="H353" s="1"/>
      <c r="K353" s="1"/>
      <c r="N353" s="1"/>
      <c r="Q353" s="1"/>
      <c r="S353" s="1"/>
      <c r="T353" s="1"/>
      <c r="U353" s="1"/>
      <c r="BF353" s="1">
        <v>350</v>
      </c>
      <c r="BG353">
        <v>3500</v>
      </c>
      <c r="BJ353">
        <v>35000</v>
      </c>
      <c r="BK353">
        <v>3500</v>
      </c>
      <c r="BM353">
        <v>35000</v>
      </c>
      <c r="BN353">
        <v>350</v>
      </c>
    </row>
    <row r="354" spans="8:66" x14ac:dyDescent="0.2">
      <c r="H354" s="1"/>
      <c r="K354" s="1"/>
      <c r="N354" s="1"/>
      <c r="Q354" s="1"/>
      <c r="S354" s="1"/>
      <c r="T354" s="1"/>
      <c r="U354" s="1"/>
      <c r="BF354" s="1">
        <v>351</v>
      </c>
      <c r="BG354">
        <v>3510</v>
      </c>
      <c r="BJ354">
        <v>35100</v>
      </c>
      <c r="BK354">
        <v>3510</v>
      </c>
      <c r="BM354">
        <v>35100</v>
      </c>
      <c r="BN354">
        <v>351</v>
      </c>
    </row>
    <row r="355" spans="8:66" x14ac:dyDescent="0.2">
      <c r="H355" s="1"/>
      <c r="K355" s="1"/>
      <c r="N355" s="1"/>
      <c r="Q355" s="1"/>
      <c r="S355" s="1"/>
      <c r="T355" s="1"/>
      <c r="U355" s="1"/>
      <c r="BF355" s="1">
        <v>352</v>
      </c>
      <c r="BG355">
        <v>3520</v>
      </c>
      <c r="BJ355">
        <v>35200</v>
      </c>
      <c r="BK355">
        <v>3520</v>
      </c>
      <c r="BM355">
        <v>35200</v>
      </c>
      <c r="BN355">
        <v>352</v>
      </c>
    </row>
    <row r="356" spans="8:66" x14ac:dyDescent="0.2">
      <c r="H356" s="1"/>
      <c r="K356" s="1"/>
      <c r="N356" s="1"/>
      <c r="Q356" s="1"/>
      <c r="S356" s="1"/>
      <c r="T356" s="1"/>
      <c r="U356" s="1"/>
      <c r="BF356" s="1">
        <v>353</v>
      </c>
      <c r="BG356">
        <v>3530</v>
      </c>
      <c r="BJ356">
        <v>35300</v>
      </c>
      <c r="BK356">
        <v>3530</v>
      </c>
      <c r="BM356">
        <v>35300</v>
      </c>
      <c r="BN356">
        <v>353</v>
      </c>
    </row>
    <row r="357" spans="8:66" x14ac:dyDescent="0.2">
      <c r="H357" s="1"/>
      <c r="K357" s="1"/>
      <c r="N357" s="1"/>
      <c r="Q357" s="1"/>
      <c r="S357" s="1"/>
      <c r="T357" s="1"/>
      <c r="U357" s="1"/>
      <c r="BF357" s="1">
        <v>354</v>
      </c>
      <c r="BG357">
        <v>3540</v>
      </c>
      <c r="BJ357">
        <v>35400</v>
      </c>
      <c r="BK357">
        <v>3540</v>
      </c>
      <c r="BM357">
        <v>35400</v>
      </c>
      <c r="BN357">
        <v>354</v>
      </c>
    </row>
    <row r="358" spans="8:66" x14ac:dyDescent="0.2">
      <c r="H358" s="1"/>
      <c r="K358" s="1"/>
      <c r="N358" s="1"/>
      <c r="Q358" s="1"/>
      <c r="S358" s="1"/>
      <c r="T358" s="1"/>
      <c r="U358" s="1"/>
      <c r="BF358" s="1">
        <v>355</v>
      </c>
      <c r="BG358">
        <v>3550</v>
      </c>
      <c r="BJ358">
        <v>35500</v>
      </c>
      <c r="BK358">
        <v>3550</v>
      </c>
      <c r="BM358">
        <v>35500</v>
      </c>
      <c r="BN358">
        <v>355</v>
      </c>
    </row>
    <row r="359" spans="8:66" x14ac:dyDescent="0.2">
      <c r="H359" s="1"/>
      <c r="K359" s="1"/>
      <c r="N359" s="1"/>
      <c r="Q359" s="1"/>
      <c r="S359" s="1"/>
      <c r="T359" s="1"/>
      <c r="U359" s="1"/>
      <c r="BF359" s="1">
        <v>356</v>
      </c>
      <c r="BG359">
        <v>3560</v>
      </c>
      <c r="BJ359">
        <v>35600</v>
      </c>
      <c r="BK359">
        <v>3560</v>
      </c>
      <c r="BM359">
        <v>35600</v>
      </c>
      <c r="BN359">
        <v>356</v>
      </c>
    </row>
    <row r="360" spans="8:66" x14ac:dyDescent="0.2">
      <c r="H360" s="1"/>
      <c r="K360" s="1"/>
      <c r="N360" s="1"/>
      <c r="Q360" s="1"/>
      <c r="S360" s="1"/>
      <c r="T360" s="1"/>
      <c r="U360" s="1"/>
      <c r="BF360" s="1">
        <v>357</v>
      </c>
      <c r="BG360">
        <v>3570</v>
      </c>
      <c r="BJ360">
        <v>35700</v>
      </c>
      <c r="BK360">
        <v>3570</v>
      </c>
      <c r="BM360">
        <v>35700</v>
      </c>
      <c r="BN360">
        <v>357</v>
      </c>
    </row>
    <row r="361" spans="8:66" x14ac:dyDescent="0.2">
      <c r="H361" s="1"/>
      <c r="K361" s="1"/>
      <c r="N361" s="1"/>
      <c r="Q361" s="1"/>
      <c r="S361" s="1"/>
      <c r="T361" s="1"/>
      <c r="U361" s="1"/>
      <c r="BF361" s="1">
        <v>358</v>
      </c>
      <c r="BG361">
        <v>3580</v>
      </c>
      <c r="BJ361">
        <v>35800</v>
      </c>
      <c r="BK361">
        <v>3580</v>
      </c>
      <c r="BM361">
        <v>35800</v>
      </c>
      <c r="BN361">
        <v>358</v>
      </c>
    </row>
    <row r="362" spans="8:66" x14ac:dyDescent="0.2">
      <c r="H362" s="1"/>
      <c r="K362" s="1"/>
      <c r="N362" s="1"/>
      <c r="Q362" s="1"/>
      <c r="S362" s="1"/>
      <c r="T362" s="1"/>
      <c r="U362" s="1"/>
      <c r="BF362" s="1">
        <v>359</v>
      </c>
      <c r="BG362">
        <v>3590</v>
      </c>
      <c r="BJ362">
        <v>35900</v>
      </c>
      <c r="BK362">
        <v>3590</v>
      </c>
      <c r="BM362">
        <v>35900</v>
      </c>
      <c r="BN362">
        <v>359</v>
      </c>
    </row>
    <row r="363" spans="8:66" x14ac:dyDescent="0.2">
      <c r="H363" s="1"/>
      <c r="K363" s="1"/>
      <c r="N363" s="1"/>
      <c r="Q363" s="1"/>
      <c r="S363" s="1"/>
      <c r="T363" s="1"/>
      <c r="U363" s="1"/>
      <c r="BF363" s="1">
        <v>360</v>
      </c>
      <c r="BG363">
        <v>3600</v>
      </c>
      <c r="BJ363">
        <v>36000</v>
      </c>
      <c r="BK363">
        <v>3600</v>
      </c>
      <c r="BM363">
        <v>36000</v>
      </c>
      <c r="BN363">
        <v>360</v>
      </c>
    </row>
    <row r="364" spans="8:66" x14ac:dyDescent="0.2">
      <c r="H364" s="1"/>
      <c r="K364" s="1"/>
      <c r="N364" s="1"/>
      <c r="Q364" s="1"/>
      <c r="S364" s="1"/>
      <c r="T364" s="1"/>
      <c r="U364" s="1"/>
      <c r="BF364" s="1">
        <v>361</v>
      </c>
      <c r="BG364">
        <v>3610</v>
      </c>
      <c r="BJ364">
        <v>36100</v>
      </c>
      <c r="BK364">
        <v>3610</v>
      </c>
      <c r="BM364">
        <v>36100</v>
      </c>
      <c r="BN364">
        <v>361</v>
      </c>
    </row>
    <row r="365" spans="8:66" x14ac:dyDescent="0.2">
      <c r="H365" s="1"/>
      <c r="K365" s="1"/>
      <c r="N365" s="1"/>
      <c r="Q365" s="1"/>
      <c r="S365" s="1"/>
      <c r="T365" s="1"/>
      <c r="U365" s="1"/>
      <c r="BF365" s="1">
        <v>362</v>
      </c>
      <c r="BG365">
        <v>3620</v>
      </c>
      <c r="BJ365">
        <v>36200</v>
      </c>
      <c r="BK365">
        <v>3620</v>
      </c>
      <c r="BM365">
        <v>36200</v>
      </c>
      <c r="BN365">
        <v>362</v>
      </c>
    </row>
    <row r="366" spans="8:66" x14ac:dyDescent="0.2">
      <c r="H366" s="1"/>
      <c r="K366" s="1"/>
      <c r="N366" s="1"/>
      <c r="Q366" s="1"/>
      <c r="S366" s="1"/>
      <c r="T366" s="1"/>
      <c r="U366" s="1"/>
      <c r="BF366" s="1">
        <v>363</v>
      </c>
      <c r="BG366">
        <v>3630</v>
      </c>
      <c r="BJ366">
        <v>36300</v>
      </c>
      <c r="BK366">
        <v>3630</v>
      </c>
      <c r="BM366">
        <v>36300</v>
      </c>
      <c r="BN366">
        <v>363</v>
      </c>
    </row>
    <row r="367" spans="8:66" x14ac:dyDescent="0.2">
      <c r="H367" s="1"/>
      <c r="K367" s="1"/>
      <c r="N367" s="1"/>
      <c r="Q367" s="1"/>
      <c r="S367" s="1"/>
      <c r="T367" s="1"/>
      <c r="U367" s="1"/>
      <c r="BF367" s="1">
        <v>364</v>
      </c>
      <c r="BG367">
        <v>3640</v>
      </c>
      <c r="BJ367">
        <v>36400</v>
      </c>
      <c r="BK367">
        <v>3640</v>
      </c>
      <c r="BM367">
        <v>36400</v>
      </c>
      <c r="BN367">
        <v>364</v>
      </c>
    </row>
    <row r="368" spans="8:66" x14ac:dyDescent="0.2">
      <c r="H368" s="1"/>
      <c r="K368" s="1"/>
      <c r="N368" s="1"/>
      <c r="Q368" s="1"/>
      <c r="S368" s="1"/>
      <c r="T368" s="1"/>
      <c r="U368" s="1"/>
      <c r="BF368" s="1">
        <v>365</v>
      </c>
      <c r="BG368">
        <v>3650</v>
      </c>
      <c r="BJ368">
        <v>36500</v>
      </c>
      <c r="BK368">
        <v>3650</v>
      </c>
      <c r="BM368">
        <v>36500</v>
      </c>
      <c r="BN368">
        <v>365</v>
      </c>
    </row>
    <row r="369" spans="8:66" x14ac:dyDescent="0.2">
      <c r="H369" s="1"/>
      <c r="K369" s="1"/>
      <c r="N369" s="1"/>
      <c r="Q369" s="1"/>
      <c r="S369" s="1"/>
      <c r="T369" s="1"/>
      <c r="U369" s="1"/>
      <c r="BF369" s="1">
        <v>366</v>
      </c>
      <c r="BG369">
        <v>3660</v>
      </c>
      <c r="BJ369">
        <v>36600</v>
      </c>
      <c r="BK369">
        <v>3660</v>
      </c>
      <c r="BM369">
        <v>36600</v>
      </c>
      <c r="BN369">
        <v>366</v>
      </c>
    </row>
    <row r="370" spans="8:66" x14ac:dyDescent="0.2">
      <c r="H370" s="1"/>
      <c r="K370" s="1"/>
      <c r="N370" s="1"/>
      <c r="Q370" s="1"/>
      <c r="S370" s="1"/>
      <c r="T370" s="1"/>
      <c r="U370" s="1"/>
      <c r="BF370" s="1">
        <v>367</v>
      </c>
      <c r="BG370">
        <v>3670</v>
      </c>
      <c r="BJ370">
        <v>36700</v>
      </c>
      <c r="BK370">
        <v>3670</v>
      </c>
      <c r="BM370">
        <v>36700</v>
      </c>
      <c r="BN370">
        <v>367</v>
      </c>
    </row>
    <row r="371" spans="8:66" x14ac:dyDescent="0.2">
      <c r="H371" s="1"/>
      <c r="K371" s="1"/>
      <c r="N371" s="1"/>
      <c r="Q371" s="1"/>
      <c r="S371" s="1"/>
      <c r="T371" s="1"/>
      <c r="U371" s="1"/>
      <c r="BF371" s="1">
        <v>368</v>
      </c>
      <c r="BG371">
        <v>3680</v>
      </c>
      <c r="BJ371">
        <v>36800</v>
      </c>
      <c r="BK371">
        <v>3680</v>
      </c>
      <c r="BM371">
        <v>36800</v>
      </c>
      <c r="BN371">
        <v>368</v>
      </c>
    </row>
    <row r="372" spans="8:66" x14ac:dyDescent="0.2">
      <c r="H372" s="1"/>
      <c r="K372" s="1"/>
      <c r="N372" s="1"/>
      <c r="Q372" s="1"/>
      <c r="S372" s="1"/>
      <c r="T372" s="1"/>
      <c r="U372" s="1"/>
      <c r="BF372" s="1">
        <v>369</v>
      </c>
      <c r="BG372">
        <v>3690</v>
      </c>
      <c r="BJ372">
        <v>36900</v>
      </c>
      <c r="BK372">
        <v>3690</v>
      </c>
      <c r="BM372">
        <v>36900</v>
      </c>
      <c r="BN372">
        <v>369</v>
      </c>
    </row>
    <row r="373" spans="8:66" x14ac:dyDescent="0.2">
      <c r="H373" s="1"/>
      <c r="K373" s="1"/>
      <c r="N373" s="1"/>
      <c r="Q373" s="1"/>
      <c r="S373" s="1"/>
      <c r="T373" s="1"/>
      <c r="U373" s="1"/>
      <c r="BF373" s="1">
        <v>370</v>
      </c>
      <c r="BG373">
        <v>3700</v>
      </c>
      <c r="BJ373">
        <v>37000</v>
      </c>
      <c r="BK373">
        <v>3700</v>
      </c>
      <c r="BM373">
        <v>37000</v>
      </c>
      <c r="BN373">
        <v>370</v>
      </c>
    </row>
    <row r="374" spans="8:66" x14ac:dyDescent="0.2">
      <c r="H374" s="1"/>
      <c r="K374" s="1"/>
      <c r="N374" s="1"/>
      <c r="Q374" s="1"/>
      <c r="S374" s="1"/>
      <c r="T374" s="1"/>
      <c r="U374" s="1"/>
      <c r="BF374" s="1">
        <v>371</v>
      </c>
      <c r="BG374">
        <v>3710</v>
      </c>
      <c r="BJ374">
        <v>37100</v>
      </c>
      <c r="BK374">
        <v>3710</v>
      </c>
      <c r="BM374">
        <v>37100</v>
      </c>
      <c r="BN374">
        <v>371</v>
      </c>
    </row>
    <row r="375" spans="8:66" x14ac:dyDescent="0.2">
      <c r="H375" s="1"/>
      <c r="K375" s="1"/>
      <c r="N375" s="1"/>
      <c r="Q375" s="1"/>
      <c r="S375" s="1"/>
      <c r="T375" s="1"/>
      <c r="U375" s="1"/>
      <c r="BF375" s="1">
        <v>372</v>
      </c>
      <c r="BG375">
        <v>3720</v>
      </c>
      <c r="BJ375">
        <v>37200</v>
      </c>
      <c r="BK375">
        <v>3720</v>
      </c>
      <c r="BM375">
        <v>37200</v>
      </c>
      <c r="BN375">
        <v>372</v>
      </c>
    </row>
    <row r="376" spans="8:66" x14ac:dyDescent="0.2">
      <c r="H376" s="1"/>
      <c r="K376" s="1"/>
      <c r="N376" s="1"/>
      <c r="Q376" s="1"/>
      <c r="S376" s="1"/>
      <c r="T376" s="1"/>
      <c r="U376" s="1"/>
      <c r="BF376" s="1">
        <v>373</v>
      </c>
      <c r="BG376">
        <v>3730</v>
      </c>
      <c r="BJ376">
        <v>37300</v>
      </c>
      <c r="BK376">
        <v>3730</v>
      </c>
      <c r="BM376">
        <v>37300</v>
      </c>
      <c r="BN376">
        <v>373</v>
      </c>
    </row>
    <row r="377" spans="8:66" x14ac:dyDescent="0.2">
      <c r="H377" s="1"/>
      <c r="K377" s="1"/>
      <c r="N377" s="1"/>
      <c r="Q377" s="1"/>
      <c r="S377" s="1"/>
      <c r="T377" s="1"/>
      <c r="U377" s="1"/>
      <c r="BF377" s="1">
        <v>374</v>
      </c>
      <c r="BG377">
        <v>3740</v>
      </c>
      <c r="BJ377">
        <v>37400</v>
      </c>
      <c r="BK377">
        <v>3740</v>
      </c>
      <c r="BM377">
        <v>37400</v>
      </c>
      <c r="BN377">
        <v>374</v>
      </c>
    </row>
    <row r="378" spans="8:66" x14ac:dyDescent="0.2">
      <c r="H378" s="1"/>
      <c r="K378" s="1"/>
      <c r="N378" s="1"/>
      <c r="Q378" s="1"/>
      <c r="S378" s="1"/>
      <c r="T378" s="1"/>
      <c r="U378" s="1"/>
      <c r="BF378" s="1">
        <v>375</v>
      </c>
      <c r="BG378">
        <v>3750</v>
      </c>
      <c r="BJ378">
        <v>37500</v>
      </c>
      <c r="BK378">
        <v>3750</v>
      </c>
      <c r="BM378">
        <v>37500</v>
      </c>
      <c r="BN378">
        <v>375</v>
      </c>
    </row>
    <row r="379" spans="8:66" x14ac:dyDescent="0.2">
      <c r="H379" s="1"/>
      <c r="K379" s="1"/>
      <c r="N379" s="1"/>
      <c r="Q379" s="1"/>
      <c r="S379" s="1"/>
      <c r="T379" s="1"/>
      <c r="U379" s="1"/>
      <c r="BF379" s="1">
        <v>376</v>
      </c>
      <c r="BG379">
        <v>3760</v>
      </c>
      <c r="BJ379">
        <v>37600</v>
      </c>
      <c r="BK379">
        <v>3760</v>
      </c>
      <c r="BM379">
        <v>37600</v>
      </c>
      <c r="BN379">
        <v>376</v>
      </c>
    </row>
    <row r="380" spans="8:66" x14ac:dyDescent="0.2">
      <c r="H380" s="1"/>
      <c r="K380" s="1"/>
      <c r="N380" s="1"/>
      <c r="Q380" s="1"/>
      <c r="S380" s="1"/>
      <c r="T380" s="1"/>
      <c r="U380" s="1"/>
      <c r="BF380" s="1">
        <v>377</v>
      </c>
      <c r="BG380">
        <v>3770</v>
      </c>
      <c r="BJ380">
        <v>37700</v>
      </c>
      <c r="BK380">
        <v>3770</v>
      </c>
      <c r="BM380">
        <v>37700</v>
      </c>
      <c r="BN380">
        <v>377</v>
      </c>
    </row>
    <row r="381" spans="8:66" x14ac:dyDescent="0.2">
      <c r="H381" s="1"/>
      <c r="K381" s="1"/>
      <c r="N381" s="1"/>
      <c r="Q381" s="1"/>
      <c r="S381" s="1"/>
      <c r="T381" s="1"/>
      <c r="U381" s="1"/>
      <c r="BF381" s="1">
        <v>378</v>
      </c>
      <c r="BG381">
        <v>3780</v>
      </c>
      <c r="BJ381">
        <v>37800</v>
      </c>
      <c r="BK381">
        <v>3780</v>
      </c>
      <c r="BM381">
        <v>37800</v>
      </c>
      <c r="BN381">
        <v>378</v>
      </c>
    </row>
    <row r="382" spans="8:66" x14ac:dyDescent="0.2">
      <c r="H382" s="1"/>
      <c r="K382" s="1"/>
      <c r="N382" s="1"/>
      <c r="Q382" s="1"/>
      <c r="S382" s="1"/>
      <c r="T382" s="1"/>
      <c r="U382" s="1"/>
      <c r="BF382" s="1">
        <v>379</v>
      </c>
      <c r="BG382">
        <v>3790</v>
      </c>
      <c r="BJ382">
        <v>37900</v>
      </c>
      <c r="BK382">
        <v>3790</v>
      </c>
      <c r="BM382">
        <v>37900</v>
      </c>
      <c r="BN382">
        <v>379</v>
      </c>
    </row>
    <row r="383" spans="8:66" x14ac:dyDescent="0.2">
      <c r="H383" s="1"/>
      <c r="K383" s="1"/>
      <c r="N383" s="1"/>
      <c r="Q383" s="1"/>
      <c r="S383" s="1"/>
      <c r="T383" s="1"/>
      <c r="U383" s="1"/>
      <c r="BF383" s="1">
        <v>380</v>
      </c>
      <c r="BG383">
        <v>3800</v>
      </c>
      <c r="BJ383">
        <v>38000</v>
      </c>
      <c r="BK383">
        <v>3800</v>
      </c>
      <c r="BM383">
        <v>38000</v>
      </c>
      <c r="BN383">
        <v>380</v>
      </c>
    </row>
    <row r="384" spans="8:66" x14ac:dyDescent="0.2">
      <c r="H384" s="1"/>
      <c r="K384" s="1"/>
      <c r="N384" s="1"/>
      <c r="Q384" s="1"/>
      <c r="S384" s="1"/>
      <c r="T384" s="1"/>
      <c r="U384" s="1"/>
      <c r="BF384" s="1">
        <v>381</v>
      </c>
      <c r="BG384">
        <v>3810</v>
      </c>
      <c r="BJ384">
        <v>38100</v>
      </c>
      <c r="BK384">
        <v>3810</v>
      </c>
      <c r="BM384">
        <v>38100</v>
      </c>
      <c r="BN384">
        <v>381</v>
      </c>
    </row>
    <row r="385" spans="8:66" x14ac:dyDescent="0.2">
      <c r="H385" s="1"/>
      <c r="K385" s="1"/>
      <c r="N385" s="1"/>
      <c r="Q385" s="1"/>
      <c r="S385" s="1"/>
      <c r="T385" s="1"/>
      <c r="U385" s="1"/>
      <c r="BF385" s="1">
        <v>382</v>
      </c>
      <c r="BG385">
        <v>3820</v>
      </c>
      <c r="BJ385">
        <v>38200</v>
      </c>
      <c r="BK385">
        <v>3820</v>
      </c>
      <c r="BM385">
        <v>38200</v>
      </c>
      <c r="BN385">
        <v>382</v>
      </c>
    </row>
    <row r="386" spans="8:66" x14ac:dyDescent="0.2">
      <c r="H386" s="1"/>
      <c r="K386" s="1"/>
      <c r="N386" s="1"/>
      <c r="Q386" s="1"/>
      <c r="S386" s="1"/>
      <c r="T386" s="1"/>
      <c r="U386" s="1"/>
      <c r="BF386" s="1">
        <v>383</v>
      </c>
      <c r="BG386">
        <v>3830</v>
      </c>
      <c r="BJ386">
        <v>38300</v>
      </c>
      <c r="BK386">
        <v>3830</v>
      </c>
      <c r="BM386">
        <v>38300</v>
      </c>
      <c r="BN386">
        <v>383</v>
      </c>
    </row>
    <row r="387" spans="8:66" x14ac:dyDescent="0.2">
      <c r="H387" s="1"/>
      <c r="K387" s="1"/>
      <c r="N387" s="1"/>
      <c r="Q387" s="1"/>
      <c r="S387" s="1"/>
      <c r="T387" s="1"/>
      <c r="U387" s="1"/>
      <c r="BF387" s="1">
        <v>384</v>
      </c>
      <c r="BG387">
        <v>3840</v>
      </c>
      <c r="BJ387">
        <v>38400</v>
      </c>
      <c r="BK387">
        <v>3840</v>
      </c>
      <c r="BM387">
        <v>38400</v>
      </c>
      <c r="BN387">
        <v>384</v>
      </c>
    </row>
    <row r="388" spans="8:66" x14ac:dyDescent="0.2">
      <c r="H388" s="1"/>
      <c r="K388" s="1"/>
      <c r="N388" s="1"/>
      <c r="Q388" s="1"/>
      <c r="S388" s="1"/>
      <c r="T388" s="1"/>
      <c r="U388" s="1"/>
      <c r="BF388" s="1">
        <v>385</v>
      </c>
      <c r="BG388">
        <v>3850</v>
      </c>
      <c r="BJ388">
        <v>38500</v>
      </c>
      <c r="BK388">
        <v>3850</v>
      </c>
      <c r="BM388">
        <v>38500</v>
      </c>
      <c r="BN388">
        <v>385</v>
      </c>
    </row>
    <row r="389" spans="8:66" x14ac:dyDescent="0.2">
      <c r="H389" s="1"/>
      <c r="K389" s="1"/>
      <c r="N389" s="1"/>
      <c r="Q389" s="1"/>
      <c r="S389" s="1"/>
      <c r="T389" s="1"/>
      <c r="U389" s="1"/>
      <c r="BF389" s="1">
        <v>386</v>
      </c>
      <c r="BG389">
        <v>3860</v>
      </c>
      <c r="BJ389">
        <v>38600</v>
      </c>
      <c r="BK389">
        <v>3860</v>
      </c>
      <c r="BM389">
        <v>38600</v>
      </c>
      <c r="BN389">
        <v>386</v>
      </c>
    </row>
    <row r="390" spans="8:66" x14ac:dyDescent="0.2">
      <c r="H390" s="1"/>
      <c r="K390" s="1"/>
      <c r="N390" s="1"/>
      <c r="Q390" s="1"/>
      <c r="S390" s="1"/>
      <c r="T390" s="1"/>
      <c r="U390" s="1"/>
      <c r="BF390" s="1">
        <v>387</v>
      </c>
      <c r="BG390">
        <v>3870</v>
      </c>
      <c r="BJ390">
        <v>38700</v>
      </c>
      <c r="BK390">
        <v>3870</v>
      </c>
      <c r="BM390">
        <v>38700</v>
      </c>
      <c r="BN390">
        <v>387</v>
      </c>
    </row>
    <row r="391" spans="8:66" x14ac:dyDescent="0.2">
      <c r="H391" s="1"/>
      <c r="K391" s="1"/>
      <c r="N391" s="1"/>
      <c r="Q391" s="1"/>
      <c r="S391" s="1"/>
      <c r="T391" s="1"/>
      <c r="U391" s="1"/>
      <c r="BF391" s="1">
        <v>388</v>
      </c>
      <c r="BG391">
        <v>3880</v>
      </c>
      <c r="BJ391">
        <v>38800</v>
      </c>
      <c r="BK391">
        <v>3880</v>
      </c>
      <c r="BM391">
        <v>38800</v>
      </c>
      <c r="BN391">
        <v>388</v>
      </c>
    </row>
    <row r="392" spans="8:66" x14ac:dyDescent="0.2">
      <c r="H392" s="1"/>
      <c r="K392" s="1"/>
      <c r="N392" s="1"/>
      <c r="Q392" s="1"/>
      <c r="S392" s="1"/>
      <c r="T392" s="1"/>
      <c r="U392" s="1"/>
      <c r="BF392" s="1">
        <v>389</v>
      </c>
      <c r="BG392">
        <v>3890</v>
      </c>
      <c r="BJ392">
        <v>38900</v>
      </c>
      <c r="BK392">
        <v>3890</v>
      </c>
      <c r="BM392">
        <v>38900</v>
      </c>
      <c r="BN392">
        <v>389</v>
      </c>
    </row>
    <row r="393" spans="8:66" x14ac:dyDescent="0.2">
      <c r="H393" s="1"/>
      <c r="K393" s="1"/>
      <c r="N393" s="1"/>
      <c r="Q393" s="1"/>
      <c r="S393" s="1"/>
      <c r="T393" s="1"/>
      <c r="U393" s="1"/>
      <c r="BF393" s="1">
        <v>390</v>
      </c>
      <c r="BG393">
        <v>3900</v>
      </c>
      <c r="BJ393">
        <v>39000</v>
      </c>
      <c r="BK393">
        <v>3900</v>
      </c>
      <c r="BM393">
        <v>39000</v>
      </c>
      <c r="BN393">
        <v>390</v>
      </c>
    </row>
    <row r="394" spans="8:66" x14ac:dyDescent="0.2">
      <c r="H394" s="1"/>
      <c r="K394" s="1"/>
      <c r="N394" s="1"/>
      <c r="Q394" s="1"/>
      <c r="S394" s="1"/>
      <c r="T394" s="1"/>
      <c r="U394" s="1"/>
      <c r="BF394" s="1">
        <v>391</v>
      </c>
      <c r="BG394">
        <v>3910</v>
      </c>
      <c r="BJ394">
        <v>39100</v>
      </c>
      <c r="BK394">
        <v>3910</v>
      </c>
      <c r="BM394">
        <v>39100</v>
      </c>
      <c r="BN394">
        <v>391</v>
      </c>
    </row>
    <row r="395" spans="8:66" x14ac:dyDescent="0.2">
      <c r="H395" s="1"/>
      <c r="K395" s="1"/>
      <c r="N395" s="1"/>
      <c r="Q395" s="1"/>
      <c r="S395" s="1"/>
      <c r="T395" s="1"/>
      <c r="U395" s="1"/>
      <c r="BF395" s="1">
        <v>392</v>
      </c>
      <c r="BG395">
        <v>3920</v>
      </c>
      <c r="BJ395">
        <v>39200</v>
      </c>
      <c r="BK395">
        <v>3920</v>
      </c>
      <c r="BM395">
        <v>39200</v>
      </c>
      <c r="BN395">
        <v>392</v>
      </c>
    </row>
    <row r="396" spans="8:66" x14ac:dyDescent="0.2">
      <c r="H396" s="1"/>
      <c r="K396" s="1"/>
      <c r="N396" s="1"/>
      <c r="Q396" s="1"/>
      <c r="S396" s="1"/>
      <c r="T396" s="1"/>
      <c r="U396" s="1"/>
      <c r="BF396" s="1">
        <v>393</v>
      </c>
      <c r="BG396">
        <v>3930</v>
      </c>
      <c r="BJ396">
        <v>39300</v>
      </c>
      <c r="BK396">
        <v>3930</v>
      </c>
      <c r="BM396">
        <v>39300</v>
      </c>
      <c r="BN396">
        <v>393</v>
      </c>
    </row>
    <row r="397" spans="8:66" x14ac:dyDescent="0.2">
      <c r="H397" s="1"/>
      <c r="K397" s="1"/>
      <c r="N397" s="1"/>
      <c r="Q397" s="1"/>
      <c r="S397" s="1"/>
      <c r="T397" s="1"/>
      <c r="U397" s="1"/>
      <c r="BF397" s="1">
        <v>394</v>
      </c>
      <c r="BG397">
        <v>3940</v>
      </c>
      <c r="BJ397">
        <v>39400</v>
      </c>
      <c r="BK397">
        <v>3940</v>
      </c>
      <c r="BM397">
        <v>39400</v>
      </c>
      <c r="BN397">
        <v>394</v>
      </c>
    </row>
    <row r="398" spans="8:66" x14ac:dyDescent="0.2">
      <c r="H398" s="1"/>
      <c r="K398" s="1"/>
      <c r="N398" s="1"/>
      <c r="Q398" s="1"/>
      <c r="S398" s="1"/>
      <c r="T398" s="1"/>
      <c r="U398" s="1"/>
      <c r="BF398" s="1">
        <v>395</v>
      </c>
      <c r="BG398">
        <v>3950</v>
      </c>
      <c r="BJ398">
        <v>39500</v>
      </c>
      <c r="BK398">
        <v>3950</v>
      </c>
      <c r="BM398">
        <v>39500</v>
      </c>
      <c r="BN398">
        <v>395</v>
      </c>
    </row>
    <row r="399" spans="8:66" x14ac:dyDescent="0.2">
      <c r="H399" s="1"/>
      <c r="K399" s="1"/>
      <c r="N399" s="1"/>
      <c r="Q399" s="1"/>
      <c r="S399" s="1"/>
      <c r="T399" s="1"/>
      <c r="U399" s="1"/>
      <c r="BF399" s="1">
        <v>396</v>
      </c>
      <c r="BG399">
        <v>3960</v>
      </c>
      <c r="BJ399">
        <v>39600</v>
      </c>
      <c r="BK399">
        <v>3960</v>
      </c>
      <c r="BM399">
        <v>39600</v>
      </c>
      <c r="BN399">
        <v>396</v>
      </c>
    </row>
    <row r="400" spans="8:66" x14ac:dyDescent="0.2">
      <c r="H400" s="1"/>
      <c r="K400" s="1"/>
      <c r="N400" s="1"/>
      <c r="Q400" s="1"/>
      <c r="S400" s="1"/>
      <c r="T400" s="1"/>
      <c r="U400" s="1"/>
      <c r="BF400" s="1">
        <v>397</v>
      </c>
      <c r="BG400">
        <v>3970</v>
      </c>
      <c r="BJ400">
        <v>39700</v>
      </c>
      <c r="BK400">
        <v>3970</v>
      </c>
      <c r="BM400">
        <v>39700</v>
      </c>
      <c r="BN400">
        <v>397</v>
      </c>
    </row>
    <row r="401" spans="8:66" x14ac:dyDescent="0.2">
      <c r="H401" s="1"/>
      <c r="K401" s="1"/>
      <c r="N401" s="1"/>
      <c r="Q401" s="1"/>
      <c r="S401" s="1"/>
      <c r="T401" s="1"/>
      <c r="U401" s="1"/>
      <c r="BF401" s="1">
        <v>398</v>
      </c>
      <c r="BG401">
        <v>3980</v>
      </c>
      <c r="BJ401">
        <v>39800</v>
      </c>
      <c r="BK401">
        <v>3980</v>
      </c>
      <c r="BM401">
        <v>39800</v>
      </c>
      <c r="BN401">
        <v>398</v>
      </c>
    </row>
    <row r="402" spans="8:66" x14ac:dyDescent="0.2">
      <c r="H402" s="1"/>
      <c r="K402" s="1"/>
      <c r="N402" s="1"/>
      <c r="Q402" s="1"/>
      <c r="S402" s="1"/>
      <c r="T402" s="1"/>
      <c r="U402" s="1"/>
      <c r="BF402" s="1">
        <v>399</v>
      </c>
      <c r="BG402">
        <v>3990</v>
      </c>
      <c r="BJ402">
        <v>39900</v>
      </c>
      <c r="BK402">
        <v>3990</v>
      </c>
      <c r="BM402">
        <v>39900</v>
      </c>
      <c r="BN402">
        <v>399</v>
      </c>
    </row>
    <row r="403" spans="8:66" x14ac:dyDescent="0.2">
      <c r="H403" s="1"/>
      <c r="K403" s="1"/>
      <c r="N403" s="1"/>
      <c r="Q403" s="1"/>
      <c r="S403" s="1"/>
      <c r="T403" s="1"/>
      <c r="U403" s="1"/>
      <c r="BF403" s="1">
        <v>400</v>
      </c>
      <c r="BG403">
        <v>4000</v>
      </c>
      <c r="BJ403">
        <v>40000</v>
      </c>
      <c r="BK403">
        <v>4000</v>
      </c>
      <c r="BM403">
        <v>40000</v>
      </c>
      <c r="BN403">
        <v>400</v>
      </c>
    </row>
    <row r="404" spans="8:66" x14ac:dyDescent="0.2">
      <c r="H404" s="1"/>
      <c r="K404" s="1"/>
      <c r="N404" s="1"/>
      <c r="Q404" s="1"/>
      <c r="S404" s="1"/>
      <c r="T404" s="1"/>
      <c r="U404" s="1"/>
      <c r="BF404" s="1">
        <v>401</v>
      </c>
      <c r="BG404">
        <v>4010</v>
      </c>
      <c r="BJ404">
        <v>40100</v>
      </c>
      <c r="BK404">
        <v>4010</v>
      </c>
      <c r="BM404">
        <v>40100</v>
      </c>
      <c r="BN404">
        <v>401</v>
      </c>
    </row>
    <row r="405" spans="8:66" x14ac:dyDescent="0.2">
      <c r="H405" s="1"/>
      <c r="K405" s="1"/>
      <c r="N405" s="1"/>
      <c r="Q405" s="1"/>
      <c r="S405" s="1"/>
      <c r="T405" s="1"/>
      <c r="U405" s="1"/>
      <c r="BF405" s="1">
        <v>402</v>
      </c>
      <c r="BG405">
        <v>4020</v>
      </c>
      <c r="BJ405">
        <v>40200</v>
      </c>
      <c r="BK405">
        <v>4020</v>
      </c>
      <c r="BM405">
        <v>40200</v>
      </c>
      <c r="BN405">
        <v>402</v>
      </c>
    </row>
    <row r="406" spans="8:66" x14ac:dyDescent="0.2">
      <c r="H406" s="1"/>
      <c r="K406" s="1"/>
      <c r="N406" s="1"/>
      <c r="Q406" s="1"/>
      <c r="S406" s="1"/>
      <c r="T406" s="1"/>
      <c r="U406" s="1"/>
      <c r="BF406" s="1">
        <v>403</v>
      </c>
      <c r="BG406">
        <v>4030</v>
      </c>
      <c r="BJ406">
        <v>40300</v>
      </c>
      <c r="BK406">
        <v>4030</v>
      </c>
      <c r="BM406">
        <v>40300</v>
      </c>
      <c r="BN406">
        <v>403</v>
      </c>
    </row>
    <row r="407" spans="8:66" x14ac:dyDescent="0.2">
      <c r="H407" s="1"/>
      <c r="K407" s="1"/>
      <c r="N407" s="1"/>
      <c r="Q407" s="1"/>
      <c r="S407" s="1"/>
      <c r="T407" s="1"/>
      <c r="U407" s="1"/>
      <c r="BF407" s="1">
        <v>404</v>
      </c>
      <c r="BG407">
        <v>4040</v>
      </c>
      <c r="BJ407">
        <v>40400</v>
      </c>
      <c r="BK407">
        <v>4040</v>
      </c>
      <c r="BM407">
        <v>40400</v>
      </c>
      <c r="BN407">
        <v>404</v>
      </c>
    </row>
    <row r="408" spans="8:66" x14ac:dyDescent="0.2">
      <c r="H408" s="1"/>
      <c r="K408" s="1"/>
      <c r="N408" s="1"/>
      <c r="Q408" s="1"/>
      <c r="S408" s="1"/>
      <c r="T408" s="1"/>
      <c r="U408" s="1"/>
      <c r="BF408" s="1">
        <v>405</v>
      </c>
      <c r="BG408">
        <v>4050</v>
      </c>
      <c r="BJ408">
        <v>40500</v>
      </c>
      <c r="BK408">
        <v>4050</v>
      </c>
      <c r="BM408">
        <v>40500</v>
      </c>
      <c r="BN408">
        <v>405</v>
      </c>
    </row>
    <row r="409" spans="8:66" x14ac:dyDescent="0.2">
      <c r="H409" s="1"/>
      <c r="K409" s="1"/>
      <c r="N409" s="1"/>
      <c r="Q409" s="1"/>
      <c r="S409" s="1"/>
      <c r="T409" s="1"/>
      <c r="U409" s="1"/>
      <c r="BF409" s="1">
        <v>406</v>
      </c>
      <c r="BG409">
        <v>4060</v>
      </c>
      <c r="BJ409">
        <v>40600</v>
      </c>
      <c r="BK409">
        <v>4060</v>
      </c>
      <c r="BM409">
        <v>40600</v>
      </c>
      <c r="BN409">
        <v>406</v>
      </c>
    </row>
    <row r="410" spans="8:66" x14ac:dyDescent="0.2">
      <c r="H410" s="1"/>
      <c r="K410" s="1"/>
      <c r="N410" s="1"/>
      <c r="Q410" s="1"/>
      <c r="S410" s="1"/>
      <c r="T410" s="1"/>
      <c r="U410" s="1"/>
      <c r="BF410" s="1">
        <v>407</v>
      </c>
      <c r="BG410">
        <v>4070</v>
      </c>
      <c r="BJ410">
        <v>40700</v>
      </c>
      <c r="BK410">
        <v>4070</v>
      </c>
      <c r="BM410">
        <v>40700</v>
      </c>
      <c r="BN410">
        <v>407</v>
      </c>
    </row>
    <row r="411" spans="8:66" x14ac:dyDescent="0.2">
      <c r="H411" s="1"/>
      <c r="K411" s="1"/>
      <c r="N411" s="1"/>
      <c r="Q411" s="1"/>
      <c r="S411" s="1"/>
      <c r="T411" s="1"/>
      <c r="U411" s="1"/>
      <c r="BF411" s="1">
        <v>408</v>
      </c>
      <c r="BG411">
        <v>4080</v>
      </c>
      <c r="BJ411">
        <v>40800</v>
      </c>
      <c r="BK411">
        <v>4080</v>
      </c>
      <c r="BM411">
        <v>40800</v>
      </c>
      <c r="BN411">
        <v>408</v>
      </c>
    </row>
    <row r="412" spans="8:66" x14ac:dyDescent="0.2">
      <c r="H412" s="1"/>
      <c r="K412" s="1"/>
      <c r="N412" s="1"/>
      <c r="Q412" s="1"/>
      <c r="S412" s="1"/>
      <c r="T412" s="1"/>
      <c r="U412" s="1"/>
      <c r="BF412" s="1">
        <v>409</v>
      </c>
      <c r="BG412">
        <v>4090</v>
      </c>
      <c r="BJ412">
        <v>40900</v>
      </c>
      <c r="BK412">
        <v>4090</v>
      </c>
      <c r="BM412">
        <v>40900</v>
      </c>
      <c r="BN412">
        <v>409</v>
      </c>
    </row>
    <row r="413" spans="8:66" x14ac:dyDescent="0.2">
      <c r="H413" s="1"/>
      <c r="K413" s="1"/>
      <c r="N413" s="1"/>
      <c r="Q413" s="1"/>
      <c r="S413" s="1"/>
      <c r="T413" s="1"/>
      <c r="U413" s="1"/>
      <c r="BF413" s="1">
        <v>410</v>
      </c>
      <c r="BG413">
        <v>4100</v>
      </c>
      <c r="BJ413">
        <v>41000</v>
      </c>
      <c r="BK413">
        <v>4100</v>
      </c>
      <c r="BM413">
        <v>41000</v>
      </c>
      <c r="BN413">
        <v>410</v>
      </c>
    </row>
    <row r="414" spans="8:66" x14ac:dyDescent="0.2">
      <c r="H414" s="1"/>
      <c r="K414" s="1"/>
      <c r="N414" s="1"/>
      <c r="Q414" s="1"/>
      <c r="S414" s="1"/>
      <c r="T414" s="1"/>
      <c r="U414" s="1"/>
      <c r="BF414" s="1">
        <v>411</v>
      </c>
      <c r="BG414">
        <v>4110</v>
      </c>
      <c r="BJ414">
        <v>41100</v>
      </c>
      <c r="BK414">
        <v>4110</v>
      </c>
      <c r="BM414">
        <v>41100</v>
      </c>
      <c r="BN414">
        <v>411</v>
      </c>
    </row>
    <row r="415" spans="8:66" x14ac:dyDescent="0.2">
      <c r="H415" s="1"/>
      <c r="K415" s="1"/>
      <c r="N415" s="1"/>
      <c r="Q415" s="1"/>
      <c r="S415" s="1"/>
      <c r="T415" s="1"/>
      <c r="U415" s="1"/>
      <c r="BF415" s="1">
        <v>412</v>
      </c>
      <c r="BG415">
        <v>4120</v>
      </c>
      <c r="BJ415">
        <v>41200</v>
      </c>
      <c r="BK415">
        <v>4120</v>
      </c>
      <c r="BM415">
        <v>41200</v>
      </c>
      <c r="BN415">
        <v>412</v>
      </c>
    </row>
    <row r="416" spans="8:66" x14ac:dyDescent="0.2">
      <c r="H416" s="1"/>
      <c r="K416" s="1"/>
      <c r="N416" s="1"/>
      <c r="Q416" s="1"/>
      <c r="S416" s="1"/>
      <c r="T416" s="1"/>
      <c r="U416" s="1"/>
      <c r="BF416" s="1">
        <v>413</v>
      </c>
      <c r="BG416">
        <v>4130</v>
      </c>
      <c r="BJ416">
        <v>41300</v>
      </c>
      <c r="BK416">
        <v>4130</v>
      </c>
      <c r="BM416">
        <v>41300</v>
      </c>
      <c r="BN416">
        <v>413</v>
      </c>
    </row>
    <row r="417" spans="8:66" x14ac:dyDescent="0.2">
      <c r="H417" s="1"/>
      <c r="K417" s="1"/>
      <c r="N417" s="1"/>
      <c r="Q417" s="1"/>
      <c r="S417" s="1"/>
      <c r="T417" s="1"/>
      <c r="U417" s="1"/>
      <c r="BF417" s="1">
        <v>414</v>
      </c>
      <c r="BG417">
        <v>4140</v>
      </c>
      <c r="BJ417">
        <v>41400</v>
      </c>
      <c r="BK417">
        <v>4140</v>
      </c>
      <c r="BM417">
        <v>41400</v>
      </c>
      <c r="BN417">
        <v>414</v>
      </c>
    </row>
    <row r="418" spans="8:66" x14ac:dyDescent="0.2">
      <c r="H418" s="1"/>
      <c r="K418" s="1"/>
      <c r="N418" s="1"/>
      <c r="Q418" s="1"/>
      <c r="S418" s="1"/>
      <c r="T418" s="1"/>
      <c r="U418" s="1"/>
      <c r="BF418" s="1">
        <v>415</v>
      </c>
      <c r="BG418">
        <v>4150</v>
      </c>
      <c r="BJ418">
        <v>41500</v>
      </c>
      <c r="BK418">
        <v>4150</v>
      </c>
      <c r="BM418">
        <v>41500</v>
      </c>
      <c r="BN418">
        <v>415</v>
      </c>
    </row>
    <row r="419" spans="8:66" x14ac:dyDescent="0.2">
      <c r="H419" s="1"/>
      <c r="K419" s="1"/>
      <c r="N419" s="1"/>
      <c r="Q419" s="1"/>
      <c r="S419" s="1"/>
      <c r="T419" s="1"/>
      <c r="U419" s="1"/>
      <c r="BF419" s="1">
        <v>416</v>
      </c>
      <c r="BG419">
        <v>4160</v>
      </c>
      <c r="BJ419">
        <v>41600</v>
      </c>
      <c r="BK419">
        <v>4160</v>
      </c>
      <c r="BM419">
        <v>41600</v>
      </c>
      <c r="BN419">
        <v>416</v>
      </c>
    </row>
    <row r="420" spans="8:66" x14ac:dyDescent="0.2">
      <c r="H420" s="1"/>
      <c r="K420" s="1"/>
      <c r="N420" s="1"/>
      <c r="Q420" s="1"/>
      <c r="S420" s="1"/>
      <c r="T420" s="1"/>
      <c r="U420" s="1"/>
      <c r="BF420" s="1">
        <v>417</v>
      </c>
      <c r="BG420">
        <v>4170</v>
      </c>
      <c r="BJ420">
        <v>41700</v>
      </c>
      <c r="BK420">
        <v>4170</v>
      </c>
      <c r="BM420">
        <v>41700</v>
      </c>
      <c r="BN420">
        <v>417</v>
      </c>
    </row>
    <row r="421" spans="8:66" x14ac:dyDescent="0.2">
      <c r="H421" s="1"/>
      <c r="K421" s="1"/>
      <c r="N421" s="1"/>
      <c r="Q421" s="1"/>
      <c r="S421" s="1"/>
      <c r="T421" s="1"/>
      <c r="U421" s="1"/>
      <c r="BF421" s="1">
        <v>418</v>
      </c>
      <c r="BG421">
        <v>4180</v>
      </c>
      <c r="BJ421">
        <v>41800</v>
      </c>
      <c r="BK421">
        <v>4180</v>
      </c>
      <c r="BM421">
        <v>41800</v>
      </c>
      <c r="BN421">
        <v>418</v>
      </c>
    </row>
    <row r="422" spans="8:66" x14ac:dyDescent="0.2">
      <c r="H422" s="1"/>
      <c r="K422" s="1"/>
      <c r="N422" s="1"/>
      <c r="Q422" s="1"/>
      <c r="S422" s="1"/>
      <c r="T422" s="1"/>
      <c r="U422" s="1"/>
      <c r="BF422" s="1">
        <v>419</v>
      </c>
      <c r="BG422">
        <v>4190</v>
      </c>
      <c r="BJ422">
        <v>41900</v>
      </c>
      <c r="BK422">
        <v>4190</v>
      </c>
      <c r="BM422">
        <v>41900</v>
      </c>
      <c r="BN422">
        <v>419</v>
      </c>
    </row>
    <row r="423" spans="8:66" x14ac:dyDescent="0.2">
      <c r="H423" s="1"/>
      <c r="K423" s="1"/>
      <c r="N423" s="1"/>
      <c r="Q423" s="1"/>
      <c r="S423" s="1"/>
      <c r="T423" s="1"/>
      <c r="U423" s="1"/>
      <c r="BF423" s="1">
        <v>420</v>
      </c>
      <c r="BG423">
        <v>4200</v>
      </c>
      <c r="BJ423">
        <v>42000</v>
      </c>
      <c r="BK423">
        <v>4200</v>
      </c>
      <c r="BM423">
        <v>42000</v>
      </c>
      <c r="BN423">
        <v>420</v>
      </c>
    </row>
    <row r="424" spans="8:66" x14ac:dyDescent="0.2">
      <c r="H424" s="1"/>
      <c r="K424" s="1"/>
      <c r="N424" s="1"/>
      <c r="Q424" s="1"/>
      <c r="S424" s="1"/>
      <c r="T424" s="1"/>
      <c r="U424" s="1"/>
      <c r="BF424" s="1">
        <v>421</v>
      </c>
      <c r="BG424">
        <v>4210</v>
      </c>
      <c r="BJ424">
        <v>42100</v>
      </c>
      <c r="BK424">
        <v>4210</v>
      </c>
      <c r="BM424">
        <v>42100</v>
      </c>
      <c r="BN424">
        <v>421</v>
      </c>
    </row>
    <row r="425" spans="8:66" x14ac:dyDescent="0.2">
      <c r="H425" s="1"/>
      <c r="K425" s="1"/>
      <c r="N425" s="1"/>
      <c r="Q425" s="1"/>
      <c r="S425" s="1"/>
      <c r="T425" s="1"/>
      <c r="U425" s="1"/>
      <c r="BF425" s="1">
        <v>422</v>
      </c>
      <c r="BG425">
        <v>4220</v>
      </c>
      <c r="BJ425">
        <v>42200</v>
      </c>
      <c r="BK425">
        <v>4220</v>
      </c>
      <c r="BM425">
        <v>42200</v>
      </c>
      <c r="BN425">
        <v>422</v>
      </c>
    </row>
    <row r="426" spans="8:66" x14ac:dyDescent="0.2">
      <c r="H426" s="1"/>
      <c r="K426" s="1"/>
      <c r="N426" s="1"/>
      <c r="Q426" s="1"/>
      <c r="S426" s="1"/>
      <c r="T426" s="1"/>
      <c r="U426" s="1"/>
      <c r="BF426" s="1">
        <v>423</v>
      </c>
      <c r="BG426">
        <v>4230</v>
      </c>
      <c r="BJ426">
        <v>42300</v>
      </c>
      <c r="BK426">
        <v>4230</v>
      </c>
      <c r="BM426">
        <v>42300</v>
      </c>
      <c r="BN426">
        <v>423</v>
      </c>
    </row>
    <row r="427" spans="8:66" x14ac:dyDescent="0.2">
      <c r="H427" s="1"/>
      <c r="K427" s="1"/>
      <c r="N427" s="1"/>
      <c r="Q427" s="1"/>
      <c r="S427" s="1"/>
      <c r="T427" s="1"/>
      <c r="U427" s="1"/>
      <c r="BF427" s="1">
        <v>424</v>
      </c>
      <c r="BG427">
        <v>4240</v>
      </c>
      <c r="BJ427">
        <v>42400</v>
      </c>
      <c r="BK427">
        <v>4240</v>
      </c>
      <c r="BM427">
        <v>42400</v>
      </c>
      <c r="BN427">
        <v>424</v>
      </c>
    </row>
    <row r="428" spans="8:66" x14ac:dyDescent="0.2">
      <c r="H428" s="1"/>
      <c r="K428" s="1"/>
      <c r="N428" s="1"/>
      <c r="Q428" s="1"/>
      <c r="S428" s="1"/>
      <c r="T428" s="1"/>
      <c r="U428" s="1"/>
      <c r="BF428" s="1">
        <v>425</v>
      </c>
      <c r="BG428">
        <v>4250</v>
      </c>
      <c r="BJ428">
        <v>42500</v>
      </c>
      <c r="BK428">
        <v>4250</v>
      </c>
      <c r="BM428">
        <v>42500</v>
      </c>
      <c r="BN428">
        <v>425</v>
      </c>
    </row>
    <row r="429" spans="8:66" x14ac:dyDescent="0.2">
      <c r="H429" s="1"/>
      <c r="K429" s="1"/>
      <c r="N429" s="1"/>
      <c r="Q429" s="1"/>
      <c r="S429" s="1"/>
      <c r="T429" s="1"/>
      <c r="U429" s="1"/>
      <c r="BF429" s="1">
        <v>426</v>
      </c>
      <c r="BG429">
        <v>4260</v>
      </c>
      <c r="BJ429">
        <v>42600</v>
      </c>
      <c r="BK429">
        <v>4260</v>
      </c>
      <c r="BM429">
        <v>42600</v>
      </c>
      <c r="BN429">
        <v>426</v>
      </c>
    </row>
    <row r="430" spans="8:66" x14ac:dyDescent="0.2">
      <c r="H430" s="1"/>
      <c r="K430" s="1"/>
      <c r="N430" s="1"/>
      <c r="Q430" s="1"/>
      <c r="S430" s="1"/>
      <c r="T430" s="1"/>
      <c r="U430" s="1"/>
      <c r="BF430" s="1">
        <v>427</v>
      </c>
      <c r="BG430">
        <v>4270</v>
      </c>
      <c r="BJ430">
        <v>42700</v>
      </c>
      <c r="BK430">
        <v>4270</v>
      </c>
      <c r="BM430">
        <v>42700</v>
      </c>
      <c r="BN430">
        <v>427</v>
      </c>
    </row>
    <row r="431" spans="8:66" x14ac:dyDescent="0.2">
      <c r="H431" s="1"/>
      <c r="K431" s="1"/>
      <c r="N431" s="1"/>
      <c r="Q431" s="1"/>
      <c r="S431" s="1"/>
      <c r="T431" s="1"/>
      <c r="U431" s="1"/>
      <c r="BF431" s="1">
        <v>428</v>
      </c>
      <c r="BG431">
        <v>4280</v>
      </c>
      <c r="BJ431">
        <v>42800</v>
      </c>
      <c r="BK431">
        <v>4280</v>
      </c>
      <c r="BM431">
        <v>42800</v>
      </c>
      <c r="BN431">
        <v>428</v>
      </c>
    </row>
    <row r="432" spans="8:66" x14ac:dyDescent="0.2">
      <c r="H432" s="1"/>
      <c r="K432" s="1"/>
      <c r="N432" s="1"/>
      <c r="Q432" s="1"/>
      <c r="S432" s="1"/>
      <c r="T432" s="1"/>
      <c r="U432" s="1"/>
      <c r="BF432" s="1">
        <v>429</v>
      </c>
      <c r="BG432">
        <v>4290</v>
      </c>
      <c r="BJ432">
        <v>42900</v>
      </c>
      <c r="BK432">
        <v>4290</v>
      </c>
      <c r="BM432">
        <v>42900</v>
      </c>
      <c r="BN432">
        <v>429</v>
      </c>
    </row>
    <row r="433" spans="8:66" x14ac:dyDescent="0.2">
      <c r="H433" s="1"/>
      <c r="K433" s="1"/>
      <c r="N433" s="1"/>
      <c r="Q433" s="1"/>
      <c r="S433" s="1"/>
      <c r="T433" s="1"/>
      <c r="U433" s="1"/>
      <c r="BF433" s="1">
        <v>430</v>
      </c>
      <c r="BG433">
        <v>4300</v>
      </c>
      <c r="BJ433">
        <v>43000</v>
      </c>
      <c r="BK433">
        <v>4300</v>
      </c>
      <c r="BM433">
        <v>43000</v>
      </c>
      <c r="BN433">
        <v>430</v>
      </c>
    </row>
    <row r="434" spans="8:66" x14ac:dyDescent="0.2">
      <c r="H434" s="1"/>
      <c r="K434" s="1"/>
      <c r="N434" s="1"/>
      <c r="Q434" s="1"/>
      <c r="S434" s="1"/>
      <c r="T434" s="1"/>
      <c r="U434" s="1"/>
      <c r="BF434" s="1">
        <v>431</v>
      </c>
      <c r="BG434">
        <v>4310</v>
      </c>
      <c r="BJ434">
        <v>43100</v>
      </c>
      <c r="BK434">
        <v>4310</v>
      </c>
      <c r="BM434">
        <v>43100</v>
      </c>
      <c r="BN434">
        <v>431</v>
      </c>
    </row>
    <row r="435" spans="8:66" x14ac:dyDescent="0.2">
      <c r="H435" s="1"/>
      <c r="K435" s="1"/>
      <c r="N435" s="1"/>
      <c r="Q435" s="1"/>
      <c r="S435" s="1"/>
      <c r="T435" s="1"/>
      <c r="U435" s="1"/>
      <c r="BF435" s="1">
        <v>432</v>
      </c>
      <c r="BG435">
        <v>4320</v>
      </c>
      <c r="BJ435">
        <v>43200</v>
      </c>
      <c r="BK435">
        <v>4320</v>
      </c>
      <c r="BM435">
        <v>43200</v>
      </c>
      <c r="BN435">
        <v>432</v>
      </c>
    </row>
    <row r="436" spans="8:66" x14ac:dyDescent="0.2">
      <c r="H436" s="1"/>
      <c r="K436" s="1"/>
      <c r="N436" s="1"/>
      <c r="Q436" s="1"/>
      <c r="S436" s="1"/>
      <c r="T436" s="1"/>
      <c r="U436" s="1"/>
      <c r="BF436" s="1">
        <v>433</v>
      </c>
      <c r="BG436">
        <v>4330</v>
      </c>
      <c r="BJ436">
        <v>43300</v>
      </c>
      <c r="BK436">
        <v>4330</v>
      </c>
      <c r="BM436">
        <v>43300</v>
      </c>
      <c r="BN436">
        <v>433</v>
      </c>
    </row>
    <row r="437" spans="8:66" x14ac:dyDescent="0.2">
      <c r="H437" s="1"/>
      <c r="K437" s="1"/>
      <c r="N437" s="1"/>
      <c r="Q437" s="1"/>
      <c r="S437" s="1"/>
      <c r="T437" s="1"/>
      <c r="U437" s="1"/>
      <c r="BF437" s="1">
        <v>434</v>
      </c>
      <c r="BG437">
        <v>4340</v>
      </c>
      <c r="BJ437">
        <v>43400</v>
      </c>
      <c r="BK437">
        <v>4340</v>
      </c>
      <c r="BM437">
        <v>43400</v>
      </c>
      <c r="BN437">
        <v>434</v>
      </c>
    </row>
    <row r="438" spans="8:66" x14ac:dyDescent="0.2">
      <c r="H438" s="1"/>
      <c r="K438" s="1"/>
      <c r="N438" s="1"/>
      <c r="Q438" s="1"/>
      <c r="S438" s="1"/>
      <c r="T438" s="1"/>
      <c r="U438" s="1"/>
      <c r="BF438" s="1">
        <v>435</v>
      </c>
      <c r="BG438">
        <v>4350</v>
      </c>
      <c r="BJ438">
        <v>43500</v>
      </c>
      <c r="BK438">
        <v>4350</v>
      </c>
      <c r="BM438">
        <v>43500</v>
      </c>
      <c r="BN438">
        <v>435</v>
      </c>
    </row>
    <row r="439" spans="8:66" x14ac:dyDescent="0.2">
      <c r="H439" s="1"/>
      <c r="K439" s="1"/>
      <c r="N439" s="1"/>
      <c r="Q439" s="1"/>
      <c r="S439" s="1"/>
      <c r="T439" s="1"/>
      <c r="U439" s="1"/>
      <c r="BF439" s="1">
        <v>436</v>
      </c>
      <c r="BG439">
        <v>4360</v>
      </c>
      <c r="BJ439">
        <v>43600</v>
      </c>
      <c r="BK439">
        <v>4360</v>
      </c>
      <c r="BM439">
        <v>43600</v>
      </c>
      <c r="BN439">
        <v>436</v>
      </c>
    </row>
    <row r="440" spans="8:66" x14ac:dyDescent="0.2">
      <c r="H440" s="1"/>
      <c r="K440" s="1"/>
      <c r="N440" s="1"/>
      <c r="Q440" s="1"/>
      <c r="S440" s="1"/>
      <c r="T440" s="1"/>
      <c r="U440" s="1"/>
      <c r="BF440" s="1">
        <v>437</v>
      </c>
      <c r="BG440">
        <v>4370</v>
      </c>
      <c r="BJ440">
        <v>43700</v>
      </c>
      <c r="BK440">
        <v>4370</v>
      </c>
      <c r="BM440">
        <v>43700</v>
      </c>
      <c r="BN440">
        <v>437</v>
      </c>
    </row>
    <row r="441" spans="8:66" x14ac:dyDescent="0.2">
      <c r="H441" s="1"/>
      <c r="K441" s="1"/>
      <c r="N441" s="1"/>
      <c r="Q441" s="1"/>
      <c r="S441" s="1"/>
      <c r="T441" s="1"/>
      <c r="U441" s="1"/>
      <c r="BF441" s="1">
        <v>438</v>
      </c>
      <c r="BG441">
        <v>4380</v>
      </c>
      <c r="BJ441">
        <v>43800</v>
      </c>
      <c r="BK441">
        <v>4380</v>
      </c>
      <c r="BM441">
        <v>43800</v>
      </c>
      <c r="BN441">
        <v>438</v>
      </c>
    </row>
    <row r="442" spans="8:66" x14ac:dyDescent="0.2">
      <c r="H442" s="1"/>
      <c r="K442" s="1"/>
      <c r="N442" s="1"/>
      <c r="Q442" s="1"/>
      <c r="S442" s="1"/>
      <c r="T442" s="1"/>
      <c r="U442" s="1"/>
      <c r="BF442" s="1">
        <v>439</v>
      </c>
      <c r="BG442">
        <v>4390</v>
      </c>
      <c r="BJ442">
        <v>43900</v>
      </c>
      <c r="BK442">
        <v>4390</v>
      </c>
      <c r="BM442">
        <v>43900</v>
      </c>
      <c r="BN442">
        <v>439</v>
      </c>
    </row>
    <row r="443" spans="8:66" x14ac:dyDescent="0.2">
      <c r="H443" s="1"/>
      <c r="K443" s="1"/>
      <c r="N443" s="1"/>
      <c r="Q443" s="1"/>
      <c r="S443" s="1"/>
      <c r="T443" s="1"/>
      <c r="U443" s="1"/>
      <c r="BF443" s="1">
        <v>440</v>
      </c>
      <c r="BG443">
        <v>4400</v>
      </c>
      <c r="BJ443">
        <v>44000</v>
      </c>
      <c r="BK443">
        <v>4400</v>
      </c>
      <c r="BM443">
        <v>44000</v>
      </c>
      <c r="BN443">
        <v>440</v>
      </c>
    </row>
    <row r="444" spans="8:66" x14ac:dyDescent="0.2">
      <c r="H444" s="1"/>
      <c r="K444" s="1"/>
      <c r="N444" s="1"/>
      <c r="Q444" s="1"/>
      <c r="S444" s="1"/>
      <c r="T444" s="1"/>
      <c r="U444" s="1"/>
      <c r="BF444" s="1">
        <v>441</v>
      </c>
      <c r="BG444">
        <v>4410</v>
      </c>
      <c r="BJ444">
        <v>44100</v>
      </c>
      <c r="BK444">
        <v>4410</v>
      </c>
      <c r="BM444">
        <v>44100</v>
      </c>
      <c r="BN444">
        <v>441</v>
      </c>
    </row>
    <row r="445" spans="8:66" x14ac:dyDescent="0.2">
      <c r="H445" s="1"/>
      <c r="K445" s="1"/>
      <c r="N445" s="1"/>
      <c r="Q445" s="1"/>
      <c r="S445" s="1"/>
      <c r="T445" s="1"/>
      <c r="U445" s="1"/>
      <c r="BF445" s="1">
        <v>442</v>
      </c>
      <c r="BG445">
        <v>4420</v>
      </c>
      <c r="BJ445">
        <v>44200</v>
      </c>
      <c r="BK445">
        <v>4420</v>
      </c>
      <c r="BM445">
        <v>44200</v>
      </c>
      <c r="BN445">
        <v>442</v>
      </c>
    </row>
    <row r="446" spans="8:66" x14ac:dyDescent="0.2">
      <c r="H446" s="1"/>
      <c r="K446" s="1"/>
      <c r="N446" s="1"/>
      <c r="Q446" s="1"/>
      <c r="S446" s="1"/>
      <c r="T446" s="1"/>
      <c r="U446" s="1"/>
      <c r="BF446" s="1">
        <v>443</v>
      </c>
      <c r="BG446">
        <v>4430</v>
      </c>
      <c r="BJ446">
        <v>44300</v>
      </c>
      <c r="BK446">
        <v>4430</v>
      </c>
      <c r="BM446">
        <v>44300</v>
      </c>
      <c r="BN446">
        <v>443</v>
      </c>
    </row>
    <row r="447" spans="8:66" x14ac:dyDescent="0.2">
      <c r="H447" s="1"/>
      <c r="K447" s="1"/>
      <c r="N447" s="1"/>
      <c r="Q447" s="1"/>
      <c r="S447" s="1"/>
      <c r="T447" s="1"/>
      <c r="U447" s="1"/>
      <c r="BF447" s="1">
        <v>444</v>
      </c>
      <c r="BG447">
        <v>4440</v>
      </c>
      <c r="BJ447">
        <v>44400</v>
      </c>
      <c r="BK447">
        <v>4440</v>
      </c>
      <c r="BM447">
        <v>44400</v>
      </c>
      <c r="BN447">
        <v>444</v>
      </c>
    </row>
    <row r="448" spans="8:66" x14ac:dyDescent="0.2">
      <c r="H448" s="1"/>
      <c r="K448" s="1"/>
      <c r="N448" s="1"/>
      <c r="Q448" s="1"/>
      <c r="S448" s="1"/>
      <c r="T448" s="1"/>
      <c r="U448" s="1"/>
      <c r="BF448" s="1">
        <v>445</v>
      </c>
      <c r="BG448">
        <v>4450</v>
      </c>
      <c r="BJ448">
        <v>44500</v>
      </c>
      <c r="BK448">
        <v>4450</v>
      </c>
      <c r="BM448">
        <v>44500</v>
      </c>
      <c r="BN448">
        <v>445</v>
      </c>
    </row>
    <row r="449" spans="8:66" x14ac:dyDescent="0.2">
      <c r="H449" s="1"/>
      <c r="K449" s="1"/>
      <c r="N449" s="1"/>
      <c r="Q449" s="1"/>
      <c r="S449" s="1"/>
      <c r="T449" s="1"/>
      <c r="U449" s="1"/>
      <c r="BF449" s="1">
        <v>446</v>
      </c>
      <c r="BG449">
        <v>4460</v>
      </c>
      <c r="BJ449">
        <v>44600</v>
      </c>
      <c r="BK449">
        <v>4460</v>
      </c>
      <c r="BM449">
        <v>44600</v>
      </c>
      <c r="BN449">
        <v>446</v>
      </c>
    </row>
    <row r="450" spans="8:66" x14ac:dyDescent="0.2">
      <c r="H450" s="1"/>
      <c r="K450" s="1"/>
      <c r="N450" s="1"/>
      <c r="Q450" s="1"/>
      <c r="S450" s="1"/>
      <c r="T450" s="1"/>
      <c r="U450" s="1"/>
      <c r="BF450" s="1">
        <v>447</v>
      </c>
      <c r="BG450">
        <v>4470</v>
      </c>
      <c r="BJ450">
        <v>44700</v>
      </c>
      <c r="BK450">
        <v>4470</v>
      </c>
      <c r="BM450">
        <v>44700</v>
      </c>
      <c r="BN450">
        <v>447</v>
      </c>
    </row>
    <row r="451" spans="8:66" x14ac:dyDescent="0.2">
      <c r="H451" s="1"/>
      <c r="K451" s="1"/>
      <c r="N451" s="1"/>
      <c r="Q451" s="1"/>
      <c r="S451" s="1"/>
      <c r="T451" s="1"/>
      <c r="U451" s="1"/>
      <c r="BF451" s="1">
        <v>448</v>
      </c>
      <c r="BG451">
        <v>4480</v>
      </c>
      <c r="BJ451">
        <v>44800</v>
      </c>
      <c r="BK451">
        <v>4480</v>
      </c>
      <c r="BM451">
        <v>44800</v>
      </c>
      <c r="BN451">
        <v>448</v>
      </c>
    </row>
    <row r="452" spans="8:66" x14ac:dyDescent="0.2">
      <c r="H452" s="1"/>
      <c r="K452" s="1"/>
      <c r="N452" s="1"/>
      <c r="Q452" s="1"/>
      <c r="S452" s="1"/>
      <c r="T452" s="1"/>
      <c r="U452" s="1"/>
      <c r="BF452" s="1">
        <v>449</v>
      </c>
      <c r="BG452">
        <v>4490</v>
      </c>
      <c r="BJ452">
        <v>44900</v>
      </c>
      <c r="BK452">
        <v>4490</v>
      </c>
      <c r="BM452">
        <v>44900</v>
      </c>
      <c r="BN452">
        <v>449</v>
      </c>
    </row>
    <row r="453" spans="8:66" x14ac:dyDescent="0.2">
      <c r="H453" s="1"/>
      <c r="K453" s="1"/>
      <c r="N453" s="1"/>
      <c r="Q453" s="1"/>
      <c r="S453" s="1"/>
      <c r="T453" s="1"/>
      <c r="U453" s="1"/>
      <c r="BF453" s="1">
        <v>450</v>
      </c>
      <c r="BG453">
        <v>4500</v>
      </c>
      <c r="BJ453">
        <v>45000</v>
      </c>
      <c r="BK453">
        <v>4500</v>
      </c>
      <c r="BM453">
        <v>45000</v>
      </c>
      <c r="BN453">
        <v>450</v>
      </c>
    </row>
    <row r="454" spans="8:66" x14ac:dyDescent="0.2">
      <c r="H454" s="1"/>
      <c r="K454" s="1"/>
      <c r="N454" s="1"/>
      <c r="Q454" s="1"/>
      <c r="S454" s="1"/>
      <c r="T454" s="1"/>
      <c r="U454" s="1"/>
      <c r="BF454" s="1">
        <v>451</v>
      </c>
      <c r="BG454">
        <v>4510</v>
      </c>
      <c r="BJ454">
        <v>45100</v>
      </c>
      <c r="BK454">
        <v>4510</v>
      </c>
      <c r="BM454">
        <v>45100</v>
      </c>
      <c r="BN454">
        <v>451</v>
      </c>
    </row>
    <row r="455" spans="8:66" x14ac:dyDescent="0.2">
      <c r="H455" s="1"/>
      <c r="K455" s="1"/>
      <c r="N455" s="1"/>
      <c r="Q455" s="1"/>
      <c r="S455" s="1"/>
      <c r="T455" s="1"/>
      <c r="U455" s="1"/>
      <c r="BF455" s="1">
        <v>452</v>
      </c>
      <c r="BG455">
        <v>4520</v>
      </c>
      <c r="BJ455">
        <v>45200</v>
      </c>
      <c r="BK455">
        <v>4520</v>
      </c>
      <c r="BM455">
        <v>45200</v>
      </c>
      <c r="BN455">
        <v>452</v>
      </c>
    </row>
    <row r="456" spans="8:66" x14ac:dyDescent="0.2">
      <c r="H456" s="1"/>
      <c r="K456" s="1"/>
      <c r="N456" s="1"/>
      <c r="Q456" s="1"/>
      <c r="S456" s="1"/>
      <c r="T456" s="1"/>
      <c r="U456" s="1"/>
      <c r="BF456" s="1">
        <v>453</v>
      </c>
      <c r="BG456">
        <v>4530</v>
      </c>
      <c r="BJ456">
        <v>45300</v>
      </c>
      <c r="BK456">
        <v>4530</v>
      </c>
      <c r="BM456">
        <v>45300</v>
      </c>
      <c r="BN456">
        <v>453</v>
      </c>
    </row>
    <row r="457" spans="8:66" x14ac:dyDescent="0.2">
      <c r="H457" s="1"/>
      <c r="K457" s="1"/>
      <c r="N457" s="1"/>
      <c r="Q457" s="1"/>
      <c r="S457" s="1"/>
      <c r="T457" s="1"/>
      <c r="U457" s="1"/>
      <c r="BF457" s="1">
        <v>454</v>
      </c>
      <c r="BG457">
        <v>4540</v>
      </c>
      <c r="BJ457">
        <v>45400</v>
      </c>
      <c r="BK457">
        <v>4540</v>
      </c>
      <c r="BM457">
        <v>45400</v>
      </c>
      <c r="BN457">
        <v>454</v>
      </c>
    </row>
    <row r="458" spans="8:66" x14ac:dyDescent="0.2">
      <c r="H458" s="1"/>
      <c r="K458" s="1"/>
      <c r="N458" s="1"/>
      <c r="Q458" s="1"/>
      <c r="S458" s="1"/>
      <c r="T458" s="1"/>
      <c r="U458" s="1"/>
      <c r="BF458" s="1">
        <v>455</v>
      </c>
      <c r="BG458">
        <v>4550</v>
      </c>
      <c r="BJ458">
        <v>45500</v>
      </c>
      <c r="BK458">
        <v>4550</v>
      </c>
      <c r="BM458">
        <v>45500</v>
      </c>
      <c r="BN458">
        <v>455</v>
      </c>
    </row>
    <row r="459" spans="8:66" x14ac:dyDescent="0.2">
      <c r="H459" s="1"/>
      <c r="K459" s="1"/>
      <c r="N459" s="1"/>
      <c r="Q459" s="1"/>
      <c r="S459" s="1"/>
      <c r="T459" s="1"/>
      <c r="U459" s="1"/>
      <c r="BF459" s="1">
        <v>456</v>
      </c>
      <c r="BG459">
        <v>4560</v>
      </c>
      <c r="BJ459">
        <v>45600</v>
      </c>
      <c r="BK459">
        <v>4560</v>
      </c>
      <c r="BM459">
        <v>45600</v>
      </c>
      <c r="BN459">
        <v>456</v>
      </c>
    </row>
    <row r="460" spans="8:66" x14ac:dyDescent="0.2">
      <c r="H460" s="1"/>
      <c r="K460" s="1"/>
      <c r="N460" s="1"/>
      <c r="Q460" s="1"/>
      <c r="S460" s="1"/>
      <c r="T460" s="1"/>
      <c r="U460" s="1"/>
      <c r="BF460" s="1">
        <v>457</v>
      </c>
      <c r="BG460">
        <v>4570</v>
      </c>
      <c r="BJ460">
        <v>45700</v>
      </c>
      <c r="BK460">
        <v>4570</v>
      </c>
      <c r="BM460">
        <v>45700</v>
      </c>
      <c r="BN460">
        <v>457</v>
      </c>
    </row>
    <row r="461" spans="8:66" x14ac:dyDescent="0.2">
      <c r="H461" s="1"/>
      <c r="K461" s="1"/>
      <c r="N461" s="1"/>
      <c r="Q461" s="1"/>
      <c r="S461" s="1"/>
      <c r="T461" s="1"/>
      <c r="U461" s="1"/>
      <c r="BF461" s="1">
        <v>458</v>
      </c>
      <c r="BG461">
        <v>4580</v>
      </c>
      <c r="BJ461">
        <v>45800</v>
      </c>
      <c r="BK461">
        <v>4580</v>
      </c>
      <c r="BM461">
        <v>45800</v>
      </c>
      <c r="BN461">
        <v>458</v>
      </c>
    </row>
    <row r="462" spans="8:66" x14ac:dyDescent="0.2">
      <c r="H462" s="1"/>
      <c r="K462" s="1"/>
      <c r="N462" s="1"/>
      <c r="Q462" s="1"/>
      <c r="S462" s="1"/>
      <c r="T462" s="1"/>
      <c r="U462" s="1"/>
      <c r="BF462" s="1">
        <v>459</v>
      </c>
      <c r="BG462">
        <v>4590</v>
      </c>
      <c r="BJ462">
        <v>45900</v>
      </c>
      <c r="BK462">
        <v>4590</v>
      </c>
      <c r="BM462">
        <v>45900</v>
      </c>
      <c r="BN462">
        <v>459</v>
      </c>
    </row>
    <row r="463" spans="8:66" x14ac:dyDescent="0.2">
      <c r="H463" s="1"/>
      <c r="K463" s="1"/>
      <c r="N463" s="1"/>
      <c r="Q463" s="1"/>
      <c r="S463" s="1"/>
      <c r="T463" s="1"/>
      <c r="U463" s="1"/>
      <c r="BF463" s="1">
        <v>460</v>
      </c>
      <c r="BG463">
        <v>4600</v>
      </c>
      <c r="BJ463">
        <v>46000</v>
      </c>
      <c r="BK463">
        <v>4600</v>
      </c>
      <c r="BM463">
        <v>46000</v>
      </c>
      <c r="BN463">
        <v>460</v>
      </c>
    </row>
    <row r="464" spans="8:66" x14ac:dyDescent="0.2">
      <c r="H464" s="1"/>
      <c r="K464" s="1"/>
      <c r="N464" s="1"/>
      <c r="Q464" s="1"/>
      <c r="S464" s="1"/>
      <c r="T464" s="1"/>
      <c r="U464" s="1"/>
      <c r="BF464" s="1">
        <v>461</v>
      </c>
      <c r="BG464">
        <v>4610</v>
      </c>
      <c r="BJ464">
        <v>46100</v>
      </c>
      <c r="BK464">
        <v>4610</v>
      </c>
      <c r="BM464">
        <v>46100</v>
      </c>
      <c r="BN464">
        <v>461</v>
      </c>
    </row>
    <row r="465" spans="8:66" x14ac:dyDescent="0.2">
      <c r="H465" s="1"/>
      <c r="K465" s="1"/>
      <c r="N465" s="1"/>
      <c r="Q465" s="1"/>
      <c r="S465" s="1"/>
      <c r="T465" s="1"/>
      <c r="U465" s="1"/>
      <c r="BF465" s="1">
        <v>462</v>
      </c>
      <c r="BG465">
        <v>4620</v>
      </c>
      <c r="BJ465">
        <v>46200</v>
      </c>
      <c r="BK465">
        <v>4620</v>
      </c>
      <c r="BM465">
        <v>46200</v>
      </c>
      <c r="BN465">
        <v>462</v>
      </c>
    </row>
    <row r="466" spans="8:66" x14ac:dyDescent="0.2">
      <c r="H466" s="1"/>
      <c r="K466" s="1"/>
      <c r="N466" s="1"/>
      <c r="Q466" s="1"/>
      <c r="S466" s="1"/>
      <c r="T466" s="1"/>
      <c r="U466" s="1"/>
      <c r="BF466" s="1">
        <v>463</v>
      </c>
      <c r="BG466">
        <v>4630</v>
      </c>
      <c r="BJ466">
        <v>46300</v>
      </c>
      <c r="BK466">
        <v>4630</v>
      </c>
      <c r="BM466">
        <v>46300</v>
      </c>
      <c r="BN466">
        <v>463</v>
      </c>
    </row>
    <row r="467" spans="8:66" x14ac:dyDescent="0.2">
      <c r="H467" s="1"/>
      <c r="K467" s="1"/>
      <c r="N467" s="1"/>
      <c r="Q467" s="1"/>
      <c r="S467" s="1"/>
      <c r="T467" s="1"/>
      <c r="U467" s="1"/>
      <c r="BF467" s="1">
        <v>464</v>
      </c>
      <c r="BG467">
        <v>4640</v>
      </c>
      <c r="BJ467">
        <v>46400</v>
      </c>
      <c r="BK467">
        <v>4640</v>
      </c>
      <c r="BM467">
        <v>46400</v>
      </c>
      <c r="BN467">
        <v>464</v>
      </c>
    </row>
    <row r="468" spans="8:66" x14ac:dyDescent="0.2">
      <c r="H468" s="1"/>
      <c r="K468" s="1"/>
      <c r="N468" s="1"/>
      <c r="Q468" s="1"/>
      <c r="S468" s="1"/>
      <c r="T468" s="1"/>
      <c r="U468" s="1"/>
      <c r="BF468" s="1">
        <v>465</v>
      </c>
      <c r="BG468">
        <v>4650</v>
      </c>
      <c r="BJ468">
        <v>46500</v>
      </c>
      <c r="BK468">
        <v>4650</v>
      </c>
      <c r="BM468">
        <v>46500</v>
      </c>
      <c r="BN468">
        <v>465</v>
      </c>
    </row>
    <row r="469" spans="8:66" x14ac:dyDescent="0.2">
      <c r="H469" s="1"/>
      <c r="K469" s="1"/>
      <c r="N469" s="1"/>
      <c r="Q469" s="1"/>
      <c r="S469" s="1"/>
      <c r="T469" s="1"/>
      <c r="U469" s="1"/>
      <c r="BF469" s="1">
        <v>466</v>
      </c>
      <c r="BG469">
        <v>4660</v>
      </c>
      <c r="BJ469">
        <v>46600</v>
      </c>
      <c r="BK469">
        <v>4660</v>
      </c>
      <c r="BM469">
        <v>46600</v>
      </c>
      <c r="BN469">
        <v>466</v>
      </c>
    </row>
    <row r="470" spans="8:66" x14ac:dyDescent="0.2">
      <c r="H470" s="1"/>
      <c r="K470" s="1"/>
      <c r="N470" s="1"/>
      <c r="Q470" s="1"/>
      <c r="S470" s="1"/>
      <c r="T470" s="1"/>
      <c r="U470" s="1"/>
      <c r="BF470" s="1">
        <v>467</v>
      </c>
      <c r="BG470">
        <v>4670</v>
      </c>
      <c r="BJ470">
        <v>46700</v>
      </c>
      <c r="BK470">
        <v>4670</v>
      </c>
      <c r="BM470">
        <v>46700</v>
      </c>
      <c r="BN470">
        <v>467</v>
      </c>
    </row>
    <row r="471" spans="8:66" x14ac:dyDescent="0.2">
      <c r="H471" s="1"/>
      <c r="K471" s="1"/>
      <c r="N471" s="1"/>
      <c r="Q471" s="1"/>
      <c r="S471" s="1"/>
      <c r="T471" s="1"/>
      <c r="U471" s="1"/>
      <c r="BF471" s="1">
        <v>468</v>
      </c>
      <c r="BG471">
        <v>4680</v>
      </c>
      <c r="BJ471">
        <v>46800</v>
      </c>
      <c r="BK471">
        <v>4680</v>
      </c>
      <c r="BM471">
        <v>46800</v>
      </c>
      <c r="BN471">
        <v>468</v>
      </c>
    </row>
    <row r="472" spans="8:66" x14ac:dyDescent="0.2">
      <c r="H472" s="1"/>
      <c r="K472" s="1"/>
      <c r="N472" s="1"/>
      <c r="Q472" s="1"/>
      <c r="S472" s="1"/>
      <c r="T472" s="1"/>
      <c r="U472" s="1"/>
      <c r="BF472" s="1">
        <v>469</v>
      </c>
      <c r="BG472">
        <v>4690</v>
      </c>
      <c r="BJ472">
        <v>46900</v>
      </c>
      <c r="BK472">
        <v>4690</v>
      </c>
      <c r="BM472">
        <v>46900</v>
      </c>
      <c r="BN472">
        <v>469</v>
      </c>
    </row>
    <row r="473" spans="8:66" x14ac:dyDescent="0.2">
      <c r="H473" s="1"/>
      <c r="K473" s="1"/>
      <c r="N473" s="1"/>
      <c r="Q473" s="1"/>
      <c r="S473" s="1"/>
      <c r="T473" s="1"/>
      <c r="U473" s="1"/>
      <c r="BF473" s="1">
        <v>470</v>
      </c>
      <c r="BG473">
        <v>4700</v>
      </c>
      <c r="BJ473">
        <v>47000</v>
      </c>
      <c r="BK473">
        <v>4700</v>
      </c>
      <c r="BM473">
        <v>47000</v>
      </c>
      <c r="BN473">
        <v>470</v>
      </c>
    </row>
    <row r="474" spans="8:66" x14ac:dyDescent="0.2">
      <c r="H474" s="1"/>
      <c r="K474" s="1"/>
      <c r="N474" s="1"/>
      <c r="Q474" s="1"/>
      <c r="S474" s="1"/>
      <c r="T474" s="1"/>
      <c r="U474" s="1"/>
      <c r="BF474" s="1">
        <v>471</v>
      </c>
      <c r="BG474">
        <v>4710</v>
      </c>
      <c r="BJ474">
        <v>47100</v>
      </c>
      <c r="BK474">
        <v>4710</v>
      </c>
      <c r="BM474">
        <v>47100</v>
      </c>
      <c r="BN474">
        <v>471</v>
      </c>
    </row>
    <row r="475" spans="8:66" x14ac:dyDescent="0.2">
      <c r="H475" s="1"/>
      <c r="K475" s="1"/>
      <c r="N475" s="1"/>
      <c r="Q475" s="1"/>
      <c r="S475" s="1"/>
      <c r="T475" s="1"/>
      <c r="U475" s="1"/>
      <c r="BF475" s="1">
        <v>472</v>
      </c>
      <c r="BG475">
        <v>4720</v>
      </c>
      <c r="BJ475">
        <v>47200</v>
      </c>
      <c r="BK475">
        <v>4720</v>
      </c>
      <c r="BM475">
        <v>47200</v>
      </c>
      <c r="BN475">
        <v>472</v>
      </c>
    </row>
    <row r="476" spans="8:66" x14ac:dyDescent="0.2">
      <c r="H476" s="1"/>
      <c r="K476" s="1"/>
      <c r="N476" s="1"/>
      <c r="Q476" s="1"/>
      <c r="S476" s="1"/>
      <c r="T476" s="1"/>
      <c r="U476" s="1"/>
      <c r="BF476" s="1">
        <v>473</v>
      </c>
      <c r="BG476">
        <v>4730</v>
      </c>
      <c r="BJ476">
        <v>47300</v>
      </c>
      <c r="BK476">
        <v>4730</v>
      </c>
      <c r="BM476">
        <v>47300</v>
      </c>
      <c r="BN476">
        <v>473</v>
      </c>
    </row>
    <row r="477" spans="8:66" x14ac:dyDescent="0.2">
      <c r="H477" s="1"/>
      <c r="K477" s="1"/>
      <c r="N477" s="1"/>
      <c r="Q477" s="1"/>
      <c r="S477" s="1"/>
      <c r="T477" s="1"/>
      <c r="U477" s="1"/>
      <c r="BF477" s="1">
        <v>474</v>
      </c>
      <c r="BG477">
        <v>4740</v>
      </c>
      <c r="BJ477">
        <v>47400</v>
      </c>
      <c r="BK477">
        <v>4740</v>
      </c>
      <c r="BM477">
        <v>47400</v>
      </c>
      <c r="BN477">
        <v>474</v>
      </c>
    </row>
    <row r="478" spans="8:66" x14ac:dyDescent="0.2">
      <c r="H478" s="1"/>
      <c r="K478" s="1"/>
      <c r="N478" s="1"/>
      <c r="Q478" s="1"/>
      <c r="S478" s="1"/>
      <c r="T478" s="1"/>
      <c r="U478" s="1"/>
      <c r="BF478" s="1">
        <v>475</v>
      </c>
      <c r="BG478">
        <v>4750</v>
      </c>
      <c r="BJ478">
        <v>47500</v>
      </c>
      <c r="BK478">
        <v>4750</v>
      </c>
      <c r="BM478">
        <v>47500</v>
      </c>
      <c r="BN478">
        <v>475</v>
      </c>
    </row>
    <row r="479" spans="8:66" x14ac:dyDescent="0.2">
      <c r="H479" s="1"/>
      <c r="K479" s="1"/>
      <c r="N479" s="1"/>
      <c r="Q479" s="1"/>
      <c r="S479" s="1"/>
      <c r="T479" s="1"/>
      <c r="U479" s="1"/>
      <c r="BF479" s="1">
        <v>476</v>
      </c>
      <c r="BG479">
        <v>4760</v>
      </c>
      <c r="BJ479">
        <v>47600</v>
      </c>
      <c r="BK479">
        <v>4760</v>
      </c>
      <c r="BM479">
        <v>47600</v>
      </c>
      <c r="BN479">
        <v>476</v>
      </c>
    </row>
    <row r="480" spans="8:66" x14ac:dyDescent="0.2">
      <c r="H480" s="1"/>
      <c r="K480" s="1"/>
      <c r="N480" s="1"/>
      <c r="Q480" s="1"/>
      <c r="S480" s="1"/>
      <c r="T480" s="1"/>
      <c r="U480" s="1"/>
      <c r="BF480" s="1">
        <v>477</v>
      </c>
      <c r="BG480">
        <v>4770</v>
      </c>
      <c r="BJ480">
        <v>47700</v>
      </c>
      <c r="BK480">
        <v>4770</v>
      </c>
      <c r="BM480">
        <v>47700</v>
      </c>
      <c r="BN480">
        <v>477</v>
      </c>
    </row>
    <row r="481" spans="8:66" x14ac:dyDescent="0.2">
      <c r="H481" s="1"/>
      <c r="K481" s="1"/>
      <c r="N481" s="1"/>
      <c r="Q481" s="1"/>
      <c r="S481" s="1"/>
      <c r="T481" s="1"/>
      <c r="U481" s="1"/>
      <c r="BF481" s="1">
        <v>478</v>
      </c>
      <c r="BG481">
        <v>4780</v>
      </c>
      <c r="BJ481">
        <v>47800</v>
      </c>
      <c r="BK481">
        <v>4780</v>
      </c>
      <c r="BM481">
        <v>47800</v>
      </c>
      <c r="BN481">
        <v>478</v>
      </c>
    </row>
    <row r="482" spans="8:66" x14ac:dyDescent="0.2">
      <c r="H482" s="1"/>
      <c r="K482" s="1"/>
      <c r="N482" s="1"/>
      <c r="Q482" s="1"/>
      <c r="S482" s="1"/>
      <c r="T482" s="1"/>
      <c r="U482" s="1"/>
      <c r="BF482" s="1">
        <v>479</v>
      </c>
      <c r="BG482">
        <v>4790</v>
      </c>
      <c r="BJ482">
        <v>47900</v>
      </c>
      <c r="BK482">
        <v>4790</v>
      </c>
      <c r="BM482">
        <v>47900</v>
      </c>
      <c r="BN482">
        <v>479</v>
      </c>
    </row>
    <row r="483" spans="8:66" x14ac:dyDescent="0.2">
      <c r="H483" s="1"/>
      <c r="K483" s="1"/>
      <c r="N483" s="1"/>
      <c r="Q483" s="1"/>
      <c r="S483" s="1"/>
      <c r="T483" s="1"/>
      <c r="U483" s="1"/>
      <c r="BF483" s="1">
        <v>480</v>
      </c>
      <c r="BG483">
        <v>4800</v>
      </c>
      <c r="BJ483">
        <v>48000</v>
      </c>
      <c r="BK483">
        <v>4800</v>
      </c>
      <c r="BM483">
        <v>48000</v>
      </c>
      <c r="BN483">
        <v>480</v>
      </c>
    </row>
    <row r="484" spans="8:66" x14ac:dyDescent="0.2">
      <c r="H484" s="1"/>
      <c r="K484" s="1"/>
      <c r="N484" s="1"/>
      <c r="Q484" s="1"/>
      <c r="S484" s="1"/>
      <c r="T484" s="1"/>
      <c r="U484" s="1"/>
      <c r="BF484" s="1">
        <v>481</v>
      </c>
      <c r="BG484">
        <v>4810</v>
      </c>
      <c r="BJ484">
        <v>48100</v>
      </c>
      <c r="BK484">
        <v>4810</v>
      </c>
      <c r="BM484">
        <v>48100</v>
      </c>
      <c r="BN484">
        <v>481</v>
      </c>
    </row>
    <row r="485" spans="8:66" x14ac:dyDescent="0.2">
      <c r="H485" s="1"/>
      <c r="K485" s="1"/>
      <c r="N485" s="1"/>
      <c r="Q485" s="1"/>
      <c r="S485" s="1"/>
      <c r="T485" s="1"/>
      <c r="U485" s="1"/>
      <c r="BF485" s="1">
        <v>482</v>
      </c>
      <c r="BG485">
        <v>4820</v>
      </c>
      <c r="BJ485">
        <v>48200</v>
      </c>
      <c r="BK485">
        <v>4820</v>
      </c>
      <c r="BM485">
        <v>48200</v>
      </c>
      <c r="BN485">
        <v>482</v>
      </c>
    </row>
    <row r="486" spans="8:66" x14ac:dyDescent="0.2">
      <c r="H486" s="1"/>
      <c r="K486" s="1"/>
      <c r="N486" s="1"/>
      <c r="Q486" s="1"/>
      <c r="S486" s="1"/>
      <c r="T486" s="1"/>
      <c r="U486" s="1"/>
      <c r="BF486" s="1">
        <v>483</v>
      </c>
      <c r="BG486">
        <v>4830</v>
      </c>
      <c r="BJ486">
        <v>48300</v>
      </c>
      <c r="BK486">
        <v>4830</v>
      </c>
      <c r="BM486">
        <v>48300</v>
      </c>
      <c r="BN486">
        <v>483</v>
      </c>
    </row>
    <row r="487" spans="8:66" x14ac:dyDescent="0.2">
      <c r="H487" s="1"/>
      <c r="K487" s="1"/>
      <c r="N487" s="1"/>
      <c r="Q487" s="1"/>
      <c r="S487" s="1"/>
      <c r="T487" s="1"/>
      <c r="U487" s="1"/>
      <c r="BF487" s="1">
        <v>484</v>
      </c>
      <c r="BG487">
        <v>4840</v>
      </c>
      <c r="BJ487">
        <v>48400</v>
      </c>
      <c r="BK487">
        <v>4840</v>
      </c>
      <c r="BM487">
        <v>48400</v>
      </c>
      <c r="BN487">
        <v>484</v>
      </c>
    </row>
    <row r="488" spans="8:66" x14ac:dyDescent="0.2">
      <c r="H488" s="1"/>
      <c r="K488" s="1"/>
      <c r="N488" s="1"/>
      <c r="Q488" s="1"/>
      <c r="S488" s="1"/>
      <c r="T488" s="1"/>
      <c r="U488" s="1"/>
      <c r="BF488" s="1">
        <v>485</v>
      </c>
      <c r="BG488">
        <v>4850</v>
      </c>
      <c r="BJ488">
        <v>48500</v>
      </c>
      <c r="BK488">
        <v>4850</v>
      </c>
      <c r="BM488">
        <v>48500</v>
      </c>
      <c r="BN488">
        <v>485</v>
      </c>
    </row>
    <row r="489" spans="8:66" x14ac:dyDescent="0.2">
      <c r="H489" s="1"/>
      <c r="K489" s="1"/>
      <c r="N489" s="1"/>
      <c r="Q489" s="1"/>
      <c r="S489" s="1"/>
      <c r="T489" s="1"/>
      <c r="U489" s="1"/>
      <c r="BF489" s="1">
        <v>486</v>
      </c>
      <c r="BG489">
        <v>4860</v>
      </c>
      <c r="BJ489">
        <v>48600</v>
      </c>
      <c r="BK489">
        <v>4860</v>
      </c>
      <c r="BM489">
        <v>48600</v>
      </c>
      <c r="BN489">
        <v>486</v>
      </c>
    </row>
    <row r="490" spans="8:66" x14ac:dyDescent="0.2">
      <c r="H490" s="1"/>
      <c r="K490" s="1"/>
      <c r="N490" s="1"/>
      <c r="Q490" s="1"/>
      <c r="S490" s="1"/>
      <c r="T490" s="1"/>
      <c r="U490" s="1"/>
      <c r="BF490" s="1">
        <v>487</v>
      </c>
      <c r="BG490">
        <v>4870</v>
      </c>
      <c r="BJ490">
        <v>48700</v>
      </c>
      <c r="BK490">
        <v>4870</v>
      </c>
      <c r="BM490">
        <v>48700</v>
      </c>
      <c r="BN490">
        <v>487</v>
      </c>
    </row>
    <row r="491" spans="8:66" x14ac:dyDescent="0.2">
      <c r="H491" s="1"/>
      <c r="K491" s="1"/>
      <c r="N491" s="1"/>
      <c r="Q491" s="1"/>
      <c r="S491" s="1"/>
      <c r="T491" s="1"/>
      <c r="U491" s="1"/>
      <c r="BF491" s="1">
        <v>488</v>
      </c>
      <c r="BG491">
        <v>4880</v>
      </c>
      <c r="BJ491">
        <v>48800</v>
      </c>
      <c r="BK491">
        <v>4880</v>
      </c>
      <c r="BM491">
        <v>48800</v>
      </c>
      <c r="BN491">
        <v>488</v>
      </c>
    </row>
    <row r="492" spans="8:66" x14ac:dyDescent="0.2">
      <c r="H492" s="1"/>
      <c r="K492" s="1"/>
      <c r="N492" s="1"/>
      <c r="Q492" s="1"/>
      <c r="S492" s="1"/>
      <c r="T492" s="1"/>
      <c r="U492" s="1"/>
      <c r="BF492" s="1">
        <v>489</v>
      </c>
      <c r="BG492">
        <v>4890</v>
      </c>
      <c r="BJ492">
        <v>48900</v>
      </c>
      <c r="BK492">
        <v>4890</v>
      </c>
      <c r="BM492">
        <v>48900</v>
      </c>
      <c r="BN492">
        <v>489</v>
      </c>
    </row>
    <row r="493" spans="8:66" x14ac:dyDescent="0.2">
      <c r="H493" s="1"/>
      <c r="K493" s="1"/>
      <c r="N493" s="1"/>
      <c r="Q493" s="1"/>
      <c r="S493" s="1"/>
      <c r="T493" s="1"/>
      <c r="U493" s="1"/>
      <c r="BF493" s="1">
        <v>490</v>
      </c>
      <c r="BG493">
        <v>4900</v>
      </c>
      <c r="BJ493">
        <v>49000</v>
      </c>
      <c r="BK493">
        <v>4900</v>
      </c>
      <c r="BM493">
        <v>49000</v>
      </c>
      <c r="BN493">
        <v>490</v>
      </c>
    </row>
    <row r="494" spans="8:66" x14ac:dyDescent="0.2">
      <c r="H494" s="1"/>
      <c r="K494" s="1"/>
      <c r="N494" s="1"/>
      <c r="Q494" s="1"/>
      <c r="S494" s="1"/>
      <c r="T494" s="1"/>
      <c r="U494" s="1"/>
      <c r="BF494" s="1">
        <v>491</v>
      </c>
      <c r="BG494">
        <v>4910</v>
      </c>
      <c r="BJ494">
        <v>49100</v>
      </c>
      <c r="BK494">
        <v>4910</v>
      </c>
      <c r="BM494">
        <v>49100</v>
      </c>
      <c r="BN494">
        <v>491</v>
      </c>
    </row>
    <row r="495" spans="8:66" x14ac:dyDescent="0.2">
      <c r="H495" s="1"/>
      <c r="K495" s="1"/>
      <c r="N495" s="1"/>
      <c r="Q495" s="1"/>
      <c r="S495" s="1"/>
      <c r="T495" s="1"/>
      <c r="U495" s="1"/>
      <c r="BF495" s="1">
        <v>492</v>
      </c>
      <c r="BG495">
        <v>4920</v>
      </c>
      <c r="BJ495">
        <v>49200</v>
      </c>
      <c r="BK495">
        <v>4920</v>
      </c>
      <c r="BM495">
        <v>49200</v>
      </c>
      <c r="BN495">
        <v>492</v>
      </c>
    </row>
    <row r="496" spans="8:66" x14ac:dyDescent="0.2">
      <c r="H496" s="1"/>
      <c r="K496" s="1"/>
      <c r="N496" s="1"/>
      <c r="Q496" s="1"/>
      <c r="S496" s="1"/>
      <c r="T496" s="1"/>
      <c r="U496" s="1"/>
      <c r="BF496" s="1">
        <v>493</v>
      </c>
      <c r="BG496">
        <v>4930</v>
      </c>
      <c r="BJ496">
        <v>49300</v>
      </c>
      <c r="BK496">
        <v>4930</v>
      </c>
      <c r="BM496">
        <v>49300</v>
      </c>
      <c r="BN496">
        <v>493</v>
      </c>
    </row>
    <row r="497" spans="8:66" x14ac:dyDescent="0.2">
      <c r="H497" s="1"/>
      <c r="K497" s="1"/>
      <c r="N497" s="1"/>
      <c r="Q497" s="1"/>
      <c r="S497" s="1"/>
      <c r="T497" s="1"/>
      <c r="U497" s="1"/>
      <c r="BF497" s="1">
        <v>494</v>
      </c>
      <c r="BG497">
        <v>4940</v>
      </c>
      <c r="BJ497">
        <v>49400</v>
      </c>
      <c r="BK497">
        <v>4940</v>
      </c>
      <c r="BM497">
        <v>49400</v>
      </c>
      <c r="BN497">
        <v>494</v>
      </c>
    </row>
    <row r="498" spans="8:66" x14ac:dyDescent="0.2">
      <c r="H498" s="1"/>
      <c r="K498" s="1"/>
      <c r="N498" s="1"/>
      <c r="Q498" s="1"/>
      <c r="S498" s="1"/>
      <c r="T498" s="1"/>
      <c r="U498" s="1"/>
      <c r="BF498" s="1">
        <v>495</v>
      </c>
      <c r="BG498">
        <v>4950</v>
      </c>
      <c r="BJ498">
        <v>49500</v>
      </c>
      <c r="BK498">
        <v>4950</v>
      </c>
      <c r="BM498">
        <v>49500</v>
      </c>
      <c r="BN498">
        <v>495</v>
      </c>
    </row>
    <row r="499" spans="8:66" x14ac:dyDescent="0.2">
      <c r="H499" s="1"/>
      <c r="K499" s="1"/>
      <c r="N499" s="1"/>
      <c r="Q499" s="1"/>
      <c r="S499" s="1"/>
      <c r="T499" s="1"/>
      <c r="U499" s="1"/>
      <c r="BF499" s="1">
        <v>496</v>
      </c>
      <c r="BG499">
        <v>4960</v>
      </c>
      <c r="BJ499">
        <v>49600</v>
      </c>
      <c r="BK499">
        <v>4960</v>
      </c>
      <c r="BM499">
        <v>49600</v>
      </c>
      <c r="BN499">
        <v>496</v>
      </c>
    </row>
    <row r="500" spans="8:66" x14ac:dyDescent="0.2">
      <c r="H500" s="1"/>
      <c r="K500" s="1"/>
      <c r="N500" s="1"/>
      <c r="Q500" s="1"/>
      <c r="S500" s="1"/>
      <c r="T500" s="1"/>
      <c r="U500" s="1"/>
      <c r="BF500" s="1">
        <v>497</v>
      </c>
      <c r="BG500">
        <v>4970</v>
      </c>
      <c r="BJ500">
        <v>49700</v>
      </c>
      <c r="BK500">
        <v>4970</v>
      </c>
      <c r="BM500">
        <v>49700</v>
      </c>
      <c r="BN500">
        <v>497</v>
      </c>
    </row>
    <row r="501" spans="8:66" x14ac:dyDescent="0.2">
      <c r="H501" s="1"/>
      <c r="K501" s="1"/>
      <c r="N501" s="1"/>
      <c r="Q501" s="1"/>
      <c r="S501" s="1"/>
      <c r="T501" s="1"/>
      <c r="U501" s="1"/>
      <c r="BF501" s="1">
        <v>498</v>
      </c>
      <c r="BG501">
        <v>4980</v>
      </c>
      <c r="BJ501">
        <v>49800</v>
      </c>
      <c r="BK501">
        <v>4980</v>
      </c>
      <c r="BM501">
        <v>49800</v>
      </c>
      <c r="BN501">
        <v>498</v>
      </c>
    </row>
    <row r="502" spans="8:66" x14ac:dyDescent="0.2">
      <c r="H502" s="1"/>
      <c r="K502" s="1"/>
      <c r="N502" s="1"/>
      <c r="Q502" s="1"/>
      <c r="S502" s="1"/>
      <c r="T502" s="1"/>
      <c r="U502" s="1"/>
      <c r="BF502" s="1">
        <v>499</v>
      </c>
      <c r="BG502">
        <v>4990</v>
      </c>
      <c r="BJ502">
        <v>49900</v>
      </c>
      <c r="BK502">
        <v>4990</v>
      </c>
      <c r="BM502">
        <v>49900</v>
      </c>
      <c r="BN502">
        <v>499</v>
      </c>
    </row>
    <row r="503" spans="8:66" x14ac:dyDescent="0.2">
      <c r="H503" s="1"/>
      <c r="K503" s="1"/>
      <c r="N503" s="1"/>
      <c r="Q503" s="1"/>
      <c r="S503" s="1"/>
      <c r="T503" s="1"/>
      <c r="U503" s="1"/>
      <c r="BF503" s="1">
        <v>500</v>
      </c>
      <c r="BG503">
        <v>5000</v>
      </c>
      <c r="BJ503">
        <v>50000</v>
      </c>
      <c r="BK503">
        <v>5000</v>
      </c>
      <c r="BM503">
        <v>50000</v>
      </c>
      <c r="BN503">
        <v>500</v>
      </c>
    </row>
    <row r="504" spans="8:66" x14ac:dyDescent="0.2">
      <c r="N504" s="1"/>
      <c r="Q504" s="1"/>
      <c r="S504" s="1"/>
      <c r="T504" s="1"/>
      <c r="U504" s="1"/>
    </row>
    <row r="505" spans="8:66" x14ac:dyDescent="0.2">
      <c r="N505" s="1"/>
      <c r="Q505" s="1"/>
      <c r="S505" s="1"/>
      <c r="T505" s="1"/>
      <c r="U505" s="1"/>
    </row>
    <row r="506" spans="8:66" x14ac:dyDescent="0.2">
      <c r="N506" s="1"/>
      <c r="Q506" s="1"/>
      <c r="S506" s="1"/>
      <c r="T506" s="1"/>
      <c r="U506" s="1"/>
    </row>
    <row r="507" spans="8:66" x14ac:dyDescent="0.2">
      <c r="N507" s="1"/>
      <c r="Q507" s="1"/>
      <c r="S507" s="1"/>
      <c r="T507" s="1"/>
      <c r="U507" s="1"/>
    </row>
    <row r="508" spans="8:66" x14ac:dyDescent="0.2">
      <c r="N508" s="1"/>
      <c r="Q508" s="1"/>
      <c r="S508" s="1"/>
      <c r="T508" s="1"/>
      <c r="U508" s="1"/>
    </row>
    <row r="509" spans="8:66" x14ac:dyDescent="0.2">
      <c r="N509" s="1"/>
      <c r="Q509" s="1"/>
      <c r="S509" s="1"/>
      <c r="T509" s="1"/>
      <c r="U509" s="1"/>
    </row>
    <row r="510" spans="8:66" x14ac:dyDescent="0.2">
      <c r="N510" s="1"/>
      <c r="Q510" s="1"/>
      <c r="S510" s="1"/>
      <c r="T510" s="1"/>
      <c r="U510" s="1"/>
    </row>
    <row r="511" spans="8:66" x14ac:dyDescent="0.2">
      <c r="N511" s="1"/>
      <c r="Q511" s="1"/>
      <c r="S511" s="1"/>
      <c r="T511" s="1"/>
      <c r="U511" s="1"/>
    </row>
    <row r="512" spans="8:66" x14ac:dyDescent="0.2">
      <c r="N512" s="1"/>
      <c r="Q512" s="1"/>
      <c r="S512" s="1"/>
      <c r="T512" s="1"/>
      <c r="U512" s="1"/>
    </row>
    <row r="513" spans="14:21" x14ac:dyDescent="0.2">
      <c r="N513" s="1"/>
      <c r="Q513" s="1"/>
      <c r="S513" s="1"/>
      <c r="T513" s="1"/>
      <c r="U513" s="1"/>
    </row>
    <row r="514" spans="14:21" x14ac:dyDescent="0.2">
      <c r="N514" s="1"/>
      <c r="Q514" s="1"/>
      <c r="S514" s="1"/>
      <c r="T514" s="1"/>
      <c r="U514" s="1"/>
    </row>
    <row r="515" spans="14:21" x14ac:dyDescent="0.2">
      <c r="N515" s="1"/>
      <c r="Q515" s="1"/>
      <c r="S515" s="1"/>
      <c r="T515" s="1"/>
      <c r="U515" s="1"/>
    </row>
    <row r="516" spans="14:21" x14ac:dyDescent="0.2">
      <c r="N516" s="1"/>
      <c r="Q516" s="1"/>
      <c r="S516" s="1"/>
      <c r="T516" s="1"/>
      <c r="U516" s="1"/>
    </row>
    <row r="517" spans="14:21" x14ac:dyDescent="0.2">
      <c r="N517" s="1"/>
      <c r="Q517" s="1"/>
      <c r="S517" s="1"/>
      <c r="T517" s="1"/>
      <c r="U517" s="1"/>
    </row>
    <row r="518" spans="14:21" x14ac:dyDescent="0.2">
      <c r="N518" s="1"/>
      <c r="Q518" s="1"/>
      <c r="S518" s="1"/>
      <c r="T518" s="1"/>
      <c r="U518" s="1"/>
    </row>
    <row r="519" spans="14:21" x14ac:dyDescent="0.2">
      <c r="N519" s="1"/>
      <c r="Q519" s="1"/>
      <c r="S519" s="1"/>
      <c r="T519" s="1"/>
      <c r="U519" s="1"/>
    </row>
    <row r="520" spans="14:21" x14ac:dyDescent="0.2">
      <c r="N520" s="1"/>
      <c r="Q520" s="1"/>
      <c r="S520" s="1"/>
      <c r="T520" s="1"/>
      <c r="U520" s="1"/>
    </row>
    <row r="521" spans="14:21" x14ac:dyDescent="0.2">
      <c r="N521" s="1"/>
      <c r="Q521" s="1"/>
      <c r="S521" s="1"/>
      <c r="T521" s="1"/>
      <c r="U521" s="1"/>
    </row>
    <row r="522" spans="14:21" x14ac:dyDescent="0.2">
      <c r="N522" s="1"/>
      <c r="Q522" s="1"/>
      <c r="S522" s="1"/>
      <c r="T522" s="1"/>
      <c r="U522" s="1"/>
    </row>
    <row r="523" spans="14:21" x14ac:dyDescent="0.2">
      <c r="N523" s="1"/>
      <c r="Q523" s="1"/>
      <c r="S523" s="1"/>
      <c r="T523" s="1"/>
      <c r="U523" s="1"/>
    </row>
    <row r="524" spans="14:21" x14ac:dyDescent="0.2">
      <c r="N524" s="1"/>
      <c r="Q524" s="1"/>
      <c r="S524" s="1"/>
      <c r="T524" s="1"/>
      <c r="U524" s="1"/>
    </row>
    <row r="525" spans="14:21" x14ac:dyDescent="0.2">
      <c r="N525" s="1"/>
      <c r="Q525" s="1"/>
      <c r="S525" s="1"/>
      <c r="T525" s="1"/>
      <c r="U525" s="1"/>
    </row>
    <row r="526" spans="14:21" x14ac:dyDescent="0.2">
      <c r="N526" s="1"/>
      <c r="Q526" s="1"/>
      <c r="S526" s="1"/>
      <c r="T526" s="1"/>
      <c r="U526" s="1"/>
    </row>
    <row r="527" spans="14:21" x14ac:dyDescent="0.2">
      <c r="N527" s="1"/>
      <c r="Q527" s="1"/>
      <c r="S527" s="1"/>
      <c r="T527" s="1"/>
      <c r="U527" s="1"/>
    </row>
    <row r="528" spans="14:21" x14ac:dyDescent="0.2">
      <c r="N528" s="1"/>
      <c r="Q528" s="1"/>
      <c r="S528" s="1"/>
      <c r="T528" s="1"/>
      <c r="U528" s="1"/>
    </row>
    <row r="529" spans="14:21" x14ac:dyDescent="0.2">
      <c r="N529" s="1"/>
      <c r="Q529" s="1"/>
      <c r="S529" s="1"/>
      <c r="T529" s="1"/>
      <c r="U529" s="1"/>
    </row>
    <row r="530" spans="14:21" x14ac:dyDescent="0.2">
      <c r="N530" s="1"/>
      <c r="Q530" s="1"/>
      <c r="S530" s="1"/>
      <c r="T530" s="1"/>
      <c r="U530" s="1"/>
    </row>
    <row r="531" spans="14:21" x14ac:dyDescent="0.2">
      <c r="N531" s="1"/>
      <c r="Q531" s="1"/>
      <c r="S531" s="1"/>
      <c r="T531" s="1"/>
      <c r="U531" s="1"/>
    </row>
    <row r="532" spans="14:21" x14ac:dyDescent="0.2">
      <c r="N532" s="1"/>
      <c r="Q532" s="1"/>
      <c r="S532" s="1"/>
      <c r="T532" s="1"/>
      <c r="U532" s="1"/>
    </row>
    <row r="533" spans="14:21" x14ac:dyDescent="0.2">
      <c r="N533" s="1"/>
      <c r="Q533" s="1"/>
      <c r="S533" s="1"/>
      <c r="T533" s="1"/>
      <c r="U533" s="1"/>
    </row>
    <row r="534" spans="14:21" x14ac:dyDescent="0.2">
      <c r="N534" s="1"/>
      <c r="Q534" s="1"/>
      <c r="S534" s="1"/>
      <c r="T534" s="1"/>
      <c r="U534" s="1"/>
    </row>
    <row r="535" spans="14:21" x14ac:dyDescent="0.2">
      <c r="N535" s="1"/>
      <c r="Q535" s="1"/>
      <c r="S535" s="1"/>
      <c r="T535" s="1"/>
      <c r="U535" s="1"/>
    </row>
    <row r="536" spans="14:21" x14ac:dyDescent="0.2">
      <c r="N536" s="1"/>
      <c r="Q536" s="1"/>
      <c r="S536" s="1"/>
      <c r="T536" s="1"/>
      <c r="U536" s="1"/>
    </row>
    <row r="537" spans="14:21" x14ac:dyDescent="0.2">
      <c r="N537" s="1"/>
      <c r="Q537" s="1"/>
      <c r="S537" s="1"/>
      <c r="T537" s="1"/>
      <c r="U537" s="1"/>
    </row>
    <row r="538" spans="14:21" x14ac:dyDescent="0.2">
      <c r="N538" s="1"/>
      <c r="Q538" s="1"/>
      <c r="S538" s="1"/>
      <c r="T538" s="1"/>
      <c r="U538" s="1"/>
    </row>
    <row r="539" spans="14:21" x14ac:dyDescent="0.2">
      <c r="N539" s="1"/>
      <c r="Q539" s="1"/>
      <c r="S539" s="1"/>
      <c r="T539" s="1"/>
      <c r="U539" s="1"/>
    </row>
    <row r="540" spans="14:21" x14ac:dyDescent="0.2">
      <c r="N540" s="1"/>
      <c r="Q540" s="1"/>
      <c r="S540" s="1"/>
      <c r="T540" s="1"/>
      <c r="U540" s="1"/>
    </row>
    <row r="541" spans="14:21" x14ac:dyDescent="0.2">
      <c r="N541" s="1"/>
      <c r="Q541" s="1"/>
      <c r="S541" s="1"/>
      <c r="T541" s="1"/>
      <c r="U541" s="1"/>
    </row>
    <row r="542" spans="14:21" x14ac:dyDescent="0.2">
      <c r="N542" s="1"/>
      <c r="Q542" s="1"/>
      <c r="S542" s="1"/>
      <c r="T542" s="1"/>
      <c r="U542" s="1"/>
    </row>
    <row r="543" spans="14:21" x14ac:dyDescent="0.2">
      <c r="N543" s="1"/>
      <c r="Q543" s="1"/>
      <c r="S543" s="1"/>
      <c r="T543" s="1"/>
      <c r="U543" s="1"/>
    </row>
    <row r="544" spans="14:21" x14ac:dyDescent="0.2">
      <c r="N544" s="1"/>
      <c r="Q544" s="1"/>
      <c r="S544" s="1"/>
      <c r="T544" s="1"/>
      <c r="U544" s="1"/>
    </row>
    <row r="545" spans="14:21" x14ac:dyDescent="0.2">
      <c r="N545" s="1"/>
      <c r="Q545" s="1"/>
      <c r="S545" s="1"/>
      <c r="T545" s="1"/>
      <c r="U545" s="1"/>
    </row>
    <row r="546" spans="14:21" x14ac:dyDescent="0.2">
      <c r="N546" s="1"/>
      <c r="Q546" s="1"/>
      <c r="S546" s="1"/>
      <c r="T546" s="1"/>
      <c r="U546" s="1"/>
    </row>
    <row r="547" spans="14:21" x14ac:dyDescent="0.2">
      <c r="N547" s="1"/>
      <c r="Q547" s="1"/>
      <c r="S547" s="1"/>
      <c r="T547" s="1"/>
      <c r="U547" s="1"/>
    </row>
    <row r="548" spans="14:21" x14ac:dyDescent="0.2">
      <c r="N548" s="1"/>
      <c r="Q548" s="1"/>
      <c r="S548" s="1"/>
      <c r="T548" s="1"/>
      <c r="U548" s="1"/>
    </row>
    <row r="549" spans="14:21" x14ac:dyDescent="0.2">
      <c r="N549" s="1"/>
      <c r="Q549" s="1"/>
      <c r="S549" s="1"/>
      <c r="T549" s="1"/>
      <c r="U549" s="1"/>
    </row>
    <row r="550" spans="14:21" x14ac:dyDescent="0.2">
      <c r="N550" s="1"/>
      <c r="Q550" s="1"/>
      <c r="S550" s="1"/>
      <c r="T550" s="1"/>
      <c r="U550" s="1"/>
    </row>
    <row r="551" spans="14:21" x14ac:dyDescent="0.2">
      <c r="N551" s="1"/>
      <c r="Q551" s="1"/>
      <c r="S551" s="1"/>
      <c r="T551" s="1"/>
      <c r="U551" s="1"/>
    </row>
    <row r="552" spans="14:21" x14ac:dyDescent="0.2">
      <c r="N552" s="1"/>
      <c r="Q552" s="1"/>
      <c r="S552" s="1"/>
      <c r="T552" s="1"/>
      <c r="U552" s="1"/>
    </row>
    <row r="553" spans="14:21" x14ac:dyDescent="0.2">
      <c r="N553" s="1"/>
      <c r="Q553" s="1"/>
      <c r="S553" s="1"/>
      <c r="T553" s="1"/>
      <c r="U553" s="1"/>
    </row>
    <row r="554" spans="14:21" x14ac:dyDescent="0.2">
      <c r="N554" s="1"/>
      <c r="Q554" s="1"/>
      <c r="S554" s="1"/>
      <c r="T554" s="1"/>
      <c r="U554" s="1"/>
    </row>
    <row r="555" spans="14:21" x14ac:dyDescent="0.2">
      <c r="N555" s="1"/>
      <c r="Q555" s="1"/>
      <c r="S555" s="1"/>
      <c r="T555" s="1"/>
      <c r="U555" s="1"/>
    </row>
    <row r="556" spans="14:21" x14ac:dyDescent="0.2">
      <c r="N556" s="1"/>
      <c r="Q556" s="1"/>
      <c r="S556" s="1"/>
      <c r="T556" s="1"/>
      <c r="U556" s="1"/>
    </row>
    <row r="557" spans="14:21" x14ac:dyDescent="0.2">
      <c r="N557" s="1"/>
      <c r="Q557" s="1"/>
      <c r="S557" s="1"/>
      <c r="T557" s="1"/>
      <c r="U557" s="1"/>
    </row>
    <row r="558" spans="14:21" x14ac:dyDescent="0.2">
      <c r="N558" s="1"/>
      <c r="Q558" s="1"/>
      <c r="S558" s="1"/>
      <c r="T558" s="1"/>
      <c r="U558" s="1"/>
    </row>
    <row r="559" spans="14:21" x14ac:dyDescent="0.2">
      <c r="N559" s="1"/>
      <c r="Q559" s="1"/>
      <c r="S559" s="1"/>
      <c r="T559" s="1"/>
      <c r="U559" s="1"/>
    </row>
    <row r="560" spans="14:21" x14ac:dyDescent="0.2">
      <c r="N560" s="1"/>
      <c r="Q560" s="1"/>
      <c r="S560" s="1"/>
      <c r="T560" s="1"/>
      <c r="U560" s="1"/>
    </row>
    <row r="561" spans="14:21" x14ac:dyDescent="0.2">
      <c r="N561" s="1"/>
      <c r="Q561" s="1"/>
      <c r="S561" s="1"/>
      <c r="T561" s="1"/>
      <c r="U561" s="1"/>
    </row>
    <row r="562" spans="14:21" x14ac:dyDescent="0.2">
      <c r="N562" s="1"/>
      <c r="Q562" s="1"/>
      <c r="S562" s="1"/>
      <c r="T562" s="1"/>
      <c r="U562" s="1"/>
    </row>
    <row r="563" spans="14:21" x14ac:dyDescent="0.2">
      <c r="N563" s="1"/>
      <c r="Q563" s="1"/>
      <c r="S563" s="1"/>
      <c r="T563" s="1"/>
      <c r="U563" s="1"/>
    </row>
    <row r="564" spans="14:21" x14ac:dyDescent="0.2">
      <c r="N564" s="1"/>
      <c r="Q564" s="1"/>
      <c r="S564" s="1"/>
      <c r="T564" s="1"/>
      <c r="U564" s="1"/>
    </row>
    <row r="565" spans="14:21" x14ac:dyDescent="0.2">
      <c r="N565" s="1"/>
      <c r="Q565" s="1"/>
      <c r="S565" s="1"/>
      <c r="T565" s="1"/>
      <c r="U565" s="1"/>
    </row>
    <row r="566" spans="14:21" x14ac:dyDescent="0.2">
      <c r="N566" s="1"/>
      <c r="Q566" s="1"/>
      <c r="S566" s="1"/>
      <c r="T566" s="1"/>
      <c r="U566" s="1"/>
    </row>
    <row r="567" spans="14:21" x14ac:dyDescent="0.2">
      <c r="N567" s="1"/>
      <c r="Q567" s="1"/>
      <c r="S567" s="1"/>
      <c r="T567" s="1"/>
      <c r="U567" s="1"/>
    </row>
    <row r="568" spans="14:21" x14ac:dyDescent="0.2">
      <c r="N568" s="1"/>
      <c r="Q568" s="1"/>
      <c r="S568" s="1"/>
      <c r="T568" s="1"/>
      <c r="U568" s="1"/>
    </row>
    <row r="569" spans="14:21" x14ac:dyDescent="0.2">
      <c r="N569" s="1"/>
      <c r="Q569" s="1"/>
      <c r="S569" s="1"/>
      <c r="T569" s="1"/>
      <c r="U569" s="1"/>
    </row>
    <row r="570" spans="14:21" x14ac:dyDescent="0.2">
      <c r="N570" s="1"/>
      <c r="Q570" s="1"/>
      <c r="S570" s="1"/>
      <c r="T570" s="1"/>
      <c r="U570" s="1"/>
    </row>
    <row r="571" spans="14:21" x14ac:dyDescent="0.2">
      <c r="N571" s="1"/>
      <c r="Q571" s="1"/>
      <c r="S571" s="1"/>
      <c r="T571" s="1"/>
      <c r="U571" s="1"/>
    </row>
    <row r="572" spans="14:21" x14ac:dyDescent="0.2">
      <c r="N572" s="1"/>
      <c r="Q572" s="1"/>
      <c r="S572" s="1"/>
      <c r="T572" s="1"/>
      <c r="U572" s="1"/>
    </row>
    <row r="573" spans="14:21" x14ac:dyDescent="0.2">
      <c r="N573" s="1"/>
      <c r="Q573" s="1"/>
      <c r="S573" s="1"/>
      <c r="T573" s="1"/>
      <c r="U573" s="1"/>
    </row>
    <row r="574" spans="14:21" x14ac:dyDescent="0.2">
      <c r="N574" s="1"/>
      <c r="Q574" s="1"/>
      <c r="S574" s="1"/>
      <c r="T574" s="1"/>
      <c r="U574" s="1"/>
    </row>
    <row r="575" spans="14:21" x14ac:dyDescent="0.2">
      <c r="N575" s="1"/>
      <c r="Q575" s="1"/>
      <c r="S575" s="1"/>
      <c r="T575" s="1"/>
      <c r="U575" s="1"/>
    </row>
    <row r="576" spans="14:21" x14ac:dyDescent="0.2">
      <c r="N576" s="1"/>
      <c r="Q576" s="1"/>
      <c r="S576" s="1"/>
      <c r="T576" s="1"/>
      <c r="U576" s="1"/>
    </row>
    <row r="577" spans="14:21" x14ac:dyDescent="0.2">
      <c r="N577" s="1"/>
      <c r="Q577" s="1"/>
      <c r="S577" s="1"/>
      <c r="T577" s="1"/>
      <c r="U577" s="1"/>
    </row>
    <row r="578" spans="14:21" x14ac:dyDescent="0.2">
      <c r="N578" s="1"/>
      <c r="Q578" s="1"/>
      <c r="S578" s="1"/>
      <c r="T578" s="1"/>
      <c r="U578" s="1"/>
    </row>
    <row r="579" spans="14:21" x14ac:dyDescent="0.2">
      <c r="N579" s="1"/>
      <c r="Q579" s="1"/>
      <c r="S579" s="1"/>
      <c r="T579" s="1"/>
      <c r="U579" s="1"/>
    </row>
    <row r="580" spans="14:21" x14ac:dyDescent="0.2">
      <c r="N580" s="1"/>
      <c r="Q580" s="1"/>
      <c r="S580" s="1"/>
      <c r="T580" s="1"/>
      <c r="U580" s="1"/>
    </row>
    <row r="581" spans="14:21" x14ac:dyDescent="0.2">
      <c r="N581" s="1"/>
      <c r="Q581" s="1"/>
      <c r="S581" s="1"/>
      <c r="T581" s="1"/>
      <c r="U581" s="1"/>
    </row>
    <row r="582" spans="14:21" x14ac:dyDescent="0.2">
      <c r="N582" s="1"/>
      <c r="Q582" s="1"/>
      <c r="S582" s="1"/>
      <c r="T582" s="1"/>
      <c r="U582" s="1"/>
    </row>
    <row r="583" spans="14:21" x14ac:dyDescent="0.2">
      <c r="N583" s="1"/>
      <c r="Q583" s="1"/>
      <c r="S583" s="1"/>
      <c r="T583" s="1"/>
      <c r="U583" s="1"/>
    </row>
    <row r="584" spans="14:21" x14ac:dyDescent="0.2">
      <c r="N584" s="1"/>
      <c r="Q584" s="1"/>
      <c r="S584" s="1"/>
      <c r="T584" s="1"/>
      <c r="U584" s="1"/>
    </row>
    <row r="585" spans="14:21" x14ac:dyDescent="0.2">
      <c r="N585" s="1"/>
      <c r="Q585" s="1"/>
      <c r="S585" s="1"/>
      <c r="T585" s="1"/>
      <c r="U585" s="1"/>
    </row>
    <row r="586" spans="14:21" x14ac:dyDescent="0.2">
      <c r="N586" s="1"/>
      <c r="Q586" s="1"/>
      <c r="S586" s="1"/>
      <c r="T586" s="1"/>
      <c r="U586" s="1"/>
    </row>
    <row r="587" spans="14:21" x14ac:dyDescent="0.2">
      <c r="N587" s="1"/>
      <c r="Q587" s="1"/>
      <c r="S587" s="1"/>
      <c r="T587" s="1"/>
      <c r="U587" s="1"/>
    </row>
    <row r="588" spans="14:21" x14ac:dyDescent="0.2">
      <c r="N588" s="1"/>
      <c r="Q588" s="1"/>
      <c r="S588" s="1"/>
      <c r="T588" s="1"/>
      <c r="U588" s="1"/>
    </row>
    <row r="589" spans="14:21" x14ac:dyDescent="0.2">
      <c r="N589" s="1"/>
      <c r="Q589" s="1"/>
      <c r="S589" s="1"/>
      <c r="T589" s="1"/>
      <c r="U589" s="1"/>
    </row>
    <row r="590" spans="14:21" x14ac:dyDescent="0.2">
      <c r="N590" s="1"/>
      <c r="Q590" s="1"/>
      <c r="S590" s="1"/>
      <c r="T590" s="1"/>
      <c r="U590" s="1"/>
    </row>
    <row r="591" spans="14:21" x14ac:dyDescent="0.2">
      <c r="N591" s="1"/>
      <c r="Q591" s="1"/>
      <c r="S591" s="1"/>
      <c r="T591" s="1"/>
      <c r="U591" s="1"/>
    </row>
    <row r="592" spans="14:21" x14ac:dyDescent="0.2">
      <c r="N592" s="1"/>
      <c r="Q592" s="1"/>
      <c r="S592" s="1"/>
      <c r="T592" s="1"/>
      <c r="U592" s="1"/>
    </row>
    <row r="593" spans="14:21" x14ac:dyDescent="0.2">
      <c r="N593" s="1"/>
      <c r="Q593" s="1"/>
      <c r="S593" s="1"/>
      <c r="T593" s="1"/>
      <c r="U593" s="1"/>
    </row>
    <row r="594" spans="14:21" x14ac:dyDescent="0.2">
      <c r="N594" s="1"/>
      <c r="Q594" s="1"/>
      <c r="S594" s="1"/>
      <c r="T594" s="1"/>
      <c r="U594" s="1"/>
    </row>
    <row r="595" spans="14:21" x14ac:dyDescent="0.2">
      <c r="N595" s="1"/>
      <c r="Q595" s="1"/>
      <c r="S595" s="1"/>
      <c r="T595" s="1"/>
      <c r="U595" s="1"/>
    </row>
    <row r="596" spans="14:21" x14ac:dyDescent="0.2">
      <c r="N596" s="1"/>
      <c r="Q596" s="1"/>
      <c r="S596" s="1"/>
      <c r="T596" s="1"/>
      <c r="U596" s="1"/>
    </row>
    <row r="597" spans="14:21" x14ac:dyDescent="0.2">
      <c r="N597" s="1"/>
      <c r="Q597" s="1"/>
      <c r="S597" s="1"/>
      <c r="T597" s="1"/>
      <c r="U597" s="1"/>
    </row>
    <row r="598" spans="14:21" x14ac:dyDescent="0.2">
      <c r="N598" s="1"/>
      <c r="Q598" s="1"/>
      <c r="S598" s="1"/>
      <c r="T598" s="1"/>
      <c r="U598" s="1"/>
    </row>
    <row r="599" spans="14:21" x14ac:dyDescent="0.2">
      <c r="N599" s="1"/>
      <c r="Q599" s="1"/>
      <c r="S599" s="1"/>
      <c r="T599" s="1"/>
      <c r="U599" s="1"/>
    </row>
    <row r="600" spans="14:21" x14ac:dyDescent="0.2">
      <c r="N600" s="1"/>
      <c r="Q600" s="1"/>
      <c r="S600" s="1"/>
      <c r="T600" s="1"/>
      <c r="U600" s="1"/>
    </row>
    <row r="601" spans="14:21" x14ac:dyDescent="0.2">
      <c r="N601" s="1"/>
      <c r="Q601" s="1"/>
      <c r="S601" s="1"/>
      <c r="T601" s="1"/>
      <c r="U601" s="1"/>
    </row>
    <row r="602" spans="14:21" x14ac:dyDescent="0.2">
      <c r="N602" s="1"/>
      <c r="Q602" s="1"/>
      <c r="S602" s="1"/>
      <c r="T602" s="1"/>
      <c r="U602" s="1"/>
    </row>
    <row r="603" spans="14:21" x14ac:dyDescent="0.2">
      <c r="N603" s="1"/>
      <c r="Q603" s="1"/>
      <c r="S603" s="1"/>
      <c r="T603" s="1"/>
      <c r="U603" s="1"/>
    </row>
    <row r="604" spans="14:21" x14ac:dyDescent="0.2">
      <c r="N604" s="1"/>
      <c r="Q604" s="1"/>
      <c r="S604" s="1"/>
      <c r="T604" s="1"/>
      <c r="U604" s="1"/>
    </row>
    <row r="605" spans="14:21" x14ac:dyDescent="0.2">
      <c r="N605" s="1"/>
      <c r="Q605" s="1"/>
      <c r="S605" s="1"/>
      <c r="T605" s="1"/>
      <c r="U605" s="1"/>
    </row>
    <row r="606" spans="14:21" x14ac:dyDescent="0.2">
      <c r="N606" s="1"/>
      <c r="Q606" s="1"/>
      <c r="S606" s="1"/>
      <c r="T606" s="1"/>
      <c r="U606" s="1"/>
    </row>
    <row r="607" spans="14:21" x14ac:dyDescent="0.2">
      <c r="N607" s="1"/>
      <c r="Q607" s="1"/>
      <c r="S607" s="1"/>
      <c r="T607" s="1"/>
      <c r="U607" s="1"/>
    </row>
    <row r="608" spans="14:21" x14ac:dyDescent="0.2">
      <c r="N608" s="1"/>
      <c r="Q608" s="1"/>
      <c r="S608" s="1"/>
      <c r="T608" s="1"/>
      <c r="U608" s="1"/>
    </row>
    <row r="609" spans="14:21" x14ac:dyDescent="0.2">
      <c r="N609" s="1"/>
      <c r="Q609" s="1"/>
      <c r="S609" s="1"/>
      <c r="T609" s="1"/>
      <c r="U609" s="1"/>
    </row>
    <row r="610" spans="14:21" x14ac:dyDescent="0.2">
      <c r="N610" s="1"/>
      <c r="Q610" s="1"/>
      <c r="S610" s="1"/>
      <c r="T610" s="1"/>
      <c r="U610" s="1"/>
    </row>
    <row r="611" spans="14:21" x14ac:dyDescent="0.2">
      <c r="N611" s="1"/>
      <c r="Q611" s="1"/>
      <c r="S611" s="1"/>
      <c r="T611" s="1"/>
      <c r="U611" s="1"/>
    </row>
    <row r="612" spans="14:21" x14ac:dyDescent="0.2">
      <c r="N612" s="1"/>
      <c r="Q612" s="1"/>
      <c r="S612" s="1"/>
      <c r="T612" s="1"/>
      <c r="U612" s="1"/>
    </row>
    <row r="613" spans="14:21" x14ac:dyDescent="0.2">
      <c r="N613" s="1"/>
      <c r="Q613" s="1"/>
      <c r="S613" s="1"/>
      <c r="T613" s="1"/>
      <c r="U613" s="1"/>
    </row>
    <row r="614" spans="14:21" x14ac:dyDescent="0.2">
      <c r="N614" s="1"/>
      <c r="Q614" s="1"/>
      <c r="S614" s="1"/>
      <c r="T614" s="1"/>
      <c r="U614" s="1"/>
    </row>
    <row r="615" spans="14:21" x14ac:dyDescent="0.2">
      <c r="N615" s="1"/>
      <c r="Q615" s="1"/>
      <c r="S615" s="1"/>
      <c r="T615" s="1"/>
      <c r="U615" s="1"/>
    </row>
    <row r="616" spans="14:21" x14ac:dyDescent="0.2">
      <c r="N616" s="1"/>
      <c r="Q616" s="1"/>
      <c r="S616" s="1"/>
      <c r="T616" s="1"/>
      <c r="U616" s="1"/>
    </row>
    <row r="617" spans="14:21" x14ac:dyDescent="0.2">
      <c r="N617" s="1"/>
      <c r="Q617" s="1"/>
      <c r="S617" s="1"/>
      <c r="T617" s="1"/>
      <c r="U617" s="1"/>
    </row>
    <row r="618" spans="14:21" x14ac:dyDescent="0.2">
      <c r="N618" s="1"/>
      <c r="Q618" s="1"/>
      <c r="S618" s="1"/>
      <c r="T618" s="1"/>
      <c r="U618" s="1"/>
    </row>
    <row r="619" spans="14:21" x14ac:dyDescent="0.2">
      <c r="N619" s="1"/>
      <c r="Q619" s="1"/>
      <c r="S619" s="1"/>
      <c r="T619" s="1"/>
      <c r="U619" s="1"/>
    </row>
    <row r="620" spans="14:21" x14ac:dyDescent="0.2">
      <c r="N620" s="1"/>
      <c r="Q620" s="1"/>
      <c r="S620" s="1"/>
      <c r="T620" s="1"/>
      <c r="U620" s="1"/>
    </row>
    <row r="621" spans="14:21" x14ac:dyDescent="0.2">
      <c r="N621" s="1"/>
      <c r="Q621" s="1"/>
      <c r="S621" s="1"/>
      <c r="T621" s="1"/>
      <c r="U621" s="1"/>
    </row>
    <row r="622" spans="14:21" x14ac:dyDescent="0.2">
      <c r="N622" s="1"/>
      <c r="Q622" s="1"/>
      <c r="S622" s="1"/>
      <c r="T622" s="1"/>
      <c r="U622" s="1"/>
    </row>
    <row r="623" spans="14:21" x14ac:dyDescent="0.2">
      <c r="N623" s="1"/>
      <c r="Q623" s="1"/>
      <c r="S623" s="1"/>
      <c r="T623" s="1"/>
      <c r="U623" s="1"/>
    </row>
    <row r="624" spans="14:21" x14ac:dyDescent="0.2">
      <c r="N624" s="1"/>
      <c r="Q624" s="1"/>
      <c r="S624" s="1"/>
      <c r="T624" s="1"/>
      <c r="U624" s="1"/>
    </row>
    <row r="625" spans="14:21" x14ac:dyDescent="0.2">
      <c r="N625" s="1"/>
      <c r="Q625" s="1"/>
      <c r="S625" s="1"/>
      <c r="T625" s="1"/>
      <c r="U625" s="1"/>
    </row>
    <row r="626" spans="14:21" x14ac:dyDescent="0.2">
      <c r="N626" s="1"/>
      <c r="Q626" s="1"/>
      <c r="S626" s="1"/>
      <c r="T626" s="1"/>
      <c r="U626" s="1"/>
    </row>
    <row r="627" spans="14:21" x14ac:dyDescent="0.2">
      <c r="N627" s="1"/>
      <c r="Q627" s="1"/>
      <c r="S627" s="1"/>
      <c r="T627" s="1"/>
      <c r="U627" s="1"/>
    </row>
    <row r="628" spans="14:21" x14ac:dyDescent="0.2">
      <c r="N628" s="1"/>
      <c r="Q628" s="1"/>
      <c r="S628" s="1"/>
      <c r="T628" s="1"/>
      <c r="U628" s="1"/>
    </row>
    <row r="629" spans="14:21" x14ac:dyDescent="0.2">
      <c r="N629" s="1"/>
      <c r="Q629" s="1"/>
      <c r="S629" s="1"/>
      <c r="T629" s="1"/>
      <c r="U629" s="1"/>
    </row>
    <row r="630" spans="14:21" x14ac:dyDescent="0.2">
      <c r="N630" s="1"/>
      <c r="Q630" s="1"/>
      <c r="S630" s="1"/>
      <c r="T630" s="1"/>
      <c r="U630" s="1"/>
    </row>
    <row r="631" spans="14:21" x14ac:dyDescent="0.2">
      <c r="N631" s="1"/>
      <c r="Q631" s="1"/>
      <c r="S631" s="1"/>
      <c r="T631" s="1"/>
      <c r="U631" s="1"/>
    </row>
    <row r="632" spans="14:21" x14ac:dyDescent="0.2">
      <c r="N632" s="1"/>
      <c r="Q632" s="1"/>
      <c r="S632" s="1"/>
      <c r="T632" s="1"/>
      <c r="U632" s="1"/>
    </row>
    <row r="633" spans="14:21" x14ac:dyDescent="0.2">
      <c r="N633" s="1"/>
      <c r="Q633" s="1"/>
      <c r="S633" s="1"/>
      <c r="T633" s="1"/>
      <c r="U633" s="1"/>
    </row>
    <row r="634" spans="14:21" x14ac:dyDescent="0.2">
      <c r="N634" s="1"/>
      <c r="Q634" s="1"/>
      <c r="S634" s="1"/>
      <c r="T634" s="1"/>
      <c r="U634" s="1"/>
    </row>
    <row r="635" spans="14:21" x14ac:dyDescent="0.2">
      <c r="N635" s="1"/>
      <c r="Q635" s="1"/>
      <c r="S635" s="1"/>
      <c r="T635" s="1"/>
      <c r="U635" s="1"/>
    </row>
    <row r="636" spans="14:21" x14ac:dyDescent="0.2">
      <c r="N636" s="1"/>
      <c r="Q636" s="1"/>
      <c r="S636" s="1"/>
      <c r="T636" s="1"/>
      <c r="U636" s="1"/>
    </row>
    <row r="637" spans="14:21" x14ac:dyDescent="0.2">
      <c r="N637" s="1"/>
      <c r="Q637" s="1"/>
      <c r="S637" s="1"/>
      <c r="T637" s="1"/>
      <c r="U637" s="1"/>
    </row>
    <row r="638" spans="14:21" x14ac:dyDescent="0.2">
      <c r="N638" s="1"/>
      <c r="Q638" s="1"/>
      <c r="S638" s="1"/>
      <c r="T638" s="1"/>
      <c r="U638" s="1"/>
    </row>
    <row r="639" spans="14:21" x14ac:dyDescent="0.2">
      <c r="N639" s="1"/>
      <c r="Q639" s="1"/>
      <c r="S639" s="1"/>
      <c r="T639" s="1"/>
      <c r="U639" s="1"/>
    </row>
    <row r="640" spans="14:21" x14ac:dyDescent="0.2">
      <c r="N640" s="1"/>
      <c r="Q640" s="1"/>
      <c r="S640" s="1"/>
      <c r="T640" s="1"/>
      <c r="U640" s="1"/>
    </row>
    <row r="641" spans="14:21" x14ac:dyDescent="0.2">
      <c r="N641" s="1"/>
      <c r="Q641" s="1"/>
      <c r="S641" s="1"/>
      <c r="T641" s="1"/>
      <c r="U641" s="1"/>
    </row>
    <row r="642" spans="14:21" x14ac:dyDescent="0.2">
      <c r="N642" s="1"/>
      <c r="Q642" s="1"/>
      <c r="S642" s="1"/>
      <c r="T642" s="1"/>
      <c r="U642" s="1"/>
    </row>
    <row r="643" spans="14:21" x14ac:dyDescent="0.2">
      <c r="N643" s="1"/>
      <c r="Q643" s="1"/>
      <c r="S643" s="1"/>
      <c r="T643" s="1"/>
      <c r="U643" s="1"/>
    </row>
    <row r="644" spans="14:21" x14ac:dyDescent="0.2">
      <c r="N644" s="1"/>
      <c r="Q644" s="1"/>
      <c r="S644" s="1"/>
      <c r="T644" s="1"/>
      <c r="U644" s="1"/>
    </row>
    <row r="645" spans="14:21" x14ac:dyDescent="0.2">
      <c r="N645" s="1"/>
      <c r="Q645" s="1"/>
      <c r="S645" s="1"/>
      <c r="T645" s="1"/>
      <c r="U645" s="1"/>
    </row>
    <row r="646" spans="14:21" x14ac:dyDescent="0.2">
      <c r="N646" s="1"/>
      <c r="Q646" s="1"/>
      <c r="S646" s="1"/>
      <c r="T646" s="1"/>
      <c r="U646" s="1"/>
    </row>
    <row r="647" spans="14:21" x14ac:dyDescent="0.2">
      <c r="N647" s="1"/>
      <c r="Q647" s="1"/>
      <c r="S647" s="1"/>
      <c r="T647" s="1"/>
      <c r="U647" s="1"/>
    </row>
    <row r="648" spans="14:21" x14ac:dyDescent="0.2">
      <c r="N648" s="1"/>
      <c r="Q648" s="1"/>
      <c r="S648" s="1"/>
      <c r="T648" s="1"/>
      <c r="U648" s="1"/>
    </row>
    <row r="649" spans="14:21" x14ac:dyDescent="0.2">
      <c r="N649" s="1"/>
      <c r="Q649" s="1"/>
      <c r="S649" s="1"/>
      <c r="T649" s="1"/>
      <c r="U649" s="1"/>
    </row>
    <row r="650" spans="14:21" x14ac:dyDescent="0.2">
      <c r="N650" s="1"/>
      <c r="Q650" s="1"/>
      <c r="S650" s="1"/>
      <c r="T650" s="1"/>
      <c r="U650" s="1"/>
    </row>
    <row r="651" spans="14:21" x14ac:dyDescent="0.2">
      <c r="N651" s="1"/>
      <c r="Q651" s="1"/>
      <c r="S651" s="1"/>
      <c r="T651" s="1"/>
      <c r="U651" s="1"/>
    </row>
    <row r="652" spans="14:21" x14ac:dyDescent="0.2">
      <c r="N652" s="1"/>
      <c r="Q652" s="1"/>
      <c r="S652" s="1"/>
      <c r="T652" s="1"/>
      <c r="U652" s="1"/>
    </row>
    <row r="653" spans="14:21" x14ac:dyDescent="0.2">
      <c r="N653" s="1"/>
      <c r="Q653" s="1"/>
      <c r="S653" s="1"/>
      <c r="T653" s="1"/>
      <c r="U653" s="1"/>
    </row>
    <row r="654" spans="14:21" x14ac:dyDescent="0.2">
      <c r="N654" s="1"/>
      <c r="Q654" s="1"/>
      <c r="S654" s="1"/>
      <c r="T654" s="1"/>
      <c r="U654" s="1"/>
    </row>
    <row r="655" spans="14:21" x14ac:dyDescent="0.2">
      <c r="N655" s="1"/>
      <c r="Q655" s="1"/>
      <c r="S655" s="1"/>
      <c r="T655" s="1"/>
      <c r="U655" s="1"/>
    </row>
    <row r="656" spans="14:21" x14ac:dyDescent="0.2">
      <c r="N656" s="1"/>
      <c r="Q656" s="1"/>
      <c r="S656" s="1"/>
      <c r="T656" s="1"/>
      <c r="U656" s="1"/>
    </row>
    <row r="657" spans="14:21" x14ac:dyDescent="0.2">
      <c r="N657" s="1"/>
      <c r="Q657" s="1"/>
      <c r="S657" s="1"/>
      <c r="T657" s="1"/>
      <c r="U657" s="1"/>
    </row>
    <row r="658" spans="14:21" x14ac:dyDescent="0.2">
      <c r="N658" s="1"/>
      <c r="Q658" s="1"/>
      <c r="S658" s="1"/>
      <c r="T658" s="1"/>
      <c r="U658" s="1"/>
    </row>
    <row r="659" spans="14:21" x14ac:dyDescent="0.2">
      <c r="N659" s="1"/>
      <c r="Q659" s="1"/>
      <c r="S659" s="1"/>
      <c r="T659" s="1"/>
      <c r="U659" s="1"/>
    </row>
    <row r="660" spans="14:21" x14ac:dyDescent="0.2">
      <c r="N660" s="1"/>
      <c r="Q660" s="1"/>
      <c r="S660" s="1"/>
      <c r="T660" s="1"/>
      <c r="U660" s="1"/>
    </row>
    <row r="661" spans="14:21" x14ac:dyDescent="0.2">
      <c r="N661" s="1"/>
      <c r="Q661" s="1"/>
      <c r="S661" s="1"/>
      <c r="T661" s="1"/>
      <c r="U661" s="1"/>
    </row>
    <row r="662" spans="14:21" x14ac:dyDescent="0.2">
      <c r="N662" s="1"/>
      <c r="Q662" s="1"/>
      <c r="S662" s="1"/>
      <c r="T662" s="1"/>
      <c r="U662" s="1"/>
    </row>
    <row r="663" spans="14:21" x14ac:dyDescent="0.2">
      <c r="N663" s="1"/>
      <c r="Q663" s="1"/>
      <c r="S663" s="1"/>
      <c r="T663" s="1"/>
      <c r="U663" s="1"/>
    </row>
    <row r="664" spans="14:21" x14ac:dyDescent="0.2">
      <c r="N664" s="1"/>
      <c r="Q664" s="1"/>
      <c r="S664" s="1"/>
      <c r="T664" s="1"/>
      <c r="U664" s="1"/>
    </row>
    <row r="665" spans="14:21" x14ac:dyDescent="0.2">
      <c r="N665" s="1"/>
      <c r="Q665" s="1"/>
      <c r="S665" s="1"/>
      <c r="T665" s="1"/>
      <c r="U665" s="1"/>
    </row>
    <row r="666" spans="14:21" x14ac:dyDescent="0.2">
      <c r="N666" s="1"/>
      <c r="Q666" s="1"/>
      <c r="S666" s="1"/>
      <c r="T666" s="1"/>
      <c r="U666" s="1"/>
    </row>
    <row r="667" spans="14:21" x14ac:dyDescent="0.2">
      <c r="N667" s="1"/>
      <c r="Q667" s="1"/>
      <c r="S667" s="1"/>
      <c r="T667" s="1"/>
      <c r="U667" s="1"/>
    </row>
    <row r="668" spans="14:21" x14ac:dyDescent="0.2">
      <c r="N668" s="1"/>
      <c r="Q668" s="1"/>
      <c r="S668" s="1"/>
      <c r="T668" s="1"/>
      <c r="U668" s="1"/>
    </row>
    <row r="669" spans="14:21" x14ac:dyDescent="0.2">
      <c r="N669" s="1"/>
      <c r="Q669" s="1"/>
      <c r="S669" s="1"/>
      <c r="T669" s="1"/>
      <c r="U669" s="1"/>
    </row>
    <row r="670" spans="14:21" x14ac:dyDescent="0.2">
      <c r="N670" s="1"/>
      <c r="Q670" s="1"/>
      <c r="S670" s="1"/>
      <c r="T670" s="1"/>
      <c r="U670" s="1"/>
    </row>
    <row r="671" spans="14:21" x14ac:dyDescent="0.2">
      <c r="N671" s="1"/>
      <c r="Q671" s="1"/>
      <c r="S671" s="1"/>
      <c r="T671" s="1"/>
      <c r="U671" s="1"/>
    </row>
    <row r="672" spans="14:21" x14ac:dyDescent="0.2">
      <c r="N672" s="1"/>
      <c r="Q672" s="1"/>
      <c r="S672" s="1"/>
      <c r="T672" s="1"/>
      <c r="U672" s="1"/>
    </row>
    <row r="673" spans="14:21" x14ac:dyDescent="0.2">
      <c r="N673" s="1"/>
      <c r="Q673" s="1"/>
      <c r="S673" s="1"/>
      <c r="T673" s="1"/>
      <c r="U673" s="1"/>
    </row>
    <row r="674" spans="14:21" x14ac:dyDescent="0.2">
      <c r="N674" s="1"/>
      <c r="Q674" s="1"/>
      <c r="S674" s="1"/>
      <c r="T674" s="1"/>
      <c r="U674" s="1"/>
    </row>
    <row r="675" spans="14:21" x14ac:dyDescent="0.2">
      <c r="N675" s="1"/>
      <c r="Q675" s="1"/>
      <c r="S675" s="1"/>
      <c r="T675" s="1"/>
      <c r="U675" s="1"/>
    </row>
    <row r="676" spans="14:21" x14ac:dyDescent="0.2">
      <c r="N676" s="1"/>
      <c r="Q676" s="1"/>
      <c r="S676" s="1"/>
      <c r="T676" s="1"/>
      <c r="U676" s="1"/>
    </row>
    <row r="677" spans="14:21" x14ac:dyDescent="0.2">
      <c r="N677" s="1"/>
      <c r="Q677" s="1"/>
      <c r="S677" s="1"/>
      <c r="T677" s="1"/>
      <c r="U677" s="1"/>
    </row>
    <row r="678" spans="14:21" x14ac:dyDescent="0.2">
      <c r="N678" s="1"/>
      <c r="Q678" s="1"/>
      <c r="S678" s="1"/>
      <c r="T678" s="1"/>
      <c r="U678" s="1"/>
    </row>
    <row r="679" spans="14:21" x14ac:dyDescent="0.2">
      <c r="N679" s="1"/>
      <c r="Q679" s="1"/>
      <c r="S679" s="1"/>
      <c r="T679" s="1"/>
      <c r="U679" s="1"/>
    </row>
    <row r="680" spans="14:21" x14ac:dyDescent="0.2">
      <c r="N680" s="1"/>
      <c r="Q680" s="1"/>
      <c r="S680" s="1"/>
      <c r="T680" s="1"/>
      <c r="U680" s="1"/>
    </row>
    <row r="681" spans="14:21" x14ac:dyDescent="0.2">
      <c r="N681" s="1"/>
      <c r="Q681" s="1"/>
      <c r="S681" s="1"/>
      <c r="T681" s="1"/>
      <c r="U681" s="1"/>
    </row>
    <row r="682" spans="14:21" x14ac:dyDescent="0.2">
      <c r="N682" s="1"/>
      <c r="Q682" s="1"/>
      <c r="S682" s="1"/>
      <c r="T682" s="1"/>
      <c r="U682" s="1"/>
    </row>
    <row r="683" spans="14:21" x14ac:dyDescent="0.2">
      <c r="N683" s="1"/>
      <c r="Q683" s="1"/>
      <c r="S683" s="1"/>
      <c r="T683" s="1"/>
      <c r="U683" s="1"/>
    </row>
    <row r="684" spans="14:21" x14ac:dyDescent="0.2">
      <c r="N684" s="1"/>
      <c r="Q684" s="1"/>
      <c r="S684" s="1"/>
      <c r="T684" s="1"/>
      <c r="U684" s="1"/>
    </row>
    <row r="685" spans="14:21" x14ac:dyDescent="0.2">
      <c r="N685" s="1"/>
      <c r="Q685" s="1"/>
      <c r="S685" s="1"/>
      <c r="T685" s="1"/>
      <c r="U685" s="1"/>
    </row>
    <row r="686" spans="14:21" x14ac:dyDescent="0.2">
      <c r="N686" s="1"/>
      <c r="Q686" s="1"/>
      <c r="S686" s="1"/>
      <c r="T686" s="1"/>
      <c r="U686" s="1"/>
    </row>
    <row r="687" spans="14:21" x14ac:dyDescent="0.2">
      <c r="N687" s="1"/>
      <c r="Q687" s="1"/>
      <c r="S687" s="1"/>
      <c r="T687" s="1"/>
      <c r="U687" s="1"/>
    </row>
    <row r="688" spans="14:21" x14ac:dyDescent="0.2">
      <c r="N688" s="1"/>
      <c r="Q688" s="1"/>
      <c r="S688" s="1"/>
      <c r="T688" s="1"/>
      <c r="U688" s="1"/>
    </row>
    <row r="689" spans="14:21" x14ac:dyDescent="0.2">
      <c r="N689" s="1"/>
      <c r="Q689" s="1"/>
      <c r="S689" s="1"/>
      <c r="T689" s="1"/>
      <c r="U689" s="1"/>
    </row>
    <row r="690" spans="14:21" x14ac:dyDescent="0.2">
      <c r="N690" s="1"/>
      <c r="Q690" s="1"/>
      <c r="S690" s="1"/>
      <c r="T690" s="1"/>
      <c r="U690" s="1"/>
    </row>
    <row r="691" spans="14:21" x14ac:dyDescent="0.2">
      <c r="N691" s="1"/>
      <c r="Q691" s="1"/>
      <c r="S691" s="1"/>
      <c r="T691" s="1"/>
      <c r="U691" s="1"/>
    </row>
    <row r="692" spans="14:21" x14ac:dyDescent="0.2">
      <c r="N692" s="1"/>
      <c r="Q692" s="1"/>
      <c r="S692" s="1"/>
      <c r="T692" s="1"/>
      <c r="U692" s="1"/>
    </row>
    <row r="693" spans="14:21" x14ac:dyDescent="0.2">
      <c r="N693" s="1"/>
      <c r="Q693" s="1"/>
      <c r="S693" s="1"/>
      <c r="T693" s="1"/>
      <c r="U693" s="1"/>
    </row>
    <row r="694" spans="14:21" x14ac:dyDescent="0.2">
      <c r="N694" s="1"/>
      <c r="Q694" s="1"/>
      <c r="S694" s="1"/>
      <c r="T694" s="1"/>
      <c r="U694" s="1"/>
    </row>
    <row r="695" spans="14:21" x14ac:dyDescent="0.2">
      <c r="N695" s="1"/>
      <c r="Q695" s="1"/>
      <c r="S695" s="1"/>
      <c r="T695" s="1"/>
      <c r="U695" s="1"/>
    </row>
    <row r="696" spans="14:21" x14ac:dyDescent="0.2">
      <c r="N696" s="1"/>
      <c r="Q696" s="1"/>
      <c r="S696" s="1"/>
      <c r="T696" s="1"/>
      <c r="U696" s="1"/>
    </row>
    <row r="697" spans="14:21" x14ac:dyDescent="0.2">
      <c r="N697" s="1"/>
      <c r="Q697" s="1"/>
      <c r="S697" s="1"/>
      <c r="T697" s="1"/>
      <c r="U697" s="1"/>
    </row>
    <row r="698" spans="14:21" x14ac:dyDescent="0.2">
      <c r="N698" s="1"/>
      <c r="Q698" s="1"/>
      <c r="S698" s="1"/>
      <c r="T698" s="1"/>
      <c r="U698" s="1"/>
    </row>
    <row r="699" spans="14:21" x14ac:dyDescent="0.2">
      <c r="N699" s="1"/>
      <c r="Q699" s="1"/>
      <c r="S699" s="1"/>
      <c r="T699" s="1"/>
      <c r="U699" s="1"/>
    </row>
    <row r="700" spans="14:21" x14ac:dyDescent="0.2">
      <c r="N700" s="1"/>
      <c r="Q700" s="1"/>
      <c r="S700" s="1"/>
      <c r="T700" s="1"/>
      <c r="U700" s="1"/>
    </row>
    <row r="701" spans="14:21" x14ac:dyDescent="0.2">
      <c r="N701" s="1"/>
      <c r="Q701" s="1"/>
      <c r="S701" s="1"/>
      <c r="T701" s="1"/>
      <c r="U701" s="1"/>
    </row>
    <row r="702" spans="14:21" x14ac:dyDescent="0.2">
      <c r="N702" s="1"/>
      <c r="Q702" s="1"/>
      <c r="S702" s="1"/>
      <c r="T702" s="1"/>
      <c r="U702" s="1"/>
    </row>
    <row r="703" spans="14:21" x14ac:dyDescent="0.2">
      <c r="N703" s="1"/>
      <c r="Q703" s="1"/>
      <c r="S703" s="1"/>
      <c r="T703" s="1"/>
      <c r="U703" s="1"/>
    </row>
    <row r="704" spans="14:21" x14ac:dyDescent="0.2">
      <c r="N704" s="1"/>
      <c r="Q704" s="1"/>
      <c r="S704" s="1"/>
      <c r="T704" s="1"/>
      <c r="U704" s="1"/>
    </row>
    <row r="705" spans="14:21" x14ac:dyDescent="0.2">
      <c r="N705" s="1"/>
      <c r="Q705" s="1"/>
      <c r="S705" s="1"/>
      <c r="T705" s="1"/>
      <c r="U705" s="1"/>
    </row>
    <row r="706" spans="14:21" x14ac:dyDescent="0.2">
      <c r="N706" s="1"/>
      <c r="Q706" s="1"/>
      <c r="S706" s="1"/>
      <c r="T706" s="1"/>
      <c r="U706" s="1"/>
    </row>
    <row r="707" spans="14:21" x14ac:dyDescent="0.2">
      <c r="N707" s="1"/>
      <c r="Q707" s="1"/>
      <c r="S707" s="1"/>
      <c r="T707" s="1"/>
      <c r="U707" s="1"/>
    </row>
    <row r="708" spans="14:21" x14ac:dyDescent="0.2">
      <c r="N708" s="1"/>
      <c r="Q708" s="1"/>
      <c r="S708" s="1"/>
      <c r="T708" s="1"/>
      <c r="U708" s="1"/>
    </row>
    <row r="709" spans="14:21" x14ac:dyDescent="0.2">
      <c r="N709" s="1"/>
      <c r="Q709" s="1"/>
      <c r="S709" s="1"/>
      <c r="T709" s="1"/>
      <c r="U709" s="1"/>
    </row>
    <row r="710" spans="14:21" x14ac:dyDescent="0.2">
      <c r="N710" s="1"/>
      <c r="Q710" s="1"/>
      <c r="S710" s="1"/>
      <c r="T710" s="1"/>
      <c r="U710" s="1"/>
    </row>
    <row r="711" spans="14:21" x14ac:dyDescent="0.2">
      <c r="N711" s="1"/>
      <c r="Q711" s="1"/>
      <c r="S711" s="1"/>
      <c r="T711" s="1"/>
      <c r="U711" s="1"/>
    </row>
    <row r="712" spans="14:21" x14ac:dyDescent="0.2">
      <c r="N712" s="1"/>
      <c r="Q712" s="1"/>
      <c r="S712" s="1"/>
      <c r="T712" s="1"/>
      <c r="U712" s="1"/>
    </row>
    <row r="713" spans="14:21" x14ac:dyDescent="0.2">
      <c r="N713" s="1"/>
      <c r="Q713" s="1"/>
      <c r="S713" s="1"/>
      <c r="T713" s="1"/>
      <c r="U713" s="1"/>
    </row>
    <row r="714" spans="14:21" x14ac:dyDescent="0.2">
      <c r="N714" s="1"/>
      <c r="Q714" s="1"/>
      <c r="S714" s="1"/>
      <c r="T714" s="1"/>
      <c r="U714" s="1"/>
    </row>
    <row r="715" spans="14:21" x14ac:dyDescent="0.2">
      <c r="N715" s="1"/>
      <c r="Q715" s="1"/>
      <c r="S715" s="1"/>
      <c r="T715" s="1"/>
      <c r="U715" s="1"/>
    </row>
    <row r="716" spans="14:21" x14ac:dyDescent="0.2">
      <c r="N716" s="1"/>
      <c r="Q716" s="1"/>
      <c r="S716" s="1"/>
      <c r="T716" s="1"/>
      <c r="U716" s="1"/>
    </row>
    <row r="717" spans="14:21" x14ac:dyDescent="0.2">
      <c r="N717" s="1"/>
      <c r="Q717" s="1"/>
      <c r="S717" s="1"/>
      <c r="T717" s="1"/>
      <c r="U717" s="1"/>
    </row>
    <row r="718" spans="14:21" x14ac:dyDescent="0.2">
      <c r="N718" s="1"/>
      <c r="Q718" s="1"/>
      <c r="S718" s="1"/>
      <c r="T718" s="1"/>
      <c r="U718" s="1"/>
    </row>
    <row r="719" spans="14:21" x14ac:dyDescent="0.2">
      <c r="N719" s="1"/>
      <c r="Q719" s="1"/>
      <c r="S719" s="1"/>
      <c r="T719" s="1"/>
      <c r="U719" s="1"/>
    </row>
    <row r="720" spans="14:21" x14ac:dyDescent="0.2">
      <c r="N720" s="1"/>
      <c r="Q720" s="1"/>
      <c r="S720" s="1"/>
      <c r="T720" s="1"/>
      <c r="U720" s="1"/>
    </row>
    <row r="721" spans="14:21" x14ac:dyDescent="0.2">
      <c r="N721" s="1"/>
      <c r="Q721" s="1"/>
      <c r="S721" s="1"/>
      <c r="T721" s="1"/>
      <c r="U721" s="1"/>
    </row>
    <row r="722" spans="14:21" x14ac:dyDescent="0.2">
      <c r="N722" s="1"/>
      <c r="Q722" s="1"/>
      <c r="S722" s="1"/>
      <c r="T722" s="1"/>
      <c r="U722" s="1"/>
    </row>
    <row r="723" spans="14:21" x14ac:dyDescent="0.2">
      <c r="N723" s="1"/>
      <c r="Q723" s="1"/>
      <c r="S723" s="1"/>
      <c r="T723" s="1"/>
      <c r="U723" s="1"/>
    </row>
    <row r="724" spans="14:21" x14ac:dyDescent="0.2">
      <c r="N724" s="1"/>
      <c r="Q724" s="1"/>
      <c r="S724" s="1"/>
      <c r="T724" s="1"/>
      <c r="U724" s="1"/>
    </row>
    <row r="725" spans="14:21" x14ac:dyDescent="0.2">
      <c r="N725" s="1"/>
      <c r="Q725" s="1"/>
      <c r="S725" s="1"/>
      <c r="T725" s="1"/>
      <c r="U725" s="1"/>
    </row>
    <row r="726" spans="14:21" x14ac:dyDescent="0.2">
      <c r="N726" s="1"/>
      <c r="Q726" s="1"/>
      <c r="S726" s="1"/>
      <c r="T726" s="1"/>
      <c r="U726" s="1"/>
    </row>
    <row r="727" spans="14:21" x14ac:dyDescent="0.2">
      <c r="N727" s="1"/>
      <c r="Q727" s="1"/>
      <c r="S727" s="1"/>
      <c r="T727" s="1"/>
      <c r="U727" s="1"/>
    </row>
    <row r="728" spans="14:21" x14ac:dyDescent="0.2">
      <c r="N728" s="1"/>
      <c r="Q728" s="1"/>
      <c r="S728" s="1"/>
      <c r="T728" s="1"/>
      <c r="U728" s="1"/>
    </row>
    <row r="729" spans="14:21" x14ac:dyDescent="0.2">
      <c r="N729" s="1"/>
      <c r="Q729" s="1"/>
      <c r="S729" s="1"/>
      <c r="T729" s="1"/>
      <c r="U729" s="1"/>
    </row>
    <row r="730" spans="14:21" x14ac:dyDescent="0.2">
      <c r="N730" s="1"/>
      <c r="Q730" s="1"/>
      <c r="S730" s="1"/>
      <c r="T730" s="1"/>
      <c r="U730" s="1"/>
    </row>
    <row r="731" spans="14:21" x14ac:dyDescent="0.2">
      <c r="N731" s="1"/>
      <c r="Q731" s="1"/>
      <c r="S731" s="1"/>
      <c r="T731" s="1"/>
      <c r="U731" s="1"/>
    </row>
    <row r="732" spans="14:21" x14ac:dyDescent="0.2">
      <c r="N732" s="1"/>
      <c r="Q732" s="1"/>
      <c r="S732" s="1"/>
      <c r="T732" s="1"/>
      <c r="U732" s="1"/>
    </row>
    <row r="733" spans="14:21" x14ac:dyDescent="0.2">
      <c r="N733" s="1"/>
      <c r="Q733" s="1"/>
      <c r="S733" s="1"/>
      <c r="T733" s="1"/>
      <c r="U733" s="1"/>
    </row>
    <row r="734" spans="14:21" x14ac:dyDescent="0.2">
      <c r="N734" s="1"/>
      <c r="Q734" s="1"/>
      <c r="S734" s="1"/>
      <c r="T734" s="1"/>
      <c r="U734" s="1"/>
    </row>
    <row r="735" spans="14:21" x14ac:dyDescent="0.2">
      <c r="N735" s="1"/>
      <c r="Q735" s="1"/>
      <c r="S735" s="1"/>
      <c r="T735" s="1"/>
      <c r="U735" s="1"/>
    </row>
    <row r="736" spans="14:21" x14ac:dyDescent="0.2">
      <c r="N736" s="1"/>
      <c r="Q736" s="1"/>
      <c r="S736" s="1"/>
      <c r="T736" s="1"/>
      <c r="U736" s="1"/>
    </row>
    <row r="737" spans="14:21" x14ac:dyDescent="0.2">
      <c r="N737" s="1"/>
      <c r="Q737" s="1"/>
      <c r="S737" s="1"/>
      <c r="T737" s="1"/>
      <c r="U737" s="1"/>
    </row>
    <row r="738" spans="14:21" x14ac:dyDescent="0.2">
      <c r="N738" s="1"/>
      <c r="Q738" s="1"/>
      <c r="S738" s="1"/>
      <c r="T738" s="1"/>
      <c r="U738" s="1"/>
    </row>
    <row r="739" spans="14:21" x14ac:dyDescent="0.2">
      <c r="N739" s="1"/>
      <c r="Q739" s="1"/>
      <c r="S739" s="1"/>
      <c r="T739" s="1"/>
      <c r="U739" s="1"/>
    </row>
    <row r="740" spans="14:21" x14ac:dyDescent="0.2">
      <c r="N740" s="1"/>
      <c r="Q740" s="1"/>
      <c r="S740" s="1"/>
      <c r="T740" s="1"/>
      <c r="U740" s="1"/>
    </row>
    <row r="741" spans="14:21" x14ac:dyDescent="0.2">
      <c r="N741" s="1"/>
      <c r="Q741" s="1"/>
      <c r="S741" s="1"/>
      <c r="T741" s="1"/>
      <c r="U741" s="1"/>
    </row>
    <row r="742" spans="14:21" x14ac:dyDescent="0.2">
      <c r="N742" s="1"/>
      <c r="Q742" s="1"/>
      <c r="S742" s="1"/>
      <c r="T742" s="1"/>
      <c r="U742" s="1"/>
    </row>
    <row r="743" spans="14:21" x14ac:dyDescent="0.2">
      <c r="N743" s="1"/>
      <c r="Q743" s="1"/>
      <c r="S743" s="1"/>
      <c r="T743" s="1"/>
      <c r="U743" s="1"/>
    </row>
    <row r="744" spans="14:21" x14ac:dyDescent="0.2">
      <c r="N744" s="1"/>
      <c r="Q744" s="1"/>
      <c r="S744" s="1"/>
      <c r="T744" s="1"/>
      <c r="U744" s="1"/>
    </row>
    <row r="745" spans="14:21" x14ac:dyDescent="0.2">
      <c r="N745" s="1"/>
      <c r="Q745" s="1"/>
      <c r="S745" s="1"/>
      <c r="T745" s="1"/>
      <c r="U745" s="1"/>
    </row>
    <row r="746" spans="14:21" x14ac:dyDescent="0.2">
      <c r="N746" s="1"/>
      <c r="Q746" s="1"/>
      <c r="S746" s="1"/>
      <c r="T746" s="1"/>
      <c r="U746" s="1"/>
    </row>
    <row r="747" spans="14:21" x14ac:dyDescent="0.2">
      <c r="N747" s="1"/>
      <c r="Q747" s="1"/>
      <c r="S747" s="1"/>
      <c r="T747" s="1"/>
      <c r="U747" s="1"/>
    </row>
    <row r="748" spans="14:21" x14ac:dyDescent="0.2">
      <c r="N748" s="1"/>
      <c r="Q748" s="1"/>
      <c r="S748" s="1"/>
      <c r="T748" s="1"/>
      <c r="U748" s="1"/>
    </row>
    <row r="749" spans="14:21" x14ac:dyDescent="0.2">
      <c r="N749" s="1"/>
      <c r="Q749" s="1"/>
      <c r="S749" s="1"/>
      <c r="T749" s="1"/>
      <c r="U749" s="1"/>
    </row>
    <row r="750" spans="14:21" x14ac:dyDescent="0.2">
      <c r="N750" s="1"/>
      <c r="Q750" s="1"/>
      <c r="S750" s="1"/>
      <c r="T750" s="1"/>
      <c r="U750" s="1"/>
    </row>
    <row r="751" spans="14:21" x14ac:dyDescent="0.2">
      <c r="N751" s="1"/>
      <c r="Q751" s="1"/>
      <c r="S751" s="1"/>
      <c r="T751" s="1"/>
      <c r="U751" s="1"/>
    </row>
    <row r="752" spans="14:21" x14ac:dyDescent="0.2">
      <c r="N752" s="1"/>
      <c r="Q752" s="1"/>
      <c r="S752" s="1"/>
      <c r="T752" s="1"/>
      <c r="U752" s="1"/>
    </row>
    <row r="753" spans="14:21" x14ac:dyDescent="0.2">
      <c r="N753" s="1"/>
      <c r="Q753" s="1"/>
      <c r="S753" s="1"/>
      <c r="T753" s="1"/>
      <c r="U753" s="1"/>
    </row>
    <row r="754" spans="14:21" x14ac:dyDescent="0.2">
      <c r="N754" s="1"/>
      <c r="Q754" s="1"/>
      <c r="S754" s="1"/>
      <c r="T754" s="1"/>
      <c r="U754" s="1"/>
    </row>
    <row r="755" spans="14:21" x14ac:dyDescent="0.2">
      <c r="N755" s="1"/>
      <c r="Q755" s="1"/>
      <c r="S755" s="1"/>
      <c r="T755" s="1"/>
      <c r="U755" s="1"/>
    </row>
    <row r="756" spans="14:21" x14ac:dyDescent="0.2">
      <c r="N756" s="1"/>
      <c r="Q756" s="1"/>
      <c r="S756" s="1"/>
      <c r="T756" s="1"/>
      <c r="U756" s="1"/>
    </row>
    <row r="757" spans="14:21" x14ac:dyDescent="0.2">
      <c r="N757" s="1"/>
      <c r="Q757" s="1"/>
      <c r="S757" s="1"/>
      <c r="T757" s="1"/>
      <c r="U757" s="1"/>
    </row>
    <row r="758" spans="14:21" x14ac:dyDescent="0.2">
      <c r="N758" s="1"/>
      <c r="Q758" s="1"/>
      <c r="S758" s="1"/>
      <c r="T758" s="1"/>
      <c r="U758" s="1"/>
    </row>
    <row r="759" spans="14:21" x14ac:dyDescent="0.2">
      <c r="N759" s="1"/>
      <c r="Q759" s="1"/>
      <c r="S759" s="1"/>
      <c r="T759" s="1"/>
      <c r="U759" s="1"/>
    </row>
    <row r="760" spans="14:21" x14ac:dyDescent="0.2">
      <c r="N760" s="1"/>
      <c r="Q760" s="1"/>
      <c r="S760" s="1"/>
      <c r="T760" s="1"/>
      <c r="U760" s="1"/>
    </row>
    <row r="761" spans="14:21" x14ac:dyDescent="0.2">
      <c r="N761" s="1"/>
      <c r="Q761" s="1"/>
      <c r="S761" s="1"/>
      <c r="T761" s="1"/>
      <c r="U761" s="1"/>
    </row>
    <row r="762" spans="14:21" x14ac:dyDescent="0.2">
      <c r="N762" s="1"/>
      <c r="Q762" s="1"/>
      <c r="S762" s="1"/>
      <c r="T762" s="1"/>
      <c r="U762" s="1"/>
    </row>
    <row r="763" spans="14:21" x14ac:dyDescent="0.2">
      <c r="N763" s="1"/>
      <c r="Q763" s="1"/>
      <c r="S763" s="1"/>
      <c r="T763" s="1"/>
      <c r="U763" s="1"/>
    </row>
    <row r="764" spans="14:21" x14ac:dyDescent="0.2">
      <c r="N764" s="1"/>
      <c r="Q764" s="1"/>
      <c r="S764" s="1"/>
      <c r="T764" s="1"/>
      <c r="U764" s="1"/>
    </row>
    <row r="765" spans="14:21" x14ac:dyDescent="0.2">
      <c r="N765" s="1"/>
      <c r="Q765" s="1"/>
      <c r="S765" s="1"/>
      <c r="T765" s="1"/>
      <c r="U765" s="1"/>
    </row>
    <row r="766" spans="14:21" x14ac:dyDescent="0.2">
      <c r="N766" s="1"/>
      <c r="Q766" s="1"/>
      <c r="S766" s="1"/>
      <c r="T766" s="1"/>
      <c r="U766" s="1"/>
    </row>
    <row r="767" spans="14:21" x14ac:dyDescent="0.2">
      <c r="N767" s="1"/>
      <c r="Q767" s="1"/>
      <c r="S767" s="1"/>
      <c r="T767" s="1"/>
      <c r="U767" s="1"/>
    </row>
    <row r="768" spans="14:21" x14ac:dyDescent="0.2">
      <c r="N768" s="1"/>
      <c r="Q768" s="1"/>
      <c r="S768" s="1"/>
      <c r="T768" s="1"/>
      <c r="U768" s="1"/>
    </row>
    <row r="769" spans="14:21" x14ac:dyDescent="0.2">
      <c r="N769" s="1"/>
      <c r="Q769" s="1"/>
      <c r="S769" s="1"/>
      <c r="T769" s="1"/>
      <c r="U769" s="1"/>
    </row>
    <row r="770" spans="14:21" x14ac:dyDescent="0.2">
      <c r="N770" s="1"/>
      <c r="Q770" s="1"/>
      <c r="S770" s="1"/>
      <c r="T770" s="1"/>
      <c r="U770" s="1"/>
    </row>
    <row r="771" spans="14:21" x14ac:dyDescent="0.2">
      <c r="N771" s="1"/>
      <c r="Q771" s="1"/>
      <c r="S771" s="1"/>
      <c r="T771" s="1"/>
      <c r="U771" s="1"/>
    </row>
    <row r="772" spans="14:21" x14ac:dyDescent="0.2">
      <c r="N772" s="1"/>
      <c r="Q772" s="1"/>
      <c r="S772" s="1"/>
      <c r="T772" s="1"/>
      <c r="U772" s="1"/>
    </row>
    <row r="773" spans="14:21" x14ac:dyDescent="0.2">
      <c r="N773" s="1"/>
      <c r="Q773" s="1"/>
      <c r="S773" s="1"/>
      <c r="T773" s="1"/>
      <c r="U773" s="1"/>
    </row>
    <row r="774" spans="14:21" x14ac:dyDescent="0.2">
      <c r="N774" s="1"/>
      <c r="Q774" s="1"/>
      <c r="S774" s="1"/>
      <c r="T774" s="1"/>
      <c r="U774" s="1"/>
    </row>
    <row r="775" spans="14:21" x14ac:dyDescent="0.2">
      <c r="N775" s="1"/>
      <c r="Q775" s="1"/>
      <c r="S775" s="1"/>
      <c r="T775" s="1"/>
      <c r="U775" s="1"/>
    </row>
    <row r="776" spans="14:21" x14ac:dyDescent="0.2">
      <c r="N776" s="1"/>
      <c r="Q776" s="1"/>
      <c r="S776" s="1"/>
      <c r="T776" s="1"/>
      <c r="U776" s="1"/>
    </row>
    <row r="777" spans="14:21" x14ac:dyDescent="0.2">
      <c r="N777" s="1"/>
      <c r="Q777" s="1"/>
      <c r="S777" s="1"/>
      <c r="T777" s="1"/>
      <c r="U777" s="1"/>
    </row>
    <row r="778" spans="14:21" x14ac:dyDescent="0.2">
      <c r="N778" s="1"/>
      <c r="Q778" s="1"/>
      <c r="S778" s="1"/>
      <c r="T778" s="1"/>
      <c r="U778" s="1"/>
    </row>
    <row r="779" spans="14:21" x14ac:dyDescent="0.2">
      <c r="N779" s="1"/>
      <c r="Q779" s="1"/>
      <c r="S779" s="1"/>
      <c r="T779" s="1"/>
      <c r="U779" s="1"/>
    </row>
    <row r="780" spans="14:21" x14ac:dyDescent="0.2">
      <c r="N780" s="1"/>
      <c r="Q780" s="1"/>
      <c r="S780" s="1"/>
      <c r="T780" s="1"/>
      <c r="U780" s="1"/>
    </row>
    <row r="781" spans="14:21" x14ac:dyDescent="0.2">
      <c r="N781" s="1"/>
      <c r="Q781" s="1"/>
      <c r="S781" s="1"/>
      <c r="T781" s="1"/>
      <c r="U781" s="1"/>
    </row>
    <row r="782" spans="14:21" x14ac:dyDescent="0.2">
      <c r="N782" s="1"/>
      <c r="Q782" s="1"/>
      <c r="S782" s="1"/>
      <c r="T782" s="1"/>
      <c r="U782" s="1"/>
    </row>
    <row r="783" spans="14:21" x14ac:dyDescent="0.2">
      <c r="N783" s="1"/>
      <c r="Q783" s="1"/>
      <c r="S783" s="1"/>
      <c r="T783" s="1"/>
      <c r="U783" s="1"/>
    </row>
    <row r="784" spans="14:21" x14ac:dyDescent="0.2">
      <c r="N784" s="1"/>
      <c r="Q784" s="1"/>
      <c r="S784" s="1"/>
      <c r="T784" s="1"/>
      <c r="U784" s="1"/>
    </row>
    <row r="785" spans="14:21" x14ac:dyDescent="0.2">
      <c r="N785" s="1"/>
      <c r="Q785" s="1"/>
      <c r="S785" s="1"/>
      <c r="T785" s="1"/>
      <c r="U785" s="1"/>
    </row>
    <row r="786" spans="14:21" x14ac:dyDescent="0.2">
      <c r="N786" s="1"/>
      <c r="Q786" s="1"/>
      <c r="S786" s="1"/>
      <c r="T786" s="1"/>
      <c r="U786" s="1"/>
    </row>
    <row r="787" spans="14:21" x14ac:dyDescent="0.2">
      <c r="N787" s="1"/>
      <c r="Q787" s="1"/>
      <c r="S787" s="1"/>
      <c r="T787" s="1"/>
      <c r="U787" s="1"/>
    </row>
    <row r="788" spans="14:21" x14ac:dyDescent="0.2">
      <c r="N788" s="1"/>
      <c r="Q788" s="1"/>
      <c r="S788" s="1"/>
      <c r="T788" s="1"/>
      <c r="U788" s="1"/>
    </row>
    <row r="789" spans="14:21" x14ac:dyDescent="0.2">
      <c r="N789" s="1"/>
      <c r="Q789" s="1"/>
      <c r="S789" s="1"/>
      <c r="T789" s="1"/>
      <c r="U789" s="1"/>
    </row>
    <row r="790" spans="14:21" x14ac:dyDescent="0.2">
      <c r="N790" s="1"/>
      <c r="Q790" s="1"/>
      <c r="S790" s="1"/>
      <c r="T790" s="1"/>
      <c r="U790" s="1"/>
    </row>
    <row r="791" spans="14:21" x14ac:dyDescent="0.2">
      <c r="N791" s="1"/>
      <c r="Q791" s="1"/>
      <c r="S791" s="1"/>
      <c r="T791" s="1"/>
      <c r="U791" s="1"/>
    </row>
    <row r="792" spans="14:21" x14ac:dyDescent="0.2">
      <c r="N792" s="1"/>
      <c r="Q792" s="1"/>
      <c r="S792" s="1"/>
      <c r="T792" s="1"/>
      <c r="U792" s="1"/>
    </row>
    <row r="793" spans="14:21" x14ac:dyDescent="0.2">
      <c r="N793" s="1"/>
      <c r="Q793" s="1"/>
      <c r="S793" s="1"/>
      <c r="T793" s="1"/>
      <c r="U793" s="1"/>
    </row>
    <row r="794" spans="14:21" x14ac:dyDescent="0.2">
      <c r="N794" s="1"/>
      <c r="Q794" s="1"/>
      <c r="S794" s="1"/>
      <c r="T794" s="1"/>
      <c r="U794" s="1"/>
    </row>
    <row r="795" spans="14:21" x14ac:dyDescent="0.2">
      <c r="N795" s="1"/>
      <c r="Q795" s="1"/>
      <c r="S795" s="1"/>
      <c r="T795" s="1"/>
      <c r="U795" s="1"/>
    </row>
    <row r="796" spans="14:21" x14ac:dyDescent="0.2">
      <c r="N796" s="1"/>
      <c r="Q796" s="1"/>
      <c r="S796" s="1"/>
      <c r="T796" s="1"/>
      <c r="U796" s="1"/>
    </row>
    <row r="797" spans="14:21" x14ac:dyDescent="0.2">
      <c r="N797" s="1"/>
      <c r="Q797" s="1"/>
      <c r="S797" s="1"/>
      <c r="T797" s="1"/>
      <c r="U797" s="1"/>
    </row>
    <row r="798" spans="14:21" x14ac:dyDescent="0.2">
      <c r="N798" s="1"/>
      <c r="Q798" s="1"/>
      <c r="S798" s="1"/>
      <c r="T798" s="1"/>
      <c r="U798" s="1"/>
    </row>
    <row r="799" spans="14:21" x14ac:dyDescent="0.2">
      <c r="N799" s="1"/>
      <c r="Q799" s="1"/>
      <c r="S799" s="1"/>
      <c r="T799" s="1"/>
      <c r="U799" s="1"/>
    </row>
    <row r="800" spans="14:21" x14ac:dyDescent="0.2">
      <c r="N800" s="1"/>
      <c r="Q800" s="1"/>
      <c r="S800" s="1"/>
      <c r="T800" s="1"/>
      <c r="U800" s="1"/>
    </row>
    <row r="801" spans="14:21" x14ac:dyDescent="0.2">
      <c r="N801" s="1"/>
      <c r="Q801" s="1"/>
      <c r="S801" s="1"/>
      <c r="T801" s="1"/>
      <c r="U801" s="1"/>
    </row>
    <row r="802" spans="14:21" x14ac:dyDescent="0.2">
      <c r="N802" s="1"/>
      <c r="Q802" s="1"/>
      <c r="S802" s="1"/>
      <c r="T802" s="1"/>
      <c r="U802" s="1"/>
    </row>
    <row r="803" spans="14:21" x14ac:dyDescent="0.2">
      <c r="N803" s="1"/>
      <c r="Q803" s="1"/>
      <c r="S803" s="1"/>
      <c r="T803" s="1"/>
      <c r="U803" s="1"/>
    </row>
    <row r="804" spans="14:21" x14ac:dyDescent="0.2">
      <c r="N804" s="1"/>
      <c r="Q804" s="1"/>
      <c r="S804" s="1"/>
      <c r="T804" s="1"/>
      <c r="U804" s="1"/>
    </row>
    <row r="805" spans="14:21" x14ac:dyDescent="0.2">
      <c r="N805" s="1"/>
      <c r="Q805" s="1"/>
      <c r="S805" s="1"/>
      <c r="T805" s="1"/>
      <c r="U805" s="1"/>
    </row>
    <row r="806" spans="14:21" x14ac:dyDescent="0.2">
      <c r="N806" s="1"/>
      <c r="Q806" s="1"/>
      <c r="S806" s="1"/>
      <c r="T806" s="1"/>
      <c r="U806" s="1"/>
    </row>
    <row r="807" spans="14:21" x14ac:dyDescent="0.2">
      <c r="N807" s="1"/>
      <c r="Q807" s="1"/>
      <c r="S807" s="1"/>
      <c r="T807" s="1"/>
      <c r="U807" s="1"/>
    </row>
    <row r="808" spans="14:21" x14ac:dyDescent="0.2">
      <c r="N808" s="1"/>
      <c r="Q808" s="1"/>
      <c r="S808" s="1"/>
      <c r="T808" s="1"/>
      <c r="U808" s="1"/>
    </row>
    <row r="809" spans="14:21" x14ac:dyDescent="0.2">
      <c r="N809" s="1"/>
      <c r="Q809" s="1"/>
      <c r="S809" s="1"/>
      <c r="T809" s="1"/>
      <c r="U809" s="1"/>
    </row>
    <row r="810" spans="14:21" x14ac:dyDescent="0.2">
      <c r="N810" s="1"/>
      <c r="Q810" s="1"/>
      <c r="S810" s="1"/>
      <c r="T810" s="1"/>
      <c r="U810" s="1"/>
    </row>
    <row r="811" spans="14:21" x14ac:dyDescent="0.2">
      <c r="N811" s="1"/>
      <c r="Q811" s="1"/>
      <c r="S811" s="1"/>
      <c r="T811" s="1"/>
      <c r="U811" s="1"/>
    </row>
    <row r="812" spans="14:21" x14ac:dyDescent="0.2">
      <c r="N812" s="1"/>
      <c r="Q812" s="1"/>
      <c r="S812" s="1"/>
      <c r="T812" s="1"/>
      <c r="U812" s="1"/>
    </row>
    <row r="813" spans="14:21" x14ac:dyDescent="0.2">
      <c r="N813" s="1"/>
      <c r="Q813" s="1"/>
      <c r="S813" s="1"/>
      <c r="T813" s="1"/>
      <c r="U813" s="1"/>
    </row>
    <row r="814" spans="14:21" x14ac:dyDescent="0.2">
      <c r="N814" s="1"/>
      <c r="Q814" s="1"/>
      <c r="S814" s="1"/>
      <c r="T814" s="1"/>
      <c r="U814" s="1"/>
    </row>
    <row r="815" spans="14:21" x14ac:dyDescent="0.2">
      <c r="N815" s="1"/>
      <c r="Q815" s="1"/>
      <c r="S815" s="1"/>
      <c r="T815" s="1"/>
      <c r="U815" s="1"/>
    </row>
    <row r="816" spans="14:21" x14ac:dyDescent="0.2">
      <c r="N816" s="1"/>
      <c r="Q816" s="1"/>
      <c r="S816" s="1"/>
      <c r="T816" s="1"/>
      <c r="U816" s="1"/>
    </row>
    <row r="817" spans="14:21" x14ac:dyDescent="0.2">
      <c r="N817" s="1"/>
      <c r="Q817" s="1"/>
      <c r="S817" s="1"/>
      <c r="T817" s="1"/>
      <c r="U817" s="1"/>
    </row>
    <row r="818" spans="14:21" x14ac:dyDescent="0.2">
      <c r="N818" s="1"/>
      <c r="Q818" s="1"/>
      <c r="S818" s="1"/>
      <c r="T818" s="1"/>
      <c r="U818" s="1"/>
    </row>
    <row r="819" spans="14:21" x14ac:dyDescent="0.2">
      <c r="N819" s="1"/>
      <c r="Q819" s="1"/>
      <c r="S819" s="1"/>
      <c r="T819" s="1"/>
      <c r="U819" s="1"/>
    </row>
    <row r="820" spans="14:21" x14ac:dyDescent="0.2">
      <c r="N820" s="1"/>
      <c r="Q820" s="1"/>
      <c r="S820" s="1"/>
      <c r="T820" s="1"/>
      <c r="U820" s="1"/>
    </row>
    <row r="821" spans="14:21" x14ac:dyDescent="0.2">
      <c r="N821" s="1"/>
      <c r="Q821" s="1"/>
      <c r="S821" s="1"/>
      <c r="T821" s="1"/>
      <c r="U821" s="1"/>
    </row>
    <row r="822" spans="14:21" x14ac:dyDescent="0.2">
      <c r="N822" s="1"/>
      <c r="Q822" s="1"/>
      <c r="S822" s="1"/>
      <c r="T822" s="1"/>
      <c r="U822" s="1"/>
    </row>
    <row r="823" spans="14:21" x14ac:dyDescent="0.2">
      <c r="N823" s="1"/>
      <c r="Q823" s="1"/>
      <c r="S823" s="1"/>
      <c r="T823" s="1"/>
      <c r="U823" s="1"/>
    </row>
    <row r="824" spans="14:21" x14ac:dyDescent="0.2">
      <c r="N824" s="1"/>
      <c r="Q824" s="1"/>
      <c r="S824" s="1"/>
      <c r="T824" s="1"/>
      <c r="U824" s="1"/>
    </row>
    <row r="825" spans="14:21" x14ac:dyDescent="0.2">
      <c r="N825" s="1"/>
      <c r="Q825" s="1"/>
      <c r="S825" s="1"/>
      <c r="T825" s="1"/>
      <c r="U825" s="1"/>
    </row>
    <row r="826" spans="14:21" x14ac:dyDescent="0.2">
      <c r="N826" s="1"/>
      <c r="Q826" s="1"/>
      <c r="S826" s="1"/>
      <c r="T826" s="1"/>
      <c r="U826" s="1"/>
    </row>
    <row r="827" spans="14:21" x14ac:dyDescent="0.2">
      <c r="N827" s="1"/>
      <c r="Q827" s="1"/>
      <c r="S827" s="1"/>
      <c r="T827" s="1"/>
      <c r="U827" s="1"/>
    </row>
    <row r="828" spans="14:21" x14ac:dyDescent="0.2">
      <c r="N828" s="1"/>
      <c r="Q828" s="1"/>
      <c r="S828" s="1"/>
      <c r="T828" s="1"/>
      <c r="U828" s="1"/>
    </row>
    <row r="829" spans="14:21" x14ac:dyDescent="0.2">
      <c r="N829" s="1"/>
      <c r="Q829" s="1"/>
      <c r="S829" s="1"/>
      <c r="T829" s="1"/>
      <c r="U829" s="1"/>
    </row>
    <row r="830" spans="14:21" x14ac:dyDescent="0.2">
      <c r="N830" s="1"/>
      <c r="Q830" s="1"/>
      <c r="S830" s="1"/>
      <c r="T830" s="1"/>
      <c r="U830" s="1"/>
    </row>
    <row r="831" spans="14:21" x14ac:dyDescent="0.2">
      <c r="N831" s="1"/>
      <c r="Q831" s="1"/>
      <c r="S831" s="1"/>
      <c r="T831" s="1"/>
      <c r="U831" s="1"/>
    </row>
    <row r="832" spans="14:21" x14ac:dyDescent="0.2">
      <c r="N832" s="1"/>
      <c r="Q832" s="1"/>
      <c r="S832" s="1"/>
      <c r="T832" s="1"/>
      <c r="U832" s="1"/>
    </row>
    <row r="833" spans="14:21" x14ac:dyDescent="0.2">
      <c r="N833" s="1"/>
      <c r="Q833" s="1"/>
      <c r="S833" s="1"/>
      <c r="T833" s="1"/>
      <c r="U833" s="1"/>
    </row>
    <row r="834" spans="14:21" x14ac:dyDescent="0.2">
      <c r="N834" s="1"/>
      <c r="Q834" s="1"/>
      <c r="S834" s="1"/>
      <c r="T834" s="1"/>
      <c r="U834" s="1"/>
    </row>
    <row r="835" spans="14:21" x14ac:dyDescent="0.2">
      <c r="N835" s="1"/>
      <c r="Q835" s="1"/>
      <c r="S835" s="1"/>
      <c r="T835" s="1"/>
      <c r="U835" s="1"/>
    </row>
    <row r="836" spans="14:21" x14ac:dyDescent="0.2">
      <c r="N836" s="1"/>
      <c r="Q836" s="1"/>
      <c r="S836" s="1"/>
      <c r="T836" s="1"/>
      <c r="U836" s="1"/>
    </row>
    <row r="837" spans="14:21" x14ac:dyDescent="0.2">
      <c r="N837" s="1"/>
      <c r="Q837" s="1"/>
      <c r="S837" s="1"/>
      <c r="T837" s="1"/>
      <c r="U837" s="1"/>
    </row>
    <row r="838" spans="14:21" x14ac:dyDescent="0.2">
      <c r="N838" s="1"/>
      <c r="Q838" s="1"/>
      <c r="S838" s="1"/>
      <c r="T838" s="1"/>
      <c r="U838" s="1"/>
    </row>
    <row r="839" spans="14:21" x14ac:dyDescent="0.2">
      <c r="N839" s="1"/>
      <c r="Q839" s="1"/>
      <c r="S839" s="1"/>
      <c r="T839" s="1"/>
      <c r="U839" s="1"/>
    </row>
    <row r="840" spans="14:21" x14ac:dyDescent="0.2">
      <c r="N840" s="1"/>
      <c r="Q840" s="1"/>
      <c r="S840" s="1"/>
      <c r="T840" s="1"/>
      <c r="U840" s="1"/>
    </row>
    <row r="841" spans="14:21" x14ac:dyDescent="0.2">
      <c r="N841" s="1"/>
      <c r="Q841" s="1"/>
      <c r="S841" s="1"/>
      <c r="T841" s="1"/>
      <c r="U841" s="1"/>
    </row>
    <row r="842" spans="14:21" x14ac:dyDescent="0.2">
      <c r="N842" s="1"/>
      <c r="Q842" s="1"/>
      <c r="S842" s="1"/>
      <c r="T842" s="1"/>
      <c r="U842" s="1"/>
    </row>
    <row r="843" spans="14:21" x14ac:dyDescent="0.2">
      <c r="N843" s="1"/>
      <c r="Q843" s="1"/>
      <c r="S843" s="1"/>
      <c r="T843" s="1"/>
      <c r="U843" s="1"/>
    </row>
    <row r="844" spans="14:21" x14ac:dyDescent="0.2">
      <c r="N844" s="1"/>
      <c r="Q844" s="1"/>
      <c r="S844" s="1"/>
      <c r="T844" s="1"/>
      <c r="U844" s="1"/>
    </row>
    <row r="845" spans="14:21" x14ac:dyDescent="0.2">
      <c r="N845" s="1"/>
      <c r="Q845" s="1"/>
      <c r="S845" s="1"/>
      <c r="T845" s="1"/>
      <c r="U845" s="1"/>
    </row>
    <row r="846" spans="14:21" x14ac:dyDescent="0.2">
      <c r="N846" s="1"/>
      <c r="Q846" s="1"/>
      <c r="S846" s="1"/>
      <c r="T846" s="1"/>
      <c r="U846" s="1"/>
    </row>
    <row r="847" spans="14:21" x14ac:dyDescent="0.2">
      <c r="N847" s="1"/>
      <c r="Q847" s="1"/>
      <c r="S847" s="1"/>
      <c r="T847" s="1"/>
      <c r="U847" s="1"/>
    </row>
    <row r="848" spans="14:21" x14ac:dyDescent="0.2">
      <c r="N848" s="1"/>
      <c r="Q848" s="1"/>
      <c r="S848" s="1"/>
      <c r="T848" s="1"/>
      <c r="U848" s="1"/>
    </row>
    <row r="849" spans="14:21" x14ac:dyDescent="0.2">
      <c r="N849" s="1"/>
      <c r="Q849" s="1"/>
      <c r="S849" s="1"/>
      <c r="T849" s="1"/>
      <c r="U849" s="1"/>
    </row>
    <row r="850" spans="14:21" x14ac:dyDescent="0.2">
      <c r="N850" s="1"/>
      <c r="Q850" s="1"/>
      <c r="S850" s="1"/>
      <c r="T850" s="1"/>
      <c r="U850" s="1"/>
    </row>
    <row r="851" spans="14:21" x14ac:dyDescent="0.2">
      <c r="N851" s="1"/>
      <c r="Q851" s="1"/>
      <c r="S851" s="1"/>
      <c r="T851" s="1"/>
      <c r="U851" s="1"/>
    </row>
    <row r="852" spans="14:21" x14ac:dyDescent="0.2">
      <c r="N852" s="1"/>
      <c r="Q852" s="1"/>
      <c r="S852" s="1"/>
      <c r="T852" s="1"/>
      <c r="U852" s="1"/>
    </row>
    <row r="853" spans="14:21" x14ac:dyDescent="0.2">
      <c r="N853" s="1"/>
      <c r="Q853" s="1"/>
      <c r="S853" s="1"/>
      <c r="T853" s="1"/>
      <c r="U853" s="1"/>
    </row>
    <row r="854" spans="14:21" x14ac:dyDescent="0.2">
      <c r="N854" s="1"/>
      <c r="Q854" s="1"/>
      <c r="S854" s="1"/>
      <c r="T854" s="1"/>
      <c r="U854" s="1"/>
    </row>
    <row r="855" spans="14:21" x14ac:dyDescent="0.2">
      <c r="N855" s="1"/>
      <c r="Q855" s="1"/>
      <c r="S855" s="1"/>
      <c r="T855" s="1"/>
      <c r="U855" s="1"/>
    </row>
    <row r="856" spans="14:21" x14ac:dyDescent="0.2">
      <c r="N856" s="1"/>
      <c r="Q856" s="1"/>
      <c r="S856" s="1"/>
      <c r="T856" s="1"/>
      <c r="U856" s="1"/>
    </row>
    <row r="857" spans="14:21" x14ac:dyDescent="0.2">
      <c r="N857" s="1"/>
      <c r="Q857" s="1"/>
      <c r="S857" s="1"/>
      <c r="T857" s="1"/>
      <c r="U857" s="1"/>
    </row>
    <row r="858" spans="14:21" x14ac:dyDescent="0.2">
      <c r="N858" s="1"/>
      <c r="Q858" s="1"/>
      <c r="S858" s="1"/>
      <c r="T858" s="1"/>
      <c r="U858" s="1"/>
    </row>
    <row r="859" spans="14:21" x14ac:dyDescent="0.2">
      <c r="N859" s="1"/>
      <c r="Q859" s="1"/>
      <c r="S859" s="1"/>
      <c r="T859" s="1"/>
      <c r="U859" s="1"/>
    </row>
    <row r="860" spans="14:21" x14ac:dyDescent="0.2">
      <c r="N860" s="1"/>
      <c r="Q860" s="1"/>
      <c r="S860" s="1"/>
      <c r="T860" s="1"/>
      <c r="U860" s="1"/>
    </row>
    <row r="861" spans="14:21" x14ac:dyDescent="0.2">
      <c r="N861" s="1"/>
      <c r="Q861" s="1"/>
      <c r="S861" s="1"/>
      <c r="T861" s="1"/>
      <c r="U861" s="1"/>
    </row>
    <row r="862" spans="14:21" x14ac:dyDescent="0.2">
      <c r="N862" s="1"/>
      <c r="Q862" s="1"/>
      <c r="S862" s="1"/>
      <c r="T862" s="1"/>
      <c r="U862" s="1"/>
    </row>
    <row r="863" spans="14:21" x14ac:dyDescent="0.2">
      <c r="N863" s="1"/>
      <c r="Q863" s="1"/>
      <c r="S863" s="1"/>
      <c r="T863" s="1"/>
      <c r="U863" s="1"/>
    </row>
    <row r="864" spans="14:21" x14ac:dyDescent="0.2">
      <c r="N864" s="1"/>
      <c r="Q864" s="1"/>
      <c r="S864" s="1"/>
      <c r="T864" s="1"/>
      <c r="U864" s="1"/>
    </row>
    <row r="865" spans="14:21" x14ac:dyDescent="0.2">
      <c r="N865" s="1"/>
      <c r="Q865" s="1"/>
      <c r="S865" s="1"/>
      <c r="T865" s="1"/>
      <c r="U865" s="1"/>
    </row>
    <row r="866" spans="14:21" x14ac:dyDescent="0.2">
      <c r="N866" s="1"/>
      <c r="Q866" s="1"/>
      <c r="S866" s="1"/>
      <c r="T866" s="1"/>
      <c r="U866" s="1"/>
    </row>
    <row r="867" spans="14:21" x14ac:dyDescent="0.2">
      <c r="N867" s="1"/>
      <c r="Q867" s="1"/>
      <c r="S867" s="1"/>
      <c r="T867" s="1"/>
      <c r="U867" s="1"/>
    </row>
    <row r="868" spans="14:21" x14ac:dyDescent="0.2">
      <c r="N868" s="1"/>
      <c r="Q868" s="1"/>
      <c r="S868" s="1"/>
      <c r="T868" s="1"/>
      <c r="U868" s="1"/>
    </row>
    <row r="869" spans="14:21" x14ac:dyDescent="0.2">
      <c r="N869" s="1"/>
      <c r="Q869" s="1"/>
      <c r="S869" s="1"/>
      <c r="T869" s="1"/>
      <c r="U869" s="1"/>
    </row>
    <row r="870" spans="14:21" x14ac:dyDescent="0.2">
      <c r="N870" s="1"/>
      <c r="Q870" s="1"/>
      <c r="S870" s="1"/>
      <c r="T870" s="1"/>
      <c r="U870" s="1"/>
    </row>
    <row r="871" spans="14:21" x14ac:dyDescent="0.2">
      <c r="N871" s="1"/>
      <c r="Q871" s="1"/>
      <c r="S871" s="1"/>
      <c r="T871" s="1"/>
      <c r="U871" s="1"/>
    </row>
    <row r="872" spans="14:21" x14ac:dyDescent="0.2">
      <c r="N872" s="1"/>
      <c r="Q872" s="1"/>
      <c r="S872" s="1"/>
      <c r="T872" s="1"/>
      <c r="U872" s="1"/>
    </row>
    <row r="873" spans="14:21" x14ac:dyDescent="0.2">
      <c r="N873" s="1"/>
      <c r="Q873" s="1"/>
      <c r="S873" s="1"/>
      <c r="T873" s="1"/>
      <c r="U873" s="1"/>
    </row>
    <row r="874" spans="14:21" x14ac:dyDescent="0.2">
      <c r="N874" s="1"/>
      <c r="Q874" s="1"/>
      <c r="S874" s="1"/>
      <c r="T874" s="1"/>
      <c r="U874" s="1"/>
    </row>
    <row r="875" spans="14:21" x14ac:dyDescent="0.2">
      <c r="N875" s="1"/>
      <c r="Q875" s="1"/>
      <c r="S875" s="1"/>
      <c r="T875" s="1"/>
      <c r="U875" s="1"/>
    </row>
    <row r="876" spans="14:21" x14ac:dyDescent="0.2">
      <c r="N876" s="1"/>
      <c r="Q876" s="1"/>
      <c r="S876" s="1"/>
      <c r="T876" s="1"/>
      <c r="U876" s="1"/>
    </row>
    <row r="877" spans="14:21" x14ac:dyDescent="0.2">
      <c r="N877" s="1"/>
      <c r="Q877" s="1"/>
      <c r="S877" s="1"/>
      <c r="T877" s="1"/>
      <c r="U877" s="1"/>
    </row>
    <row r="878" spans="14:21" x14ac:dyDescent="0.2">
      <c r="N878" s="1"/>
      <c r="Q878" s="1"/>
      <c r="S878" s="1"/>
      <c r="T878" s="1"/>
      <c r="U878" s="1"/>
    </row>
    <row r="879" spans="14:21" x14ac:dyDescent="0.2">
      <c r="N879" s="1"/>
      <c r="Q879" s="1"/>
      <c r="S879" s="1"/>
      <c r="T879" s="1"/>
      <c r="U879" s="1"/>
    </row>
    <row r="880" spans="14:21" x14ac:dyDescent="0.2">
      <c r="N880" s="1"/>
      <c r="Q880" s="1"/>
      <c r="S880" s="1"/>
      <c r="T880" s="1"/>
      <c r="U880" s="1"/>
    </row>
    <row r="881" spans="14:21" x14ac:dyDescent="0.2">
      <c r="N881" s="1"/>
      <c r="Q881" s="1"/>
      <c r="S881" s="1"/>
      <c r="T881" s="1"/>
      <c r="U881" s="1"/>
    </row>
    <row r="882" spans="14:21" x14ac:dyDescent="0.2">
      <c r="N882" s="1"/>
      <c r="Q882" s="1"/>
      <c r="S882" s="1"/>
      <c r="T882" s="1"/>
      <c r="U882" s="1"/>
    </row>
    <row r="883" spans="14:21" x14ac:dyDescent="0.2">
      <c r="N883" s="1"/>
      <c r="Q883" s="1"/>
      <c r="S883" s="1"/>
      <c r="T883" s="1"/>
      <c r="U883" s="1"/>
    </row>
    <row r="884" spans="14:21" x14ac:dyDescent="0.2">
      <c r="N884" s="1"/>
      <c r="Q884" s="1"/>
      <c r="S884" s="1"/>
      <c r="T884" s="1"/>
      <c r="U884" s="1"/>
    </row>
    <row r="885" spans="14:21" x14ac:dyDescent="0.2">
      <c r="N885" s="1"/>
      <c r="Q885" s="1"/>
      <c r="S885" s="1"/>
      <c r="T885" s="1"/>
      <c r="U885" s="1"/>
    </row>
    <row r="886" spans="14:21" x14ac:dyDescent="0.2">
      <c r="N886" s="1"/>
      <c r="Q886" s="1"/>
      <c r="S886" s="1"/>
      <c r="T886" s="1"/>
      <c r="U886" s="1"/>
    </row>
    <row r="887" spans="14:21" x14ac:dyDescent="0.2">
      <c r="N887" s="1"/>
      <c r="Q887" s="1"/>
      <c r="S887" s="1"/>
      <c r="T887" s="1"/>
      <c r="U887" s="1"/>
    </row>
    <row r="888" spans="14:21" x14ac:dyDescent="0.2">
      <c r="N888" s="1"/>
      <c r="Q888" s="1"/>
      <c r="S888" s="1"/>
      <c r="T888" s="1"/>
      <c r="U888" s="1"/>
    </row>
    <row r="889" spans="14:21" x14ac:dyDescent="0.2">
      <c r="N889" s="1"/>
      <c r="Q889" s="1"/>
      <c r="S889" s="1"/>
      <c r="T889" s="1"/>
      <c r="U889" s="1"/>
    </row>
    <row r="890" spans="14:21" x14ac:dyDescent="0.2">
      <c r="N890" s="1"/>
      <c r="Q890" s="1"/>
      <c r="S890" s="1"/>
      <c r="T890" s="1"/>
      <c r="U890" s="1"/>
    </row>
    <row r="891" spans="14:21" x14ac:dyDescent="0.2">
      <c r="N891" s="1"/>
      <c r="Q891" s="1"/>
      <c r="S891" s="1"/>
      <c r="T891" s="1"/>
      <c r="U891" s="1"/>
    </row>
    <row r="892" spans="14:21" x14ac:dyDescent="0.2">
      <c r="N892" s="1"/>
      <c r="Q892" s="1"/>
      <c r="S892" s="1"/>
      <c r="T892" s="1"/>
      <c r="U892" s="1"/>
    </row>
    <row r="893" spans="14:21" x14ac:dyDescent="0.2">
      <c r="N893" s="1"/>
      <c r="Q893" s="1"/>
      <c r="S893" s="1"/>
      <c r="T893" s="1"/>
      <c r="U893" s="1"/>
    </row>
    <row r="894" spans="14:21" x14ac:dyDescent="0.2">
      <c r="N894" s="1"/>
      <c r="Q894" s="1"/>
      <c r="S894" s="1"/>
      <c r="T894" s="1"/>
      <c r="U894" s="1"/>
    </row>
    <row r="895" spans="14:21" x14ac:dyDescent="0.2">
      <c r="N895" s="1"/>
      <c r="Q895" s="1"/>
      <c r="S895" s="1"/>
      <c r="T895" s="1"/>
      <c r="U895" s="1"/>
    </row>
    <row r="896" spans="14:21" x14ac:dyDescent="0.2">
      <c r="N896" s="1"/>
      <c r="Q896" s="1"/>
      <c r="S896" s="1"/>
      <c r="T896" s="1"/>
      <c r="U896" s="1"/>
    </row>
    <row r="897" spans="14:21" x14ac:dyDescent="0.2">
      <c r="N897" s="1"/>
      <c r="Q897" s="1"/>
      <c r="S897" s="1"/>
      <c r="T897" s="1"/>
      <c r="U897" s="1"/>
    </row>
    <row r="898" spans="14:21" x14ac:dyDescent="0.2">
      <c r="N898" s="1"/>
      <c r="Q898" s="1"/>
      <c r="S898" s="1"/>
      <c r="T898" s="1"/>
      <c r="U898" s="1"/>
    </row>
    <row r="899" spans="14:21" x14ac:dyDescent="0.2">
      <c r="N899" s="1"/>
      <c r="Q899" s="1"/>
      <c r="S899" s="1"/>
      <c r="T899" s="1"/>
      <c r="U899" s="1"/>
    </row>
    <row r="900" spans="14:21" x14ac:dyDescent="0.2">
      <c r="N900" s="1"/>
      <c r="Q900" s="1"/>
      <c r="S900" s="1"/>
      <c r="T900" s="1"/>
      <c r="U900" s="1"/>
    </row>
    <row r="901" spans="14:21" x14ac:dyDescent="0.2">
      <c r="N901" s="1"/>
      <c r="Q901" s="1"/>
      <c r="S901" s="1"/>
      <c r="T901" s="1"/>
      <c r="U901" s="1"/>
    </row>
    <row r="902" spans="14:21" x14ac:dyDescent="0.2">
      <c r="N902" s="1"/>
      <c r="Q902" s="1"/>
      <c r="S902" s="1"/>
      <c r="T902" s="1"/>
      <c r="U902" s="1"/>
    </row>
    <row r="903" spans="14:21" x14ac:dyDescent="0.2">
      <c r="N903" s="1"/>
      <c r="Q903" s="1"/>
      <c r="S903" s="1"/>
      <c r="T903" s="1"/>
      <c r="U903" s="1"/>
    </row>
    <row r="904" spans="14:21" x14ac:dyDescent="0.2">
      <c r="N904" s="1"/>
      <c r="Q904" s="1"/>
      <c r="S904" s="1"/>
      <c r="T904" s="1"/>
      <c r="U904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AK85"/>
  <sheetViews>
    <sheetView showGridLines="0" zoomScale="80" zoomScaleNormal="80" zoomScaleSheetLayoutView="82" workbookViewId="0">
      <pane xSplit="1" ySplit="10" topLeftCell="B62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ColWidth="9.1640625" defaultRowHeight="15" x14ac:dyDescent="0.2"/>
  <cols>
    <col min="1" max="1" width="2.33203125" style="13" customWidth="1"/>
    <col min="2" max="2" width="13.6640625" style="14" customWidth="1"/>
    <col min="3" max="3" width="1.5" style="14" bestFit="1" customWidth="1"/>
    <col min="4" max="4" width="20.33203125" style="15" customWidth="1"/>
    <col min="5" max="5" width="9.1640625" style="14"/>
    <col min="6" max="6" width="14.1640625" style="14" bestFit="1" customWidth="1"/>
    <col min="7" max="7" width="1.5" style="14" bestFit="1" customWidth="1"/>
    <col min="8" max="8" width="21.33203125" style="14" customWidth="1"/>
    <col min="9" max="9" width="19.33203125" style="14" customWidth="1"/>
    <col min="10" max="10" width="23.6640625" style="14" customWidth="1"/>
    <col min="11" max="11" width="20" style="14" customWidth="1"/>
    <col min="12" max="12" width="17" style="14" customWidth="1"/>
    <col min="13" max="13" width="20.6640625" style="14" customWidth="1"/>
    <col min="14" max="15" width="20.6640625" style="16" customWidth="1"/>
    <col min="16" max="16" width="3.6640625" style="13" customWidth="1"/>
    <col min="17" max="17" width="12.33203125" style="13" bestFit="1" customWidth="1"/>
    <col min="18" max="19" width="15.1640625" style="13" bestFit="1" customWidth="1"/>
    <col min="20" max="24" width="9.1640625" style="13"/>
    <col min="25" max="26" width="9.5" style="13" bestFit="1" customWidth="1"/>
    <col min="27" max="16384" width="9.1640625" style="13"/>
  </cols>
  <sheetData>
    <row r="2" spans="2:37" ht="35" customHeight="1" x14ac:dyDescent="0.2">
      <c r="B2" s="10"/>
      <c r="C2" s="10"/>
      <c r="D2" s="11"/>
      <c r="E2" s="557"/>
      <c r="F2" s="557"/>
      <c r="G2" s="557"/>
      <c r="H2" s="557"/>
      <c r="I2" s="557"/>
      <c r="J2" s="557"/>
      <c r="K2" s="557"/>
      <c r="L2" s="557"/>
      <c r="M2" s="557"/>
      <c r="N2" s="12"/>
      <c r="O2" s="12"/>
      <c r="R2" s="217">
        <f>IF($O$85&gt;=database!$D$11,database!$F$11,IF($O$85&gt;=database!$D$10,database!$F$10,IF($O$85&gt;=database!$D$9,database!$F$9,IF($O$85&gt;=database!$D$8,database!$F$8,IF($O$85&gt;=database!$D$7,database!$F$7,database!$F$6)))))</f>
        <v>4</v>
      </c>
      <c r="Y2" s="13" t="s">
        <v>4</v>
      </c>
      <c r="Z2" s="13" t="s">
        <v>5</v>
      </c>
    </row>
    <row r="3" spans="2:37" ht="15" customHeight="1" x14ac:dyDescent="0.2">
      <c r="B3" s="131"/>
      <c r="C3" s="131"/>
      <c r="D3" s="132"/>
      <c r="E3" s="133"/>
      <c r="F3" s="133"/>
      <c r="G3" s="133"/>
      <c r="H3" s="133"/>
      <c r="I3" s="133"/>
      <c r="J3" s="133"/>
      <c r="K3" s="133"/>
      <c r="L3" s="133"/>
      <c r="M3" s="133"/>
      <c r="N3" s="134"/>
      <c r="O3" s="134"/>
      <c r="X3" s="13" t="s">
        <v>58</v>
      </c>
      <c r="Y3" s="220">
        <f>J23</f>
        <v>278745.55199999997</v>
      </c>
      <c r="Z3" s="220">
        <f>K23</f>
        <v>329670.44502829551</v>
      </c>
    </row>
    <row r="4" spans="2:37" ht="15" customHeight="1" x14ac:dyDescent="0.2">
      <c r="B4" s="131" t="s">
        <v>321</v>
      </c>
      <c r="C4" s="131" t="s">
        <v>120</v>
      </c>
      <c r="D4" s="135">
        <f>Branch!B6</f>
        <v>44895</v>
      </c>
      <c r="E4" s="131"/>
      <c r="F4" s="136" t="s">
        <v>38</v>
      </c>
      <c r="G4" s="136" t="s">
        <v>120</v>
      </c>
      <c r="H4" s="137" t="str">
        <f>INDEX(Branch!$A:$B,MATCH(D6,Branch!$B:$B,0),1)</f>
        <v>SUMATERA</v>
      </c>
      <c r="I4" s="138" t="s">
        <v>441</v>
      </c>
      <c r="J4" s="139">
        <f>SUMIFS(Branch!N:N,Branch!$K:$K,'Calc Branch'!$H$5)</f>
        <v>4</v>
      </c>
      <c r="K4" s="137"/>
      <c r="L4" s="131"/>
      <c r="M4" s="131"/>
      <c r="N4" s="565">
        <f>O85</f>
        <v>1.389112960805682</v>
      </c>
      <c r="O4" s="565"/>
      <c r="X4" s="13" t="s">
        <v>59</v>
      </c>
      <c r="Y4" s="220">
        <f>J25</f>
        <v>214682.372</v>
      </c>
      <c r="Z4" s="220">
        <f>K25</f>
        <v>195649.13288157235</v>
      </c>
    </row>
    <row r="5" spans="2:37" ht="15" customHeight="1" x14ac:dyDescent="0.2">
      <c r="B5" s="131" t="s">
        <v>322</v>
      </c>
      <c r="C5" s="131" t="s">
        <v>120</v>
      </c>
      <c r="D5" s="140">
        <f>Branch!B6</f>
        <v>44895</v>
      </c>
      <c r="E5" s="136"/>
      <c r="F5" s="136" t="s">
        <v>125</v>
      </c>
      <c r="G5" s="136" t="s">
        <v>120</v>
      </c>
      <c r="H5" s="137">
        <f>VLOOKUP($D$6,Branch!$B:$L,10,0)</f>
        <v>371</v>
      </c>
      <c r="I5" s="138" t="s">
        <v>442</v>
      </c>
      <c r="J5" s="139">
        <f>SUMIFS(Branch!O:O,Branch!$K:$K,'Calc Branch'!$H$5)</f>
        <v>0</v>
      </c>
      <c r="K5" s="136"/>
      <c r="L5" s="136"/>
      <c r="M5" s="141"/>
      <c r="N5" s="565"/>
      <c r="O5" s="565"/>
      <c r="X5" s="13" t="s">
        <v>11</v>
      </c>
      <c r="Y5" s="223">
        <f>M43</f>
        <v>2</v>
      </c>
      <c r="Z5" s="224">
        <f>200%-Y5</f>
        <v>0</v>
      </c>
    </row>
    <row r="6" spans="2:37" ht="15" customHeight="1" x14ac:dyDescent="0.2">
      <c r="B6" s="136" t="s">
        <v>41</v>
      </c>
      <c r="C6" s="136" t="s">
        <v>120</v>
      </c>
      <c r="D6" s="144" t="s">
        <v>363</v>
      </c>
      <c r="E6" s="136"/>
      <c r="F6" s="136" t="s">
        <v>126</v>
      </c>
      <c r="G6" s="136" t="s">
        <v>120</v>
      </c>
      <c r="H6" s="137" t="str">
        <f>VLOOKUP($D$6,Branch!$B:$L,11,0)</f>
        <v>PANGKAL PINANG</v>
      </c>
      <c r="I6" s="136" t="s">
        <v>443</v>
      </c>
      <c r="J6" s="139">
        <f>SUMIFS(Branch!P:P,Branch!$K:$K,'Calc Branch'!$H$5)</f>
        <v>5</v>
      </c>
      <c r="K6" s="136"/>
      <c r="L6" s="136"/>
      <c r="M6" s="136"/>
      <c r="N6" s="565"/>
      <c r="O6" s="565"/>
    </row>
    <row r="7" spans="2:37" ht="15" customHeight="1" x14ac:dyDescent="0.2">
      <c r="B7" s="142" t="s">
        <v>124</v>
      </c>
      <c r="C7" s="136" t="s">
        <v>120</v>
      </c>
      <c r="D7" s="137" t="str">
        <f>VLOOKUP(D6,Branch!B:C,2,0)</f>
        <v>Fitra Nirwan</v>
      </c>
      <c r="E7" s="136"/>
      <c r="F7" s="136"/>
      <c r="G7" s="136"/>
      <c r="H7" s="137"/>
      <c r="I7" s="567"/>
      <c r="J7" s="567"/>
      <c r="K7" s="567"/>
      <c r="L7" s="567"/>
      <c r="M7" s="136"/>
      <c r="N7" s="566" t="str">
        <f>VLOOKUP(R2,database!$F$6:$G$11,2,0)</f>
        <v>⭐⭐⭐⭐</v>
      </c>
      <c r="O7" s="566"/>
    </row>
    <row r="8" spans="2:37" ht="15" customHeight="1" x14ac:dyDescent="0.2">
      <c r="B8" s="142"/>
      <c r="C8" s="136"/>
      <c r="D8" s="137"/>
      <c r="E8" s="136"/>
      <c r="F8" s="136"/>
      <c r="G8" s="136"/>
      <c r="H8" s="137"/>
      <c r="I8" s="567"/>
      <c r="J8" s="567"/>
      <c r="K8" s="567"/>
      <c r="L8" s="567"/>
      <c r="M8" s="136"/>
      <c r="N8" s="566"/>
      <c r="O8" s="566"/>
    </row>
    <row r="9" spans="2:37" ht="15" customHeight="1" x14ac:dyDescent="0.2">
      <c r="B9" s="142"/>
      <c r="C9" s="136"/>
      <c r="D9" s="137"/>
      <c r="E9" s="136"/>
      <c r="F9" s="136"/>
      <c r="G9" s="136"/>
      <c r="H9" s="137"/>
      <c r="I9" s="138"/>
      <c r="J9" s="143"/>
      <c r="K9" s="136"/>
      <c r="L9" s="136"/>
      <c r="M9" s="136"/>
      <c r="N9" s="566"/>
      <c r="O9" s="566"/>
    </row>
    <row r="10" spans="2:37" s="14" customFormat="1" ht="20" customHeight="1" x14ac:dyDescent="0.2">
      <c r="B10" s="558" t="s">
        <v>398</v>
      </c>
      <c r="C10" s="559"/>
      <c r="D10" s="559"/>
      <c r="E10" s="559"/>
      <c r="F10" s="559"/>
      <c r="G10" s="559"/>
      <c r="H10" s="559"/>
      <c r="I10" s="559"/>
      <c r="J10" s="559"/>
      <c r="K10" s="559"/>
      <c r="L10" s="559"/>
      <c r="M10" s="559"/>
      <c r="N10" s="559"/>
      <c r="O10" s="560"/>
    </row>
    <row r="11" spans="2:37" s="14" customFormat="1" ht="20" customHeight="1" x14ac:dyDescent="0.2">
      <c r="B11" s="118"/>
      <c r="C11" s="118"/>
      <c r="D11" s="119"/>
      <c r="E11" s="118"/>
      <c r="F11" s="118"/>
      <c r="G11" s="118"/>
      <c r="H11" s="120"/>
      <c r="I11" s="121"/>
      <c r="J11" s="122"/>
      <c r="K11" s="122"/>
      <c r="L11" s="123"/>
      <c r="M11" s="124"/>
      <c r="N11" s="123"/>
      <c r="O11" s="125"/>
    </row>
    <row r="12" spans="2:37" s="14" customFormat="1" ht="20" customHeight="1" x14ac:dyDescent="0.2">
      <c r="B12" s="118"/>
      <c r="C12" s="118"/>
      <c r="D12" s="119"/>
      <c r="E12" s="118"/>
      <c r="F12" s="118"/>
      <c r="G12" s="118"/>
      <c r="H12" s="120"/>
      <c r="I12" s="121"/>
      <c r="J12" s="122"/>
      <c r="K12" s="122"/>
      <c r="L12" s="123"/>
      <c r="M12" s="124"/>
      <c r="N12" s="123"/>
      <c r="O12" s="125"/>
      <c r="Y12" s="221">
        <v>2</v>
      </c>
      <c r="Z12" s="221">
        <v>1</v>
      </c>
      <c r="AA12" s="14">
        <f>AE13*AK12</f>
        <v>0.81169441208522775</v>
      </c>
      <c r="AC12" s="14">
        <v>1</v>
      </c>
      <c r="AD12" s="14">
        <v>8.4</v>
      </c>
      <c r="AE12" s="222">
        <f>M33</f>
        <v>0.18037653601893952</v>
      </c>
      <c r="AG12" s="14">
        <v>0</v>
      </c>
      <c r="AH12" s="14">
        <v>0</v>
      </c>
      <c r="AJ12" s="14">
        <v>9</v>
      </c>
      <c r="AK12" s="14">
        <f>AJ12/200</f>
        <v>4.4999999999999998E-2</v>
      </c>
    </row>
    <row r="13" spans="2:37" s="14" customFormat="1" ht="20" customHeight="1" x14ac:dyDescent="0.2">
      <c r="B13" s="118"/>
      <c r="C13" s="118"/>
      <c r="D13" s="119"/>
      <c r="E13" s="118"/>
      <c r="F13" s="118"/>
      <c r="G13" s="118"/>
      <c r="H13" s="120"/>
      <c r="I13" s="121"/>
      <c r="J13" s="122"/>
      <c r="K13" s="122"/>
      <c r="L13" s="123"/>
      <c r="M13" s="124"/>
      <c r="N13" s="123"/>
      <c r="O13" s="125"/>
      <c r="Y13" s="221">
        <v>2</v>
      </c>
      <c r="Z13" s="221">
        <v>1</v>
      </c>
      <c r="AA13" s="221">
        <v>0.2</v>
      </c>
      <c r="AC13" s="14">
        <v>25</v>
      </c>
      <c r="AD13" s="14">
        <v>9.9166666666666679</v>
      </c>
      <c r="AE13" s="14">
        <f>AE12*100</f>
        <v>18.03765360189395</v>
      </c>
      <c r="AG13" s="14">
        <v>25</v>
      </c>
      <c r="AH13" s="14">
        <v>1.2857142857142858</v>
      </c>
      <c r="AK13" s="14">
        <f>AK12*200</f>
        <v>9</v>
      </c>
    </row>
    <row r="14" spans="2:37" s="14" customFormat="1" ht="20" customHeight="1" x14ac:dyDescent="0.2">
      <c r="B14" s="118"/>
      <c r="C14" s="118"/>
      <c r="D14" s="119"/>
      <c r="E14" s="118"/>
      <c r="F14" s="118"/>
      <c r="G14" s="118"/>
      <c r="H14" s="120"/>
      <c r="I14" s="121"/>
      <c r="J14" s="122"/>
      <c r="K14" s="122"/>
      <c r="L14" s="123"/>
      <c r="M14" s="124"/>
      <c r="N14" s="123"/>
      <c r="O14" s="125"/>
      <c r="Y14" s="221">
        <v>2</v>
      </c>
      <c r="Z14" s="221">
        <v>1</v>
      </c>
      <c r="AA14" s="221">
        <f>18-SUM(AA12:AA13)</f>
        <v>16.988305587914773</v>
      </c>
      <c r="AC14" s="14">
        <v>50</v>
      </c>
      <c r="AD14" s="14">
        <v>11.4333333333333</v>
      </c>
      <c r="AG14" s="14">
        <v>50</v>
      </c>
      <c r="AH14" s="14">
        <v>2.5714285714285716</v>
      </c>
    </row>
    <row r="15" spans="2:37" s="14" customFormat="1" ht="20" customHeight="1" x14ac:dyDescent="0.2">
      <c r="B15" s="118"/>
      <c r="C15" s="118"/>
      <c r="D15" s="119"/>
      <c r="E15" s="118"/>
      <c r="F15" s="118"/>
      <c r="G15" s="118"/>
      <c r="H15" s="120"/>
      <c r="I15" s="121"/>
      <c r="J15" s="122"/>
      <c r="K15" s="122"/>
      <c r="L15" s="123"/>
      <c r="M15" s="124"/>
      <c r="N15" s="123"/>
      <c r="O15" s="125"/>
      <c r="Y15" s="221">
        <v>2</v>
      </c>
      <c r="Z15" s="221">
        <v>1</v>
      </c>
      <c r="AC15" s="14">
        <v>100</v>
      </c>
      <c r="AD15" s="14">
        <v>12.95</v>
      </c>
      <c r="AG15" s="14">
        <v>100</v>
      </c>
      <c r="AH15" s="14">
        <v>3.8571428571428577</v>
      </c>
    </row>
    <row r="16" spans="2:37" s="14" customFormat="1" ht="20" customHeight="1" x14ac:dyDescent="0.2">
      <c r="B16" s="118"/>
      <c r="C16" s="118"/>
      <c r="D16" s="119"/>
      <c r="E16" s="118"/>
      <c r="F16" s="118"/>
      <c r="G16" s="118"/>
      <c r="H16" s="120"/>
      <c r="I16" s="121"/>
      <c r="J16" s="122"/>
      <c r="K16" s="122"/>
      <c r="L16" s="123"/>
      <c r="M16" s="124"/>
      <c r="N16" s="123"/>
      <c r="O16" s="125"/>
      <c r="Y16" s="221">
        <v>2</v>
      </c>
      <c r="Z16" s="221">
        <v>1</v>
      </c>
      <c r="AC16" s="14">
        <v>125</v>
      </c>
      <c r="AD16" s="14">
        <v>14.466666666666701</v>
      </c>
      <c r="AG16" s="14">
        <v>125</v>
      </c>
      <c r="AH16" s="14">
        <v>5.1428571428571432</v>
      </c>
    </row>
    <row r="17" spans="2:34" s="14" customFormat="1" ht="20" customHeight="1" x14ac:dyDescent="0.2">
      <c r="B17" s="118"/>
      <c r="C17" s="118"/>
      <c r="D17" s="119"/>
      <c r="E17" s="118"/>
      <c r="F17" s="118"/>
      <c r="G17" s="118"/>
      <c r="H17" s="120"/>
      <c r="I17" s="121"/>
      <c r="J17" s="122"/>
      <c r="K17" s="122"/>
      <c r="L17" s="123"/>
      <c r="M17" s="124"/>
      <c r="N17" s="123"/>
      <c r="O17" s="125"/>
      <c r="Y17" s="221">
        <v>2</v>
      </c>
      <c r="Z17" s="221">
        <v>1</v>
      </c>
      <c r="AC17" s="14">
        <v>150</v>
      </c>
      <c r="AD17" s="14">
        <v>15.983333333333301</v>
      </c>
      <c r="AG17" s="14">
        <v>150</v>
      </c>
      <c r="AH17" s="14">
        <v>6.4285714285714288</v>
      </c>
    </row>
    <row r="18" spans="2:34" s="14" customFormat="1" ht="20" customHeight="1" x14ac:dyDescent="0.2">
      <c r="B18" s="118"/>
      <c r="C18" s="118"/>
      <c r="D18" s="119"/>
      <c r="E18" s="118"/>
      <c r="F18" s="118"/>
      <c r="G18" s="118"/>
      <c r="H18" s="120"/>
      <c r="I18" s="121"/>
      <c r="J18" s="122"/>
      <c r="K18" s="122"/>
      <c r="L18" s="123"/>
      <c r="M18" s="124"/>
      <c r="N18" s="123"/>
      <c r="O18" s="125"/>
      <c r="Y18" s="221">
        <v>2</v>
      </c>
      <c r="Z18" s="221">
        <v>1</v>
      </c>
      <c r="AC18" s="14">
        <v>200</v>
      </c>
      <c r="AD18" s="14">
        <v>17.5</v>
      </c>
      <c r="AG18" s="14">
        <v>175</v>
      </c>
      <c r="AH18" s="14">
        <v>7.7142857142857144</v>
      </c>
    </row>
    <row r="19" spans="2:34" s="14" customFormat="1" ht="20" customHeight="1" x14ac:dyDescent="0.2">
      <c r="B19" s="118"/>
      <c r="C19" s="118"/>
      <c r="D19" s="119"/>
      <c r="E19" s="118"/>
      <c r="F19" s="118"/>
      <c r="G19" s="118"/>
      <c r="H19" s="120"/>
      <c r="I19" s="121"/>
      <c r="J19" s="122"/>
      <c r="K19" s="122"/>
      <c r="L19" s="123"/>
      <c r="M19" s="124"/>
      <c r="N19" s="123"/>
      <c r="O19" s="125"/>
      <c r="Y19" s="221">
        <v>2</v>
      </c>
      <c r="Z19" s="221">
        <v>1</v>
      </c>
      <c r="AG19" s="14">
        <v>200</v>
      </c>
      <c r="AH19" s="14">
        <v>9</v>
      </c>
    </row>
    <row r="20" spans="2:34" s="14" customFormat="1" ht="20" customHeight="1" x14ac:dyDescent="0.2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4"/>
      <c r="N20" s="126"/>
      <c r="O20" s="127"/>
      <c r="Y20" s="221"/>
      <c r="Z20" s="221">
        <v>8</v>
      </c>
    </row>
    <row r="21" spans="2:34" s="128" customFormat="1" ht="28.5" customHeight="1" x14ac:dyDescent="0.2">
      <c r="B21" s="561" t="s">
        <v>399</v>
      </c>
      <c r="C21" s="562"/>
      <c r="D21" s="563"/>
      <c r="E21" s="564" t="s">
        <v>2</v>
      </c>
      <c r="F21" s="562"/>
      <c r="G21" s="562"/>
      <c r="H21" s="562"/>
      <c r="I21" s="152" t="s">
        <v>3</v>
      </c>
      <c r="J21" s="155" t="s">
        <v>4</v>
      </c>
      <c r="K21" s="155" t="s">
        <v>5</v>
      </c>
      <c r="L21" s="156" t="s">
        <v>400</v>
      </c>
      <c r="M21" s="155" t="s">
        <v>6</v>
      </c>
      <c r="N21" s="157" t="s">
        <v>7</v>
      </c>
      <c r="O21" s="157" t="s">
        <v>8</v>
      </c>
    </row>
    <row r="22" spans="2:34" ht="21" customHeight="1" thickBot="1" x14ac:dyDescent="0.25">
      <c r="B22" s="551" t="s">
        <v>324</v>
      </c>
      <c r="C22" s="552"/>
      <c r="D22" s="553"/>
      <c r="E22" s="554" t="s">
        <v>371</v>
      </c>
      <c r="F22" s="555"/>
      <c r="G22" s="555"/>
      <c r="H22" s="555"/>
      <c r="I22" s="556"/>
      <c r="J22" s="158">
        <f>SUMIFS(Branch!AI:AI,Branch!$K:$K,$H$5)</f>
        <v>1165.3696875000001</v>
      </c>
      <c r="K22" s="158">
        <f>SUMIFS(Branch!CX:CX,Branch!$K:$K,$H$5)</f>
        <v>2604.5467967072404</v>
      </c>
      <c r="L22" s="249"/>
      <c r="M22" s="159">
        <f>IFERROR(MIN(130%,K22/J22),0)</f>
        <v>1.3</v>
      </c>
      <c r="N22" s="160">
        <v>0.2</v>
      </c>
      <c r="O22" s="159">
        <f>M22*N22</f>
        <v>0.26</v>
      </c>
    </row>
    <row r="23" spans="2:34" ht="21" customHeight="1" x14ac:dyDescent="0.2">
      <c r="B23" s="523" t="s">
        <v>142</v>
      </c>
      <c r="C23" s="524"/>
      <c r="D23" s="525"/>
      <c r="E23" s="532" t="s">
        <v>325</v>
      </c>
      <c r="F23" s="533"/>
      <c r="G23" s="533"/>
      <c r="H23" s="533"/>
      <c r="I23" s="145">
        <f>SUMIFS(Branch!S:S,Branch!$K:$K,$H$5)</f>
        <v>255659.30199999997</v>
      </c>
      <c r="J23" s="161">
        <f>SUMIFS(Branch!Y:Y,Branch!$K:$K,$H$5)</f>
        <v>278745.55199999997</v>
      </c>
      <c r="K23" s="161">
        <f>SUMIFS(Branch!$AL:$AL,Branch!$K:$K,$H$5)</f>
        <v>329670.44502829551</v>
      </c>
      <c r="L23" s="250"/>
      <c r="M23" s="534">
        <f>MAX(0,MIN(IF(AND(M33&gt;0,$M$43&gt;=50%),200%,130%),MAX(0,($K$24/$J$24))))</f>
        <v>2</v>
      </c>
      <c r="N23" s="534">
        <v>0.15</v>
      </c>
      <c r="O23" s="536">
        <f>M23*N23</f>
        <v>0.3</v>
      </c>
    </row>
    <row r="24" spans="2:34" ht="21" customHeight="1" x14ac:dyDescent="0.2">
      <c r="B24" s="526"/>
      <c r="C24" s="527"/>
      <c r="D24" s="528"/>
      <c r="E24" s="538" t="s">
        <v>326</v>
      </c>
      <c r="F24" s="539"/>
      <c r="G24" s="539"/>
      <c r="H24" s="539"/>
      <c r="I24" s="540"/>
      <c r="J24" s="162">
        <f>J23-I23</f>
        <v>23086.25</v>
      </c>
      <c r="K24" s="162">
        <f>K23+L23-I23</f>
        <v>74011.143028295541</v>
      </c>
      <c r="L24" s="231"/>
      <c r="M24" s="535"/>
      <c r="N24" s="535"/>
      <c r="O24" s="537"/>
    </row>
    <row r="25" spans="2:34" ht="21" customHeight="1" x14ac:dyDescent="0.2">
      <c r="B25" s="526"/>
      <c r="C25" s="527"/>
      <c r="D25" s="528"/>
      <c r="E25" s="541" t="s">
        <v>327</v>
      </c>
      <c r="F25" s="542"/>
      <c r="G25" s="542"/>
      <c r="H25" s="542"/>
      <c r="I25" s="146">
        <f>SUMIFS(Branch!T:T,Branch!$K:$K,$H$5)</f>
        <v>214182.372</v>
      </c>
      <c r="J25" s="163">
        <f>SUMIFS(Branch!Z:Z,Branch!$K:$K,$H$5)</f>
        <v>214682.372</v>
      </c>
      <c r="K25" s="163">
        <f>SUMIFS(Branch!$AM:$AM,Branch!$K:$K,$H$5)</f>
        <v>195649.13288157235</v>
      </c>
      <c r="L25" s="164"/>
      <c r="M25" s="543">
        <f>IF(J26=0,0,IF((K27+K26)/J26&gt;=100%,100%,0))</f>
        <v>1</v>
      </c>
      <c r="N25" s="535">
        <v>0.05</v>
      </c>
      <c r="O25" s="537">
        <f>M25*N25</f>
        <v>0.05</v>
      </c>
    </row>
    <row r="26" spans="2:34" ht="21" customHeight="1" x14ac:dyDescent="0.2">
      <c r="B26" s="526"/>
      <c r="C26" s="527"/>
      <c r="D26" s="528"/>
      <c r="E26" s="538" t="s">
        <v>326</v>
      </c>
      <c r="F26" s="539"/>
      <c r="G26" s="539"/>
      <c r="H26" s="539"/>
      <c r="I26" s="540"/>
      <c r="J26" s="162">
        <f>J25-I25</f>
        <v>500</v>
      </c>
      <c r="K26" s="162">
        <f>K25+L25-I25</f>
        <v>-18533.239118427649</v>
      </c>
      <c r="L26" s="231"/>
      <c r="M26" s="544"/>
      <c r="N26" s="535"/>
      <c r="O26" s="537"/>
    </row>
    <row r="27" spans="2:34" ht="21" customHeight="1" thickBot="1" x14ac:dyDescent="0.25">
      <c r="B27" s="529"/>
      <c r="C27" s="530"/>
      <c r="D27" s="531"/>
      <c r="E27" s="548" t="s">
        <v>360</v>
      </c>
      <c r="F27" s="549"/>
      <c r="G27" s="549"/>
      <c r="H27" s="549"/>
      <c r="I27" s="550"/>
      <c r="J27" s="165"/>
      <c r="K27" s="166">
        <f>IF((K24/J24)&gt;=200%,(K24-(J24*200%)),0)</f>
        <v>27838.643028295541</v>
      </c>
      <c r="L27" s="231"/>
      <c r="M27" s="545"/>
      <c r="N27" s="546"/>
      <c r="O27" s="547"/>
    </row>
    <row r="28" spans="2:34" ht="21" customHeight="1" x14ac:dyDescent="0.2">
      <c r="B28" s="511" t="s">
        <v>328</v>
      </c>
      <c r="C28" s="512"/>
      <c r="D28" s="513"/>
      <c r="E28" s="520" t="s">
        <v>369</v>
      </c>
      <c r="F28" s="521"/>
      <c r="G28" s="521"/>
      <c r="H28" s="522"/>
      <c r="I28" s="147"/>
      <c r="J28" s="167">
        <f>SUMIFS(Branch!AE:AE,Branch!$K:$K,$H$5)</f>
        <v>0</v>
      </c>
      <c r="K28" s="167">
        <f>SUM(K29:K30)</f>
        <v>0</v>
      </c>
      <c r="L28" s="232"/>
      <c r="M28" s="168">
        <f>IF(J28=0,0,MAX(0,MIN(IF(K32&gt;K31,200%,130%),MAX(0,((K28+L28)/J28)))))</f>
        <v>0</v>
      </c>
      <c r="N28" s="169">
        <f>IF(J28=0,0,15%)</f>
        <v>0</v>
      </c>
      <c r="O28" s="168">
        <f>M28*N28</f>
        <v>0</v>
      </c>
    </row>
    <row r="29" spans="2:34" ht="21" customHeight="1" x14ac:dyDescent="0.2">
      <c r="B29" s="514"/>
      <c r="C29" s="515"/>
      <c r="D29" s="516"/>
      <c r="E29" s="233" t="s">
        <v>427</v>
      </c>
      <c r="F29" s="234"/>
      <c r="G29" s="234"/>
      <c r="H29" s="234"/>
      <c r="I29" s="235"/>
      <c r="J29" s="230"/>
      <c r="K29" s="229">
        <f>SUMIFS(Branch!AR:AR,Branch!$K:$K,$H$5)+L29</f>
        <v>0</v>
      </c>
      <c r="L29" s="245"/>
      <c r="M29" s="227"/>
      <c r="N29" s="228"/>
      <c r="O29" s="227"/>
    </row>
    <row r="30" spans="2:34" ht="21" customHeight="1" x14ac:dyDescent="0.2">
      <c r="B30" s="514"/>
      <c r="C30" s="515"/>
      <c r="D30" s="516"/>
      <c r="E30" s="233" t="s">
        <v>428</v>
      </c>
      <c r="F30" s="234"/>
      <c r="G30" s="234"/>
      <c r="H30" s="234"/>
      <c r="I30" s="235"/>
      <c r="J30" s="230"/>
      <c r="K30" s="229">
        <f>SUMIFS(Branch!AS:AS,Branch!$K:$K,$H$5)+L30</f>
        <v>0</v>
      </c>
      <c r="L30" s="246"/>
      <c r="M30" s="227"/>
      <c r="N30" s="228"/>
      <c r="O30" s="227"/>
    </row>
    <row r="31" spans="2:34" ht="21" customHeight="1" x14ac:dyDescent="0.2">
      <c r="B31" s="514"/>
      <c r="C31" s="515"/>
      <c r="D31" s="516"/>
      <c r="E31" s="236" t="s">
        <v>417</v>
      </c>
      <c r="F31" s="237"/>
      <c r="G31" s="238"/>
      <c r="H31" s="238"/>
      <c r="I31" s="239"/>
      <c r="J31" s="230"/>
      <c r="K31" s="163">
        <f>SUMIFS(Branch!$V:$V,Branch!$K:$K,$H$5)</f>
        <v>2626.5527322299999</v>
      </c>
      <c r="L31" s="246"/>
      <c r="M31" s="180"/>
      <c r="N31" s="179"/>
      <c r="O31" s="180"/>
    </row>
    <row r="32" spans="2:34" ht="21" customHeight="1" thickBot="1" x14ac:dyDescent="0.25">
      <c r="B32" s="514"/>
      <c r="C32" s="515"/>
      <c r="D32" s="516"/>
      <c r="E32" s="240" t="s">
        <v>418</v>
      </c>
      <c r="F32" s="241"/>
      <c r="G32" s="242"/>
      <c r="H32" s="242"/>
      <c r="I32" s="243"/>
      <c r="J32" s="244"/>
      <c r="K32" s="218">
        <f>SUMIFS(Branch!$AQ:$AQ,Branch!$K:$K,$H$5)</f>
        <v>3328.2678232899993</v>
      </c>
      <c r="L32" s="247"/>
      <c r="M32" s="219"/>
      <c r="N32" s="208"/>
      <c r="O32" s="219"/>
    </row>
    <row r="33" spans="2:17" ht="21" customHeight="1" thickBot="1" x14ac:dyDescent="0.25">
      <c r="B33" s="517"/>
      <c r="C33" s="518"/>
      <c r="D33" s="519"/>
      <c r="E33" s="453" t="s">
        <v>392</v>
      </c>
      <c r="F33" s="453"/>
      <c r="G33" s="453"/>
      <c r="H33" s="453"/>
      <c r="I33" s="153"/>
      <c r="J33" s="170">
        <f>SUMIFS(Branch!AF:AF,Branch!$K:$K,$H$5)</f>
        <v>554.39583333333337</v>
      </c>
      <c r="K33" s="170">
        <f>SUMIFS(Branch!$AT:$AT,Branch!$K:$K,$H$5)</f>
        <v>100</v>
      </c>
      <c r="L33" s="248"/>
      <c r="M33" s="171">
        <f>IFERROR(MIN(200%,(K33+L33+IF(J28=0,0))/J33),0)</f>
        <v>0.18037653601893952</v>
      </c>
      <c r="N33" s="172">
        <f>IF(J28=0,30%,15%)</f>
        <v>0.3</v>
      </c>
      <c r="O33" s="209">
        <f>M33*N33</f>
        <v>5.4112960805681856E-2</v>
      </c>
    </row>
    <row r="34" spans="2:17" ht="21" customHeight="1" x14ac:dyDescent="0.2">
      <c r="B34" s="492" t="s">
        <v>18</v>
      </c>
      <c r="C34" s="493"/>
      <c r="D34" s="494"/>
      <c r="E34" s="150" t="s">
        <v>401</v>
      </c>
      <c r="F34" s="148"/>
      <c r="G34" s="149"/>
      <c r="H34" s="150"/>
      <c r="I34" s="154" t="s">
        <v>402</v>
      </c>
      <c r="J34" s="177">
        <v>0.02</v>
      </c>
      <c r="K34" s="161">
        <f>IFERROR(K35/K36,0)</f>
        <v>0</v>
      </c>
      <c r="L34" s="198"/>
      <c r="M34" s="503">
        <f>IF(K36=0,0,IF(K34=0,100%,MAX(0,MIN(100%,MAX(0,J34/K34)))))</f>
        <v>1</v>
      </c>
      <c r="N34" s="503">
        <v>0.05</v>
      </c>
      <c r="O34" s="506">
        <f>M34*N34</f>
        <v>0.05</v>
      </c>
    </row>
    <row r="35" spans="2:17" ht="21" customHeight="1" x14ac:dyDescent="0.2">
      <c r="B35" s="495"/>
      <c r="C35" s="496"/>
      <c r="D35" s="497"/>
      <c r="E35" s="501"/>
      <c r="F35" s="501"/>
      <c r="G35" s="501"/>
      <c r="H35" s="502"/>
      <c r="I35" s="154" t="s">
        <v>389</v>
      </c>
      <c r="J35" s="178"/>
      <c r="K35" s="163">
        <f>SUMIFS(Branch!$CY:$CY,Branch!$K:$K,$H$5)</f>
        <v>0</v>
      </c>
      <c r="L35" s="199"/>
      <c r="M35" s="504"/>
      <c r="N35" s="504"/>
      <c r="O35" s="507"/>
    </row>
    <row r="36" spans="2:17" ht="21" customHeight="1" x14ac:dyDescent="0.2">
      <c r="B36" s="495"/>
      <c r="C36" s="496"/>
      <c r="D36" s="497"/>
      <c r="E36" s="501"/>
      <c r="F36" s="501"/>
      <c r="G36" s="501"/>
      <c r="H36" s="502"/>
      <c r="I36" s="154" t="s">
        <v>387</v>
      </c>
      <c r="J36" s="175"/>
      <c r="K36" s="210">
        <f>SUMIFS(Branch!$CZ:$CZ,Branch!$K:$K,$H$5)</f>
        <v>2485.6275126199998</v>
      </c>
      <c r="L36" s="200"/>
      <c r="M36" s="505"/>
      <c r="N36" s="505"/>
      <c r="O36" s="508"/>
    </row>
    <row r="37" spans="2:17" ht="21" customHeight="1" x14ac:dyDescent="0.2">
      <c r="B37" s="498"/>
      <c r="C37" s="499"/>
      <c r="D37" s="500"/>
      <c r="E37" s="150" t="s">
        <v>403</v>
      </c>
      <c r="F37" s="149"/>
      <c r="G37" s="151"/>
      <c r="H37" s="150"/>
      <c r="I37" s="154" t="s">
        <v>402</v>
      </c>
      <c r="J37" s="176">
        <v>0.1</v>
      </c>
      <c r="K37" s="173">
        <f>IFERROR(K38/K39,0)</f>
        <v>0</v>
      </c>
      <c r="L37" s="201"/>
      <c r="M37" s="509">
        <f>IF(AND(K36=0,K39=0),0,IF(K37=0,100%,MAX(0,MIN(100%,MAX(0,J37/K37)))))</f>
        <v>1</v>
      </c>
      <c r="N37" s="509">
        <v>0.05</v>
      </c>
      <c r="O37" s="510">
        <f>M37*N37</f>
        <v>0.05</v>
      </c>
    </row>
    <row r="38" spans="2:17" ht="21" customHeight="1" x14ac:dyDescent="0.2">
      <c r="B38" s="498"/>
      <c r="C38" s="499"/>
      <c r="D38" s="500"/>
      <c r="E38" s="501"/>
      <c r="F38" s="501"/>
      <c r="G38" s="501"/>
      <c r="H38" s="502"/>
      <c r="I38" s="154" t="s">
        <v>388</v>
      </c>
      <c r="J38" s="176"/>
      <c r="K38" s="181">
        <f>SUMIFS(Branch!$DB:$DB,Branch!$K:$K,$H$5)</f>
        <v>0</v>
      </c>
      <c r="L38" s="201"/>
      <c r="M38" s="504"/>
      <c r="N38" s="504"/>
      <c r="O38" s="507"/>
    </row>
    <row r="39" spans="2:17" ht="21" customHeight="1" thickBot="1" x14ac:dyDescent="0.25">
      <c r="B39" s="498"/>
      <c r="C39" s="499"/>
      <c r="D39" s="500"/>
      <c r="E39" s="501"/>
      <c r="F39" s="501"/>
      <c r="G39" s="501"/>
      <c r="H39" s="502"/>
      <c r="I39" s="154" t="s">
        <v>389</v>
      </c>
      <c r="J39" s="174"/>
      <c r="K39" s="182">
        <f>SUMIFS(Branch!$DC:$DC,Branch!$K:$K,$H$5)</f>
        <v>21.343686640000001</v>
      </c>
      <c r="L39" s="202"/>
      <c r="M39" s="505"/>
      <c r="N39" s="505"/>
      <c r="O39" s="508"/>
    </row>
    <row r="40" spans="2:17" ht="21" customHeight="1" thickBot="1" x14ac:dyDescent="0.25">
      <c r="B40" s="463" t="s">
        <v>329</v>
      </c>
      <c r="C40" s="464"/>
      <c r="D40" s="465"/>
      <c r="E40" s="466" t="s">
        <v>66</v>
      </c>
      <c r="F40" s="467"/>
      <c r="G40" s="467"/>
      <c r="H40" s="467"/>
      <c r="I40" s="468"/>
      <c r="J40" s="197">
        <f>SUMIFS(Branch!AH:AH,Branch!$K:$K,$H$5)</f>
        <v>7.2</v>
      </c>
      <c r="K40" s="183">
        <f>SUMIFS(Branch!CW:CW,Branch!$K:$K,$H$5)</f>
        <v>9</v>
      </c>
      <c r="L40" s="203"/>
      <c r="M40" s="204">
        <f>MIN("130%",($K$40+L40)/$J$40)</f>
        <v>1.25</v>
      </c>
      <c r="N40" s="204">
        <v>0.1</v>
      </c>
      <c r="O40" s="204">
        <f>M40*N40</f>
        <v>0.125</v>
      </c>
    </row>
    <row r="41" spans="2:17" ht="21" customHeight="1" x14ac:dyDescent="0.2">
      <c r="B41" s="469" t="s">
        <v>11</v>
      </c>
      <c r="C41" s="470"/>
      <c r="D41" s="471"/>
      <c r="E41" s="475" t="s">
        <v>114</v>
      </c>
      <c r="F41" s="476"/>
      <c r="G41" s="476"/>
      <c r="H41" s="476"/>
      <c r="I41" s="185" t="s">
        <v>9</v>
      </c>
      <c r="J41" s="185" t="s">
        <v>330</v>
      </c>
      <c r="K41" s="185" t="s">
        <v>331</v>
      </c>
      <c r="L41" s="186"/>
      <c r="M41" s="481"/>
      <c r="N41" s="481"/>
      <c r="O41" s="481"/>
    </row>
    <row r="42" spans="2:17" ht="21" customHeight="1" x14ac:dyDescent="0.2">
      <c r="B42" s="469"/>
      <c r="C42" s="470"/>
      <c r="D42" s="471"/>
      <c r="E42" s="482" t="s">
        <v>332</v>
      </c>
      <c r="F42" s="483"/>
      <c r="G42" s="483"/>
      <c r="H42" s="483"/>
      <c r="I42" s="187">
        <f>SUMIFS(Branch!AG:AG,Branch!$K:$K,$H$5)</f>
        <v>2400</v>
      </c>
      <c r="J42" s="188"/>
      <c r="K42" s="189">
        <f>SUM(K43:K50)</f>
        <v>5202.2642199999991</v>
      </c>
      <c r="L42" s="190"/>
      <c r="M42" s="191"/>
      <c r="N42" s="192"/>
      <c r="O42" s="191"/>
      <c r="Q42" s="17"/>
    </row>
    <row r="43" spans="2:17" ht="21" customHeight="1" x14ac:dyDescent="0.2">
      <c r="B43" s="469"/>
      <c r="C43" s="470"/>
      <c r="D43" s="471"/>
      <c r="E43" s="460" t="s">
        <v>333</v>
      </c>
      <c r="F43" s="460"/>
      <c r="G43" s="460"/>
      <c r="H43" s="460"/>
      <c r="I43" s="460"/>
      <c r="J43" s="193">
        <f>SUMIFS(Branch!AU:AU,Branch!$K:$K,$H$5)</f>
        <v>250.2</v>
      </c>
      <c r="K43" s="194">
        <f>((J43+L43)/1)*20</f>
        <v>5004</v>
      </c>
      <c r="L43" s="129"/>
      <c r="M43" s="484">
        <f>MIN(200%,(K42+K51)/I42)</f>
        <v>2</v>
      </c>
      <c r="N43" s="487">
        <v>0.1</v>
      </c>
      <c r="O43" s="484">
        <f>M43*N43</f>
        <v>0.2</v>
      </c>
      <c r="Q43" s="17">
        <f>K43*1000000</f>
        <v>5004000000</v>
      </c>
    </row>
    <row r="44" spans="2:17" ht="21" customHeight="1" x14ac:dyDescent="0.2">
      <c r="B44" s="469"/>
      <c r="C44" s="470"/>
      <c r="D44" s="471"/>
      <c r="E44" s="460" t="s">
        <v>334</v>
      </c>
      <c r="F44" s="460"/>
      <c r="G44" s="460"/>
      <c r="H44" s="460"/>
      <c r="I44" s="460"/>
      <c r="J44" s="193">
        <f>SUMIFS(Branch!AV:AV,Branch!$K:$K,$H$5)</f>
        <v>12</v>
      </c>
      <c r="K44" s="194">
        <f>((J44+L44)/1)*8</f>
        <v>96</v>
      </c>
      <c r="L44" s="129"/>
      <c r="M44" s="485"/>
      <c r="N44" s="488"/>
      <c r="O44" s="490"/>
      <c r="Q44" s="17">
        <f>K44*1000000</f>
        <v>96000000</v>
      </c>
    </row>
    <row r="45" spans="2:17" ht="21" customHeight="1" x14ac:dyDescent="0.2">
      <c r="B45" s="469"/>
      <c r="C45" s="470"/>
      <c r="D45" s="471"/>
      <c r="E45" s="460" t="s">
        <v>335</v>
      </c>
      <c r="F45" s="460"/>
      <c r="G45" s="460"/>
      <c r="H45" s="460"/>
      <c r="I45" s="460"/>
      <c r="J45" s="193">
        <f>SUMIFS(Branch!AW:AW,Branch!$K:$K,$H$5)</f>
        <v>43.2</v>
      </c>
      <c r="K45" s="194">
        <f>((J45+L45)/1)*2</f>
        <v>86.4</v>
      </c>
      <c r="L45" s="129"/>
      <c r="M45" s="485"/>
      <c r="N45" s="488"/>
      <c r="O45" s="490"/>
    </row>
    <row r="46" spans="2:17" ht="21" customHeight="1" x14ac:dyDescent="0.2">
      <c r="B46" s="469"/>
      <c r="C46" s="470"/>
      <c r="D46" s="471"/>
      <c r="E46" s="460" t="s">
        <v>336</v>
      </c>
      <c r="F46" s="460"/>
      <c r="G46" s="460"/>
      <c r="H46" s="460"/>
      <c r="I46" s="460"/>
      <c r="J46" s="193">
        <f>SUMIFS(Branch!AX:AX,Branch!$K:$K,$H$5)</f>
        <v>5834.22</v>
      </c>
      <c r="K46" s="194">
        <f>((J46+L46)/10000)*10</f>
        <v>5.8342200000000002</v>
      </c>
      <c r="L46" s="129"/>
      <c r="M46" s="485"/>
      <c r="N46" s="488"/>
      <c r="O46" s="490"/>
    </row>
    <row r="47" spans="2:17" ht="21" customHeight="1" x14ac:dyDescent="0.2">
      <c r="B47" s="469"/>
      <c r="C47" s="470"/>
      <c r="D47" s="471"/>
      <c r="E47" s="460" t="s">
        <v>337</v>
      </c>
      <c r="F47" s="460"/>
      <c r="G47" s="460"/>
      <c r="H47" s="460"/>
      <c r="I47" s="460"/>
      <c r="J47" s="193">
        <f>SUMIFS(Branch!AY:AY,Branch!$K:$K,$H$5)</f>
        <v>100</v>
      </c>
      <c r="K47" s="194">
        <f>((J47+L47)/100)*10</f>
        <v>10</v>
      </c>
      <c r="L47" s="129"/>
      <c r="M47" s="485"/>
      <c r="N47" s="488"/>
      <c r="O47" s="490"/>
    </row>
    <row r="48" spans="2:17" ht="21" customHeight="1" x14ac:dyDescent="0.2">
      <c r="B48" s="469"/>
      <c r="C48" s="470"/>
      <c r="D48" s="471"/>
      <c r="E48" s="460" t="s">
        <v>338</v>
      </c>
      <c r="F48" s="460"/>
      <c r="G48" s="460"/>
      <c r="H48" s="460"/>
      <c r="I48" s="460"/>
      <c r="J48" s="193">
        <f>SUMIFS(Branch!AZ:AZ,Branch!$K:$K,$H$5)</f>
        <v>0</v>
      </c>
      <c r="K48" s="194">
        <f>((J48+L48)/100)*10</f>
        <v>0</v>
      </c>
      <c r="L48" s="129"/>
      <c r="M48" s="485"/>
      <c r="N48" s="488"/>
      <c r="O48" s="490"/>
    </row>
    <row r="49" spans="2:15" ht="21" customHeight="1" x14ac:dyDescent="0.2">
      <c r="B49" s="469"/>
      <c r="C49" s="470"/>
      <c r="D49" s="471"/>
      <c r="E49" s="460" t="s">
        <v>339</v>
      </c>
      <c r="F49" s="460"/>
      <c r="G49" s="460"/>
      <c r="H49" s="460"/>
      <c r="I49" s="460"/>
      <c r="J49" s="193">
        <f>SUMIFS(Branch!BA:BA,Branch!$K:$K,$H$5)</f>
        <v>0</v>
      </c>
      <c r="K49" s="194">
        <f>((J49+L49)/500)*20</f>
        <v>0</v>
      </c>
      <c r="L49" s="129"/>
      <c r="M49" s="485"/>
      <c r="N49" s="488"/>
      <c r="O49" s="490"/>
    </row>
    <row r="50" spans="2:15" ht="21" customHeight="1" x14ac:dyDescent="0.2">
      <c r="B50" s="469"/>
      <c r="C50" s="470"/>
      <c r="D50" s="471"/>
      <c r="E50" s="460" t="s">
        <v>471</v>
      </c>
      <c r="F50" s="460"/>
      <c r="G50" s="460"/>
      <c r="H50" s="460"/>
      <c r="I50" s="460"/>
      <c r="J50" s="193">
        <f>SUMIFS(Branch!BB:BB,Branch!$K:$K,$H$5)</f>
        <v>0.3</v>
      </c>
      <c r="K50" s="194">
        <f>((J50+L50)/100)*10</f>
        <v>0.03</v>
      </c>
      <c r="L50" s="129"/>
      <c r="M50" s="485"/>
      <c r="N50" s="488"/>
      <c r="O50" s="490"/>
    </row>
    <row r="51" spans="2:15" ht="21" customHeight="1" x14ac:dyDescent="0.2">
      <c r="B51" s="469"/>
      <c r="C51" s="470"/>
      <c r="D51" s="471"/>
      <c r="E51" s="461" t="s">
        <v>75</v>
      </c>
      <c r="F51" s="462"/>
      <c r="G51" s="462"/>
      <c r="H51" s="462"/>
      <c r="I51" s="187"/>
      <c r="J51" s="188"/>
      <c r="K51" s="189">
        <f>SUM(K52:K70)</f>
        <v>1766</v>
      </c>
      <c r="L51" s="184"/>
      <c r="M51" s="485"/>
      <c r="N51" s="488"/>
      <c r="O51" s="490"/>
    </row>
    <row r="52" spans="2:15" ht="21" customHeight="1" x14ac:dyDescent="0.2">
      <c r="B52" s="469"/>
      <c r="C52" s="470"/>
      <c r="D52" s="471"/>
      <c r="E52" s="460" t="s">
        <v>340</v>
      </c>
      <c r="F52" s="460"/>
      <c r="G52" s="460"/>
      <c r="H52" s="460"/>
      <c r="I52" s="460"/>
      <c r="J52" s="193">
        <f>SUMIFS(Branch!BL:BL,Branch!$K:$K,$H$5)</f>
        <v>46</v>
      </c>
      <c r="K52" s="194">
        <f>((J52+L52)/1)*10</f>
        <v>460</v>
      </c>
      <c r="L52" s="129"/>
      <c r="M52" s="485"/>
      <c r="N52" s="488"/>
      <c r="O52" s="490"/>
    </row>
    <row r="53" spans="2:15" ht="21" customHeight="1" x14ac:dyDescent="0.2">
      <c r="B53" s="469"/>
      <c r="C53" s="470"/>
      <c r="D53" s="471"/>
      <c r="E53" s="460" t="s">
        <v>406</v>
      </c>
      <c r="F53" s="460"/>
      <c r="G53" s="460"/>
      <c r="H53" s="460"/>
      <c r="I53" s="460"/>
      <c r="J53" s="193">
        <f>SUMIFS(Branch!BM:BM,Branch!$K:$K,$H$5)</f>
        <v>0</v>
      </c>
      <c r="K53" s="194">
        <f>((J53+L53)/1)*2</f>
        <v>0</v>
      </c>
      <c r="L53" s="129"/>
      <c r="M53" s="485"/>
      <c r="N53" s="488"/>
      <c r="O53" s="490"/>
    </row>
    <row r="54" spans="2:15" ht="21" customHeight="1" x14ac:dyDescent="0.2">
      <c r="B54" s="469"/>
      <c r="C54" s="470"/>
      <c r="D54" s="471"/>
      <c r="E54" s="460" t="s">
        <v>407</v>
      </c>
      <c r="F54" s="460"/>
      <c r="G54" s="460"/>
      <c r="H54" s="460"/>
      <c r="I54" s="460"/>
      <c r="J54" s="193">
        <f>SUMIFS(Branch!BN:BN,Branch!$K:$K,$H$5)+SUMIFS(Branch!BO:BO,Branch!$K:$K,$H$5)</f>
        <v>75</v>
      </c>
      <c r="K54" s="194">
        <f>((J54+L54)/1)*10</f>
        <v>750</v>
      </c>
      <c r="L54" s="129"/>
      <c r="M54" s="485"/>
      <c r="N54" s="488"/>
      <c r="O54" s="490"/>
    </row>
    <row r="55" spans="2:15" ht="21" customHeight="1" x14ac:dyDescent="0.2">
      <c r="B55" s="469"/>
      <c r="C55" s="470"/>
      <c r="D55" s="471"/>
      <c r="E55" s="460" t="s">
        <v>341</v>
      </c>
      <c r="F55" s="460"/>
      <c r="G55" s="460"/>
      <c r="H55" s="460"/>
      <c r="I55" s="460"/>
      <c r="J55" s="193">
        <f>SUMIFS(Branch!BP:BP,Branch!$K:$K,$H$5)</f>
        <v>0</v>
      </c>
      <c r="K55" s="194">
        <f>((J55+L55)/1)*10</f>
        <v>0</v>
      </c>
      <c r="L55" s="129"/>
      <c r="M55" s="485"/>
      <c r="N55" s="488"/>
      <c r="O55" s="490"/>
    </row>
    <row r="56" spans="2:15" ht="21" customHeight="1" x14ac:dyDescent="0.2">
      <c r="B56" s="469"/>
      <c r="C56" s="470"/>
      <c r="D56" s="471"/>
      <c r="E56" s="460" t="s">
        <v>408</v>
      </c>
      <c r="F56" s="460"/>
      <c r="G56" s="460"/>
      <c r="H56" s="460"/>
      <c r="I56" s="460"/>
      <c r="J56" s="193">
        <f>SUMIFS(Branch!BQ:BQ,Branch!$K:$K,$H$5)</f>
        <v>10</v>
      </c>
      <c r="K56" s="194">
        <f>((J56+L56)/1)*10</f>
        <v>100</v>
      </c>
      <c r="L56" s="129"/>
      <c r="M56" s="485"/>
      <c r="N56" s="488"/>
      <c r="O56" s="490"/>
    </row>
    <row r="57" spans="2:15" ht="21" customHeight="1" x14ac:dyDescent="0.2">
      <c r="B57" s="469"/>
      <c r="C57" s="470"/>
      <c r="D57" s="471"/>
      <c r="E57" s="460" t="s">
        <v>409</v>
      </c>
      <c r="F57" s="460"/>
      <c r="G57" s="460"/>
      <c r="H57" s="460"/>
      <c r="I57" s="460"/>
      <c r="J57" s="193">
        <f>SUM(J58:J59)</f>
        <v>0</v>
      </c>
      <c r="K57" s="194">
        <f>((J57+L57)/100)*30</f>
        <v>0</v>
      </c>
      <c r="L57" s="251"/>
      <c r="M57" s="485"/>
      <c r="N57" s="488"/>
      <c r="O57" s="490"/>
    </row>
    <row r="58" spans="2:15" ht="21" customHeight="1" x14ac:dyDescent="0.2">
      <c r="B58" s="469"/>
      <c r="C58" s="470"/>
      <c r="D58" s="471"/>
      <c r="E58" s="477" t="s">
        <v>429</v>
      </c>
      <c r="F58" s="478"/>
      <c r="G58" s="478"/>
      <c r="H58" s="478"/>
      <c r="I58" s="479"/>
      <c r="J58" s="193">
        <f>SUMIFS(Branch!BR:BR,Branch!$K:$K,$H$5)+L58</f>
        <v>0</v>
      </c>
      <c r="K58" s="194"/>
      <c r="L58" s="129"/>
      <c r="M58" s="485"/>
      <c r="N58" s="488"/>
      <c r="O58" s="490"/>
    </row>
    <row r="59" spans="2:15" ht="21" customHeight="1" x14ac:dyDescent="0.2">
      <c r="B59" s="469"/>
      <c r="C59" s="470"/>
      <c r="D59" s="471"/>
      <c r="E59" s="477" t="s">
        <v>430</v>
      </c>
      <c r="F59" s="478"/>
      <c r="G59" s="478"/>
      <c r="H59" s="478"/>
      <c r="I59" s="479"/>
      <c r="J59" s="193">
        <f>SUMIFS(Branch!BS:BS,Branch!$K:$K,$H$5)+L59</f>
        <v>0</v>
      </c>
      <c r="K59" s="194"/>
      <c r="L59" s="129"/>
      <c r="M59" s="485"/>
      <c r="N59" s="488"/>
      <c r="O59" s="490"/>
    </row>
    <row r="60" spans="2:15" ht="21" customHeight="1" x14ac:dyDescent="0.2">
      <c r="B60" s="469"/>
      <c r="C60" s="470"/>
      <c r="D60" s="471"/>
      <c r="E60" s="460" t="s">
        <v>410</v>
      </c>
      <c r="F60" s="460"/>
      <c r="G60" s="460"/>
      <c r="H60" s="460"/>
      <c r="I60" s="460"/>
      <c r="J60" s="193">
        <f>SUM(J61:J63)</f>
        <v>0</v>
      </c>
      <c r="K60" s="194">
        <f>((J60+L60)/25)*10</f>
        <v>0</v>
      </c>
      <c r="L60" s="251"/>
      <c r="M60" s="485"/>
      <c r="N60" s="488"/>
      <c r="O60" s="490"/>
    </row>
    <row r="61" spans="2:15" ht="21" customHeight="1" x14ac:dyDescent="0.2">
      <c r="B61" s="469"/>
      <c r="C61" s="470"/>
      <c r="D61" s="471"/>
      <c r="E61" s="477" t="s">
        <v>431</v>
      </c>
      <c r="F61" s="478"/>
      <c r="G61" s="478"/>
      <c r="H61" s="478"/>
      <c r="I61" s="479"/>
      <c r="J61" s="193">
        <f>SUMIFS(Branch!BT:BT,Branch!$K:$K,$H$5)+L61</f>
        <v>0</v>
      </c>
      <c r="K61" s="194"/>
      <c r="L61" s="129"/>
      <c r="M61" s="485"/>
      <c r="N61" s="488"/>
      <c r="O61" s="490"/>
    </row>
    <row r="62" spans="2:15" ht="21" customHeight="1" x14ac:dyDescent="0.2">
      <c r="B62" s="469"/>
      <c r="C62" s="470"/>
      <c r="D62" s="471"/>
      <c r="E62" s="480" t="s">
        <v>432</v>
      </c>
      <c r="F62" s="478"/>
      <c r="G62" s="478"/>
      <c r="H62" s="478"/>
      <c r="I62" s="479"/>
      <c r="J62" s="193">
        <f>SUMIFS(Branch!BU:BU,Branch!$K:$K,$H$5)+L62</f>
        <v>0</v>
      </c>
      <c r="K62" s="194"/>
      <c r="L62" s="129"/>
      <c r="M62" s="485"/>
      <c r="N62" s="488"/>
      <c r="O62" s="490"/>
    </row>
    <row r="63" spans="2:15" ht="21" customHeight="1" x14ac:dyDescent="0.2">
      <c r="B63" s="469"/>
      <c r="C63" s="470"/>
      <c r="D63" s="471"/>
      <c r="E63" s="480" t="s">
        <v>433</v>
      </c>
      <c r="F63" s="478"/>
      <c r="G63" s="478"/>
      <c r="H63" s="478"/>
      <c r="I63" s="479"/>
      <c r="J63" s="193">
        <f>SUMIFS(Branch!BV:BV,Branch!$K:$K,$H$5)+L63</f>
        <v>0</v>
      </c>
      <c r="K63" s="194"/>
      <c r="L63" s="129"/>
      <c r="M63" s="485"/>
      <c r="N63" s="488"/>
      <c r="O63" s="490"/>
    </row>
    <row r="64" spans="2:15" ht="21" customHeight="1" x14ac:dyDescent="0.2">
      <c r="B64" s="469"/>
      <c r="C64" s="470"/>
      <c r="D64" s="471"/>
      <c r="E64" s="460" t="s">
        <v>411</v>
      </c>
      <c r="F64" s="460"/>
      <c r="G64" s="460"/>
      <c r="H64" s="460"/>
      <c r="I64" s="460"/>
      <c r="J64" s="193">
        <f>SUMIFS(Branch!BW:BW,Branch!$K:$K,$H$5)</f>
        <v>0</v>
      </c>
      <c r="K64" s="194">
        <f>((J64+L64)/1)*50</f>
        <v>0</v>
      </c>
      <c r="L64" s="129"/>
      <c r="M64" s="485"/>
      <c r="N64" s="488"/>
      <c r="O64" s="490"/>
    </row>
    <row r="65" spans="2:18" ht="21" customHeight="1" x14ac:dyDescent="0.2">
      <c r="B65" s="469"/>
      <c r="C65" s="470"/>
      <c r="D65" s="471"/>
      <c r="E65" s="460" t="s">
        <v>412</v>
      </c>
      <c r="F65" s="460"/>
      <c r="G65" s="460"/>
      <c r="H65" s="460"/>
      <c r="I65" s="460"/>
      <c r="J65" s="193">
        <f>SUMIFS(Branch!BX:BX,Branch!$K:$K,$H$5)</f>
        <v>3</v>
      </c>
      <c r="K65" s="194">
        <f>((J65+L65)/1)*20</f>
        <v>60</v>
      </c>
      <c r="L65" s="129"/>
      <c r="M65" s="485"/>
      <c r="N65" s="488"/>
      <c r="O65" s="490"/>
    </row>
    <row r="66" spans="2:18" ht="21" customHeight="1" x14ac:dyDescent="0.2">
      <c r="B66" s="469"/>
      <c r="C66" s="470"/>
      <c r="D66" s="471"/>
      <c r="E66" s="460" t="s">
        <v>342</v>
      </c>
      <c r="F66" s="460"/>
      <c r="G66" s="460"/>
      <c r="H66" s="460"/>
      <c r="I66" s="460"/>
      <c r="J66" s="193">
        <f>SUMIFS(Branch!BY:BY,Branch!$K:$K,$H$5)</f>
        <v>98</v>
      </c>
      <c r="K66" s="194">
        <f>((J66+L66)/1)*4</f>
        <v>392</v>
      </c>
      <c r="L66" s="129"/>
      <c r="M66" s="485"/>
      <c r="N66" s="488"/>
      <c r="O66" s="490"/>
    </row>
    <row r="67" spans="2:18" ht="21" customHeight="1" x14ac:dyDescent="0.2">
      <c r="B67" s="469"/>
      <c r="C67" s="470"/>
      <c r="D67" s="471"/>
      <c r="E67" s="460" t="s">
        <v>413</v>
      </c>
      <c r="F67" s="460"/>
      <c r="G67" s="460"/>
      <c r="H67" s="460"/>
      <c r="I67" s="460"/>
      <c r="J67" s="193">
        <f>SUMIFS(Branch!BZ:BZ,Branch!$K:$K,$H$5)</f>
        <v>0</v>
      </c>
      <c r="K67" s="194">
        <f>((J67+L67)/1)*20</f>
        <v>0</v>
      </c>
      <c r="L67" s="129"/>
      <c r="M67" s="485"/>
      <c r="N67" s="488"/>
      <c r="O67" s="490"/>
    </row>
    <row r="68" spans="2:18" ht="21" customHeight="1" x14ac:dyDescent="0.2">
      <c r="B68" s="469"/>
      <c r="C68" s="470"/>
      <c r="D68" s="471"/>
      <c r="E68" s="460" t="s">
        <v>343</v>
      </c>
      <c r="F68" s="460"/>
      <c r="G68" s="460"/>
      <c r="H68" s="460"/>
      <c r="I68" s="460"/>
      <c r="J68" s="193">
        <f>SUMIFS(Branch!CA:CA,Branch!$K:$K,$H$5)</f>
        <v>1</v>
      </c>
      <c r="K68" s="194">
        <f>((J68+L68)/1)*4</f>
        <v>4</v>
      </c>
      <c r="L68" s="129"/>
      <c r="M68" s="485"/>
      <c r="N68" s="488"/>
      <c r="O68" s="490"/>
    </row>
    <row r="69" spans="2:18" ht="21" customHeight="1" x14ac:dyDescent="0.2">
      <c r="B69" s="469"/>
      <c r="C69" s="470"/>
      <c r="D69" s="471"/>
      <c r="E69" s="460" t="s">
        <v>414</v>
      </c>
      <c r="F69" s="460"/>
      <c r="G69" s="460"/>
      <c r="H69" s="460"/>
      <c r="I69" s="460"/>
      <c r="J69" s="193">
        <f>SUMIFS(Branch!CB:CB,Branch!$K:$K,$H$5)</f>
        <v>0</v>
      </c>
      <c r="K69" s="194">
        <f>((J69+L69)/1)*1</f>
        <v>0</v>
      </c>
      <c r="L69" s="129"/>
      <c r="M69" s="485"/>
      <c r="N69" s="488"/>
      <c r="O69" s="490"/>
    </row>
    <row r="70" spans="2:18" ht="21" customHeight="1" x14ac:dyDescent="0.2">
      <c r="B70" s="472"/>
      <c r="C70" s="473"/>
      <c r="D70" s="474"/>
      <c r="E70" s="460" t="s">
        <v>415</v>
      </c>
      <c r="F70" s="460"/>
      <c r="G70" s="460"/>
      <c r="H70" s="460"/>
      <c r="I70" s="460"/>
      <c r="J70" s="205">
        <f>SUMIFS(Branch!CC:CC,Branch!$K:$K,$H$5)</f>
        <v>0</v>
      </c>
      <c r="K70" s="194">
        <f>((J70+L70)/100)*20</f>
        <v>0</v>
      </c>
      <c r="L70" s="130"/>
      <c r="M70" s="486"/>
      <c r="N70" s="489"/>
      <c r="O70" s="491"/>
    </row>
    <row r="71" spans="2:18" ht="21" customHeight="1" x14ac:dyDescent="0.2">
      <c r="B71" s="456" t="s">
        <v>497</v>
      </c>
      <c r="C71" s="457"/>
      <c r="D71" s="457"/>
      <c r="E71" s="457"/>
      <c r="F71" s="457"/>
      <c r="G71" s="457"/>
      <c r="H71" s="457"/>
      <c r="I71" s="457"/>
      <c r="J71" s="458"/>
      <c r="K71" s="458"/>
      <c r="L71" s="459"/>
      <c r="M71" s="195"/>
      <c r="N71" s="195">
        <f>SUM(N22:N67)</f>
        <v>1</v>
      </c>
      <c r="O71" s="196">
        <f>SUM(O22:O67)</f>
        <v>1.089112960805682</v>
      </c>
    </row>
    <row r="72" spans="2:18" s="14" customFormat="1" ht="4.5" customHeight="1" x14ac:dyDescent="0.2">
      <c r="N72" s="16"/>
      <c r="O72" s="16"/>
      <c r="Q72" s="52"/>
      <c r="R72" s="52"/>
    </row>
    <row r="73" spans="2:18" s="14" customFormat="1" ht="16.5" customHeight="1" x14ac:dyDescent="0.2">
      <c r="B73" s="347" t="s">
        <v>480</v>
      </c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9"/>
    </row>
    <row r="74" spans="2:18" s="14" customFormat="1" ht="30" customHeight="1" x14ac:dyDescent="0.2">
      <c r="B74" s="441" t="s">
        <v>481</v>
      </c>
      <c r="C74" s="442"/>
      <c r="D74" s="443"/>
      <c r="E74" s="444" t="s">
        <v>482</v>
      </c>
      <c r="F74" s="445"/>
      <c r="G74" s="445"/>
      <c r="H74" s="445"/>
      <c r="I74" s="446"/>
      <c r="J74" s="350" t="s">
        <v>483</v>
      </c>
      <c r="K74" s="350" t="s">
        <v>484</v>
      </c>
      <c r="L74" s="351"/>
      <c r="M74" s="51" t="s">
        <v>496</v>
      </c>
      <c r="N74" s="350" t="s">
        <v>485</v>
      </c>
      <c r="O74" s="51" t="s">
        <v>486</v>
      </c>
    </row>
    <row r="75" spans="2:18" s="14" customFormat="1" ht="25.5" customHeight="1" x14ac:dyDescent="0.2">
      <c r="B75" s="441"/>
      <c r="C75" s="442"/>
      <c r="D75" s="443"/>
      <c r="E75" s="447" t="s">
        <v>518</v>
      </c>
      <c r="F75" s="447"/>
      <c r="G75" s="447"/>
      <c r="H75" s="447"/>
      <c r="I75" s="262"/>
      <c r="J75" s="262">
        <f>SUMIFS(Branch!EO:EO,Branch!$B:$B,$D$6)</f>
        <v>525319.57790986786</v>
      </c>
      <c r="K75" s="262">
        <f>SUMIFS(Branch!EP:EP,Branch!$B:$B,$D$6)</f>
        <v>527632.53420879482</v>
      </c>
      <c r="L75" s="352"/>
      <c r="M75" s="262">
        <f>SUMIFS(Branch!EQ:EQ,Branch!$B:$B,$D$6)</f>
        <v>-462.59125978539231</v>
      </c>
      <c r="N75" s="353">
        <f>IF(M75&lt;500,0,M75)</f>
        <v>0</v>
      </c>
      <c r="O75" s="387">
        <f>SUMIFS(Branch!ER:ER,Branch!$B:$B,$D$6)</f>
        <v>0</v>
      </c>
    </row>
    <row r="76" spans="2:18" s="14" customFormat="1" ht="16" thickBot="1" x14ac:dyDescent="0.25">
      <c r="B76" s="441"/>
      <c r="C76" s="442"/>
      <c r="D76" s="443"/>
      <c r="E76" s="354"/>
      <c r="F76" s="355"/>
      <c r="G76" s="355"/>
      <c r="H76" s="355"/>
      <c r="I76" s="356"/>
      <c r="J76" s="357"/>
      <c r="K76" s="358"/>
      <c r="L76" s="359"/>
      <c r="M76" s="360"/>
      <c r="N76" s="361"/>
      <c r="O76" s="362"/>
    </row>
    <row r="77" spans="2:18" s="14" customFormat="1" hidden="1" x14ac:dyDescent="0.2">
      <c r="B77" s="448" t="s">
        <v>487</v>
      </c>
      <c r="C77" s="449"/>
      <c r="D77" s="449"/>
      <c r="E77" s="452" t="s">
        <v>13</v>
      </c>
      <c r="F77" s="452"/>
      <c r="G77" s="452"/>
      <c r="H77" s="452"/>
      <c r="I77" s="363">
        <v>300</v>
      </c>
      <c r="J77" s="364"/>
      <c r="K77" s="364">
        <v>463.20000000000005</v>
      </c>
      <c r="L77" s="365"/>
      <c r="M77" s="366" t="s">
        <v>130</v>
      </c>
      <c r="N77" s="366" t="s">
        <v>488</v>
      </c>
      <c r="O77" s="367" t="s">
        <v>132</v>
      </c>
    </row>
    <row r="78" spans="2:18" s="14" customFormat="1" ht="21" hidden="1" customHeight="1" x14ac:dyDescent="0.2">
      <c r="B78" s="450"/>
      <c r="C78" s="451"/>
      <c r="D78" s="451"/>
      <c r="E78" s="434" t="s">
        <v>489</v>
      </c>
      <c r="F78" s="434"/>
      <c r="G78" s="434"/>
      <c r="H78" s="434"/>
      <c r="I78" s="434"/>
      <c r="J78" s="368">
        <v>7</v>
      </c>
      <c r="K78" s="369">
        <v>140</v>
      </c>
      <c r="L78" s="370">
        <v>0</v>
      </c>
      <c r="M78" s="429">
        <v>1.5440000000000003</v>
      </c>
      <c r="N78" s="432">
        <v>0.25</v>
      </c>
      <c r="O78" s="435">
        <v>0.38600000000000007</v>
      </c>
    </row>
    <row r="79" spans="2:18" s="14" customFormat="1" ht="21" hidden="1" customHeight="1" x14ac:dyDescent="0.2">
      <c r="B79" s="450"/>
      <c r="C79" s="451"/>
      <c r="D79" s="451"/>
      <c r="E79" s="434" t="s">
        <v>490</v>
      </c>
      <c r="F79" s="434"/>
      <c r="G79" s="434"/>
      <c r="H79" s="434"/>
      <c r="I79" s="434"/>
      <c r="J79" s="371">
        <v>0</v>
      </c>
      <c r="K79" s="437">
        <v>0</v>
      </c>
      <c r="L79" s="370">
        <v>0</v>
      </c>
      <c r="M79" s="430"/>
      <c r="N79" s="432"/>
      <c r="O79" s="435"/>
    </row>
    <row r="80" spans="2:18" s="14" customFormat="1" ht="21" hidden="1" customHeight="1" x14ac:dyDescent="0.2">
      <c r="B80" s="450"/>
      <c r="C80" s="451"/>
      <c r="D80" s="451"/>
      <c r="E80" s="439" t="s">
        <v>491</v>
      </c>
      <c r="F80" s="439"/>
      <c r="G80" s="439"/>
      <c r="H80" s="439"/>
      <c r="I80" s="439"/>
      <c r="J80" s="371">
        <v>0</v>
      </c>
      <c r="K80" s="438"/>
      <c r="L80" s="370"/>
      <c r="M80" s="430"/>
      <c r="N80" s="432"/>
      <c r="O80" s="435"/>
      <c r="Q80" s="372"/>
      <c r="R80" s="372"/>
    </row>
    <row r="81" spans="2:18" s="14" customFormat="1" ht="21" hidden="1" customHeight="1" x14ac:dyDescent="0.2">
      <c r="B81" s="450"/>
      <c r="C81" s="451"/>
      <c r="D81" s="451"/>
      <c r="E81" s="434" t="s">
        <v>492</v>
      </c>
      <c r="F81" s="434"/>
      <c r="G81" s="434"/>
      <c r="H81" s="434"/>
      <c r="I81" s="434"/>
      <c r="J81" s="371"/>
      <c r="K81" s="373">
        <v>0</v>
      </c>
      <c r="L81" s="370"/>
      <c r="M81" s="430"/>
      <c r="N81" s="432"/>
      <c r="O81" s="435"/>
      <c r="Q81" s="372"/>
      <c r="R81" s="372"/>
    </row>
    <row r="82" spans="2:18" s="14" customFormat="1" ht="21" hidden="1" customHeight="1" x14ac:dyDescent="0.2">
      <c r="B82" s="450"/>
      <c r="C82" s="451"/>
      <c r="D82" s="451"/>
      <c r="E82" s="434" t="s">
        <v>493</v>
      </c>
      <c r="F82" s="434"/>
      <c r="G82" s="434"/>
      <c r="H82" s="434"/>
      <c r="I82" s="434"/>
      <c r="J82" s="374">
        <v>0</v>
      </c>
      <c r="K82" s="375">
        <v>0</v>
      </c>
      <c r="L82" s="370">
        <v>0</v>
      </c>
      <c r="M82" s="431"/>
      <c r="N82" s="433"/>
      <c r="O82" s="436"/>
    </row>
    <row r="83" spans="2:18" s="14" customFormat="1" ht="21" hidden="1" customHeight="1" x14ac:dyDescent="0.2">
      <c r="B83" s="450"/>
      <c r="C83" s="451"/>
      <c r="D83" s="451"/>
      <c r="E83" s="434" t="s">
        <v>494</v>
      </c>
      <c r="F83" s="434"/>
      <c r="G83" s="434"/>
      <c r="H83" s="434"/>
      <c r="I83" s="434"/>
      <c r="J83" s="374"/>
      <c r="K83" s="375">
        <v>0</v>
      </c>
      <c r="L83" s="370">
        <v>0</v>
      </c>
      <c r="M83" s="376"/>
      <c r="N83" s="377">
        <v>0</v>
      </c>
      <c r="O83" s="378">
        <v>-0.15</v>
      </c>
    </row>
    <row r="84" spans="2:18" ht="21" customHeight="1" thickBot="1" x14ac:dyDescent="0.25">
      <c r="B84" s="454" t="s">
        <v>515</v>
      </c>
      <c r="C84" s="455"/>
      <c r="D84" s="455"/>
      <c r="E84" s="453" t="s">
        <v>392</v>
      </c>
      <c r="F84" s="453"/>
      <c r="G84" s="453"/>
      <c r="H84" s="453"/>
      <c r="I84" s="153"/>
      <c r="J84" s="170"/>
      <c r="K84" s="170"/>
      <c r="L84" s="248"/>
      <c r="M84" s="171">
        <f>MIN(200%,100%+M33)</f>
        <v>1.1803765360189395</v>
      </c>
      <c r="N84" s="172">
        <f>IF(J28=0,30%,15%)</f>
        <v>0.3</v>
      </c>
      <c r="O84" s="209">
        <f>M84*N84</f>
        <v>0.35411296080568183</v>
      </c>
    </row>
    <row r="85" spans="2:18" s="14" customFormat="1" ht="19.5" customHeight="1" x14ac:dyDescent="0.2">
      <c r="B85" s="347"/>
      <c r="C85" s="348"/>
      <c r="D85" s="440" t="s">
        <v>495</v>
      </c>
      <c r="E85" s="440"/>
      <c r="F85" s="440"/>
      <c r="G85" s="440"/>
      <c r="H85" s="440"/>
      <c r="I85" s="440"/>
      <c r="J85" s="440"/>
      <c r="K85" s="440"/>
      <c r="L85" s="440"/>
      <c r="M85" s="348"/>
      <c r="N85" s="348"/>
      <c r="O85" s="379">
        <f>O71+O75+O84-O33</f>
        <v>1.389112960805682</v>
      </c>
    </row>
  </sheetData>
  <sheetProtection algorithmName="SHA-512" hashValue="EF7mD/iRDDHlrOKnAAnC97VmnauX8/QywpWjUZ1Py36JQJ9Y/x9D2Pmv2npP3KTOjjHwfIKY3phx5XanU2O7RQ==" saltValue="OiM5txos73jwWQYXIbQbPA==" spinCount="100000" sheet="1" objects="1" scenarios="1"/>
  <dataConsolidate/>
  <mergeCells count="91">
    <mergeCell ref="B22:D22"/>
    <mergeCell ref="E22:I22"/>
    <mergeCell ref="E2:M2"/>
    <mergeCell ref="B10:O10"/>
    <mergeCell ref="B21:D21"/>
    <mergeCell ref="E21:H21"/>
    <mergeCell ref="N4:O6"/>
    <mergeCell ref="N7:O9"/>
    <mergeCell ref="I7:L8"/>
    <mergeCell ref="M23:M24"/>
    <mergeCell ref="N23:N24"/>
    <mergeCell ref="O23:O24"/>
    <mergeCell ref="E24:I24"/>
    <mergeCell ref="E25:H25"/>
    <mergeCell ref="M25:M27"/>
    <mergeCell ref="N25:N27"/>
    <mergeCell ref="O25:O27"/>
    <mergeCell ref="E26:I26"/>
    <mergeCell ref="E27:I27"/>
    <mergeCell ref="B28:D33"/>
    <mergeCell ref="E28:H28"/>
    <mergeCell ref="E33:H33"/>
    <mergeCell ref="B23:D27"/>
    <mergeCell ref="E23:H23"/>
    <mergeCell ref="M34:M36"/>
    <mergeCell ref="N34:N36"/>
    <mergeCell ref="O34:O36"/>
    <mergeCell ref="M37:M39"/>
    <mergeCell ref="N37:N39"/>
    <mergeCell ref="O37:O39"/>
    <mergeCell ref="B34:D39"/>
    <mergeCell ref="E36:H36"/>
    <mergeCell ref="E35:H35"/>
    <mergeCell ref="E38:H38"/>
    <mergeCell ref="E39:H39"/>
    <mergeCell ref="M41:O41"/>
    <mergeCell ref="E42:H42"/>
    <mergeCell ref="E48:I48"/>
    <mergeCell ref="M43:M70"/>
    <mergeCell ref="N43:N70"/>
    <mergeCell ref="O43:O70"/>
    <mergeCell ref="E50:I50"/>
    <mergeCell ref="B40:D40"/>
    <mergeCell ref="E40:I40"/>
    <mergeCell ref="B41:D70"/>
    <mergeCell ref="E41:H41"/>
    <mergeCell ref="E43:I43"/>
    <mergeCell ref="E44:I44"/>
    <mergeCell ref="E45:I45"/>
    <mergeCell ref="E46:I46"/>
    <mergeCell ref="E47:I47"/>
    <mergeCell ref="E65:I65"/>
    <mergeCell ref="E58:I58"/>
    <mergeCell ref="E59:I59"/>
    <mergeCell ref="E61:I61"/>
    <mergeCell ref="E62:I62"/>
    <mergeCell ref="E63:I63"/>
    <mergeCell ref="B71:L71"/>
    <mergeCell ref="E49:I49"/>
    <mergeCell ref="E51:H51"/>
    <mergeCell ref="E52:I52"/>
    <mergeCell ref="E53:I53"/>
    <mergeCell ref="E54:I54"/>
    <mergeCell ref="E55:I55"/>
    <mergeCell ref="E66:I66"/>
    <mergeCell ref="E67:I67"/>
    <mergeCell ref="E68:I68"/>
    <mergeCell ref="E69:I69"/>
    <mergeCell ref="E70:I70"/>
    <mergeCell ref="E56:I56"/>
    <mergeCell ref="E57:I57"/>
    <mergeCell ref="E60:I60"/>
    <mergeCell ref="E64:I64"/>
    <mergeCell ref="D85:L85"/>
    <mergeCell ref="B74:D76"/>
    <mergeCell ref="E74:I74"/>
    <mergeCell ref="E75:H75"/>
    <mergeCell ref="B77:D83"/>
    <mergeCell ref="E77:H77"/>
    <mergeCell ref="E78:I78"/>
    <mergeCell ref="E84:H84"/>
    <mergeCell ref="B84:D84"/>
    <mergeCell ref="M78:M82"/>
    <mergeCell ref="N78:N82"/>
    <mergeCell ref="E83:I83"/>
    <mergeCell ref="O78:O82"/>
    <mergeCell ref="E79:I79"/>
    <mergeCell ref="K79:K80"/>
    <mergeCell ref="E80:I80"/>
    <mergeCell ref="E81:I81"/>
    <mergeCell ref="E82:I82"/>
  </mergeCells>
  <conditionalFormatting sqref="N4:O6">
    <cfRule type="cellIs" dxfId="47" priority="13" operator="lessThan">
      <formula>0.7</formula>
    </cfRule>
  </conditionalFormatting>
  <pageMargins left="0.7" right="0.7" top="0.75" bottom="0.75" header="0.3" footer="0.3"/>
  <pageSetup scale="37" orientation="portrait" r:id="rId1"/>
  <colBreaks count="1" manualBreakCount="1">
    <brk id="15" max="83" man="1"/>
  </colBreaks>
  <ignoredErrors>
    <ignoredError sqref="J25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between" id="{4DFF2075-54D2-4457-958E-CC032BADEEED}">
            <xm:f>database!$D$9</xm:f>
            <xm:f>database!$E$9</xm:f>
            <x14:dxf>
              <font>
                <color rgb="FFFFFF00"/>
              </font>
            </x14:dxf>
          </x14:cfRule>
          <xm:sqref>N4:O6</xm:sqref>
        </x14:conditionalFormatting>
        <x14:conditionalFormatting xmlns:xm="http://schemas.microsoft.com/office/excel/2006/main">
          <x14:cfRule type="cellIs" priority="8" operator="between" id="{4E0C0776-C13F-481B-A54C-C0D1895E561A}">
            <xm:f>database!$D$7</xm:f>
            <xm:f>database!$E$7</xm:f>
            <x14:dxf>
              <font>
                <color theme="5" tint="-0.24994659260841701"/>
              </font>
            </x14:dxf>
          </x14:cfRule>
          <x14:cfRule type="cellIs" priority="10" operator="between" id="{7C3B6C72-B013-46D9-8D4D-4E61673D794E}">
            <xm:f>database!$D$8</xm:f>
            <xm:f>database!$E$8</xm:f>
            <x14:dxf>
              <font>
                <color rgb="FFFFC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" operator="between" id="{83DD55E9-2F4E-4295-B14C-256F25CAECE8}">
            <xm:f>database!$D$10</xm:f>
            <xm:f>database!$E$10</xm:f>
            <x14:dxf>
              <font>
                <color rgb="FF92D050"/>
              </font>
            </x14:dxf>
          </x14:cfRule>
          <x14:cfRule type="cellIs" priority="12" operator="greaterThan" id="{B39C7FA2-5227-42A7-89E8-CEEAACECE71E}">
            <xm:f>database!$D$11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N4:O6</xm:sqref>
        </x14:conditionalFormatting>
        <x14:conditionalFormatting xmlns:xm="http://schemas.microsoft.com/office/excel/2006/main">
          <x14:cfRule type="cellIs" priority="1" operator="equal" id="{9DBBEF9B-2D52-42C8-9EA2-5C500681D45A}">
            <xm:f>database!$G$11</xm:f>
            <x14:dxf>
              <font>
                <color rgb="FF00B050"/>
              </font>
              <fill>
                <patternFill>
                  <bgColor theme="0"/>
                </patternFill>
              </fill>
            </x14:dxf>
          </x14:cfRule>
          <x14:cfRule type="cellIs" priority="2" operator="equal" id="{3CB92201-AE37-46D0-987A-54C2119E778B}">
            <xm:f>database!$G$10</xm:f>
            <x14:dxf>
              <font>
                <color rgb="FF92D050"/>
              </font>
              <fill>
                <patternFill>
                  <bgColor theme="0"/>
                </patternFill>
              </fill>
            </x14:dxf>
          </x14:cfRule>
          <x14:cfRule type="cellIs" priority="3" operator="equal" id="{D0669213-C1C8-4CC2-BCED-99A2B939EF81}">
            <xm:f>database!$G$9</xm:f>
            <x14:dxf>
              <font>
                <color rgb="FFFFFF00"/>
              </font>
              <fill>
                <patternFill>
                  <bgColor theme="0"/>
                </patternFill>
              </fill>
            </x14:dxf>
          </x14:cfRule>
          <x14:cfRule type="cellIs" priority="4" operator="equal" id="{F9FBF3EE-0D60-4057-84F9-3B53A7077CC3}">
            <xm:f>database!$G$6</xm:f>
            <x14:dxf>
              <font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5" operator="equal" id="{DA8573E7-8BDE-42E5-A7D9-BFAFC0E5B11A}">
            <xm:f>database!$G$7</xm:f>
            <x14:dxf>
              <font>
                <color theme="5" tint="-0.24994659260841701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6" operator="equal" id="{4A17C08A-ABB7-4057-9D6B-5FBE9C021B0A}">
            <xm:f>database!$G$8</xm:f>
            <x14:dxf>
              <font>
                <color rgb="FFFFC000"/>
              </font>
              <fill>
                <patternFill patternType="none">
                  <bgColor auto="1"/>
                </patternFill>
              </fill>
            </x14:dxf>
          </x14:cfRule>
          <xm:sqref>N7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Y69"/>
  <sheetViews>
    <sheetView showGridLines="0" zoomScale="80" zoomScaleNormal="80" workbookViewId="0">
      <pane xSplit="1" ySplit="9" topLeftCell="B10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15" x14ac:dyDescent="0.2"/>
  <cols>
    <col min="1" max="1" width="0.6640625" style="24" customWidth="1"/>
    <col min="2" max="2" width="13.6640625" style="24" customWidth="1"/>
    <col min="3" max="3" width="1.5" style="24" bestFit="1" customWidth="1"/>
    <col min="4" max="4" width="29.6640625" style="24" customWidth="1"/>
    <col min="5" max="5" width="9.1640625" style="24"/>
    <col min="6" max="6" width="14.1640625" style="24" bestFit="1" customWidth="1"/>
    <col min="7" max="7" width="1.5" style="24" bestFit="1" customWidth="1"/>
    <col min="8" max="8" width="20.5" style="24" customWidth="1"/>
    <col min="9" max="9" width="19.5" style="24" customWidth="1"/>
    <col min="10" max="10" width="20.83203125" style="24" customWidth="1"/>
    <col min="11" max="11" width="18.5" style="24" customWidth="1"/>
    <col min="12" max="12" width="18.83203125" style="24" customWidth="1"/>
    <col min="13" max="13" width="23.1640625" style="24" customWidth="1"/>
    <col min="14" max="14" width="16.1640625" style="25" customWidth="1"/>
    <col min="15" max="15" width="19.1640625" style="25" customWidth="1"/>
    <col min="16" max="16" width="15.1640625" style="24" bestFit="1" customWidth="1"/>
    <col min="17" max="17" width="9.1640625" style="24"/>
    <col min="18" max="19" width="15.1640625" style="24" bestFit="1" customWidth="1"/>
    <col min="20" max="23" width="9.1640625" style="24"/>
    <col min="24" max="25" width="13.83203125" style="24" bestFit="1" customWidth="1"/>
    <col min="26" max="16384" width="9.1640625" style="24"/>
  </cols>
  <sheetData>
    <row r="1" spans="2:25" ht="10.5" customHeight="1" x14ac:dyDescent="0.2"/>
    <row r="2" spans="2:25" s="23" customFormat="1" ht="35" customHeight="1" x14ac:dyDescent="0.2">
      <c r="B2" s="21"/>
      <c r="C2" s="21"/>
      <c r="D2" s="21"/>
      <c r="E2" s="583"/>
      <c r="F2" s="583"/>
      <c r="G2" s="583"/>
      <c r="H2" s="583"/>
      <c r="I2" s="583"/>
      <c r="J2" s="583"/>
      <c r="K2" s="583"/>
      <c r="L2" s="583"/>
      <c r="M2" s="583"/>
      <c r="N2" s="22"/>
      <c r="O2" s="22"/>
      <c r="R2" s="217">
        <f>IF($O$69&gt;=database!$D$11,database!$F$11,IF($O$69&gt;=database!$D$10,database!$F$10,IF($O$69&gt;=database!$D$9,database!$F$9,IF($O$69&gt;=database!$D$8,database!$F$8,IF($O$69&gt;=database!$D$7,database!$F$7,database!$F$6)))))</f>
        <v>4</v>
      </c>
      <c r="X2" s="23" t="s">
        <v>9</v>
      </c>
      <c r="Y2" s="23" t="s">
        <v>54</v>
      </c>
    </row>
    <row r="3" spans="2:25" s="23" customFormat="1" ht="9.75" customHeight="1" x14ac:dyDescent="0.2">
      <c r="B3" s="257"/>
      <c r="C3" s="257"/>
      <c r="D3" s="257"/>
      <c r="E3" s="258"/>
      <c r="F3" s="258"/>
      <c r="G3" s="258"/>
      <c r="H3" s="258"/>
      <c r="I3" s="258"/>
      <c r="J3" s="258"/>
      <c r="K3" s="258"/>
      <c r="L3" s="258"/>
      <c r="M3" s="258"/>
      <c r="N3" s="122"/>
      <c r="O3" s="122"/>
    </row>
    <row r="4" spans="2:25" s="23" customFormat="1" ht="15" customHeight="1" x14ac:dyDescent="0.2">
      <c r="B4" s="131" t="s">
        <v>119</v>
      </c>
      <c r="C4" s="131" t="s">
        <v>120</v>
      </c>
      <c r="D4" s="326">
        <f>PCM!B6</f>
        <v>44895</v>
      </c>
      <c r="E4" s="131"/>
      <c r="F4" s="327" t="s">
        <v>121</v>
      </c>
      <c r="G4" s="327" t="s">
        <v>120</v>
      </c>
      <c r="H4" s="328" t="str">
        <f>INDEX(PCM!$A:$B,MATCH('Calc PCM'!$D$6,PCM!$B:$B,0),1)</f>
        <v>JAKARTA WEST</v>
      </c>
      <c r="I4" s="329" t="s">
        <v>137</v>
      </c>
      <c r="J4" s="330" t="str">
        <f>VLOOKUP($D$6,PCM!$B:$O,5,FALSE)</f>
        <v>Active</v>
      </c>
      <c r="K4" s="131"/>
      <c r="L4" s="257"/>
      <c r="M4" s="257"/>
      <c r="N4" s="565">
        <f>O69</f>
        <v>1.2609159454495253</v>
      </c>
      <c r="O4" s="565"/>
      <c r="W4" s="23" t="s">
        <v>58</v>
      </c>
      <c r="X4" s="323">
        <f>J21</f>
        <v>196443.96480656194</v>
      </c>
      <c r="Y4" s="323">
        <f>K21</f>
        <v>225496.45313087065</v>
      </c>
    </row>
    <row r="5" spans="2:25" ht="15" customHeight="1" x14ac:dyDescent="0.2">
      <c r="B5" s="327" t="s">
        <v>122</v>
      </c>
      <c r="C5" s="327" t="s">
        <v>120</v>
      </c>
      <c r="D5" s="331">
        <f>PCM!B6</f>
        <v>44895</v>
      </c>
      <c r="E5" s="131"/>
      <c r="F5" s="327" t="s">
        <v>125</v>
      </c>
      <c r="G5" s="327" t="s">
        <v>120</v>
      </c>
      <c r="H5" s="330" t="str">
        <f>VLOOKUP($D$6,PCM!$B:$O,12,FALSE)</f>
        <v>301</v>
      </c>
      <c r="I5" s="329"/>
      <c r="J5" s="332"/>
      <c r="K5" s="131"/>
      <c r="L5" s="257"/>
      <c r="M5" s="257"/>
      <c r="N5" s="565"/>
      <c r="O5" s="565"/>
      <c r="W5" s="24" t="s">
        <v>59</v>
      </c>
      <c r="X5" s="27">
        <f>J23</f>
        <v>263918.84265581501</v>
      </c>
      <c r="Y5" s="27">
        <f>K23</f>
        <v>270539.68924336002</v>
      </c>
    </row>
    <row r="6" spans="2:25" ht="15" customHeight="1" x14ac:dyDescent="0.2">
      <c r="B6" s="327" t="s">
        <v>123</v>
      </c>
      <c r="C6" s="327" t="s">
        <v>120</v>
      </c>
      <c r="D6" s="333" t="s">
        <v>460</v>
      </c>
      <c r="E6" s="131"/>
      <c r="F6" s="327" t="s">
        <v>126</v>
      </c>
      <c r="G6" s="327" t="s">
        <v>120</v>
      </c>
      <c r="H6" s="330" t="str">
        <f>VLOOKUP($D$6,PCM!$B:$O,13,FALSE)</f>
        <v>MUAMALAT TOWER</v>
      </c>
      <c r="I6" s="320"/>
      <c r="J6" s="131"/>
      <c r="K6" s="131"/>
      <c r="L6" s="257"/>
      <c r="M6" s="257"/>
      <c r="N6" s="565"/>
      <c r="O6" s="565"/>
      <c r="W6" s="24" t="s">
        <v>113</v>
      </c>
      <c r="X6" s="324">
        <f>M27</f>
        <v>0.16666666666666666</v>
      </c>
      <c r="Y6" s="324">
        <f>130%-X6</f>
        <v>1.1333333333333333</v>
      </c>
    </row>
    <row r="7" spans="2:25" ht="15" customHeight="1" x14ac:dyDescent="0.2">
      <c r="B7" s="327" t="s">
        <v>124</v>
      </c>
      <c r="C7" s="327" t="s">
        <v>120</v>
      </c>
      <c r="D7" s="330" t="str">
        <f>VLOOKUP($D$6,PCM!$B:$O,2,FALSE)</f>
        <v>Raldi Musaran</v>
      </c>
      <c r="E7" s="131"/>
      <c r="F7" s="327" t="s">
        <v>101</v>
      </c>
      <c r="G7" s="327" t="s">
        <v>120</v>
      </c>
      <c r="H7" s="330" t="str">
        <f>VLOOKUP($D$6,PCM!$B:$O,14,FALSE)</f>
        <v>JAKARTA</v>
      </c>
      <c r="I7" s="320"/>
      <c r="J7" s="131"/>
      <c r="K7" s="131"/>
      <c r="L7" s="257"/>
      <c r="M7" s="257"/>
      <c r="N7" s="566" t="str">
        <f>VLOOKUP(R2,database!$F$6:$G$11,2,0)</f>
        <v>⭐⭐⭐⭐</v>
      </c>
      <c r="O7" s="566"/>
      <c r="W7" s="24" t="s">
        <v>11</v>
      </c>
      <c r="X7" s="324">
        <f>M29</f>
        <v>1.4008180880491736</v>
      </c>
      <c r="Y7" s="325">
        <f>200%-X7</f>
        <v>0.59918191195082637</v>
      </c>
    </row>
    <row r="8" spans="2:25" ht="15" customHeight="1" x14ac:dyDescent="0.2">
      <c r="B8" s="327" t="s">
        <v>60</v>
      </c>
      <c r="C8" s="327" t="s">
        <v>120</v>
      </c>
      <c r="D8" s="330" t="str">
        <f>VLOOKUP($D$6,PCM!$B:$O,4,FALSE)</f>
        <v>PCM</v>
      </c>
      <c r="E8" s="131"/>
      <c r="F8" s="327" t="s">
        <v>136</v>
      </c>
      <c r="G8" s="327" t="s">
        <v>120</v>
      </c>
      <c r="H8" s="330"/>
      <c r="I8" s="320"/>
      <c r="J8" s="131"/>
      <c r="K8" s="131"/>
      <c r="L8" s="257"/>
      <c r="M8" s="257"/>
      <c r="N8" s="566"/>
      <c r="O8" s="566"/>
    </row>
    <row r="9" spans="2:25" ht="24.75" customHeight="1" x14ac:dyDescent="0.2">
      <c r="B9" s="327" t="s">
        <v>45</v>
      </c>
      <c r="C9" s="327" t="s">
        <v>120</v>
      </c>
      <c r="D9" s="331">
        <f>VLOOKUP($D$6,PCM!$B:$O,7,FALSE)</f>
        <v>42857</v>
      </c>
      <c r="E9" s="131"/>
      <c r="F9" s="305"/>
      <c r="G9" s="305"/>
      <c r="H9" s="334"/>
      <c r="I9" s="320"/>
      <c r="J9" s="131"/>
      <c r="K9" s="131"/>
      <c r="L9" s="257"/>
      <c r="M9" s="257"/>
      <c r="N9" s="566"/>
      <c r="O9" s="566"/>
    </row>
    <row r="10" spans="2:25" s="14" customFormat="1" ht="30" customHeight="1" x14ac:dyDescent="0.2">
      <c r="B10" s="601" t="s">
        <v>398</v>
      </c>
      <c r="C10" s="602"/>
      <c r="D10" s="602"/>
      <c r="E10" s="602"/>
      <c r="F10" s="602"/>
      <c r="G10" s="602"/>
      <c r="H10" s="602"/>
      <c r="I10" s="602"/>
      <c r="J10" s="602"/>
      <c r="K10" s="602"/>
      <c r="L10" s="602"/>
      <c r="M10" s="602"/>
      <c r="N10" s="602"/>
      <c r="O10" s="603"/>
    </row>
    <row r="11" spans="2:25" s="14" customFormat="1" ht="20" customHeight="1" x14ac:dyDescent="0.2">
      <c r="B11" s="131"/>
      <c r="C11" s="131"/>
      <c r="D11" s="140"/>
      <c r="E11" s="131"/>
      <c r="F11" s="131"/>
      <c r="G11" s="131"/>
      <c r="H11" s="319"/>
      <c r="I11" s="320"/>
      <c r="J11" s="257"/>
      <c r="K11" s="257"/>
      <c r="L11" s="13"/>
      <c r="N11" s="13"/>
      <c r="O11" s="321"/>
    </row>
    <row r="12" spans="2:25" s="14" customFormat="1" ht="20" customHeight="1" x14ac:dyDescent="0.2">
      <c r="B12" s="131"/>
      <c r="C12" s="131"/>
      <c r="D12" s="140"/>
      <c r="E12" s="131"/>
      <c r="F12" s="131"/>
      <c r="G12" s="131"/>
      <c r="H12" s="319"/>
      <c r="I12" s="320"/>
      <c r="J12" s="257"/>
      <c r="K12" s="257"/>
      <c r="L12" s="13"/>
      <c r="N12" s="13"/>
      <c r="O12" s="321"/>
    </row>
    <row r="13" spans="2:25" s="14" customFormat="1" ht="20" customHeight="1" x14ac:dyDescent="0.2">
      <c r="B13" s="131"/>
      <c r="C13" s="131"/>
      <c r="D13" s="140"/>
      <c r="E13" s="131"/>
      <c r="F13" s="131"/>
      <c r="G13" s="131"/>
      <c r="H13" s="319"/>
      <c r="I13" s="320"/>
      <c r="J13" s="257"/>
      <c r="K13" s="257"/>
      <c r="L13" s="13"/>
      <c r="N13" s="13"/>
      <c r="O13" s="321"/>
    </row>
    <row r="14" spans="2:25" s="14" customFormat="1" ht="20" customHeight="1" x14ac:dyDescent="0.2">
      <c r="B14" s="131"/>
      <c r="C14" s="131"/>
      <c r="D14" s="140"/>
      <c r="E14" s="131"/>
      <c r="F14" s="131"/>
      <c r="G14" s="131"/>
      <c r="H14" s="319"/>
      <c r="I14" s="320"/>
      <c r="J14" s="257"/>
      <c r="K14" s="257"/>
      <c r="L14" s="13"/>
      <c r="N14" s="13"/>
      <c r="O14" s="321"/>
    </row>
    <row r="15" spans="2:25" s="14" customFormat="1" ht="20" customHeight="1" x14ac:dyDescent="0.2">
      <c r="B15" s="131"/>
      <c r="C15" s="131"/>
      <c r="D15" s="140"/>
      <c r="E15" s="131"/>
      <c r="F15" s="131"/>
      <c r="G15" s="131"/>
      <c r="H15" s="319"/>
      <c r="I15" s="320"/>
      <c r="J15" s="257"/>
      <c r="K15" s="257"/>
      <c r="L15" s="13"/>
      <c r="N15" s="13"/>
      <c r="O15" s="321"/>
    </row>
    <row r="16" spans="2:25" s="14" customFormat="1" ht="20" customHeight="1" x14ac:dyDescent="0.2">
      <c r="B16" s="131"/>
      <c r="C16" s="131"/>
      <c r="D16" s="140"/>
      <c r="E16" s="131"/>
      <c r="F16" s="131"/>
      <c r="G16" s="131"/>
      <c r="H16" s="319"/>
      <c r="I16" s="320"/>
      <c r="J16" s="257"/>
      <c r="K16" s="257"/>
      <c r="L16" s="13"/>
      <c r="N16" s="13"/>
      <c r="O16" s="321"/>
    </row>
    <row r="17" spans="2:20" s="14" customFormat="1" ht="20" customHeight="1" x14ac:dyDescent="0.2">
      <c r="B17" s="131"/>
      <c r="C17" s="131"/>
      <c r="D17" s="140"/>
      <c r="E17" s="131"/>
      <c r="F17" s="131"/>
      <c r="G17" s="131"/>
      <c r="H17" s="319"/>
      <c r="I17" s="320"/>
      <c r="J17" s="257"/>
      <c r="K17" s="257"/>
      <c r="L17" s="13"/>
      <c r="N17" s="13"/>
      <c r="O17" s="321"/>
    </row>
    <row r="18" spans="2:20" s="14" customFormat="1" ht="20" customHeight="1" x14ac:dyDescent="0.2">
      <c r="B18" s="131"/>
      <c r="C18" s="131"/>
      <c r="D18" s="140"/>
      <c r="E18" s="131"/>
      <c r="F18" s="131"/>
      <c r="G18" s="131"/>
      <c r="H18" s="319"/>
      <c r="I18" s="320"/>
      <c r="J18" s="257"/>
      <c r="K18" s="257"/>
      <c r="L18" s="13"/>
      <c r="N18" s="13"/>
      <c r="O18" s="321"/>
    </row>
    <row r="19" spans="2:20" s="14" customFormat="1" ht="20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N19" s="16"/>
      <c r="O19" s="322"/>
    </row>
    <row r="20" spans="2:20" s="26" customFormat="1" ht="28.5" customHeight="1" thickBot="1" x14ac:dyDescent="0.25">
      <c r="B20" s="584" t="s">
        <v>399</v>
      </c>
      <c r="C20" s="584"/>
      <c r="D20" s="585"/>
      <c r="E20" s="585" t="s">
        <v>2</v>
      </c>
      <c r="F20" s="585"/>
      <c r="G20" s="585"/>
      <c r="H20" s="585"/>
      <c r="I20" s="259" t="s">
        <v>3</v>
      </c>
      <c r="J20" s="260" t="s">
        <v>4</v>
      </c>
      <c r="K20" s="260" t="s">
        <v>5</v>
      </c>
      <c r="L20" s="261" t="s">
        <v>323</v>
      </c>
      <c r="M20" s="260" t="s">
        <v>6</v>
      </c>
      <c r="N20" s="260" t="s">
        <v>7</v>
      </c>
      <c r="O20" s="260" t="s">
        <v>8</v>
      </c>
    </row>
    <row r="21" spans="2:20" ht="20" customHeight="1" x14ac:dyDescent="0.2">
      <c r="B21" s="586" t="s">
        <v>127</v>
      </c>
      <c r="C21" s="586"/>
      <c r="D21" s="596" t="s">
        <v>128</v>
      </c>
      <c r="E21" s="599" t="s">
        <v>325</v>
      </c>
      <c r="F21" s="599"/>
      <c r="G21" s="599"/>
      <c r="H21" s="599"/>
      <c r="I21" s="263">
        <f>SUMIFS(PCM!P:P,PCM!$B:$B,$D$6)</f>
        <v>174443.96480656194</v>
      </c>
      <c r="J21" s="263">
        <f>SUMIFS(PCM!S:S,PCM!$B:$B,$D$6)</f>
        <v>196443.96480656194</v>
      </c>
      <c r="K21" s="263">
        <f>SUMIFS(PCM!AB:AB,PCM!$B:$B,$D$6)</f>
        <v>225496.45313087065</v>
      </c>
      <c r="L21" s="264"/>
      <c r="M21" s="605">
        <f>MAX(0,MIN(IF(AND(M26&gt;=50%,AVERAGE(M29)&gt;=0%),200%,130%),MAX(0,K22/J22)))</f>
        <v>2</v>
      </c>
      <c r="N21" s="607">
        <v>0.2</v>
      </c>
      <c r="O21" s="605">
        <f>M21*N21</f>
        <v>0.4</v>
      </c>
      <c r="P21" s="27"/>
      <c r="Q21" s="28"/>
      <c r="R21" s="27"/>
      <c r="S21" s="27"/>
    </row>
    <row r="22" spans="2:20" ht="20" customHeight="1" x14ac:dyDescent="0.2">
      <c r="B22" s="587"/>
      <c r="C22" s="587"/>
      <c r="D22" s="597"/>
      <c r="E22" s="600" t="s">
        <v>326</v>
      </c>
      <c r="F22" s="600"/>
      <c r="G22" s="600"/>
      <c r="H22" s="600"/>
      <c r="I22" s="600"/>
      <c r="J22" s="265">
        <f>J21-I21</f>
        <v>22000</v>
      </c>
      <c r="K22" s="266">
        <f>(L21+K21)-I21</f>
        <v>51052.48832430871</v>
      </c>
      <c r="L22" s="267"/>
      <c r="M22" s="606"/>
      <c r="N22" s="608"/>
      <c r="O22" s="606"/>
      <c r="P22" s="27"/>
      <c r="Q22" s="28"/>
      <c r="R22" s="27"/>
      <c r="S22" s="27"/>
    </row>
    <row r="23" spans="2:20" ht="20" customHeight="1" x14ac:dyDescent="0.2">
      <c r="B23" s="587"/>
      <c r="C23" s="587"/>
      <c r="D23" s="597"/>
      <c r="E23" s="589" t="s">
        <v>327</v>
      </c>
      <c r="F23" s="589"/>
      <c r="G23" s="589"/>
      <c r="H23" s="589"/>
      <c r="I23" s="265">
        <f>SUMIFS(PCM!Q:Q,PCM!$B:$B,$D$6)</f>
        <v>263418.84265581501</v>
      </c>
      <c r="J23" s="265">
        <f>SUMIFS(PCM!T:T,PCM!$B:$B,$D$6)</f>
        <v>263918.84265581501</v>
      </c>
      <c r="K23" s="265">
        <f>SUMIFS(PCM!AC:AC,PCM!$B:$B,$D$6)</f>
        <v>270539.68924336002</v>
      </c>
      <c r="L23" s="268"/>
      <c r="M23" s="606">
        <f>IF(IF(K24=0,0,MAX(0,MIN(100%,(MAX(0,(K24+K25)/J24,0)))))&lt;100%,0,100%)</f>
        <v>1</v>
      </c>
      <c r="N23" s="608">
        <v>0.05</v>
      </c>
      <c r="O23" s="606">
        <f>M23*N23</f>
        <v>0.05</v>
      </c>
      <c r="P23" s="27"/>
      <c r="Q23" s="28"/>
      <c r="R23" s="27"/>
      <c r="S23" s="27"/>
    </row>
    <row r="24" spans="2:20" ht="20" customHeight="1" x14ac:dyDescent="0.2">
      <c r="B24" s="587"/>
      <c r="C24" s="587"/>
      <c r="D24" s="597"/>
      <c r="E24" s="589" t="s">
        <v>326</v>
      </c>
      <c r="F24" s="589"/>
      <c r="G24" s="589"/>
      <c r="H24" s="589"/>
      <c r="I24" s="269">
        <f>SUMIFS(Branch!T:T,Branch!$K:$K,$H$5)</f>
        <v>500729.55699999991</v>
      </c>
      <c r="J24" s="265">
        <f>J23-I23</f>
        <v>500</v>
      </c>
      <c r="K24" s="265">
        <f>(L23+K23)-I23</f>
        <v>7120.8465875450056</v>
      </c>
      <c r="L24" s="267"/>
      <c r="M24" s="606"/>
      <c r="N24" s="608"/>
      <c r="O24" s="606"/>
      <c r="P24" s="27"/>
      <c r="Q24" s="28"/>
    </row>
    <row r="25" spans="2:20" ht="20" customHeight="1" thickBot="1" x14ac:dyDescent="0.25">
      <c r="B25" s="587"/>
      <c r="C25" s="587"/>
      <c r="D25" s="598"/>
      <c r="E25" s="270" t="s">
        <v>352</v>
      </c>
      <c r="F25" s="271"/>
      <c r="G25" s="271"/>
      <c r="H25" s="271"/>
      <c r="I25" s="272"/>
      <c r="J25" s="273"/>
      <c r="K25" s="273">
        <f>IF((K22/J22)&gt;=200%,(K22-(J22*200%)),0)</f>
        <v>7052.4883243087097</v>
      </c>
      <c r="L25" s="274"/>
      <c r="M25" s="610"/>
      <c r="N25" s="609"/>
      <c r="O25" s="610"/>
      <c r="P25" s="27"/>
      <c r="Q25" s="28"/>
    </row>
    <row r="26" spans="2:20" s="14" customFormat="1" ht="20" customHeight="1" x14ac:dyDescent="0.2">
      <c r="B26" s="587"/>
      <c r="C26" s="587"/>
      <c r="D26" s="275" t="s">
        <v>395</v>
      </c>
      <c r="E26" s="276" t="s">
        <v>434</v>
      </c>
      <c r="F26" s="277"/>
      <c r="G26" s="277"/>
      <c r="H26" s="277"/>
      <c r="I26" s="278"/>
      <c r="J26" s="279">
        <f>SUMIFS(PCM!W:W,PCM!$B:$B,$D$6)</f>
        <v>150</v>
      </c>
      <c r="K26" s="279">
        <f>SUMIFS(PCM!AG:AG,PCM!$B:$B,$D$6)</f>
        <v>135.10772641937737</v>
      </c>
      <c r="L26" s="335"/>
      <c r="M26" s="280">
        <f>MIN(200%,K26/J26)</f>
        <v>0.90071817612918248</v>
      </c>
      <c r="N26" s="281">
        <v>0.2</v>
      </c>
      <c r="O26" s="282">
        <f>M26*N26</f>
        <v>0.18014363522583651</v>
      </c>
      <c r="P26" s="283"/>
      <c r="Q26" s="28"/>
    </row>
    <row r="27" spans="2:20" s="14" customFormat="1" ht="20" customHeight="1" x14ac:dyDescent="0.2">
      <c r="B27" s="587"/>
      <c r="C27" s="588"/>
      <c r="D27" s="290"/>
      <c r="E27" s="590" t="s">
        <v>117</v>
      </c>
      <c r="F27" s="591"/>
      <c r="G27" s="591"/>
      <c r="H27" s="591"/>
      <c r="I27" s="592"/>
      <c r="J27" s="279">
        <f>SUMIFS(PCM!X:X,PCM!$B:$B,$D$6)</f>
        <v>6</v>
      </c>
      <c r="K27" s="279">
        <f>SUMIFS(PCM!AH:AH,PCM!$B:$B,$D$6)</f>
        <v>1</v>
      </c>
      <c r="L27" s="284"/>
      <c r="M27" s="280">
        <f>MIN(130%,K27/J27)</f>
        <v>0.16666666666666666</v>
      </c>
      <c r="N27" s="281">
        <v>0.15</v>
      </c>
      <c r="O27" s="282">
        <f>M27*N27</f>
        <v>2.4999999999999998E-2</v>
      </c>
      <c r="P27" s="283"/>
      <c r="Q27" s="28"/>
    </row>
    <row r="28" spans="2:20" ht="20" customHeight="1" x14ac:dyDescent="0.2">
      <c r="B28" s="587"/>
      <c r="C28" s="588"/>
      <c r="D28" s="291"/>
      <c r="E28" s="285"/>
      <c r="F28" s="285"/>
      <c r="G28" s="285"/>
      <c r="H28" s="285"/>
      <c r="I28" s="286" t="s">
        <v>9</v>
      </c>
      <c r="J28" s="286" t="s">
        <v>129</v>
      </c>
      <c r="K28" s="286" t="s">
        <v>10</v>
      </c>
      <c r="L28" s="285"/>
      <c r="M28" s="287" t="s">
        <v>130</v>
      </c>
      <c r="N28" s="288" t="s">
        <v>131</v>
      </c>
      <c r="O28" s="289" t="s">
        <v>132</v>
      </c>
      <c r="P28" s="27"/>
      <c r="Q28" s="28"/>
    </row>
    <row r="29" spans="2:20" ht="20" customHeight="1" x14ac:dyDescent="0.2">
      <c r="B29" s="587"/>
      <c r="C29" s="588"/>
      <c r="D29" s="593" t="s">
        <v>133</v>
      </c>
      <c r="E29" s="595" t="s">
        <v>353</v>
      </c>
      <c r="F29" s="595"/>
      <c r="G29" s="595"/>
      <c r="H29" s="595"/>
      <c r="I29" s="265">
        <f>SUMIFS(PCM!Y:Y,PCM!$B:$B,$D$6)</f>
        <v>2000</v>
      </c>
      <c r="J29" s="294"/>
      <c r="K29" s="294">
        <f>SUM(K30:K36)</f>
        <v>1449.6361760983473</v>
      </c>
      <c r="L29" s="58"/>
      <c r="M29" s="579">
        <f>MIN(200%,(K37+K29)/I29)</f>
        <v>1.4008180880491736</v>
      </c>
      <c r="N29" s="576">
        <v>0.2</v>
      </c>
      <c r="O29" s="611">
        <f>M29*N29</f>
        <v>0.28016361760983471</v>
      </c>
      <c r="T29" s="27"/>
    </row>
    <row r="30" spans="2:20" ht="20" customHeight="1" x14ac:dyDescent="0.2">
      <c r="B30" s="587"/>
      <c r="C30" s="588"/>
      <c r="D30" s="594"/>
      <c r="E30" s="571" t="s">
        <v>333</v>
      </c>
      <c r="F30" s="571"/>
      <c r="G30" s="571"/>
      <c r="H30" s="571"/>
      <c r="I30" s="571"/>
      <c r="J30" s="298">
        <f>SUMIFS(PCM!AI:AI,PCM!$B:$B,$D$6)</f>
        <v>50</v>
      </c>
      <c r="K30" s="299">
        <f>((J30+L30)/1)*20</f>
        <v>1000</v>
      </c>
      <c r="L30" s="59"/>
      <c r="M30" s="485"/>
      <c r="N30" s="577"/>
      <c r="O30" s="612"/>
      <c r="Q30" s="29"/>
      <c r="R30" s="27"/>
      <c r="T30" s="27"/>
    </row>
    <row r="31" spans="2:20" ht="20" customHeight="1" x14ac:dyDescent="0.2">
      <c r="B31" s="587"/>
      <c r="C31" s="588"/>
      <c r="D31" s="594"/>
      <c r="E31" s="571" t="s">
        <v>334</v>
      </c>
      <c r="F31" s="571"/>
      <c r="G31" s="571"/>
      <c r="H31" s="571"/>
      <c r="I31" s="571"/>
      <c r="J31" s="294">
        <f>SUMIFS(PCM!AJ:AJ,PCM!$B:$B,$D$6)</f>
        <v>0</v>
      </c>
      <c r="K31" s="295">
        <f>((J31+L31)/1)*8</f>
        <v>0</v>
      </c>
      <c r="L31" s="59"/>
      <c r="M31" s="485"/>
      <c r="N31" s="577"/>
      <c r="O31" s="612"/>
      <c r="Q31" s="29"/>
      <c r="R31" s="27"/>
      <c r="T31" s="27"/>
    </row>
    <row r="32" spans="2:20" ht="20" customHeight="1" x14ac:dyDescent="0.2">
      <c r="B32" s="587"/>
      <c r="C32" s="588"/>
      <c r="D32" s="594"/>
      <c r="E32" s="571" t="s">
        <v>335</v>
      </c>
      <c r="F32" s="571"/>
      <c r="G32" s="571"/>
      <c r="H32" s="571"/>
      <c r="I32" s="571"/>
      <c r="J32" s="294">
        <f>SUMIFS(PCM!AK:AK,PCM!$B:$B,$D$6)</f>
        <v>0</v>
      </c>
      <c r="K32" s="295">
        <f>((J32+L32)/1)*2</f>
        <v>0</v>
      </c>
      <c r="L32" s="59"/>
      <c r="M32" s="485"/>
      <c r="N32" s="577"/>
      <c r="O32" s="612"/>
      <c r="Q32" s="29"/>
      <c r="R32" s="27"/>
      <c r="T32" s="27"/>
    </row>
    <row r="33" spans="2:20" ht="20" customHeight="1" x14ac:dyDescent="0.2">
      <c r="B33" s="587"/>
      <c r="C33" s="588"/>
      <c r="D33" s="594"/>
      <c r="E33" s="571" t="s">
        <v>336</v>
      </c>
      <c r="F33" s="571"/>
      <c r="G33" s="571"/>
      <c r="H33" s="571"/>
      <c r="I33" s="571"/>
      <c r="J33" s="294">
        <f>SUMIFS(PCM!AL:AL,PCM!$B:$B,$D$6)</f>
        <v>249636.17609834729</v>
      </c>
      <c r="K33" s="295">
        <f>((J33+L33)/10000)*10</f>
        <v>249.63617609834728</v>
      </c>
      <c r="L33" s="59"/>
      <c r="M33" s="485"/>
      <c r="N33" s="577"/>
      <c r="O33" s="612"/>
      <c r="Q33" s="29"/>
      <c r="R33" s="27"/>
      <c r="T33" s="27"/>
    </row>
    <row r="34" spans="2:20" ht="20" customHeight="1" x14ac:dyDescent="0.2">
      <c r="B34" s="587"/>
      <c r="C34" s="588"/>
      <c r="D34" s="594"/>
      <c r="E34" s="571" t="s">
        <v>337</v>
      </c>
      <c r="F34" s="571"/>
      <c r="G34" s="571"/>
      <c r="H34" s="571"/>
      <c r="I34" s="571"/>
      <c r="J34" s="294">
        <f>SUMIFS(PCM!AM:AM,PCM!$B:$B,$D$6)</f>
        <v>2000</v>
      </c>
      <c r="K34" s="295">
        <f>((J34+L34)/100)*10</f>
        <v>200</v>
      </c>
      <c r="L34" s="59"/>
      <c r="M34" s="485"/>
      <c r="N34" s="577"/>
      <c r="O34" s="612"/>
    </row>
    <row r="35" spans="2:20" ht="20" customHeight="1" x14ac:dyDescent="0.2">
      <c r="B35" s="587"/>
      <c r="C35" s="588"/>
      <c r="D35" s="594"/>
      <c r="E35" s="571" t="s">
        <v>338</v>
      </c>
      <c r="F35" s="571"/>
      <c r="G35" s="571"/>
      <c r="H35" s="571"/>
      <c r="I35" s="571"/>
      <c r="J35" s="294">
        <f>SUMIFS(PCM!AN:AN,PCM!$B:$B,$D$6)</f>
        <v>0</v>
      </c>
      <c r="K35" s="295">
        <f>((J35+L35)/100)*10</f>
        <v>0</v>
      </c>
      <c r="L35" s="59"/>
      <c r="M35" s="485"/>
      <c r="N35" s="577"/>
      <c r="O35" s="612"/>
    </row>
    <row r="36" spans="2:20" ht="20" customHeight="1" x14ac:dyDescent="0.2">
      <c r="B36" s="587"/>
      <c r="C36" s="588"/>
      <c r="D36" s="594"/>
      <c r="E36" s="571" t="s">
        <v>339</v>
      </c>
      <c r="F36" s="571"/>
      <c r="G36" s="571"/>
      <c r="H36" s="571"/>
      <c r="I36" s="571"/>
      <c r="J36" s="294">
        <f>SUMIFS(PCM!AO:AO,PCM!$B:$B,$D$6)</f>
        <v>0</v>
      </c>
      <c r="K36" s="295">
        <f>((J36+L36)/500)*20</f>
        <v>0</v>
      </c>
      <c r="L36" s="59"/>
      <c r="M36" s="485"/>
      <c r="N36" s="577"/>
      <c r="O36" s="612"/>
    </row>
    <row r="37" spans="2:20" ht="20" customHeight="1" x14ac:dyDescent="0.2">
      <c r="B37" s="587"/>
      <c r="C37" s="588"/>
      <c r="D37" s="594"/>
      <c r="E37" s="604"/>
      <c r="F37" s="604"/>
      <c r="G37" s="604"/>
      <c r="H37" s="604"/>
      <c r="I37" s="604"/>
      <c r="J37" s="292"/>
      <c r="K37" s="262">
        <f>SUM(K38:K53)</f>
        <v>1352</v>
      </c>
      <c r="L37" s="59"/>
      <c r="M37" s="485"/>
      <c r="N37" s="577"/>
      <c r="O37" s="612"/>
    </row>
    <row r="38" spans="2:20" ht="20" customHeight="1" x14ac:dyDescent="0.2">
      <c r="B38" s="587"/>
      <c r="C38" s="588"/>
      <c r="D38" s="594"/>
      <c r="E38" s="571" t="s">
        <v>437</v>
      </c>
      <c r="F38" s="571"/>
      <c r="G38" s="571"/>
      <c r="H38" s="571"/>
      <c r="I38" s="571"/>
      <c r="J38" s="296">
        <f>SUMIFS(PCM!AZ:AZ,PCM!$B:$B,$D$6)+SUMIFS(PCM!BA:BA,PCM!$B:$B,$D$6)</f>
        <v>1</v>
      </c>
      <c r="K38" s="293">
        <f>((J38+L38)/1)*10</f>
        <v>10</v>
      </c>
      <c r="L38" s="59"/>
      <c r="M38" s="485"/>
      <c r="N38" s="577"/>
      <c r="O38" s="612"/>
    </row>
    <row r="39" spans="2:20" ht="20" customHeight="1" x14ac:dyDescent="0.2">
      <c r="B39" s="587"/>
      <c r="C39" s="588"/>
      <c r="D39" s="594"/>
      <c r="E39" s="571" t="s">
        <v>341</v>
      </c>
      <c r="F39" s="571"/>
      <c r="G39" s="571"/>
      <c r="H39" s="571"/>
      <c r="I39" s="571"/>
      <c r="J39" s="292">
        <f>SUMIFS(PCM!BB:BB,PCM!$B:$B,$D$6)</f>
        <v>0</v>
      </c>
      <c r="K39" s="293">
        <f>((J39+L39)/1)*10</f>
        <v>0</v>
      </c>
      <c r="L39" s="59"/>
      <c r="M39" s="485"/>
      <c r="N39" s="577"/>
      <c r="O39" s="612"/>
    </row>
    <row r="40" spans="2:20" ht="20" customHeight="1" x14ac:dyDescent="0.2">
      <c r="B40" s="587"/>
      <c r="C40" s="588"/>
      <c r="D40" s="594"/>
      <c r="E40" s="571" t="s">
        <v>408</v>
      </c>
      <c r="F40" s="571"/>
      <c r="G40" s="571"/>
      <c r="H40" s="571"/>
      <c r="I40" s="571"/>
      <c r="J40" s="292">
        <f>SUMIFS(PCM!BC:BC,PCM!$B:$B,$D$6)</f>
        <v>0</v>
      </c>
      <c r="K40" s="297">
        <f>((J40+L40)/1)*10</f>
        <v>0</v>
      </c>
      <c r="L40" s="59"/>
      <c r="M40" s="485"/>
      <c r="N40" s="577"/>
      <c r="O40" s="612"/>
    </row>
    <row r="41" spans="2:20" ht="20" customHeight="1" x14ac:dyDescent="0.2">
      <c r="B41" s="587"/>
      <c r="C41" s="588"/>
      <c r="D41" s="594"/>
      <c r="E41" s="571" t="s">
        <v>409</v>
      </c>
      <c r="F41" s="571"/>
      <c r="G41" s="571"/>
      <c r="H41" s="571"/>
      <c r="I41" s="571"/>
      <c r="J41" s="296">
        <f>SUM(J42:J43)</f>
        <v>0</v>
      </c>
      <c r="K41" s="297">
        <f>((J41+L41)/100)*30</f>
        <v>0</v>
      </c>
      <c r="L41" s="300"/>
      <c r="M41" s="485"/>
      <c r="N41" s="577"/>
      <c r="O41" s="612"/>
    </row>
    <row r="42" spans="2:20" ht="20" customHeight="1" x14ac:dyDescent="0.2">
      <c r="B42" s="587"/>
      <c r="C42" s="588"/>
      <c r="D42" s="594"/>
      <c r="E42" s="580" t="s">
        <v>429</v>
      </c>
      <c r="F42" s="581"/>
      <c r="G42" s="581"/>
      <c r="H42" s="581"/>
      <c r="I42" s="582"/>
      <c r="J42" s="292">
        <f>SUMIFS(PCM!BD:BD,PCM!$B:$B,$D$6)+L42</f>
        <v>0</v>
      </c>
      <c r="K42" s="297"/>
      <c r="L42" s="59"/>
      <c r="M42" s="485"/>
      <c r="N42" s="577"/>
      <c r="O42" s="612"/>
    </row>
    <row r="43" spans="2:20" ht="20" customHeight="1" x14ac:dyDescent="0.2">
      <c r="B43" s="587"/>
      <c r="C43" s="588"/>
      <c r="D43" s="594"/>
      <c r="E43" s="580" t="s">
        <v>430</v>
      </c>
      <c r="F43" s="581"/>
      <c r="G43" s="581"/>
      <c r="H43" s="581"/>
      <c r="I43" s="582"/>
      <c r="J43" s="292">
        <f>SUMIFS(PCM!BE:BE,PCM!$B:$B,$D$6)+L43</f>
        <v>0</v>
      </c>
      <c r="K43" s="297"/>
      <c r="L43" s="59"/>
      <c r="M43" s="485"/>
      <c r="N43" s="577"/>
      <c r="O43" s="612"/>
    </row>
    <row r="44" spans="2:20" ht="20" customHeight="1" x14ac:dyDescent="0.2">
      <c r="B44" s="587"/>
      <c r="C44" s="588"/>
      <c r="D44" s="594"/>
      <c r="E44" s="571" t="s">
        <v>410</v>
      </c>
      <c r="F44" s="571"/>
      <c r="G44" s="571"/>
      <c r="H44" s="571"/>
      <c r="I44" s="571"/>
      <c r="J44" s="296">
        <f>SUM(J45:J47)</f>
        <v>2915</v>
      </c>
      <c r="K44" s="297">
        <f>((J44+L44)/25)*10</f>
        <v>1166</v>
      </c>
      <c r="L44" s="300"/>
      <c r="M44" s="485"/>
      <c r="N44" s="577"/>
      <c r="O44" s="612"/>
    </row>
    <row r="45" spans="2:20" ht="20" customHeight="1" x14ac:dyDescent="0.2">
      <c r="B45" s="587"/>
      <c r="C45" s="588"/>
      <c r="D45" s="594"/>
      <c r="E45" s="477" t="s">
        <v>431</v>
      </c>
      <c r="F45" s="478"/>
      <c r="G45" s="478"/>
      <c r="H45" s="478"/>
      <c r="I45" s="479"/>
      <c r="J45" s="292">
        <f>SUMIFS(PCM!BF:BF,PCM!$B:$B,$D$6)+L45</f>
        <v>2915</v>
      </c>
      <c r="K45" s="297"/>
      <c r="L45" s="59"/>
      <c r="M45" s="485"/>
      <c r="N45" s="577"/>
      <c r="O45" s="612"/>
    </row>
    <row r="46" spans="2:20" ht="20" customHeight="1" x14ac:dyDescent="0.2">
      <c r="B46" s="587"/>
      <c r="C46" s="588"/>
      <c r="D46" s="594"/>
      <c r="E46" s="480" t="s">
        <v>432</v>
      </c>
      <c r="F46" s="478"/>
      <c r="G46" s="478"/>
      <c r="H46" s="478"/>
      <c r="I46" s="479"/>
      <c r="J46" s="292">
        <f>SUMIFS(PCM!BG:BG,PCM!$B:$B,$D$6)+L46</f>
        <v>0</v>
      </c>
      <c r="K46" s="297"/>
      <c r="L46" s="59"/>
      <c r="M46" s="485"/>
      <c r="N46" s="577"/>
      <c r="O46" s="612"/>
    </row>
    <row r="47" spans="2:20" ht="20" customHeight="1" x14ac:dyDescent="0.2">
      <c r="B47" s="587"/>
      <c r="C47" s="588"/>
      <c r="D47" s="594"/>
      <c r="E47" s="480" t="s">
        <v>433</v>
      </c>
      <c r="F47" s="478"/>
      <c r="G47" s="478"/>
      <c r="H47" s="478"/>
      <c r="I47" s="479"/>
      <c r="J47" s="292">
        <f>SUMIFS(PCM!BH:BH,PCM!$B:$B,$D$6)+L47</f>
        <v>0</v>
      </c>
      <c r="K47" s="297"/>
      <c r="L47" s="59"/>
      <c r="M47" s="485"/>
      <c r="N47" s="577"/>
      <c r="O47" s="612"/>
    </row>
    <row r="48" spans="2:20" ht="20" customHeight="1" x14ac:dyDescent="0.2">
      <c r="B48" s="587"/>
      <c r="C48" s="588"/>
      <c r="D48" s="594"/>
      <c r="E48" s="571" t="s">
        <v>412</v>
      </c>
      <c r="F48" s="571"/>
      <c r="G48" s="571"/>
      <c r="H48" s="571"/>
      <c r="I48" s="571"/>
      <c r="J48" s="292">
        <f>SUMIFS(PCM!BI:BI,PCM!$B:$B,$D$6)</f>
        <v>3</v>
      </c>
      <c r="K48" s="293">
        <f>((J48+L48)/1)*20</f>
        <v>60</v>
      </c>
      <c r="L48" s="59"/>
      <c r="M48" s="485"/>
      <c r="N48" s="577"/>
      <c r="O48" s="612"/>
    </row>
    <row r="49" spans="1:18" ht="20" customHeight="1" x14ac:dyDescent="0.2">
      <c r="B49" s="587"/>
      <c r="C49" s="588"/>
      <c r="D49" s="594"/>
      <c r="E49" s="571" t="s">
        <v>342</v>
      </c>
      <c r="F49" s="571"/>
      <c r="G49" s="571"/>
      <c r="H49" s="571"/>
      <c r="I49" s="571"/>
      <c r="J49" s="292">
        <f>SUMIFS(PCM!BJ:BJ,PCM!$B:$B,$D$6)</f>
        <v>4</v>
      </c>
      <c r="K49" s="293">
        <f>((J49+L49)/1)*4</f>
        <v>16</v>
      </c>
      <c r="L49" s="59"/>
      <c r="M49" s="485"/>
      <c r="N49" s="577"/>
      <c r="O49" s="612"/>
    </row>
    <row r="50" spans="1:18" ht="20" customHeight="1" x14ac:dyDescent="0.2">
      <c r="B50" s="587"/>
      <c r="C50" s="588"/>
      <c r="D50" s="594"/>
      <c r="E50" s="571" t="s">
        <v>413</v>
      </c>
      <c r="F50" s="571"/>
      <c r="G50" s="571"/>
      <c r="H50" s="571"/>
      <c r="I50" s="571"/>
      <c r="J50" s="292">
        <f>SUMIFS(PCM!BK:BK,PCM!$B:$B,$D$6)</f>
        <v>0</v>
      </c>
      <c r="K50" s="293">
        <f>((J50+L50)/1)*20</f>
        <v>0</v>
      </c>
      <c r="L50" s="59"/>
      <c r="M50" s="485"/>
      <c r="N50" s="577"/>
      <c r="O50" s="612"/>
    </row>
    <row r="51" spans="1:18" ht="20" customHeight="1" x14ac:dyDescent="0.2">
      <c r="B51" s="587"/>
      <c r="C51" s="588"/>
      <c r="D51" s="594"/>
      <c r="E51" s="571" t="s">
        <v>343</v>
      </c>
      <c r="F51" s="571"/>
      <c r="G51" s="571"/>
      <c r="H51" s="571"/>
      <c r="I51" s="571"/>
      <c r="J51" s="292">
        <f>SUMIFS(PCM!BL:BL,PCM!$B:$B,$D$6)</f>
        <v>0</v>
      </c>
      <c r="K51" s="293">
        <f>((J51+L51)/1)*4</f>
        <v>0</v>
      </c>
      <c r="L51" s="59"/>
      <c r="M51" s="485"/>
      <c r="N51" s="577"/>
      <c r="O51" s="612"/>
    </row>
    <row r="52" spans="1:18" ht="20" customHeight="1" x14ac:dyDescent="0.2">
      <c r="B52" s="587"/>
      <c r="C52" s="588"/>
      <c r="D52" s="594"/>
      <c r="E52" s="571" t="s">
        <v>508</v>
      </c>
      <c r="F52" s="571"/>
      <c r="G52" s="571"/>
      <c r="H52" s="571"/>
      <c r="I52" s="571"/>
      <c r="J52" s="292">
        <f>SUMIFS(PCM!BM:BM,PCM!$B:$B,$D$6)</f>
        <v>1</v>
      </c>
      <c r="K52" s="293">
        <f>((J52+L52)/1)*100</f>
        <v>100</v>
      </c>
      <c r="L52" s="59"/>
      <c r="M52" s="485"/>
      <c r="N52" s="577"/>
      <c r="O52" s="612"/>
    </row>
    <row r="53" spans="1:18" ht="20" customHeight="1" x14ac:dyDescent="0.2">
      <c r="B53" s="587"/>
      <c r="C53" s="588"/>
      <c r="D53" s="594"/>
      <c r="E53" s="571" t="s">
        <v>415</v>
      </c>
      <c r="F53" s="571"/>
      <c r="G53" s="571"/>
      <c r="H53" s="571"/>
      <c r="I53" s="571"/>
      <c r="J53" s="292">
        <f>SUMIFS(PCM!BN:BN,PCM!$B:$B,$D$6)</f>
        <v>0</v>
      </c>
      <c r="K53" s="293">
        <f>((J53+L53)/100)*20</f>
        <v>0</v>
      </c>
      <c r="L53" s="59">
        <v>0</v>
      </c>
      <c r="M53" s="486"/>
      <c r="N53" s="578"/>
      <c r="O53" s="613"/>
    </row>
    <row r="54" spans="1:18" ht="20" customHeight="1" x14ac:dyDescent="0.2">
      <c r="A54" s="305"/>
      <c r="B54" s="530" t="s">
        <v>134</v>
      </c>
      <c r="C54" s="530"/>
      <c r="D54" s="552" t="s">
        <v>128</v>
      </c>
      <c r="E54" s="315"/>
      <c r="F54" s="316"/>
      <c r="G54" s="316"/>
      <c r="H54" s="316"/>
      <c r="I54" s="51" t="s">
        <v>3</v>
      </c>
      <c r="J54" s="51" t="s">
        <v>4</v>
      </c>
      <c r="K54" s="51" t="s">
        <v>5</v>
      </c>
      <c r="L54" s="312"/>
      <c r="M54" s="312"/>
      <c r="N54" s="313"/>
      <c r="O54" s="314"/>
    </row>
    <row r="55" spans="1:18" ht="20" customHeight="1" x14ac:dyDescent="0.2">
      <c r="A55" s="305"/>
      <c r="B55" s="515"/>
      <c r="C55" s="515"/>
      <c r="D55" s="573"/>
      <c r="E55" s="575" t="s">
        <v>135</v>
      </c>
      <c r="F55" s="575"/>
      <c r="G55" s="575"/>
      <c r="H55" s="575"/>
      <c r="I55" s="294">
        <f>SUMIFS(PCM!R:R,PCM!$B:$B,$D$6)</f>
        <v>1853816.8715367501</v>
      </c>
      <c r="J55" s="294">
        <f>SUMIFS(PCM!Z:Z,PCM!$B:$B,$D$6)</f>
        <v>1946507.7151135877</v>
      </c>
      <c r="K55" s="294">
        <f>SUMIFS(PCM!CB:CB,PCM!$B:$B,$D$6)</f>
        <v>1866291.4097103798</v>
      </c>
      <c r="L55" s="307"/>
      <c r="M55" s="317">
        <f>MIN(130%,K55/J55)</f>
        <v>0.95878962884124663</v>
      </c>
      <c r="N55" s="306">
        <v>0.1</v>
      </c>
      <c r="O55" s="308">
        <f>M55*N55</f>
        <v>9.5878962884124674E-2</v>
      </c>
    </row>
    <row r="56" spans="1:18" ht="20" customHeight="1" x14ac:dyDescent="0.2">
      <c r="A56" s="305"/>
      <c r="B56" s="572"/>
      <c r="C56" s="572"/>
      <c r="D56" s="574"/>
      <c r="E56" s="148" t="s">
        <v>13</v>
      </c>
      <c r="F56" s="309"/>
      <c r="G56" s="252"/>
      <c r="H56" s="252"/>
      <c r="I56" s="310"/>
      <c r="J56" s="265">
        <f>SUMIFS(PCM!AA:AA,PCM!$B:$B,$D$6)</f>
        <v>1850</v>
      </c>
      <c r="K56" s="265">
        <f>SUMIFS(PCM!CD:CD,PCM!$B:$B,$D$6)</f>
        <v>550</v>
      </c>
      <c r="L56" s="311"/>
      <c r="M56" s="318">
        <f>MIN(130%,(K56+L56)/J56)</f>
        <v>0.29729729729729731</v>
      </c>
      <c r="N56" s="306">
        <v>0.1</v>
      </c>
      <c r="O56" s="308">
        <f>M56*N56</f>
        <v>2.9729729729729731E-2</v>
      </c>
    </row>
    <row r="57" spans="1:18" ht="25" customHeight="1" x14ac:dyDescent="0.2">
      <c r="B57" s="568" t="s">
        <v>16</v>
      </c>
      <c r="C57" s="569"/>
      <c r="D57" s="569"/>
      <c r="E57" s="569"/>
      <c r="F57" s="569"/>
      <c r="G57" s="569"/>
      <c r="H57" s="569"/>
      <c r="I57" s="569"/>
      <c r="J57" s="569"/>
      <c r="K57" s="569"/>
      <c r="L57" s="569"/>
      <c r="M57" s="570"/>
      <c r="N57" s="336">
        <f>N21+N23+N26+N27+N29+N55+N56</f>
        <v>1</v>
      </c>
      <c r="O57" s="337">
        <f>O21+O23+O26+O27+O29+O55+O56</f>
        <v>1.0609159454495254</v>
      </c>
    </row>
    <row r="58" spans="1:18" s="14" customFormat="1" ht="4.5" customHeight="1" x14ac:dyDescent="0.2">
      <c r="N58" s="16"/>
      <c r="O58" s="16"/>
      <c r="Q58" s="52"/>
      <c r="R58" s="52"/>
    </row>
    <row r="59" spans="1:18" s="14" customFormat="1" ht="16.5" customHeight="1" x14ac:dyDescent="0.2">
      <c r="B59" s="347" t="s">
        <v>480</v>
      </c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9"/>
    </row>
    <row r="60" spans="1:18" s="14" customFormat="1" ht="30" customHeight="1" x14ac:dyDescent="0.2">
      <c r="B60" s="441" t="s">
        <v>481</v>
      </c>
      <c r="C60" s="442"/>
      <c r="D60" s="443"/>
      <c r="E60" s="444" t="s">
        <v>482</v>
      </c>
      <c r="F60" s="445"/>
      <c r="G60" s="445"/>
      <c r="H60" s="445"/>
      <c r="I60" s="446"/>
      <c r="J60" s="350" t="s">
        <v>483</v>
      </c>
      <c r="K60" s="350" t="s">
        <v>484</v>
      </c>
      <c r="L60" s="351"/>
      <c r="M60" s="51" t="s">
        <v>496</v>
      </c>
      <c r="N60" s="350" t="s">
        <v>485</v>
      </c>
      <c r="O60" s="51" t="s">
        <v>486</v>
      </c>
    </row>
    <row r="61" spans="1:18" s="14" customFormat="1" ht="25.5" customHeight="1" x14ac:dyDescent="0.2">
      <c r="B61" s="441"/>
      <c r="C61" s="442"/>
      <c r="D61" s="443"/>
      <c r="E61" s="447" t="s">
        <v>519</v>
      </c>
      <c r="F61" s="447"/>
      <c r="G61" s="447"/>
      <c r="H61" s="447"/>
      <c r="I61" s="262"/>
      <c r="J61" s="262">
        <f>SUMIFS(PCM!$DG:$DG,PCM!$B:$B,$D$6)</f>
        <v>407356.02012807468</v>
      </c>
      <c r="K61" s="262">
        <f>SUMIFS(PCM!$DH:$DH,PCM!$B:$B,$D$6)</f>
        <v>398050.07974396821</v>
      </c>
      <c r="L61" s="352"/>
      <c r="M61" s="262">
        <f>SUMIFS(PCM!$DI:$DI,PCM!$B:$B,$D$6)</f>
        <v>1861.1880768212955</v>
      </c>
      <c r="N61" s="353">
        <f>IF(M61&lt;500,0,M61)</f>
        <v>1861.1880768212955</v>
      </c>
      <c r="O61" s="387">
        <f>SUMIFS(PCM!$DJ:$DJ,PCM!$B:$B,$D$6)</f>
        <v>0.2</v>
      </c>
    </row>
    <row r="62" spans="1:18" s="14" customFormat="1" hidden="1" x14ac:dyDescent="0.2">
      <c r="B62" s="448" t="s">
        <v>487</v>
      </c>
      <c r="C62" s="449"/>
      <c r="D62" s="449"/>
      <c r="E62" s="452" t="s">
        <v>13</v>
      </c>
      <c r="F62" s="452"/>
      <c r="G62" s="452"/>
      <c r="H62" s="452"/>
      <c r="I62" s="363">
        <v>300</v>
      </c>
      <c r="J62" s="364"/>
      <c r="K62" s="364">
        <v>463.20000000000005</v>
      </c>
      <c r="L62" s="365"/>
      <c r="M62" s="366" t="s">
        <v>130</v>
      </c>
      <c r="N62" s="366" t="s">
        <v>488</v>
      </c>
      <c r="O62" s="367" t="s">
        <v>132</v>
      </c>
    </row>
    <row r="63" spans="1:18" s="14" customFormat="1" ht="21" hidden="1" customHeight="1" x14ac:dyDescent="0.2">
      <c r="B63" s="450"/>
      <c r="C63" s="451"/>
      <c r="D63" s="451"/>
      <c r="E63" s="434" t="s">
        <v>489</v>
      </c>
      <c r="F63" s="434"/>
      <c r="G63" s="434"/>
      <c r="H63" s="434"/>
      <c r="I63" s="434"/>
      <c r="J63" s="368">
        <v>7</v>
      </c>
      <c r="K63" s="369">
        <v>140</v>
      </c>
      <c r="L63" s="370">
        <v>0</v>
      </c>
      <c r="M63" s="429">
        <v>1.5440000000000003</v>
      </c>
      <c r="N63" s="432">
        <v>0.25</v>
      </c>
      <c r="O63" s="435">
        <v>0.38600000000000007</v>
      </c>
    </row>
    <row r="64" spans="1:18" s="14" customFormat="1" ht="21" hidden="1" customHeight="1" x14ac:dyDescent="0.2">
      <c r="B64" s="450"/>
      <c r="C64" s="451"/>
      <c r="D64" s="451"/>
      <c r="E64" s="434" t="s">
        <v>490</v>
      </c>
      <c r="F64" s="434"/>
      <c r="G64" s="434"/>
      <c r="H64" s="434"/>
      <c r="I64" s="434"/>
      <c r="J64" s="371">
        <v>0</v>
      </c>
      <c r="K64" s="437">
        <v>0</v>
      </c>
      <c r="L64" s="370">
        <v>0</v>
      </c>
      <c r="M64" s="430"/>
      <c r="N64" s="432"/>
      <c r="O64" s="435"/>
    </row>
    <row r="65" spans="2:18" s="14" customFormat="1" ht="21" hidden="1" customHeight="1" x14ac:dyDescent="0.2">
      <c r="B65" s="450"/>
      <c r="C65" s="451"/>
      <c r="D65" s="451"/>
      <c r="E65" s="439" t="s">
        <v>491</v>
      </c>
      <c r="F65" s="439"/>
      <c r="G65" s="439"/>
      <c r="H65" s="439"/>
      <c r="I65" s="439"/>
      <c r="J65" s="371">
        <v>0</v>
      </c>
      <c r="K65" s="438"/>
      <c r="L65" s="370"/>
      <c r="M65" s="430"/>
      <c r="N65" s="432"/>
      <c r="O65" s="435"/>
      <c r="Q65" s="372"/>
      <c r="R65" s="372"/>
    </row>
    <row r="66" spans="2:18" s="14" customFormat="1" ht="21" hidden="1" customHeight="1" x14ac:dyDescent="0.2">
      <c r="B66" s="450"/>
      <c r="C66" s="451"/>
      <c r="D66" s="451"/>
      <c r="E66" s="434" t="s">
        <v>492</v>
      </c>
      <c r="F66" s="434"/>
      <c r="G66" s="434"/>
      <c r="H66" s="434"/>
      <c r="I66" s="434"/>
      <c r="J66" s="371"/>
      <c r="K66" s="373">
        <v>0</v>
      </c>
      <c r="L66" s="370"/>
      <c r="M66" s="430"/>
      <c r="N66" s="432"/>
      <c r="O66" s="435"/>
      <c r="Q66" s="372"/>
      <c r="R66" s="372"/>
    </row>
    <row r="67" spans="2:18" s="14" customFormat="1" ht="21" hidden="1" customHeight="1" x14ac:dyDescent="0.2">
      <c r="B67" s="450"/>
      <c r="C67" s="451"/>
      <c r="D67" s="451"/>
      <c r="E67" s="434" t="s">
        <v>493</v>
      </c>
      <c r="F67" s="434"/>
      <c r="G67" s="434"/>
      <c r="H67" s="434"/>
      <c r="I67" s="434"/>
      <c r="J67" s="374">
        <v>0</v>
      </c>
      <c r="K67" s="375">
        <v>0</v>
      </c>
      <c r="L67" s="370">
        <v>0</v>
      </c>
      <c r="M67" s="431"/>
      <c r="N67" s="433"/>
      <c r="O67" s="436"/>
    </row>
    <row r="68" spans="2:18" s="14" customFormat="1" ht="21" hidden="1" customHeight="1" x14ac:dyDescent="0.2">
      <c r="B68" s="450"/>
      <c r="C68" s="451"/>
      <c r="D68" s="451"/>
      <c r="E68" s="434" t="s">
        <v>494</v>
      </c>
      <c r="F68" s="434"/>
      <c r="G68" s="434"/>
      <c r="H68" s="434"/>
      <c r="I68" s="434"/>
      <c r="J68" s="374"/>
      <c r="K68" s="375">
        <v>0</v>
      </c>
      <c r="L68" s="370">
        <v>0</v>
      </c>
      <c r="M68" s="376"/>
      <c r="N68" s="377">
        <v>0</v>
      </c>
      <c r="O68" s="378">
        <v>-0.15</v>
      </c>
    </row>
    <row r="69" spans="2:18" s="14" customFormat="1" ht="19.5" customHeight="1" x14ac:dyDescent="0.2">
      <c r="B69" s="347" t="s">
        <v>495</v>
      </c>
      <c r="C69" s="348"/>
      <c r="D69" s="440" t="s">
        <v>495</v>
      </c>
      <c r="E69" s="440"/>
      <c r="F69" s="440"/>
      <c r="G69" s="440"/>
      <c r="H69" s="440"/>
      <c r="I69" s="440"/>
      <c r="J69" s="440"/>
      <c r="K69" s="440"/>
      <c r="L69" s="440"/>
      <c r="M69" s="348"/>
      <c r="N69" s="348"/>
      <c r="O69" s="379">
        <f>O57+O61</f>
        <v>1.2609159454495253</v>
      </c>
    </row>
  </sheetData>
  <sheetProtection algorithmName="SHA-512" hashValue="BFbnJjiYdox5n5ytF5nJPleU77vCzsTZAu1d+4FmPfHUWEJEfmwuOfjazFEzkz7ADuOXkxac62q4/AaE1bQmDg==" saltValue="mGw4l2ujVlIC32m2vt9WoQ==" spinCount="100000" sheet="1" objects="1" scenarios="1"/>
  <mergeCells count="68">
    <mergeCell ref="N4:O6"/>
    <mergeCell ref="N7:O9"/>
    <mergeCell ref="B10:O10"/>
    <mergeCell ref="E53:I53"/>
    <mergeCell ref="E35:I35"/>
    <mergeCell ref="E36:I36"/>
    <mergeCell ref="E37:I37"/>
    <mergeCell ref="E52:I52"/>
    <mergeCell ref="M21:M22"/>
    <mergeCell ref="N21:N22"/>
    <mergeCell ref="O21:O22"/>
    <mergeCell ref="N23:N25"/>
    <mergeCell ref="O23:O25"/>
    <mergeCell ref="M23:M25"/>
    <mergeCell ref="E42:I42"/>
    <mergeCell ref="O29:O53"/>
    <mergeCell ref="E2:M2"/>
    <mergeCell ref="B20:D20"/>
    <mergeCell ref="E20:H20"/>
    <mergeCell ref="B21:C53"/>
    <mergeCell ref="E24:H24"/>
    <mergeCell ref="E27:I27"/>
    <mergeCell ref="D29:D53"/>
    <mergeCell ref="E29:H29"/>
    <mergeCell ref="D21:D25"/>
    <mergeCell ref="E21:H21"/>
    <mergeCell ref="E23:H23"/>
    <mergeCell ref="E22:I22"/>
    <mergeCell ref="E34:I34"/>
    <mergeCell ref="E50:I50"/>
    <mergeCell ref="N29:N53"/>
    <mergeCell ref="M29:M53"/>
    <mergeCell ref="E43:I43"/>
    <mergeCell ref="E44:I44"/>
    <mergeCell ref="E45:I45"/>
    <mergeCell ref="E46:I46"/>
    <mergeCell ref="E47:I47"/>
    <mergeCell ref="B57:M57"/>
    <mergeCell ref="E30:I30"/>
    <mergeCell ref="E31:I31"/>
    <mergeCell ref="E32:I32"/>
    <mergeCell ref="E33:I33"/>
    <mergeCell ref="E41:I41"/>
    <mergeCell ref="E40:I40"/>
    <mergeCell ref="E38:I38"/>
    <mergeCell ref="E39:I39"/>
    <mergeCell ref="E48:I48"/>
    <mergeCell ref="E51:I51"/>
    <mergeCell ref="E49:I49"/>
    <mergeCell ref="B54:C56"/>
    <mergeCell ref="D54:D56"/>
    <mergeCell ref="E55:H55"/>
    <mergeCell ref="B60:D61"/>
    <mergeCell ref="E60:I60"/>
    <mergeCell ref="E61:H61"/>
    <mergeCell ref="D69:L69"/>
    <mergeCell ref="O63:O67"/>
    <mergeCell ref="E64:I64"/>
    <mergeCell ref="K64:K65"/>
    <mergeCell ref="E65:I65"/>
    <mergeCell ref="E66:I66"/>
    <mergeCell ref="E67:I67"/>
    <mergeCell ref="B62:D68"/>
    <mergeCell ref="E62:H62"/>
    <mergeCell ref="E63:I63"/>
    <mergeCell ref="M63:M67"/>
    <mergeCell ref="N63:N67"/>
    <mergeCell ref="E68:I68"/>
  </mergeCells>
  <conditionalFormatting sqref="N4:O6">
    <cfRule type="cellIs" dxfId="35" priority="12" operator="lessThan">
      <formula>0.7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between" id="{977E5CE0-1013-4AF8-AF11-6AD5A3610F59}">
            <xm:f>database!$D$9</xm:f>
            <xm:f>database!$E$9</xm:f>
            <x14:dxf>
              <font>
                <color rgb="FFFFFF00"/>
              </font>
            </x14:dxf>
          </x14:cfRule>
          <xm:sqref>N4:O6</xm:sqref>
        </x14:conditionalFormatting>
        <x14:conditionalFormatting xmlns:xm="http://schemas.microsoft.com/office/excel/2006/main">
          <x14:cfRule type="cellIs" priority="8" operator="between" id="{3355B3E3-0512-4E1B-BA1C-D84EE1F44EF9}">
            <xm:f>database!$D$7</xm:f>
            <xm:f>database!$E$7</xm:f>
            <x14:dxf>
              <font>
                <color theme="5" tint="-0.24994659260841701"/>
              </font>
            </x14:dxf>
          </x14:cfRule>
          <x14:cfRule type="cellIs" priority="9" operator="between" id="{1C084300-F894-4354-8029-A6BC61BADA3D}">
            <xm:f>database!$D$8</xm:f>
            <xm:f>database!$E$8</xm:f>
            <x14:dxf>
              <font>
                <color rgb="FFFFC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0" operator="between" id="{DD22C125-9AF6-40A9-A003-9D73A729688B}">
            <xm:f>database!$D$10</xm:f>
            <xm:f>database!$E$10</xm:f>
            <x14:dxf>
              <font>
                <color rgb="FF92D050"/>
              </font>
            </x14:dxf>
          </x14:cfRule>
          <x14:cfRule type="cellIs" priority="11" operator="greaterThan" id="{AC9E07C9-C6D7-44BD-B2F6-33333DB5E2D5}">
            <xm:f>database!$D$11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N4:O6</xm:sqref>
        </x14:conditionalFormatting>
        <x14:conditionalFormatting xmlns:xm="http://schemas.microsoft.com/office/excel/2006/main">
          <x14:cfRule type="cellIs" priority="1" operator="equal" id="{12754FA5-8F55-46BF-9776-FAA63512082C}">
            <xm:f>database!$G$11</xm:f>
            <x14:dxf>
              <font>
                <color rgb="FF00B050"/>
              </font>
              <fill>
                <patternFill>
                  <bgColor theme="0"/>
                </patternFill>
              </fill>
            </x14:dxf>
          </x14:cfRule>
          <x14:cfRule type="cellIs" priority="2" operator="equal" id="{3B3CB19F-E326-4CC8-AB01-C9F40C87CE55}">
            <xm:f>database!$G$10</xm:f>
            <x14:dxf>
              <font>
                <color rgb="FF92D050"/>
              </font>
              <fill>
                <patternFill>
                  <bgColor theme="0"/>
                </patternFill>
              </fill>
            </x14:dxf>
          </x14:cfRule>
          <x14:cfRule type="cellIs" priority="3" operator="equal" id="{8BF554AC-7EE5-4999-A6D1-281CB4FF9A07}">
            <xm:f>database!$G$9</xm:f>
            <x14:dxf>
              <font>
                <color rgb="FFFFFF00"/>
              </font>
              <fill>
                <patternFill>
                  <bgColor theme="0"/>
                </patternFill>
              </fill>
            </x14:dxf>
          </x14:cfRule>
          <x14:cfRule type="cellIs" priority="4" operator="equal" id="{EF524D79-042D-4964-A37B-6D9813566070}">
            <xm:f>database!$G$6</xm:f>
            <x14:dxf>
              <font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5" operator="equal" id="{485EEA93-68CD-4E22-B5BC-835B98214EED}">
            <xm:f>database!$G$7</xm:f>
            <x14:dxf>
              <font>
                <color theme="5" tint="-0.24994659260841701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6" operator="equal" id="{A4AAFF02-14EB-4088-B052-FA71BB3BFD6F}">
            <xm:f>database!$G$8</xm:f>
            <x14:dxf>
              <font>
                <color rgb="FFFFC000"/>
              </font>
              <fill>
                <patternFill patternType="none">
                  <bgColor auto="1"/>
                </patternFill>
              </fill>
            </x14:dxf>
          </x14:cfRule>
          <xm:sqref>N7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5" tint="-0.249977111117893"/>
  </sheetPr>
  <dimension ref="A1:FO70"/>
  <sheetViews>
    <sheetView showGridLines="0" tabSelected="1" zoomScale="75" zoomScaleNormal="80" workbookViewId="0">
      <pane xSplit="3" ySplit="11" topLeftCell="D61" activePane="bottomRight" state="frozen"/>
      <selection activeCell="E21" sqref="E21:H21"/>
      <selection pane="topRight" activeCell="E21" sqref="E21:H21"/>
      <selection pane="bottomLeft" activeCell="E21" sqref="E21:H21"/>
      <selection pane="bottomRight" activeCell="G195" sqref="G195"/>
    </sheetView>
  </sheetViews>
  <sheetFormatPr baseColWidth="10" defaultColWidth="9.1640625" defaultRowHeight="19" outlineLevelRow="1" outlineLevelCol="1" x14ac:dyDescent="0.25"/>
  <cols>
    <col min="1" max="1" width="31" style="30" customWidth="1"/>
    <col min="2" max="2" width="15.83203125" style="30" bestFit="1" customWidth="1"/>
    <col min="3" max="3" width="39.33203125" style="30" bestFit="1" customWidth="1"/>
    <col min="4" max="5" width="24.1640625" style="30" customWidth="1"/>
    <col min="6" max="6" width="15.5" style="30" customWidth="1"/>
    <col min="7" max="7" width="12.6640625" style="30" customWidth="1"/>
    <col min="8" max="16" width="24.1640625" style="30" customWidth="1"/>
    <col min="17" max="18" width="24.1640625" style="30" hidden="1" customWidth="1"/>
    <col min="19" max="22" width="24.1640625" style="30" customWidth="1"/>
    <col min="23" max="24" width="24.1640625" style="30" hidden="1" customWidth="1"/>
    <col min="25" max="26" width="24.1640625" style="30" customWidth="1"/>
    <col min="27" max="28" width="24.1640625" style="30" hidden="1" customWidth="1"/>
    <col min="29" max="66" width="24.1640625" style="30" customWidth="1"/>
    <col min="67" max="67" width="19.83203125" style="30" customWidth="1"/>
    <col min="68" max="68" width="18.83203125" style="30" customWidth="1"/>
    <col min="69" max="69" width="16.1640625" style="30" bestFit="1" customWidth="1"/>
    <col min="70" max="70" width="15.5" style="30" bestFit="1" customWidth="1"/>
    <col min="71" max="71" width="15.5" style="30" customWidth="1"/>
    <col min="72" max="72" width="17.1640625" style="30" bestFit="1" customWidth="1"/>
    <col min="73" max="73" width="17.1640625" style="30" customWidth="1"/>
    <col min="74" max="74" width="17.1640625" style="30" hidden="1" customWidth="1"/>
    <col min="75" max="75" width="13.5" style="30" bestFit="1" customWidth="1"/>
    <col min="76" max="76" width="22.33203125" style="30" bestFit="1" customWidth="1"/>
    <col min="77" max="77" width="22.5" style="30" bestFit="1" customWidth="1"/>
    <col min="78" max="78" width="15.33203125" style="30" bestFit="1" customWidth="1"/>
    <col min="79" max="79" width="10.5" style="30" bestFit="1" customWidth="1"/>
    <col min="80" max="80" width="11.1640625" style="30" bestFit="1" customWidth="1"/>
    <col min="81" max="81" width="15.33203125" style="30" bestFit="1" customWidth="1"/>
    <col min="82" max="82" width="16.1640625" style="30" bestFit="1" customWidth="1"/>
    <col min="83" max="83" width="15.5" style="30" bestFit="1" customWidth="1"/>
    <col min="84" max="84" width="12.5" style="30" bestFit="1" customWidth="1"/>
    <col min="85" max="85" width="13.5" style="30" bestFit="1" customWidth="1"/>
    <col min="86" max="86" width="22.33203125" style="30" bestFit="1" customWidth="1"/>
    <col min="87" max="87" width="22.5" style="30" bestFit="1" customWidth="1"/>
    <col min="88" max="88" width="15.33203125" style="30" bestFit="1" customWidth="1"/>
    <col min="89" max="89" width="10.5" style="30" bestFit="1" customWidth="1"/>
    <col min="90" max="90" width="11.1640625" style="30" bestFit="1" customWidth="1"/>
    <col min="91" max="95" width="24.1640625" style="30" customWidth="1"/>
    <col min="96" max="96" width="15.5" style="30" customWidth="1"/>
    <col min="97" max="97" width="16.1640625" style="30" customWidth="1"/>
    <col min="98" max="98" width="18.5" style="30" customWidth="1"/>
    <col min="99" max="99" width="17.5" style="30" customWidth="1"/>
    <col min="100" max="100" width="15.1640625" style="30" customWidth="1"/>
    <col min="101" max="101" width="13" style="30" bestFit="1" customWidth="1"/>
    <col min="102" max="102" width="17.83203125" style="30" customWidth="1"/>
    <col min="103" max="103" width="13.6640625" style="30" customWidth="1"/>
    <col min="104" max="104" width="13.33203125" style="30" customWidth="1"/>
    <col min="105" max="105" width="12.5" style="30" bestFit="1" customWidth="1"/>
    <col min="106" max="106" width="16" style="30" bestFit="1" customWidth="1"/>
    <col min="107" max="107" width="16.33203125" style="30" bestFit="1" customWidth="1"/>
    <col min="108" max="108" width="10.1640625" style="30" bestFit="1" customWidth="1"/>
    <col min="109" max="109" width="16.6640625" style="30" bestFit="1" customWidth="1"/>
    <col min="110" max="110" width="17.33203125" style="30" bestFit="1" customWidth="1"/>
    <col min="111" max="111" width="12.6640625" style="30" customWidth="1"/>
    <col min="112" max="112" width="11.83203125" style="30" customWidth="1"/>
    <col min="113" max="113" width="22.33203125" style="30" bestFit="1" customWidth="1"/>
    <col min="114" max="114" width="19.5" style="30" hidden="1" customWidth="1"/>
    <col min="115" max="115" width="11.1640625" style="30" hidden="1" customWidth="1"/>
    <col min="116" max="116" width="16.5" style="30" hidden="1" customWidth="1"/>
    <col min="117" max="117" width="16.6640625" style="30" hidden="1" customWidth="1"/>
    <col min="118" max="128" width="15.6640625" style="30" customWidth="1"/>
    <col min="129" max="129" width="11" style="30" bestFit="1" customWidth="1"/>
    <col min="130" max="130" width="18.33203125" style="30" bestFit="1" customWidth="1"/>
    <col min="131" max="131" width="18.33203125" style="30" customWidth="1"/>
    <col min="132" max="132" width="13.33203125" style="30" bestFit="1" customWidth="1"/>
    <col min="133" max="135" width="12.5" style="30" customWidth="1"/>
    <col min="136" max="136" width="24.1640625" style="30" customWidth="1"/>
    <col min="137" max="137" width="12.5" style="30" bestFit="1" customWidth="1"/>
    <col min="138" max="138" width="17.6640625" style="30" bestFit="1" customWidth="1"/>
    <col min="139" max="139" width="13.83203125" style="30" bestFit="1" customWidth="1"/>
    <col min="140" max="140" width="12.5" style="30" bestFit="1" customWidth="1"/>
    <col min="141" max="141" width="17.6640625" style="30" bestFit="1" customWidth="1"/>
    <col min="142" max="142" width="13.83203125" style="30" bestFit="1" customWidth="1"/>
    <col min="143" max="143" width="14.6640625" customWidth="1"/>
    <col min="144" max="144" width="12.83203125" style="30" customWidth="1"/>
    <col min="145" max="145" width="16.33203125" style="30" customWidth="1"/>
    <col min="146" max="150" width="22" style="30" customWidth="1"/>
    <col min="151" max="151" width="15" style="30" customWidth="1"/>
    <col min="152" max="152" width="11.5" style="30" customWidth="1"/>
    <col min="153" max="153" width="22.1640625" style="30" customWidth="1"/>
    <col min="154" max="154" width="20.1640625" style="30" customWidth="1"/>
    <col min="155" max="155" width="13.33203125" customWidth="1"/>
    <col min="156" max="156" width="15.33203125" customWidth="1"/>
    <col min="157" max="165" width="13.33203125" customWidth="1"/>
    <col min="166" max="166" width="13.33203125" hidden="1" customWidth="1" outlineLevel="1"/>
    <col min="167" max="167" width="16.83203125" customWidth="1" collapsed="1"/>
    <col min="168" max="168" width="13.33203125" customWidth="1"/>
    <col min="169" max="170" width="13.33203125" hidden="1" customWidth="1" outlineLevel="1"/>
    <col min="171" max="171" width="13.33203125" customWidth="1" collapsed="1"/>
    <col min="172" max="16384" width="9.1640625" style="30"/>
  </cols>
  <sheetData>
    <row r="1" spans="1:171" x14ac:dyDescent="0.25">
      <c r="B1" s="2"/>
      <c r="X1" s="31"/>
      <c r="AL1" s="31"/>
      <c r="EO1" s="30" t="s">
        <v>34</v>
      </c>
    </row>
    <row r="2" spans="1:171" x14ac:dyDescent="0.25">
      <c r="B2" s="2"/>
      <c r="Q2" s="31"/>
      <c r="R2" s="31"/>
      <c r="S2" s="31"/>
      <c r="T2" s="31"/>
      <c r="U2" s="31"/>
      <c r="V2" s="31"/>
      <c r="W2" s="31"/>
      <c r="X2" s="31"/>
      <c r="Y2" s="31"/>
      <c r="Z2" s="31"/>
      <c r="AH2" s="31"/>
      <c r="AI2" s="31"/>
      <c r="AJ2" s="31"/>
      <c r="AK2" s="31"/>
      <c r="AL2" s="31"/>
      <c r="AM2" s="31"/>
      <c r="AN2" s="31"/>
      <c r="AO2" s="31"/>
      <c r="AP2" s="31"/>
    </row>
    <row r="3" spans="1:171" x14ac:dyDescent="0.25">
      <c r="B3" s="2"/>
      <c r="Q3" s="31"/>
      <c r="R3" s="31"/>
      <c r="S3" s="31"/>
      <c r="T3" s="31"/>
      <c r="AH3" s="31"/>
      <c r="AI3" s="31"/>
      <c r="AJ3" s="31"/>
      <c r="AK3" s="31"/>
      <c r="AL3" s="31"/>
      <c r="AM3" s="31"/>
      <c r="AN3" s="31"/>
      <c r="EQ3">
        <v>500</v>
      </c>
      <c r="ER3" s="8">
        <v>0.15</v>
      </c>
    </row>
    <row r="4" spans="1:171" x14ac:dyDescent="0.25">
      <c r="A4" s="2" t="s">
        <v>548</v>
      </c>
      <c r="B4" s="2"/>
      <c r="Q4" s="31"/>
      <c r="R4" s="31"/>
      <c r="S4" s="31"/>
      <c r="T4" s="31"/>
      <c r="AH4" s="31"/>
      <c r="AI4" s="31"/>
      <c r="AJ4" s="31"/>
      <c r="AK4" s="31"/>
      <c r="AL4" s="31"/>
      <c r="AM4" s="31"/>
      <c r="AN4" s="31"/>
      <c r="CN4" s="32"/>
      <c r="CO4" s="32"/>
      <c r="EQ4">
        <v>1000</v>
      </c>
      <c r="ER4" s="8">
        <v>0.2</v>
      </c>
    </row>
    <row r="5" spans="1:171" x14ac:dyDescent="0.25">
      <c r="A5" s="2" t="s">
        <v>35</v>
      </c>
      <c r="B5" s="2" t="s">
        <v>367</v>
      </c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4"/>
      <c r="CA5" s="34"/>
      <c r="CB5" s="34"/>
      <c r="CC5" s="35"/>
      <c r="CN5" s="36"/>
      <c r="CO5" s="36"/>
      <c r="CW5"/>
      <c r="CX5"/>
      <c r="CY5"/>
      <c r="CZ5"/>
      <c r="DA5"/>
      <c r="DB5"/>
      <c r="DC5"/>
      <c r="DD5"/>
      <c r="DE5" s="111">
        <v>1.3</v>
      </c>
      <c r="DF5" s="112"/>
      <c r="DG5" s="111">
        <v>1.3</v>
      </c>
      <c r="DH5" s="111"/>
      <c r="DI5" s="112"/>
      <c r="DJ5" s="112"/>
      <c r="DK5" s="112"/>
      <c r="DL5" s="112"/>
      <c r="DM5" s="112"/>
      <c r="DN5" s="112"/>
      <c r="DO5" s="112"/>
      <c r="DP5" s="112"/>
      <c r="DQ5" s="112"/>
      <c r="DR5" s="113"/>
      <c r="DS5" s="114"/>
      <c r="DT5" s="114"/>
      <c r="DU5" s="114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Q5">
        <v>2000</v>
      </c>
      <c r="ER5" s="8">
        <v>0.25</v>
      </c>
    </row>
    <row r="6" spans="1:171" x14ac:dyDescent="0.25">
      <c r="A6" s="2" t="s">
        <v>37</v>
      </c>
      <c r="B6" s="37">
        <v>44895</v>
      </c>
      <c r="C6" s="35"/>
      <c r="BC6" s="116">
        <v>20</v>
      </c>
      <c r="BD6" s="116">
        <v>8</v>
      </c>
      <c r="BE6" s="116">
        <v>2</v>
      </c>
      <c r="BF6" s="116">
        <v>10</v>
      </c>
      <c r="BG6" s="116">
        <v>10</v>
      </c>
      <c r="BH6" s="116">
        <v>10</v>
      </c>
      <c r="BI6" s="116">
        <v>20</v>
      </c>
      <c r="BJ6" s="116">
        <v>10</v>
      </c>
      <c r="BK6"/>
      <c r="BL6"/>
      <c r="BM6"/>
      <c r="BN6" s="117"/>
      <c r="BO6" s="117"/>
      <c r="BP6" s="117"/>
      <c r="BQ6" s="117"/>
      <c r="BR6"/>
      <c r="BS6"/>
      <c r="BT6"/>
      <c r="BU6"/>
      <c r="BV6"/>
      <c r="BW6"/>
      <c r="BX6"/>
      <c r="BY6"/>
      <c r="BZ6"/>
      <c r="CA6"/>
      <c r="CB6"/>
      <c r="CC6"/>
      <c r="CD6" s="116">
        <v>10</v>
      </c>
      <c r="CE6" s="116">
        <v>2</v>
      </c>
      <c r="CF6" s="116">
        <v>10</v>
      </c>
      <c r="CG6" s="116">
        <v>10</v>
      </c>
      <c r="CH6" s="116">
        <v>10</v>
      </c>
      <c r="CI6" s="116">
        <v>20</v>
      </c>
      <c r="CJ6" s="116">
        <v>30</v>
      </c>
      <c r="CK6" s="116">
        <v>10</v>
      </c>
      <c r="CL6" s="116">
        <v>50</v>
      </c>
      <c r="CM6" s="116">
        <v>20</v>
      </c>
      <c r="CN6" s="116">
        <v>4</v>
      </c>
      <c r="CO6" s="116">
        <v>20</v>
      </c>
      <c r="CP6" s="116">
        <v>4</v>
      </c>
      <c r="CQ6" s="116">
        <v>1</v>
      </c>
      <c r="CR6" s="116">
        <v>20</v>
      </c>
      <c r="CW6"/>
      <c r="CX6"/>
      <c r="CY6"/>
      <c r="CZ6"/>
      <c r="DA6"/>
      <c r="DB6"/>
      <c r="DC6"/>
      <c r="DD6"/>
      <c r="DE6" s="111">
        <v>2</v>
      </c>
      <c r="DF6" s="111">
        <v>1</v>
      </c>
      <c r="DG6" s="111">
        <v>2</v>
      </c>
      <c r="DH6" s="111">
        <v>2</v>
      </c>
      <c r="DI6" s="111">
        <v>2</v>
      </c>
      <c r="DJ6" s="115"/>
      <c r="DK6" s="115"/>
      <c r="DL6" s="115"/>
      <c r="DM6" s="115"/>
      <c r="DN6" s="111">
        <v>1.3</v>
      </c>
      <c r="DO6" s="111">
        <v>1.3</v>
      </c>
      <c r="DP6" s="111">
        <v>1</v>
      </c>
      <c r="DQ6" s="111">
        <v>1</v>
      </c>
      <c r="DR6" s="111">
        <v>0.15</v>
      </c>
      <c r="DS6" s="111">
        <v>0.05</v>
      </c>
      <c r="DT6" s="111">
        <v>0.15</v>
      </c>
      <c r="DU6" s="111">
        <v>0.15</v>
      </c>
      <c r="DV6" s="111">
        <v>0.1</v>
      </c>
      <c r="DW6" s="112"/>
      <c r="DX6" s="111">
        <v>0.1</v>
      </c>
      <c r="DY6" s="111">
        <v>0.2</v>
      </c>
      <c r="DZ6" s="111">
        <v>0.05</v>
      </c>
      <c r="EA6" s="111">
        <v>0.05</v>
      </c>
      <c r="EB6"/>
      <c r="EC6"/>
      <c r="ED6"/>
      <c r="EE6"/>
      <c r="EF6"/>
      <c r="EG6"/>
      <c r="EH6"/>
      <c r="EI6"/>
      <c r="EQ6">
        <v>4000</v>
      </c>
      <c r="ER6" s="8">
        <v>0.35</v>
      </c>
      <c r="EU6" s="32"/>
      <c r="EV6" s="32"/>
      <c r="FA6" t="s">
        <v>522</v>
      </c>
    </row>
    <row r="7" spans="1:171" x14ac:dyDescent="0.25">
      <c r="ES7" s="30" t="s">
        <v>512</v>
      </c>
    </row>
    <row r="8" spans="1:171" s="50" customFormat="1" ht="37.5" customHeight="1" x14ac:dyDescent="0.25">
      <c r="A8" s="631" t="s">
        <v>38</v>
      </c>
      <c r="B8" s="631" t="s">
        <v>39</v>
      </c>
      <c r="C8" s="631" t="s">
        <v>40</v>
      </c>
      <c r="D8" s="631" t="s">
        <v>41</v>
      </c>
      <c r="E8" s="631" t="s">
        <v>42</v>
      </c>
      <c r="F8" s="631" t="s">
        <v>43</v>
      </c>
      <c r="G8" s="631" t="s">
        <v>44</v>
      </c>
      <c r="H8" s="631" t="s">
        <v>45</v>
      </c>
      <c r="I8" s="631" t="s">
        <v>46</v>
      </c>
      <c r="J8" s="631" t="s">
        <v>47</v>
      </c>
      <c r="K8" s="631" t="s">
        <v>48</v>
      </c>
      <c r="L8" s="631" t="s">
        <v>49</v>
      </c>
      <c r="M8" s="631" t="s">
        <v>359</v>
      </c>
      <c r="N8" s="631" t="s">
        <v>50</v>
      </c>
      <c r="O8" s="631" t="s">
        <v>51</v>
      </c>
      <c r="P8" s="631" t="s">
        <v>52</v>
      </c>
      <c r="Q8" s="39" t="s">
        <v>53</v>
      </c>
      <c r="R8" s="40"/>
      <c r="S8" s="40" t="s">
        <v>3</v>
      </c>
      <c r="T8" s="41"/>
      <c r="U8" s="41"/>
      <c r="V8" s="41"/>
      <c r="W8" s="42" t="s">
        <v>9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65"/>
      <c r="AM8" s="65"/>
      <c r="AN8" s="65"/>
      <c r="AO8" s="65"/>
      <c r="AP8" s="63"/>
      <c r="AQ8" s="63"/>
      <c r="AR8" s="63"/>
      <c r="AS8" s="63"/>
      <c r="AT8" s="63"/>
      <c r="AU8" s="624" t="s">
        <v>55</v>
      </c>
      <c r="AV8" s="625"/>
      <c r="AW8" s="625"/>
      <c r="AX8" s="625"/>
      <c r="AY8" s="625"/>
      <c r="AZ8" s="625"/>
      <c r="BA8" s="625"/>
      <c r="BB8" s="63"/>
      <c r="BC8" s="626" t="s">
        <v>80</v>
      </c>
      <c r="BD8" s="627"/>
      <c r="BE8" s="627"/>
      <c r="BF8" s="627"/>
      <c r="BG8" s="627"/>
      <c r="BH8" s="627"/>
      <c r="BI8" s="627"/>
      <c r="BJ8" s="63"/>
      <c r="BK8" s="84"/>
      <c r="BL8" s="625" t="s">
        <v>103</v>
      </c>
      <c r="BM8" s="625"/>
      <c r="BN8" s="625"/>
      <c r="BO8" s="625"/>
      <c r="BP8" s="625"/>
      <c r="BQ8" s="625"/>
      <c r="BR8" s="625"/>
      <c r="BS8" s="625"/>
      <c r="BT8" s="625"/>
      <c r="BU8" s="625"/>
      <c r="BV8" s="625"/>
      <c r="BW8" s="625"/>
      <c r="BX8" s="625"/>
      <c r="BY8" s="625"/>
      <c r="BZ8" s="625"/>
      <c r="CA8" s="625"/>
      <c r="CB8" s="63"/>
      <c r="CC8" s="63"/>
      <c r="CD8" s="628" t="s">
        <v>311</v>
      </c>
      <c r="CE8" s="629"/>
      <c r="CF8" s="629"/>
      <c r="CG8" s="629"/>
      <c r="CH8" s="629"/>
      <c r="CI8" s="629"/>
      <c r="CJ8" s="629"/>
      <c r="CK8" s="629"/>
      <c r="CL8" s="629"/>
      <c r="CM8" s="629"/>
      <c r="CN8" s="629"/>
      <c r="CO8" s="629"/>
      <c r="CP8" s="630"/>
      <c r="CQ8" s="67"/>
      <c r="CR8" s="67"/>
      <c r="CS8" s="45"/>
      <c r="CT8" s="65"/>
      <c r="CU8" s="65"/>
      <c r="CV8" s="65"/>
      <c r="CW8" s="65"/>
      <c r="CX8" s="65"/>
      <c r="CY8" s="63"/>
      <c r="CZ8" s="63"/>
      <c r="DA8" s="63"/>
      <c r="DB8" s="63"/>
      <c r="DC8" s="63"/>
      <c r="DD8" s="63"/>
      <c r="DE8" s="101" t="s">
        <v>6</v>
      </c>
      <c r="DF8" s="101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57" t="s">
        <v>394</v>
      </c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98"/>
      <c r="ED8" s="98"/>
      <c r="EE8" s="98"/>
      <c r="EF8" s="30"/>
      <c r="EG8" s="47"/>
      <c r="EH8" s="47"/>
      <c r="EI8" s="47"/>
      <c r="EJ8" s="48"/>
      <c r="EK8" s="48"/>
      <c r="EL8" s="49"/>
      <c r="EM8"/>
      <c r="EN8" s="616" t="s">
        <v>474</v>
      </c>
      <c r="EO8" s="614" t="s">
        <v>475</v>
      </c>
      <c r="EP8" s="615"/>
      <c r="EQ8" s="615"/>
      <c r="ER8" s="615"/>
      <c r="ES8" s="386">
        <v>3</v>
      </c>
      <c r="ET8" s="386">
        <v>0.15</v>
      </c>
      <c r="EU8" s="343"/>
      <c r="EV8" s="343"/>
      <c r="EW8" s="343"/>
      <c r="EX8" s="30"/>
      <c r="EY8" s="413" t="s">
        <v>523</v>
      </c>
      <c r="EZ8" s="414"/>
      <c r="FA8" s="414"/>
      <c r="FB8" s="414"/>
      <c r="FC8" s="414"/>
      <c r="FD8" s="414"/>
      <c r="FE8" s="414"/>
      <c r="FF8" s="414"/>
      <c r="FG8" s="414"/>
      <c r="FH8" s="414"/>
      <c r="FI8" s="414"/>
      <c r="FJ8" s="414"/>
      <c r="FK8" s="414"/>
      <c r="FL8" s="414"/>
      <c r="FM8" s="414"/>
      <c r="FN8" s="414"/>
      <c r="FO8" s="414"/>
    </row>
    <row r="9" spans="1:171" ht="40" x14ac:dyDescent="0.25">
      <c r="A9" s="632"/>
      <c r="B9" s="632"/>
      <c r="C9" s="632"/>
      <c r="D9" s="632"/>
      <c r="E9" s="632"/>
      <c r="F9" s="632"/>
      <c r="G9" s="632"/>
      <c r="H9" s="632"/>
      <c r="I9" s="632"/>
      <c r="J9" s="632"/>
      <c r="K9" s="632"/>
      <c r="L9" s="632"/>
      <c r="M9" s="632"/>
      <c r="N9" s="632"/>
      <c r="O9" s="632"/>
      <c r="P9" s="632"/>
      <c r="Q9" s="61"/>
      <c r="R9" s="61"/>
      <c r="S9" s="68"/>
      <c r="T9" s="68"/>
      <c r="U9" s="69"/>
      <c r="V9" s="69"/>
      <c r="W9" s="634" t="s">
        <v>60</v>
      </c>
      <c r="X9" s="635"/>
      <c r="Y9" s="635"/>
      <c r="Z9" s="635"/>
      <c r="AA9" s="634" t="s">
        <v>61</v>
      </c>
      <c r="AB9" s="635"/>
      <c r="AC9" s="635"/>
      <c r="AD9" s="635"/>
      <c r="AE9" s="68"/>
      <c r="AF9" s="68"/>
      <c r="AG9" s="68"/>
      <c r="AH9" s="68"/>
      <c r="AI9" s="68"/>
      <c r="AJ9" s="70"/>
      <c r="AK9" s="70"/>
      <c r="AL9" s="636" t="s">
        <v>62</v>
      </c>
      <c r="AM9" s="637"/>
      <c r="AN9" s="637"/>
      <c r="AO9" s="637"/>
      <c r="AP9" s="71"/>
      <c r="AQ9" s="619" t="s">
        <v>33</v>
      </c>
      <c r="AR9" s="620"/>
      <c r="AS9" s="71"/>
      <c r="AT9" s="72"/>
      <c r="AU9" s="73"/>
      <c r="AV9" s="74"/>
      <c r="AW9" s="74"/>
      <c r="AX9" s="74"/>
      <c r="AY9" s="74"/>
      <c r="AZ9" s="74"/>
      <c r="BA9" s="74"/>
      <c r="BB9" s="76"/>
      <c r="BC9" s="75"/>
      <c r="BD9" s="76"/>
      <c r="BE9" s="76"/>
      <c r="BF9" s="76"/>
      <c r="BG9" s="76"/>
      <c r="BH9" s="77"/>
      <c r="BI9" s="77"/>
      <c r="BJ9" s="77"/>
      <c r="BK9" s="99" t="s">
        <v>393</v>
      </c>
      <c r="BL9" s="73"/>
      <c r="BM9" s="74"/>
      <c r="BN9" s="85"/>
      <c r="BO9" s="85"/>
      <c r="BP9" s="85"/>
      <c r="BQ9" s="85"/>
      <c r="BR9" s="225" t="s">
        <v>378</v>
      </c>
      <c r="BS9" s="72"/>
      <c r="BT9" s="225" t="s">
        <v>421</v>
      </c>
      <c r="BU9" s="225" t="s">
        <v>503</v>
      </c>
      <c r="BV9" s="85"/>
      <c r="BW9" s="225"/>
      <c r="BX9" s="85"/>
      <c r="BY9" s="85"/>
      <c r="BZ9" s="85"/>
      <c r="CA9" s="85"/>
      <c r="CB9" s="85"/>
      <c r="CC9" s="85"/>
      <c r="CD9" s="20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7" t="s">
        <v>91</v>
      </c>
      <c r="CT9" s="88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68"/>
      <c r="DF9" s="68"/>
      <c r="DG9" s="68"/>
      <c r="DH9" s="68"/>
      <c r="DI9" s="68"/>
      <c r="DJ9" s="621" t="s">
        <v>64</v>
      </c>
      <c r="DK9" s="622"/>
      <c r="DL9" s="623"/>
      <c r="DM9" s="69"/>
      <c r="DN9" s="69"/>
      <c r="DO9" s="69"/>
      <c r="DP9" s="69"/>
      <c r="DQ9" s="69"/>
      <c r="DR9" s="90" t="s">
        <v>65</v>
      </c>
      <c r="DS9" s="82"/>
      <c r="DT9" s="82"/>
      <c r="DU9" s="82"/>
      <c r="DV9" s="82"/>
      <c r="DW9" s="83"/>
      <c r="DX9" s="91" t="s">
        <v>66</v>
      </c>
      <c r="DY9" s="91"/>
      <c r="DZ9" s="91"/>
      <c r="EA9" s="91"/>
      <c r="EB9" s="83"/>
      <c r="EC9" s="99"/>
      <c r="ED9" s="99"/>
      <c r="EE9" s="99"/>
      <c r="EG9" s="98" t="s">
        <v>308</v>
      </c>
      <c r="EH9" s="98" t="s">
        <v>68</v>
      </c>
      <c r="EI9" s="98" t="s">
        <v>69</v>
      </c>
      <c r="EJ9" s="99" t="s">
        <v>308</v>
      </c>
      <c r="EK9" s="99" t="s">
        <v>68</v>
      </c>
      <c r="EL9" s="99" t="s">
        <v>69</v>
      </c>
      <c r="EN9" s="617"/>
      <c r="EO9" s="344" t="s">
        <v>476</v>
      </c>
      <c r="EP9" s="344" t="s">
        <v>476</v>
      </c>
      <c r="EQ9" s="344" t="s">
        <v>61</v>
      </c>
      <c r="ER9" s="344" t="s">
        <v>516</v>
      </c>
      <c r="ES9" s="344" t="s">
        <v>513</v>
      </c>
      <c r="ET9" s="344" t="s">
        <v>514</v>
      </c>
      <c r="EU9" s="345"/>
      <c r="EV9" s="345"/>
      <c r="EW9" s="345"/>
      <c r="EY9" s="415"/>
      <c r="EZ9" s="344"/>
      <c r="FA9" s="344"/>
      <c r="FB9" s="344"/>
      <c r="FC9" s="344"/>
      <c r="FD9" s="344"/>
      <c r="FE9" s="344"/>
      <c r="FF9" s="344"/>
      <c r="FG9" s="344"/>
      <c r="FH9" s="344"/>
      <c r="FI9" s="344"/>
      <c r="FJ9" s="344"/>
      <c r="FK9" s="345"/>
      <c r="FL9" s="345"/>
      <c r="FM9" s="345"/>
      <c r="FN9" s="345"/>
      <c r="FO9" s="345"/>
    </row>
    <row r="10" spans="1:171" ht="54" customHeight="1" x14ac:dyDescent="0.25">
      <c r="A10" s="633"/>
      <c r="B10" s="633"/>
      <c r="C10" s="633"/>
      <c r="D10" s="633"/>
      <c r="E10" s="633"/>
      <c r="F10" s="633"/>
      <c r="G10" s="633"/>
      <c r="H10" s="633"/>
      <c r="I10" s="633"/>
      <c r="J10" s="633"/>
      <c r="K10" s="633"/>
      <c r="L10" s="633"/>
      <c r="M10" s="633"/>
      <c r="N10" s="633"/>
      <c r="O10" s="633"/>
      <c r="P10" s="633"/>
      <c r="Q10" s="62" t="s">
        <v>70</v>
      </c>
      <c r="R10" s="62" t="s">
        <v>71</v>
      </c>
      <c r="S10" s="78" t="s">
        <v>72</v>
      </c>
      <c r="T10" s="78" t="s">
        <v>73</v>
      </c>
      <c r="U10" s="78" t="s">
        <v>368</v>
      </c>
      <c r="V10" s="80" t="s">
        <v>78</v>
      </c>
      <c r="W10" s="79" t="s">
        <v>70</v>
      </c>
      <c r="X10" s="79" t="s">
        <v>74</v>
      </c>
      <c r="Y10" s="79" t="s">
        <v>72</v>
      </c>
      <c r="Z10" s="79" t="s">
        <v>73</v>
      </c>
      <c r="AA10" s="79" t="s">
        <v>70</v>
      </c>
      <c r="AB10" s="79" t="s">
        <v>369</v>
      </c>
      <c r="AC10" s="79" t="s">
        <v>72</v>
      </c>
      <c r="AD10" s="79" t="s">
        <v>73</v>
      </c>
      <c r="AE10" s="78" t="s">
        <v>369</v>
      </c>
      <c r="AF10" s="78" t="s">
        <v>370</v>
      </c>
      <c r="AG10" s="78" t="s">
        <v>307</v>
      </c>
      <c r="AH10" s="78" t="s">
        <v>76</v>
      </c>
      <c r="AI10" s="78" t="s">
        <v>371</v>
      </c>
      <c r="AJ10" s="78" t="s">
        <v>372</v>
      </c>
      <c r="AK10" s="78" t="s">
        <v>373</v>
      </c>
      <c r="AL10" s="78" t="s">
        <v>72</v>
      </c>
      <c r="AM10" s="78" t="s">
        <v>73</v>
      </c>
      <c r="AN10" s="78" t="s">
        <v>72</v>
      </c>
      <c r="AO10" s="78" t="s">
        <v>73</v>
      </c>
      <c r="AP10" s="80" t="s">
        <v>374</v>
      </c>
      <c r="AQ10" s="80" t="s">
        <v>375</v>
      </c>
      <c r="AR10" s="79" t="s">
        <v>419</v>
      </c>
      <c r="AS10" s="69" t="s">
        <v>420</v>
      </c>
      <c r="AT10" s="69" t="s">
        <v>312</v>
      </c>
      <c r="AU10" s="81" t="s">
        <v>405</v>
      </c>
      <c r="AV10" s="82" t="s">
        <v>313</v>
      </c>
      <c r="AW10" s="82" t="s">
        <v>314</v>
      </c>
      <c r="AX10" s="83" t="s">
        <v>79</v>
      </c>
      <c r="AY10" s="82" t="s">
        <v>138</v>
      </c>
      <c r="AZ10" s="82" t="s">
        <v>139</v>
      </c>
      <c r="BA10" s="82" t="s">
        <v>315</v>
      </c>
      <c r="BB10" s="82" t="s">
        <v>470</v>
      </c>
      <c r="BC10" s="81" t="s">
        <v>350</v>
      </c>
      <c r="BD10" s="82" t="s">
        <v>313</v>
      </c>
      <c r="BE10" s="82" t="s">
        <v>314</v>
      </c>
      <c r="BF10" s="83" t="s">
        <v>79</v>
      </c>
      <c r="BG10" s="82" t="s">
        <v>138</v>
      </c>
      <c r="BH10" s="82" t="s">
        <v>139</v>
      </c>
      <c r="BI10" s="82" t="s">
        <v>315</v>
      </c>
      <c r="BJ10" s="82" t="s">
        <v>470</v>
      </c>
      <c r="BK10" s="339" t="s">
        <v>397</v>
      </c>
      <c r="BL10" s="78" t="s">
        <v>81</v>
      </c>
      <c r="BM10" s="78" t="s">
        <v>376</v>
      </c>
      <c r="BN10" s="78" t="s">
        <v>316</v>
      </c>
      <c r="BO10" s="78" t="s">
        <v>317</v>
      </c>
      <c r="BP10" s="78" t="s">
        <v>318</v>
      </c>
      <c r="BQ10" s="80" t="s">
        <v>377</v>
      </c>
      <c r="BR10" s="80" t="s">
        <v>422</v>
      </c>
      <c r="BS10" s="110" t="s">
        <v>423</v>
      </c>
      <c r="BT10" s="80" t="s">
        <v>424</v>
      </c>
      <c r="BU10" s="93" t="s">
        <v>425</v>
      </c>
      <c r="BV10" s="226" t="s">
        <v>426</v>
      </c>
      <c r="BW10" s="207" t="s">
        <v>379</v>
      </c>
      <c r="BX10" s="80" t="s">
        <v>380</v>
      </c>
      <c r="BY10" s="80" t="s">
        <v>381</v>
      </c>
      <c r="BZ10" s="80" t="s">
        <v>382</v>
      </c>
      <c r="CA10" s="80" t="s">
        <v>319</v>
      </c>
      <c r="CB10" s="79" t="s">
        <v>383</v>
      </c>
      <c r="CC10" s="93" t="s">
        <v>384</v>
      </c>
      <c r="CD10" s="255" t="s">
        <v>81</v>
      </c>
      <c r="CE10" s="256" t="s">
        <v>376</v>
      </c>
      <c r="CF10" s="79" t="s">
        <v>316</v>
      </c>
      <c r="CG10" s="79" t="s">
        <v>317</v>
      </c>
      <c r="CH10" s="79" t="s">
        <v>320</v>
      </c>
      <c r="CI10" s="79" t="s">
        <v>377</v>
      </c>
      <c r="CJ10" s="93" t="s">
        <v>378</v>
      </c>
      <c r="CK10" s="94" t="s">
        <v>504</v>
      </c>
      <c r="CL10" s="79" t="s">
        <v>385</v>
      </c>
      <c r="CM10" s="79" t="s">
        <v>386</v>
      </c>
      <c r="CN10" s="93" t="s">
        <v>381</v>
      </c>
      <c r="CO10" s="93" t="s">
        <v>382</v>
      </c>
      <c r="CP10" s="93" t="s">
        <v>319</v>
      </c>
      <c r="CQ10" s="93" t="s">
        <v>383</v>
      </c>
      <c r="CR10" s="95" t="s">
        <v>384</v>
      </c>
      <c r="CS10" s="96" t="s">
        <v>80</v>
      </c>
      <c r="CT10" s="78" t="s">
        <v>84</v>
      </c>
      <c r="CU10" s="78" t="s">
        <v>85</v>
      </c>
      <c r="CV10" s="78" t="s">
        <v>86</v>
      </c>
      <c r="CW10" s="78" t="s">
        <v>87</v>
      </c>
      <c r="CX10" s="78" t="s">
        <v>371</v>
      </c>
      <c r="CY10" s="78" t="s">
        <v>404</v>
      </c>
      <c r="CZ10" s="78" t="s">
        <v>387</v>
      </c>
      <c r="DA10" s="78" t="s">
        <v>404</v>
      </c>
      <c r="DB10" s="78" t="s">
        <v>388</v>
      </c>
      <c r="DC10" s="78" t="s">
        <v>389</v>
      </c>
      <c r="DD10" s="78" t="s">
        <v>373</v>
      </c>
      <c r="DE10" s="78" t="s">
        <v>58</v>
      </c>
      <c r="DF10" s="78" t="s">
        <v>59</v>
      </c>
      <c r="DG10" s="78" t="s">
        <v>390</v>
      </c>
      <c r="DH10" s="78" t="s">
        <v>391</v>
      </c>
      <c r="DI10" s="78" t="s">
        <v>307</v>
      </c>
      <c r="DJ10" s="79" t="s">
        <v>88</v>
      </c>
      <c r="DK10" s="79" t="s">
        <v>89</v>
      </c>
      <c r="DL10" s="68" t="s">
        <v>90</v>
      </c>
      <c r="DM10" s="78" t="s">
        <v>17</v>
      </c>
      <c r="DN10" s="78" t="s">
        <v>66</v>
      </c>
      <c r="DO10" s="78" t="s">
        <v>371</v>
      </c>
      <c r="DP10" s="78" t="s">
        <v>372</v>
      </c>
      <c r="DQ10" s="78" t="s">
        <v>373</v>
      </c>
      <c r="DR10" s="78" t="s">
        <v>58</v>
      </c>
      <c r="DS10" s="78" t="s">
        <v>59</v>
      </c>
      <c r="DT10" s="78" t="s">
        <v>369</v>
      </c>
      <c r="DU10" s="78" t="s">
        <v>392</v>
      </c>
      <c r="DV10" s="78" t="s">
        <v>307</v>
      </c>
      <c r="DW10" s="80" t="s">
        <v>91</v>
      </c>
      <c r="DX10" s="78" t="s">
        <v>92</v>
      </c>
      <c r="DY10" s="78" t="s">
        <v>371</v>
      </c>
      <c r="DZ10" s="80" t="s">
        <v>404</v>
      </c>
      <c r="EA10" s="80" t="s">
        <v>373</v>
      </c>
      <c r="EB10" s="80" t="s">
        <v>91</v>
      </c>
      <c r="EC10" s="100" t="s">
        <v>93</v>
      </c>
      <c r="ED10" s="100" t="s">
        <v>94</v>
      </c>
      <c r="EE10" s="100" t="s">
        <v>95</v>
      </c>
      <c r="EG10" s="382" t="s">
        <v>58</v>
      </c>
      <c r="EH10" s="383"/>
      <c r="EI10" s="383"/>
      <c r="EJ10" s="384" t="s">
        <v>59</v>
      </c>
      <c r="EK10" s="385"/>
      <c r="EL10" s="385"/>
      <c r="EN10" s="618"/>
      <c r="EO10" s="346" t="s">
        <v>478</v>
      </c>
      <c r="EP10" s="344" t="s">
        <v>140</v>
      </c>
      <c r="EQ10" s="346" t="s">
        <v>479</v>
      </c>
      <c r="ER10" s="346" t="s">
        <v>517</v>
      </c>
      <c r="ES10" s="346"/>
      <c r="ET10" s="346"/>
      <c r="EU10" s="343" t="s">
        <v>93</v>
      </c>
      <c r="EV10" s="343" t="s">
        <v>94</v>
      </c>
      <c r="EW10" s="343" t="s">
        <v>95</v>
      </c>
      <c r="EY10" s="416" t="s">
        <v>524</v>
      </c>
      <c r="EZ10" s="417" t="s">
        <v>525</v>
      </c>
      <c r="FA10" s="417" t="s">
        <v>526</v>
      </c>
      <c r="FB10" s="417" t="s">
        <v>527</v>
      </c>
      <c r="FC10" s="417" t="s">
        <v>528</v>
      </c>
      <c r="FD10" s="417" t="s">
        <v>529</v>
      </c>
      <c r="FE10" s="417" t="s">
        <v>530</v>
      </c>
      <c r="FF10" s="417" t="s">
        <v>531</v>
      </c>
      <c r="FG10" s="417" t="s">
        <v>532</v>
      </c>
      <c r="FH10" s="417" t="s">
        <v>533</v>
      </c>
      <c r="FI10" s="417" t="s">
        <v>534</v>
      </c>
      <c r="FJ10" s="417" t="s">
        <v>535</v>
      </c>
      <c r="FK10" s="418" t="s">
        <v>536</v>
      </c>
      <c r="FL10" s="418" t="s">
        <v>537</v>
      </c>
      <c r="FM10" s="418" t="s">
        <v>538</v>
      </c>
      <c r="FN10" s="418" t="s">
        <v>539</v>
      </c>
      <c r="FO10" s="418" t="s">
        <v>540</v>
      </c>
    </row>
    <row r="11" spans="1:171" hidden="1" outlineLevel="1" x14ac:dyDescent="0.25">
      <c r="A11" s="390" t="s">
        <v>300</v>
      </c>
      <c r="B11" s="390" t="s">
        <v>189</v>
      </c>
      <c r="C11" s="390" t="s">
        <v>190</v>
      </c>
      <c r="D11" s="391" t="s">
        <v>189</v>
      </c>
      <c r="E11" s="390" t="s">
        <v>36</v>
      </c>
      <c r="F11" s="391" t="s">
        <v>154</v>
      </c>
      <c r="G11" s="392">
        <v>1</v>
      </c>
      <c r="H11" s="393">
        <v>42583</v>
      </c>
      <c r="I11" s="393">
        <v>43405</v>
      </c>
      <c r="J11" s="394">
        <v>76</v>
      </c>
      <c r="K11" s="391">
        <v>121</v>
      </c>
      <c r="L11" s="390" t="s">
        <v>169</v>
      </c>
      <c r="M11" s="392" t="s">
        <v>354</v>
      </c>
      <c r="N11" s="395">
        <v>8</v>
      </c>
      <c r="O11" s="395">
        <v>2</v>
      </c>
      <c r="P11" s="395">
        <v>6</v>
      </c>
      <c r="Q11" s="389">
        <v>0</v>
      </c>
      <c r="R11" s="389">
        <v>0</v>
      </c>
      <c r="S11" s="389">
        <v>480680.36728849995</v>
      </c>
      <c r="T11" s="389">
        <v>243901.77599999998</v>
      </c>
      <c r="U11" s="389">
        <v>154182.95749656015</v>
      </c>
      <c r="V11" s="389">
        <v>163147.33284285001</v>
      </c>
      <c r="W11" s="389">
        <v>0</v>
      </c>
      <c r="X11" s="389">
        <v>0</v>
      </c>
      <c r="Y11" s="389">
        <v>512368.61728849995</v>
      </c>
      <c r="Z11" s="389">
        <v>244401.77599999998</v>
      </c>
      <c r="AA11" s="389"/>
      <c r="AB11" s="389"/>
      <c r="AC11" s="389">
        <v>31688.25</v>
      </c>
      <c r="AD11" s="389">
        <v>500</v>
      </c>
      <c r="AE11" s="389">
        <v>5627.0138888888887</v>
      </c>
      <c r="AF11" s="389">
        <v>496.64626736111109</v>
      </c>
      <c r="AG11" s="389">
        <v>5700</v>
      </c>
      <c r="AH11" s="396">
        <v>12.8</v>
      </c>
      <c r="AI11" s="389">
        <v>2077.4905729166667</v>
      </c>
      <c r="AJ11" s="397">
        <v>0.02</v>
      </c>
      <c r="AK11" s="397">
        <v>0.1</v>
      </c>
      <c r="AL11" s="389">
        <v>439408.50984856539</v>
      </c>
      <c r="AM11" s="389">
        <v>207655.56480735569</v>
      </c>
      <c r="AN11" s="398">
        <v>-41271.857439934567</v>
      </c>
      <c r="AO11" s="398">
        <v>-36246.211192644289</v>
      </c>
      <c r="AP11" s="398">
        <v>0</v>
      </c>
      <c r="AQ11" s="398">
        <v>138617.35725253</v>
      </c>
      <c r="AR11" s="398">
        <v>0</v>
      </c>
      <c r="AS11" s="398">
        <v>37.5</v>
      </c>
      <c r="AT11" s="398">
        <v>365</v>
      </c>
      <c r="AU11" s="399">
        <v>160</v>
      </c>
      <c r="AV11" s="399">
        <v>27</v>
      </c>
      <c r="AW11" s="399">
        <v>12</v>
      </c>
      <c r="AX11" s="399">
        <v>106690</v>
      </c>
      <c r="AY11" s="399">
        <v>201</v>
      </c>
      <c r="AZ11" s="399">
        <v>0</v>
      </c>
      <c r="BA11" s="399">
        <v>0</v>
      </c>
      <c r="BB11" s="399">
        <v>0.3</v>
      </c>
      <c r="BC11" s="399">
        <v>3200</v>
      </c>
      <c r="BD11" s="399">
        <v>216</v>
      </c>
      <c r="BE11" s="399">
        <v>24</v>
      </c>
      <c r="BF11" s="399">
        <v>106.69</v>
      </c>
      <c r="BG11" s="399">
        <v>20.099999999999998</v>
      </c>
      <c r="BH11" s="399">
        <v>0</v>
      </c>
      <c r="BI11" s="399">
        <v>0</v>
      </c>
      <c r="BJ11" s="399">
        <v>0.03</v>
      </c>
      <c r="BK11" s="398">
        <v>3566.82</v>
      </c>
      <c r="BL11" s="389">
        <v>28</v>
      </c>
      <c r="BM11" s="389">
        <v>9</v>
      </c>
      <c r="BN11" s="395">
        <v>20</v>
      </c>
      <c r="BO11" s="395">
        <v>1</v>
      </c>
      <c r="BP11" s="395">
        <v>0</v>
      </c>
      <c r="BQ11" s="389">
        <v>3</v>
      </c>
      <c r="BR11" s="389">
        <v>0</v>
      </c>
      <c r="BS11" s="389">
        <v>0</v>
      </c>
      <c r="BT11" s="389">
        <v>710.04317162999996</v>
      </c>
      <c r="BU11" s="389">
        <v>0</v>
      </c>
      <c r="BV11" s="389">
        <v>0</v>
      </c>
      <c r="BW11" s="389">
        <v>1</v>
      </c>
      <c r="BX11" s="389">
        <v>2</v>
      </c>
      <c r="BY11" s="389">
        <v>97</v>
      </c>
      <c r="BZ11" s="389">
        <v>0</v>
      </c>
      <c r="CA11" s="400">
        <v>3</v>
      </c>
      <c r="CB11" s="400">
        <v>0</v>
      </c>
      <c r="CC11" s="400">
        <v>0</v>
      </c>
      <c r="CD11" s="389">
        <v>280</v>
      </c>
      <c r="CE11" s="389">
        <v>18</v>
      </c>
      <c r="CF11" s="389">
        <v>200</v>
      </c>
      <c r="CG11" s="389">
        <v>10</v>
      </c>
      <c r="CH11" s="389">
        <v>0</v>
      </c>
      <c r="CI11" s="389">
        <v>30</v>
      </c>
      <c r="CJ11" s="389">
        <v>0</v>
      </c>
      <c r="CK11" s="389">
        <v>284.01726865199998</v>
      </c>
      <c r="CL11" s="389">
        <v>50</v>
      </c>
      <c r="CM11" s="389">
        <v>40</v>
      </c>
      <c r="CN11" s="389">
        <v>388</v>
      </c>
      <c r="CO11" s="389">
        <v>0</v>
      </c>
      <c r="CP11" s="389">
        <v>12</v>
      </c>
      <c r="CQ11" s="389">
        <v>0</v>
      </c>
      <c r="CR11" s="389">
        <v>0</v>
      </c>
      <c r="CS11" s="389">
        <v>1312.017268652</v>
      </c>
      <c r="CT11" s="389">
        <v>4</v>
      </c>
      <c r="CU11" s="389">
        <v>0</v>
      </c>
      <c r="CV11" s="389">
        <v>5</v>
      </c>
      <c r="CW11" s="389">
        <v>9</v>
      </c>
      <c r="CX11" s="401">
        <v>245.87154455999996</v>
      </c>
      <c r="CY11" s="396">
        <v>304.44234082999998</v>
      </c>
      <c r="CZ11" s="396">
        <v>16759.743010059996</v>
      </c>
      <c r="DA11" s="402">
        <v>1.8165096006976907E-2</v>
      </c>
      <c r="DB11" s="389">
        <v>0</v>
      </c>
      <c r="DC11" s="396">
        <v>1285.5774137200001</v>
      </c>
      <c r="DD11" s="403">
        <v>0</v>
      </c>
      <c r="DE11" s="402">
        <v>0</v>
      </c>
      <c r="DF11" s="402">
        <v>0</v>
      </c>
      <c r="DG11" s="402">
        <v>6.6642806896296388E-3</v>
      </c>
      <c r="DH11" s="402">
        <v>0.73492951419809782</v>
      </c>
      <c r="DI11" s="402">
        <v>0.8559363629214034</v>
      </c>
      <c r="DJ11" s="402"/>
      <c r="DK11" s="402"/>
      <c r="DL11" s="404"/>
      <c r="DM11" s="404"/>
      <c r="DN11" s="402">
        <v>0.703125</v>
      </c>
      <c r="DO11" s="402">
        <v>0.11835025764512216</v>
      </c>
      <c r="DP11" s="402">
        <v>1</v>
      </c>
      <c r="DQ11" s="402">
        <v>1</v>
      </c>
      <c r="DR11" s="405">
        <v>0</v>
      </c>
      <c r="DS11" s="405">
        <v>0</v>
      </c>
      <c r="DT11" s="402">
        <v>9.9964210344444574E-4</v>
      </c>
      <c r="DU11" s="402">
        <v>0.11023942712971467</v>
      </c>
      <c r="DV11" s="402">
        <v>8.559363629214034E-2</v>
      </c>
      <c r="DW11" s="402">
        <v>0.19683270552529947</v>
      </c>
      <c r="DX11" s="402">
        <v>7.03125E-2</v>
      </c>
      <c r="DY11" s="402">
        <v>2.3670051529024433E-2</v>
      </c>
      <c r="DZ11" s="406">
        <v>0.05</v>
      </c>
      <c r="EA11" s="406">
        <v>0.05</v>
      </c>
      <c r="EB11" s="406">
        <v>0.19398255152902444</v>
      </c>
      <c r="EC11" s="407">
        <v>0.39081525705432391</v>
      </c>
      <c r="ED11" s="408" t="s">
        <v>157</v>
      </c>
      <c r="EE11" s="408" t="s">
        <v>156</v>
      </c>
      <c r="EG11" s="389">
        <v>440809.0627532549</v>
      </c>
      <c r="EH11" s="389">
        <v>440753.75109212083</v>
      </c>
      <c r="EI11" s="389">
        <v>435550.43528406101</v>
      </c>
      <c r="EJ11" s="389">
        <v>205306.42079999996</v>
      </c>
      <c r="EK11" s="389">
        <v>207196.44303636008</v>
      </c>
      <c r="EL11" s="389">
        <v>206912.83880949</v>
      </c>
      <c r="EN11" s="389">
        <v>5</v>
      </c>
      <c r="EO11" s="409">
        <v>647064.07465592108</v>
      </c>
      <c r="EP11" s="409">
        <v>660447.62193792383</v>
      </c>
      <c r="EQ11" s="410">
        <v>-2676.7094564005502</v>
      </c>
      <c r="ER11" s="404">
        <v>0</v>
      </c>
      <c r="ES11" s="404">
        <v>1.7349295141980978</v>
      </c>
      <c r="ET11" s="404">
        <v>0.26023942712971465</v>
      </c>
      <c r="EU11" s="411">
        <v>0.54081525705432387</v>
      </c>
      <c r="EV11" s="412" t="s">
        <v>157</v>
      </c>
      <c r="EW11" s="412" t="s">
        <v>156</v>
      </c>
      <c r="EX11" s="381"/>
      <c r="EY11" s="419">
        <v>0.34748462467794161</v>
      </c>
      <c r="EZ11" s="419">
        <v>0.83069226072062885</v>
      </c>
      <c r="FA11" s="419">
        <v>0.90770045808880506</v>
      </c>
      <c r="FB11" s="419">
        <v>0.67857466583073112</v>
      </c>
      <c r="FC11" s="419">
        <v>0.85367007168317</v>
      </c>
      <c r="FD11" s="419">
        <v>0.56946148444333711</v>
      </c>
      <c r="FE11" s="419">
        <v>0.47546493871001783</v>
      </c>
      <c r="FF11" s="419">
        <v>0.42053231883551823</v>
      </c>
      <c r="FG11" s="419">
        <v>0.35894919994020946</v>
      </c>
      <c r="FH11" s="419">
        <v>0.45909486308565411</v>
      </c>
      <c r="FI11" s="419">
        <v>0.54081525705432387</v>
      </c>
      <c r="FJ11" s="419"/>
      <c r="FK11" s="407">
        <v>0.69529244782912514</v>
      </c>
      <c r="FL11" s="407">
        <v>0.7005687406524127</v>
      </c>
      <c r="FM11" s="419">
        <v>0.41831548582858186</v>
      </c>
      <c r="FN11" s="419">
        <v>0.49995506006998902</v>
      </c>
      <c r="FO11" s="407">
        <v>0.58567637664275796</v>
      </c>
    </row>
    <row r="12" spans="1:171" hidden="1" outlineLevel="1" x14ac:dyDescent="0.25">
      <c r="A12" s="390" t="s">
        <v>300</v>
      </c>
      <c r="B12" s="390" t="s">
        <v>301</v>
      </c>
      <c r="C12" s="390" t="s">
        <v>302</v>
      </c>
      <c r="D12" s="391" t="s">
        <v>301</v>
      </c>
      <c r="E12" s="390" t="s">
        <v>36</v>
      </c>
      <c r="F12" s="391" t="s">
        <v>154</v>
      </c>
      <c r="G12" s="392">
        <v>1</v>
      </c>
      <c r="H12" s="393">
        <v>42851</v>
      </c>
      <c r="I12" s="393">
        <v>44384</v>
      </c>
      <c r="J12" s="394">
        <v>68</v>
      </c>
      <c r="K12" s="391">
        <v>305</v>
      </c>
      <c r="L12" s="390" t="s">
        <v>194</v>
      </c>
      <c r="M12" s="392" t="s">
        <v>354</v>
      </c>
      <c r="N12" s="395">
        <v>9</v>
      </c>
      <c r="O12" s="395">
        <v>2</v>
      </c>
      <c r="P12" s="395">
        <v>9</v>
      </c>
      <c r="Q12" s="389">
        <v>0</v>
      </c>
      <c r="R12" s="389">
        <v>0</v>
      </c>
      <c r="S12" s="389">
        <v>685281.74550000008</v>
      </c>
      <c r="T12" s="389">
        <v>383909.28199999989</v>
      </c>
      <c r="U12" s="389">
        <v>484696.88473648002</v>
      </c>
      <c r="V12" s="389">
        <v>223342.94994288002</v>
      </c>
      <c r="W12" s="389">
        <v>0</v>
      </c>
      <c r="X12" s="389">
        <v>0</v>
      </c>
      <c r="Y12" s="389">
        <v>723800.99550000008</v>
      </c>
      <c r="Z12" s="389">
        <v>384559.28199999989</v>
      </c>
      <c r="AA12" s="389"/>
      <c r="AB12" s="389"/>
      <c r="AC12" s="389">
        <v>38519.25</v>
      </c>
      <c r="AD12" s="389">
        <v>650</v>
      </c>
      <c r="AE12" s="389">
        <v>5954.0451388888887</v>
      </c>
      <c r="AF12" s="389">
        <v>589.04557291666663</v>
      </c>
      <c r="AG12" s="389">
        <v>6300</v>
      </c>
      <c r="AH12" s="396">
        <v>16</v>
      </c>
      <c r="AI12" s="389">
        <v>2439.736979166667</v>
      </c>
      <c r="AJ12" s="397">
        <v>0.02</v>
      </c>
      <c r="AK12" s="397">
        <v>0.1</v>
      </c>
      <c r="AL12" s="389">
        <v>735682.7740513999</v>
      </c>
      <c r="AM12" s="389">
        <v>375731.86530569143</v>
      </c>
      <c r="AN12" s="398">
        <v>50401.028551399824</v>
      </c>
      <c r="AO12" s="398">
        <v>-8177.4166943084565</v>
      </c>
      <c r="AP12" s="398">
        <v>0</v>
      </c>
      <c r="AQ12" s="398">
        <v>262159.27168728004</v>
      </c>
      <c r="AR12" s="398">
        <v>3433.8153699999998</v>
      </c>
      <c r="AS12" s="398">
        <v>270.83333333333331</v>
      </c>
      <c r="AT12" s="398">
        <v>155</v>
      </c>
      <c r="AU12" s="399">
        <v>365.49425000000002</v>
      </c>
      <c r="AV12" s="399">
        <v>15</v>
      </c>
      <c r="AW12" s="399">
        <v>19.770108</v>
      </c>
      <c r="AX12" s="399">
        <v>151100</v>
      </c>
      <c r="AY12" s="399">
        <v>234</v>
      </c>
      <c r="AZ12" s="399">
        <v>0</v>
      </c>
      <c r="BA12" s="399">
        <v>0</v>
      </c>
      <c r="BB12" s="399">
        <v>0</v>
      </c>
      <c r="BC12" s="399">
        <v>7309.8850000000002</v>
      </c>
      <c r="BD12" s="399">
        <v>120</v>
      </c>
      <c r="BE12" s="399">
        <v>39.540216000000001</v>
      </c>
      <c r="BF12" s="399">
        <v>151.1</v>
      </c>
      <c r="BG12" s="399">
        <v>23.4</v>
      </c>
      <c r="BH12" s="399">
        <v>0</v>
      </c>
      <c r="BI12" s="399">
        <v>0</v>
      </c>
      <c r="BJ12" s="399">
        <v>0</v>
      </c>
      <c r="BK12" s="398">
        <v>7643.9252160000005</v>
      </c>
      <c r="BL12" s="389">
        <v>48</v>
      </c>
      <c r="BM12" s="389">
        <v>10</v>
      </c>
      <c r="BN12" s="395">
        <v>48</v>
      </c>
      <c r="BO12" s="395">
        <v>0</v>
      </c>
      <c r="BP12" s="395">
        <v>0</v>
      </c>
      <c r="BQ12" s="389">
        <v>7</v>
      </c>
      <c r="BR12" s="389">
        <v>3433.8153699999998</v>
      </c>
      <c r="BS12" s="389">
        <v>270.83333333333331</v>
      </c>
      <c r="BT12" s="389">
        <v>336.8</v>
      </c>
      <c r="BU12" s="389">
        <v>0</v>
      </c>
      <c r="BV12" s="389">
        <v>0</v>
      </c>
      <c r="BW12" s="389">
        <v>1</v>
      </c>
      <c r="BX12" s="389">
        <v>11</v>
      </c>
      <c r="BY12" s="389">
        <v>146</v>
      </c>
      <c r="BZ12" s="389">
        <v>2</v>
      </c>
      <c r="CA12" s="400">
        <v>1</v>
      </c>
      <c r="CB12" s="400">
        <v>0</v>
      </c>
      <c r="CC12" s="400">
        <v>0</v>
      </c>
      <c r="CD12" s="389">
        <v>480</v>
      </c>
      <c r="CE12" s="389">
        <v>20</v>
      </c>
      <c r="CF12" s="389">
        <v>480</v>
      </c>
      <c r="CG12" s="389">
        <v>0</v>
      </c>
      <c r="CH12" s="389">
        <v>0</v>
      </c>
      <c r="CI12" s="389">
        <v>70</v>
      </c>
      <c r="CJ12" s="389">
        <v>1111.3946110000002</v>
      </c>
      <c r="CK12" s="389">
        <v>134.72000000000003</v>
      </c>
      <c r="CL12" s="389">
        <v>50</v>
      </c>
      <c r="CM12" s="389">
        <v>220</v>
      </c>
      <c r="CN12" s="389">
        <v>584</v>
      </c>
      <c r="CO12" s="389">
        <v>40</v>
      </c>
      <c r="CP12" s="389">
        <v>4</v>
      </c>
      <c r="CQ12" s="389">
        <v>0</v>
      </c>
      <c r="CR12" s="389">
        <v>0</v>
      </c>
      <c r="CS12" s="389">
        <v>3194.114611</v>
      </c>
      <c r="CT12" s="389">
        <v>6</v>
      </c>
      <c r="CU12" s="389">
        <v>2</v>
      </c>
      <c r="CV12" s="389">
        <v>7</v>
      </c>
      <c r="CW12" s="389">
        <v>15</v>
      </c>
      <c r="CX12" s="401">
        <v>1300.0609044014172</v>
      </c>
      <c r="CY12" s="396">
        <v>0</v>
      </c>
      <c r="CZ12" s="396">
        <v>59692.481202660005</v>
      </c>
      <c r="DA12" s="402">
        <v>0</v>
      </c>
      <c r="DB12" s="389">
        <v>0</v>
      </c>
      <c r="DC12" s="396">
        <v>0</v>
      </c>
      <c r="DD12" s="403">
        <v>0</v>
      </c>
      <c r="DE12" s="402">
        <v>1.3084633930151761</v>
      </c>
      <c r="DF12" s="402">
        <v>0</v>
      </c>
      <c r="DG12" s="402">
        <v>0.62220702344636147</v>
      </c>
      <c r="DH12" s="402">
        <v>0.26313753489821767</v>
      </c>
      <c r="DI12" s="402">
        <v>1.7203237820634922</v>
      </c>
      <c r="DJ12" s="402"/>
      <c r="DK12" s="402"/>
      <c r="DL12" s="404"/>
      <c r="DM12" s="404"/>
      <c r="DN12" s="402">
        <v>0.9375</v>
      </c>
      <c r="DO12" s="402">
        <v>0.53286928693660851</v>
      </c>
      <c r="DP12" s="402">
        <v>1</v>
      </c>
      <c r="DQ12" s="402">
        <v>1</v>
      </c>
      <c r="DR12" s="405">
        <v>0.19626950895227641</v>
      </c>
      <c r="DS12" s="405">
        <v>0</v>
      </c>
      <c r="DT12" s="402">
        <v>9.3331053516954213E-2</v>
      </c>
      <c r="DU12" s="402">
        <v>3.947063023473265E-2</v>
      </c>
      <c r="DV12" s="402">
        <v>0.17203237820634923</v>
      </c>
      <c r="DW12" s="402">
        <v>0.50110357091031243</v>
      </c>
      <c r="DX12" s="402">
        <v>9.375E-2</v>
      </c>
      <c r="DY12" s="402">
        <v>0.10657385738732171</v>
      </c>
      <c r="DZ12" s="406">
        <v>0.05</v>
      </c>
      <c r="EA12" s="406">
        <v>0.05</v>
      </c>
      <c r="EB12" s="406">
        <v>0.3003238573873217</v>
      </c>
      <c r="EC12" s="407">
        <v>0.80142742829763414</v>
      </c>
      <c r="ED12" s="408" t="s">
        <v>509</v>
      </c>
      <c r="EE12" s="408" t="s">
        <v>25</v>
      </c>
      <c r="EG12" s="389">
        <v>731725.5750143904</v>
      </c>
      <c r="EH12" s="389">
        <v>744059.04106753145</v>
      </c>
      <c r="EI12" s="389">
        <v>743964.92812023219</v>
      </c>
      <c r="EJ12" s="389">
        <v>382960.89396000013</v>
      </c>
      <c r="EK12" s="389">
        <v>374220.71100611007</v>
      </c>
      <c r="EL12" s="389">
        <v>374902.63881521008</v>
      </c>
      <c r="EN12" s="389">
        <v>7</v>
      </c>
      <c r="EO12" s="409">
        <v>1111414.6393570914</v>
      </c>
      <c r="EP12" s="409">
        <v>1119081.7049608496</v>
      </c>
      <c r="EQ12" s="410">
        <v>-1095.2950862511727</v>
      </c>
      <c r="ER12" s="404">
        <v>0</v>
      </c>
      <c r="ES12" s="404">
        <v>1.2631375348982177</v>
      </c>
      <c r="ET12" s="404">
        <v>0.18947063023473265</v>
      </c>
      <c r="EU12" s="411">
        <v>0.95142742829763416</v>
      </c>
      <c r="EV12" s="412" t="s">
        <v>511</v>
      </c>
      <c r="EW12" s="412" t="s">
        <v>27</v>
      </c>
      <c r="EX12" s="381"/>
      <c r="EY12" s="419">
        <v>1.1535080676114096</v>
      </c>
      <c r="EZ12" s="419">
        <v>1.0002111280626111</v>
      </c>
      <c r="FA12" s="419">
        <v>1.2846754206703432</v>
      </c>
      <c r="FB12" s="419">
        <v>1.2923316633672457</v>
      </c>
      <c r="FC12" s="419">
        <v>1.1149983196087452</v>
      </c>
      <c r="FD12" s="419">
        <v>0.87796877675637419</v>
      </c>
      <c r="FE12" s="419">
        <v>1.2995053949339146</v>
      </c>
      <c r="FF12" s="419">
        <v>1.150004371096633</v>
      </c>
      <c r="FG12" s="419">
        <v>1.0335164885815007</v>
      </c>
      <c r="FH12" s="419">
        <v>0.67139662004169587</v>
      </c>
      <c r="FI12" s="419">
        <v>0.95142742829763416</v>
      </c>
      <c r="FJ12" s="419"/>
      <c r="FK12" s="407">
        <v>1.1461315387814546</v>
      </c>
      <c r="FL12" s="407">
        <v>1.0950995865774551</v>
      </c>
      <c r="FM12" s="419">
        <v>1.1610087515373493</v>
      </c>
      <c r="FN12" s="419">
        <v>0.81141202416966496</v>
      </c>
      <c r="FO12" s="407">
        <v>1.0754130617298279</v>
      </c>
    </row>
    <row r="13" spans="1:171" hidden="1" outlineLevel="1" x14ac:dyDescent="0.25">
      <c r="A13" s="390" t="s">
        <v>300</v>
      </c>
      <c r="B13" s="390" t="s">
        <v>167</v>
      </c>
      <c r="C13" s="390" t="s">
        <v>168</v>
      </c>
      <c r="D13" s="391" t="s">
        <v>167</v>
      </c>
      <c r="E13" s="390" t="s">
        <v>36</v>
      </c>
      <c r="F13" s="391" t="s">
        <v>154</v>
      </c>
      <c r="G13" s="392">
        <v>1</v>
      </c>
      <c r="H13" s="393">
        <v>42248</v>
      </c>
      <c r="I13" s="393">
        <v>44046</v>
      </c>
      <c r="J13" s="394">
        <v>87</v>
      </c>
      <c r="K13" s="391">
        <v>307</v>
      </c>
      <c r="L13" s="390" t="s">
        <v>175</v>
      </c>
      <c r="M13" s="392" t="s">
        <v>354</v>
      </c>
      <c r="N13" s="395">
        <v>8</v>
      </c>
      <c r="O13" s="395">
        <v>1</v>
      </c>
      <c r="P13" s="395">
        <v>7</v>
      </c>
      <c r="Q13" s="389">
        <v>0</v>
      </c>
      <c r="R13" s="389">
        <v>0</v>
      </c>
      <c r="S13" s="389">
        <v>409597.3949999999</v>
      </c>
      <c r="T13" s="389">
        <v>247177.63899999994</v>
      </c>
      <c r="U13" s="389">
        <v>157728.1611789701</v>
      </c>
      <c r="V13" s="389">
        <v>6450.8240323700011</v>
      </c>
      <c r="W13" s="389">
        <v>0</v>
      </c>
      <c r="X13" s="389">
        <v>0</v>
      </c>
      <c r="Y13" s="389">
        <v>444195.1449999999</v>
      </c>
      <c r="Z13" s="389">
        <v>247577.63899999994</v>
      </c>
      <c r="AA13" s="389"/>
      <c r="AB13" s="389"/>
      <c r="AC13" s="389">
        <v>34597.75</v>
      </c>
      <c r="AD13" s="389">
        <v>400</v>
      </c>
      <c r="AE13" s="389">
        <v>3747.8819444444443</v>
      </c>
      <c r="AF13" s="389">
        <v>461.99652777777783</v>
      </c>
      <c r="AG13" s="389">
        <v>4800</v>
      </c>
      <c r="AH13" s="396">
        <v>12.8</v>
      </c>
      <c r="AI13" s="389">
        <v>2025.4255208333334</v>
      </c>
      <c r="AJ13" s="397">
        <v>0.02</v>
      </c>
      <c r="AK13" s="397">
        <v>0.1</v>
      </c>
      <c r="AL13" s="389">
        <v>399537.38554380432</v>
      </c>
      <c r="AM13" s="389">
        <v>178669.86167424163</v>
      </c>
      <c r="AN13" s="398">
        <v>-10060.009456195578</v>
      </c>
      <c r="AO13" s="398">
        <v>-68507.777325758303</v>
      </c>
      <c r="AP13" s="398">
        <v>0</v>
      </c>
      <c r="AQ13" s="398">
        <v>7287.6328506999989</v>
      </c>
      <c r="AR13" s="398">
        <v>0</v>
      </c>
      <c r="AS13" s="398">
        <v>0</v>
      </c>
      <c r="AT13" s="398">
        <v>400</v>
      </c>
      <c r="AU13" s="399">
        <v>240.1</v>
      </c>
      <c r="AV13" s="399">
        <v>0</v>
      </c>
      <c r="AW13" s="399">
        <v>0</v>
      </c>
      <c r="AX13" s="399">
        <v>8000</v>
      </c>
      <c r="AY13" s="399">
        <v>420</v>
      </c>
      <c r="AZ13" s="399">
        <v>100</v>
      </c>
      <c r="BA13" s="399">
        <v>0</v>
      </c>
      <c r="BB13" s="399">
        <v>0</v>
      </c>
      <c r="BC13" s="399">
        <v>4802</v>
      </c>
      <c r="BD13" s="399">
        <v>0</v>
      </c>
      <c r="BE13" s="399">
        <v>0</v>
      </c>
      <c r="BF13" s="399">
        <v>8</v>
      </c>
      <c r="BG13" s="399">
        <v>42</v>
      </c>
      <c r="BH13" s="399">
        <v>10</v>
      </c>
      <c r="BI13" s="399">
        <v>0</v>
      </c>
      <c r="BJ13" s="399">
        <v>0</v>
      </c>
      <c r="BK13" s="398">
        <v>4862</v>
      </c>
      <c r="BL13" s="389">
        <v>24</v>
      </c>
      <c r="BM13" s="389">
        <v>0</v>
      </c>
      <c r="BN13" s="395">
        <v>21</v>
      </c>
      <c r="BO13" s="395">
        <v>2</v>
      </c>
      <c r="BP13" s="395">
        <v>0</v>
      </c>
      <c r="BQ13" s="389">
        <v>1</v>
      </c>
      <c r="BR13" s="389">
        <v>0</v>
      </c>
      <c r="BS13" s="389">
        <v>0</v>
      </c>
      <c r="BT13" s="389">
        <v>340.15199999999999</v>
      </c>
      <c r="BU13" s="389">
        <v>0</v>
      </c>
      <c r="BV13" s="389">
        <v>0</v>
      </c>
      <c r="BW13" s="389">
        <v>0</v>
      </c>
      <c r="BX13" s="389">
        <v>2</v>
      </c>
      <c r="BY13" s="389">
        <v>117</v>
      </c>
      <c r="BZ13" s="389">
        <v>2</v>
      </c>
      <c r="CA13" s="400">
        <v>0</v>
      </c>
      <c r="CB13" s="400">
        <v>0</v>
      </c>
      <c r="CC13" s="400">
        <v>0</v>
      </c>
      <c r="CD13" s="389">
        <v>240</v>
      </c>
      <c r="CE13" s="389">
        <v>0</v>
      </c>
      <c r="CF13" s="389">
        <v>210</v>
      </c>
      <c r="CG13" s="389">
        <v>20</v>
      </c>
      <c r="CH13" s="389">
        <v>0</v>
      </c>
      <c r="CI13" s="389">
        <v>10</v>
      </c>
      <c r="CJ13" s="389">
        <v>0</v>
      </c>
      <c r="CK13" s="389">
        <v>136.06079999999997</v>
      </c>
      <c r="CL13" s="389">
        <v>0</v>
      </c>
      <c r="CM13" s="389">
        <v>40</v>
      </c>
      <c r="CN13" s="389">
        <v>468</v>
      </c>
      <c r="CO13" s="389">
        <v>40</v>
      </c>
      <c r="CP13" s="389">
        <v>0</v>
      </c>
      <c r="CQ13" s="389">
        <v>0</v>
      </c>
      <c r="CR13" s="389">
        <v>0</v>
      </c>
      <c r="CS13" s="389">
        <v>1164.0608</v>
      </c>
      <c r="CT13" s="389">
        <v>2</v>
      </c>
      <c r="CU13" s="389">
        <v>0</v>
      </c>
      <c r="CV13" s="389">
        <v>5</v>
      </c>
      <c r="CW13" s="389">
        <v>7</v>
      </c>
      <c r="CX13" s="401">
        <v>178.39498469999998</v>
      </c>
      <c r="CY13" s="396">
        <v>0</v>
      </c>
      <c r="CZ13" s="396">
        <v>6293.6200890400005</v>
      </c>
      <c r="DA13" s="402">
        <v>0</v>
      </c>
      <c r="DB13" s="389">
        <v>0</v>
      </c>
      <c r="DC13" s="396">
        <v>0</v>
      </c>
      <c r="DD13" s="403">
        <v>0</v>
      </c>
      <c r="DE13" s="402">
        <v>0</v>
      </c>
      <c r="DF13" s="402">
        <v>0</v>
      </c>
      <c r="DG13" s="402">
        <v>0</v>
      </c>
      <c r="DH13" s="402">
        <v>0.8658073728909097</v>
      </c>
      <c r="DI13" s="402">
        <v>1.2554293333333333</v>
      </c>
      <c r="DJ13" s="402"/>
      <c r="DK13" s="402"/>
      <c r="DL13" s="404"/>
      <c r="DM13" s="404"/>
      <c r="DN13" s="402">
        <v>0.546875</v>
      </c>
      <c r="DO13" s="402">
        <v>8.8077780626859004E-2</v>
      </c>
      <c r="DP13" s="402">
        <v>1</v>
      </c>
      <c r="DQ13" s="402">
        <v>1</v>
      </c>
      <c r="DR13" s="405">
        <v>0</v>
      </c>
      <c r="DS13" s="405">
        <v>0</v>
      </c>
      <c r="DT13" s="402">
        <v>0</v>
      </c>
      <c r="DU13" s="402">
        <v>0.12987110593363646</v>
      </c>
      <c r="DV13" s="402">
        <v>0.12554293333333333</v>
      </c>
      <c r="DW13" s="402">
        <v>0.25541403926696982</v>
      </c>
      <c r="DX13" s="402">
        <v>5.46875E-2</v>
      </c>
      <c r="DY13" s="402">
        <v>1.7615556125371801E-2</v>
      </c>
      <c r="DZ13" s="406">
        <v>0.05</v>
      </c>
      <c r="EA13" s="406">
        <v>0.05</v>
      </c>
      <c r="EB13" s="406">
        <v>0.17230305612537181</v>
      </c>
      <c r="EC13" s="407">
        <v>0.4277170953923416</v>
      </c>
      <c r="ED13" s="408" t="s">
        <v>157</v>
      </c>
      <c r="EE13" s="408" t="s">
        <v>156</v>
      </c>
      <c r="EG13" s="389">
        <v>400071.38619995734</v>
      </c>
      <c r="EH13" s="389">
        <v>396883.48117444478</v>
      </c>
      <c r="EI13" s="389">
        <v>400328.60087243497</v>
      </c>
      <c r="EJ13" s="389">
        <v>180879.64446999994</v>
      </c>
      <c r="EK13" s="389">
        <v>178266.68238887997</v>
      </c>
      <c r="EL13" s="389">
        <v>176558.92643390992</v>
      </c>
      <c r="EN13" s="389">
        <v>4</v>
      </c>
      <c r="EO13" s="409">
        <v>578207.24721804599</v>
      </c>
      <c r="EP13" s="409">
        <v>588153.28996701376</v>
      </c>
      <c r="EQ13" s="410">
        <v>-2486.5106872419419</v>
      </c>
      <c r="ER13" s="404">
        <v>0</v>
      </c>
      <c r="ES13" s="404">
        <v>1.8658073728909097</v>
      </c>
      <c r="ET13" s="404">
        <v>0.27987110593363645</v>
      </c>
      <c r="EU13" s="411">
        <v>0.57771709539234151</v>
      </c>
      <c r="EV13" s="412" t="s">
        <v>157</v>
      </c>
      <c r="EW13" s="412" t="s">
        <v>156</v>
      </c>
      <c r="EX13" s="381"/>
      <c r="EY13" s="419">
        <v>0.71993418379150631</v>
      </c>
      <c r="EZ13" s="419">
        <v>0.6357304925189341</v>
      </c>
      <c r="FA13" s="419">
        <v>0.712413721564918</v>
      </c>
      <c r="FB13" s="419">
        <v>0.48394753640224253</v>
      </c>
      <c r="FC13" s="419">
        <v>0.31643785025036186</v>
      </c>
      <c r="FD13" s="419">
        <v>0.35584792812294597</v>
      </c>
      <c r="FE13" s="419">
        <v>0.41745549367021317</v>
      </c>
      <c r="FF13" s="419">
        <v>0.43494108878605076</v>
      </c>
      <c r="FG13" s="419">
        <v>0.38837561464855852</v>
      </c>
      <c r="FH13" s="419">
        <v>0.34619859509715573</v>
      </c>
      <c r="FI13" s="419">
        <v>0.57771709539234151</v>
      </c>
      <c r="FJ13" s="419"/>
      <c r="FK13" s="407">
        <v>0.68935946595845277</v>
      </c>
      <c r="FL13" s="407">
        <v>0.38541110492518343</v>
      </c>
      <c r="FM13" s="419">
        <v>0.41359073236827415</v>
      </c>
      <c r="FN13" s="419">
        <v>0.46195784524474859</v>
      </c>
      <c r="FO13" s="407">
        <v>0.48990905456774808</v>
      </c>
    </row>
    <row r="14" spans="1:171" hidden="1" outlineLevel="1" x14ac:dyDescent="0.25">
      <c r="A14" s="390" t="s">
        <v>299</v>
      </c>
      <c r="B14" s="390" t="s">
        <v>444</v>
      </c>
      <c r="C14" s="390" t="s">
        <v>445</v>
      </c>
      <c r="D14" s="391" t="s">
        <v>444</v>
      </c>
      <c r="E14" s="390" t="s">
        <v>36</v>
      </c>
      <c r="F14" s="391" t="s">
        <v>154</v>
      </c>
      <c r="G14" s="392">
        <v>1</v>
      </c>
      <c r="H14" s="393">
        <v>43906</v>
      </c>
      <c r="I14" s="393">
        <v>44593</v>
      </c>
      <c r="J14" s="394">
        <v>33</v>
      </c>
      <c r="K14" s="391">
        <v>301</v>
      </c>
      <c r="L14" s="390" t="s">
        <v>181</v>
      </c>
      <c r="M14" s="392" t="s">
        <v>354</v>
      </c>
      <c r="N14" s="395">
        <v>6</v>
      </c>
      <c r="O14" s="395">
        <v>1</v>
      </c>
      <c r="P14" s="395">
        <v>5</v>
      </c>
      <c r="Q14" s="389">
        <v>0</v>
      </c>
      <c r="R14" s="389">
        <v>0</v>
      </c>
      <c r="S14" s="389">
        <v>469538.16799999977</v>
      </c>
      <c r="T14" s="389">
        <v>500729.55699999991</v>
      </c>
      <c r="U14" s="389">
        <v>132987.21325736999</v>
      </c>
      <c r="V14" s="389">
        <v>5702.7287131800003</v>
      </c>
      <c r="W14" s="389">
        <v>0</v>
      </c>
      <c r="X14" s="389">
        <v>0</v>
      </c>
      <c r="Y14" s="389">
        <v>502111.91799999977</v>
      </c>
      <c r="Z14" s="389">
        <v>501279.55699999991</v>
      </c>
      <c r="AA14" s="389"/>
      <c r="AB14" s="389"/>
      <c r="AC14" s="389">
        <v>32573.75</v>
      </c>
      <c r="AD14" s="389">
        <v>550</v>
      </c>
      <c r="AE14" s="389">
        <v>2766.7881944444443</v>
      </c>
      <c r="AF14" s="389">
        <v>300.2977430555556</v>
      </c>
      <c r="AG14" s="389">
        <v>7200</v>
      </c>
      <c r="AH14" s="396">
        <v>9.6000000000000014</v>
      </c>
      <c r="AI14" s="389">
        <v>1815.1264583333334</v>
      </c>
      <c r="AJ14" s="397">
        <v>0.02</v>
      </c>
      <c r="AK14" s="397">
        <v>0.1</v>
      </c>
      <c r="AL14" s="389">
        <v>475352.29199872614</v>
      </c>
      <c r="AM14" s="389">
        <v>452348.36754389736</v>
      </c>
      <c r="AN14" s="398">
        <v>5814.1239987263689</v>
      </c>
      <c r="AO14" s="398">
        <v>-48381.189456102555</v>
      </c>
      <c r="AP14" s="398">
        <v>0</v>
      </c>
      <c r="AQ14" s="398">
        <v>8765.61010437</v>
      </c>
      <c r="AR14" s="398">
        <v>0</v>
      </c>
      <c r="AS14" s="398">
        <v>0</v>
      </c>
      <c r="AT14" s="398">
        <v>125</v>
      </c>
      <c r="AU14" s="399">
        <v>384.1</v>
      </c>
      <c r="AV14" s="399">
        <v>12.5</v>
      </c>
      <c r="AW14" s="399">
        <v>13.2</v>
      </c>
      <c r="AX14" s="399">
        <v>4593668.7770751994</v>
      </c>
      <c r="AY14" s="399">
        <v>2812</v>
      </c>
      <c r="AZ14" s="399">
        <v>5</v>
      </c>
      <c r="BA14" s="399">
        <v>0</v>
      </c>
      <c r="BB14" s="399">
        <v>63.612533999999997</v>
      </c>
      <c r="BC14" s="399">
        <v>7682</v>
      </c>
      <c r="BD14" s="399">
        <v>100</v>
      </c>
      <c r="BE14" s="399">
        <v>26.4</v>
      </c>
      <c r="BF14" s="399">
        <v>4593.6687770751996</v>
      </c>
      <c r="BG14" s="399">
        <v>281.2</v>
      </c>
      <c r="BH14" s="399">
        <v>0.5</v>
      </c>
      <c r="BI14" s="399">
        <v>0</v>
      </c>
      <c r="BJ14" s="399">
        <v>6.3612533999999998</v>
      </c>
      <c r="BK14" s="398">
        <v>12690.1300304752</v>
      </c>
      <c r="BL14" s="389">
        <v>17</v>
      </c>
      <c r="BM14" s="389">
        <v>0</v>
      </c>
      <c r="BN14" s="395">
        <v>0</v>
      </c>
      <c r="BO14" s="395">
        <v>28</v>
      </c>
      <c r="BP14" s="395">
        <v>0</v>
      </c>
      <c r="BQ14" s="389">
        <v>10</v>
      </c>
      <c r="BR14" s="389">
        <v>0</v>
      </c>
      <c r="BS14" s="389">
        <v>0</v>
      </c>
      <c r="BT14" s="389">
        <v>2915</v>
      </c>
      <c r="BU14" s="389">
        <v>0</v>
      </c>
      <c r="BV14" s="389">
        <v>0</v>
      </c>
      <c r="BW14" s="389">
        <v>2</v>
      </c>
      <c r="BX14" s="389">
        <v>8</v>
      </c>
      <c r="BY14" s="389">
        <v>77</v>
      </c>
      <c r="BZ14" s="389">
        <v>0</v>
      </c>
      <c r="CA14" s="400">
        <v>0</v>
      </c>
      <c r="CB14" s="400">
        <v>0</v>
      </c>
      <c r="CC14" s="400">
        <v>0</v>
      </c>
      <c r="CD14" s="389">
        <v>170</v>
      </c>
      <c r="CE14" s="389">
        <v>0</v>
      </c>
      <c r="CF14" s="389">
        <v>0</v>
      </c>
      <c r="CG14" s="389">
        <v>280</v>
      </c>
      <c r="CH14" s="389">
        <v>0</v>
      </c>
      <c r="CI14" s="389">
        <v>100</v>
      </c>
      <c r="CJ14" s="389">
        <v>0</v>
      </c>
      <c r="CK14" s="389">
        <v>1166</v>
      </c>
      <c r="CL14" s="389">
        <v>100</v>
      </c>
      <c r="CM14" s="389">
        <v>160</v>
      </c>
      <c r="CN14" s="389">
        <v>308</v>
      </c>
      <c r="CO14" s="389">
        <v>0</v>
      </c>
      <c r="CP14" s="389">
        <v>0</v>
      </c>
      <c r="CQ14" s="389">
        <v>0</v>
      </c>
      <c r="CR14" s="389">
        <v>0</v>
      </c>
      <c r="CS14" s="389">
        <v>2284</v>
      </c>
      <c r="CT14" s="389">
        <v>3</v>
      </c>
      <c r="CU14" s="389">
        <v>0</v>
      </c>
      <c r="CV14" s="389">
        <v>5</v>
      </c>
      <c r="CW14" s="389">
        <v>8</v>
      </c>
      <c r="CX14" s="401">
        <v>1000.0147128369777</v>
      </c>
      <c r="CY14" s="396">
        <v>0</v>
      </c>
      <c r="CZ14" s="396">
        <v>5827.1816206400017</v>
      </c>
      <c r="DA14" s="402">
        <v>0</v>
      </c>
      <c r="DB14" s="389">
        <v>0</v>
      </c>
      <c r="DC14" s="396">
        <v>0</v>
      </c>
      <c r="DD14" s="403">
        <v>0</v>
      </c>
      <c r="DE14" s="402">
        <v>0.17849108557431578</v>
      </c>
      <c r="DF14" s="402">
        <v>0</v>
      </c>
      <c r="DG14" s="402">
        <v>0</v>
      </c>
      <c r="DH14" s="402">
        <v>0.4162535446590912</v>
      </c>
      <c r="DI14" s="402">
        <v>2</v>
      </c>
      <c r="DJ14" s="402"/>
      <c r="DK14" s="402"/>
      <c r="DL14" s="404"/>
      <c r="DM14" s="404"/>
      <c r="DN14" s="402">
        <v>0.83333333333333326</v>
      </c>
      <c r="DO14" s="402">
        <v>0.55093390779791773</v>
      </c>
      <c r="DP14" s="402">
        <v>1</v>
      </c>
      <c r="DQ14" s="402">
        <v>1</v>
      </c>
      <c r="DR14" s="405">
        <v>2.6773662836147367E-2</v>
      </c>
      <c r="DS14" s="405">
        <v>0</v>
      </c>
      <c r="DT14" s="402">
        <v>0</v>
      </c>
      <c r="DU14" s="402">
        <v>6.243803169886368E-2</v>
      </c>
      <c r="DV14" s="402">
        <v>0.2</v>
      </c>
      <c r="DW14" s="402">
        <v>0.28921169453501105</v>
      </c>
      <c r="DX14" s="402">
        <v>8.3333333333333329E-2</v>
      </c>
      <c r="DY14" s="402">
        <v>0.11018678155958356</v>
      </c>
      <c r="DZ14" s="406">
        <v>0.05</v>
      </c>
      <c r="EA14" s="406">
        <v>0.05</v>
      </c>
      <c r="EB14" s="406">
        <v>0.29352011489291685</v>
      </c>
      <c r="EC14" s="407">
        <v>0.5827318094279279</v>
      </c>
      <c r="ED14" s="408" t="s">
        <v>157</v>
      </c>
      <c r="EE14" s="408" t="s">
        <v>156</v>
      </c>
      <c r="EG14" s="389">
        <v>473980.03223675519</v>
      </c>
      <c r="EH14" s="389">
        <v>473760.75126251491</v>
      </c>
      <c r="EI14" s="389">
        <v>476175.11606636527</v>
      </c>
      <c r="EJ14" s="389">
        <v>454843.35756000003</v>
      </c>
      <c r="EK14" s="389">
        <v>443907.00211493002</v>
      </c>
      <c r="EL14" s="389">
        <v>442628.6984242</v>
      </c>
      <c r="EN14" s="389">
        <v>6</v>
      </c>
      <c r="EO14" s="409">
        <v>927700.65954262344</v>
      </c>
      <c r="EP14" s="409">
        <v>938714.21145320055</v>
      </c>
      <c r="EQ14" s="410">
        <v>-1835.5919850961848</v>
      </c>
      <c r="ER14" s="404">
        <v>0</v>
      </c>
      <c r="ES14" s="404">
        <v>1.4162535446590911</v>
      </c>
      <c r="ET14" s="404">
        <v>0.21243803169886366</v>
      </c>
      <c r="EU14" s="411">
        <v>0.73273180942792793</v>
      </c>
      <c r="EV14" s="412" t="s">
        <v>509</v>
      </c>
      <c r="EW14" s="412" t="s">
        <v>25</v>
      </c>
      <c r="EX14" s="381"/>
      <c r="EY14" s="419" t="s">
        <v>541</v>
      </c>
      <c r="EZ14" s="419">
        <v>0.80628058014102788</v>
      </c>
      <c r="FA14" s="419">
        <v>1.0629915026840917</v>
      </c>
      <c r="FB14" s="419">
        <v>1.2300487160104994</v>
      </c>
      <c r="FC14" s="419">
        <v>1.1707461655696065</v>
      </c>
      <c r="FD14" s="419">
        <v>1.0602497816958405</v>
      </c>
      <c r="FE14" s="419">
        <v>0.89944817241273622</v>
      </c>
      <c r="FF14" s="419">
        <v>1.121513557539159</v>
      </c>
      <c r="FG14" s="419">
        <v>0.81890615040240788</v>
      </c>
      <c r="FH14" s="419">
        <v>0.61351790008919882</v>
      </c>
      <c r="FI14" s="419">
        <v>0.73273180942792793</v>
      </c>
      <c r="FJ14" s="419"/>
      <c r="FK14" s="407">
        <v>0.93463604141255985</v>
      </c>
      <c r="FL14" s="407">
        <v>1.1536815544253154</v>
      </c>
      <c r="FM14" s="419">
        <v>0.94662262678476772</v>
      </c>
      <c r="FN14" s="419">
        <v>0.67312485475856332</v>
      </c>
      <c r="FO14" s="407">
        <v>0.95164343359724968</v>
      </c>
    </row>
    <row r="15" spans="1:171" hidden="1" outlineLevel="1" x14ac:dyDescent="0.25">
      <c r="A15" s="390" t="s">
        <v>299</v>
      </c>
      <c r="B15" s="390" t="s">
        <v>158</v>
      </c>
      <c r="C15" s="390" t="s">
        <v>159</v>
      </c>
      <c r="D15" s="391" t="s">
        <v>158</v>
      </c>
      <c r="E15" s="390" t="s">
        <v>36</v>
      </c>
      <c r="F15" s="391" t="s">
        <v>154</v>
      </c>
      <c r="G15" s="392">
        <v>1</v>
      </c>
      <c r="H15" s="393">
        <v>42705</v>
      </c>
      <c r="I15" s="393">
        <v>43070</v>
      </c>
      <c r="J15" s="394">
        <v>72</v>
      </c>
      <c r="K15" s="391">
        <v>303</v>
      </c>
      <c r="L15" s="390" t="s">
        <v>160</v>
      </c>
      <c r="M15" s="392" t="s">
        <v>354</v>
      </c>
      <c r="N15" s="395">
        <v>7</v>
      </c>
      <c r="O15" s="395">
        <v>2</v>
      </c>
      <c r="P15" s="395">
        <v>6</v>
      </c>
      <c r="Q15" s="389">
        <v>0</v>
      </c>
      <c r="R15" s="389">
        <v>0</v>
      </c>
      <c r="S15" s="389">
        <v>458006.22649999964</v>
      </c>
      <c r="T15" s="389">
        <v>351349.12549999997</v>
      </c>
      <c r="U15" s="389">
        <v>121286.46550559999</v>
      </c>
      <c r="V15" s="389">
        <v>235109.10978010003</v>
      </c>
      <c r="W15" s="389">
        <v>0</v>
      </c>
      <c r="X15" s="389">
        <v>0</v>
      </c>
      <c r="Y15" s="389">
        <v>486848.22649999964</v>
      </c>
      <c r="Z15" s="389">
        <v>351849.12549999997</v>
      </c>
      <c r="AA15" s="389"/>
      <c r="AB15" s="389"/>
      <c r="AC15" s="389">
        <v>28842</v>
      </c>
      <c r="AD15" s="389">
        <v>500</v>
      </c>
      <c r="AE15" s="389">
        <v>5627.0138888888887</v>
      </c>
      <c r="AF15" s="389">
        <v>461.99652777777777</v>
      </c>
      <c r="AG15" s="389">
        <v>5100</v>
      </c>
      <c r="AH15" s="396">
        <v>12</v>
      </c>
      <c r="AI15" s="389">
        <v>1943.6054166666668</v>
      </c>
      <c r="AJ15" s="397">
        <v>0.02</v>
      </c>
      <c r="AK15" s="397">
        <v>0.1</v>
      </c>
      <c r="AL15" s="389">
        <v>513442.76531568309</v>
      </c>
      <c r="AM15" s="389">
        <v>329743.82981379505</v>
      </c>
      <c r="AN15" s="398">
        <v>55436.538815683452</v>
      </c>
      <c r="AO15" s="398">
        <v>-21605.295686204918</v>
      </c>
      <c r="AP15" s="398">
        <v>0</v>
      </c>
      <c r="AQ15" s="398">
        <v>244547.85105069992</v>
      </c>
      <c r="AR15" s="398">
        <v>0</v>
      </c>
      <c r="AS15" s="398">
        <v>325</v>
      </c>
      <c r="AT15" s="398">
        <v>0</v>
      </c>
      <c r="AU15" s="399">
        <v>320.5</v>
      </c>
      <c r="AV15" s="399">
        <v>15</v>
      </c>
      <c r="AW15" s="399">
        <v>0</v>
      </c>
      <c r="AX15" s="399">
        <v>177875.97959183675</v>
      </c>
      <c r="AY15" s="399">
        <v>1708</v>
      </c>
      <c r="AZ15" s="399">
        <v>65</v>
      </c>
      <c r="BA15" s="399">
        <v>0</v>
      </c>
      <c r="BB15" s="399">
        <v>0</v>
      </c>
      <c r="BC15" s="399">
        <v>6410</v>
      </c>
      <c r="BD15" s="399">
        <v>120</v>
      </c>
      <c r="BE15" s="399">
        <v>0</v>
      </c>
      <c r="BF15" s="399">
        <v>177.87597959183674</v>
      </c>
      <c r="BG15" s="399">
        <v>170.79999999999998</v>
      </c>
      <c r="BH15" s="399">
        <v>6.5</v>
      </c>
      <c r="BI15" s="399">
        <v>0</v>
      </c>
      <c r="BJ15" s="399">
        <v>0</v>
      </c>
      <c r="BK15" s="398">
        <v>6885.1759795918369</v>
      </c>
      <c r="BL15" s="389">
        <v>28</v>
      </c>
      <c r="BM15" s="389">
        <v>0</v>
      </c>
      <c r="BN15" s="395">
        <v>21</v>
      </c>
      <c r="BO15" s="395">
        <v>26</v>
      </c>
      <c r="BP15" s="395">
        <v>0</v>
      </c>
      <c r="BQ15" s="389">
        <v>3</v>
      </c>
      <c r="BR15" s="389">
        <v>0</v>
      </c>
      <c r="BS15" s="389">
        <v>325</v>
      </c>
      <c r="BT15" s="389">
        <v>0</v>
      </c>
      <c r="BU15" s="389">
        <v>0</v>
      </c>
      <c r="BV15" s="389">
        <v>0</v>
      </c>
      <c r="BW15" s="389">
        <v>1</v>
      </c>
      <c r="BX15" s="389">
        <v>4</v>
      </c>
      <c r="BY15" s="389">
        <v>114</v>
      </c>
      <c r="BZ15" s="389">
        <v>2</v>
      </c>
      <c r="CA15" s="400">
        <v>1</v>
      </c>
      <c r="CB15" s="400">
        <v>0</v>
      </c>
      <c r="CC15" s="400">
        <v>0</v>
      </c>
      <c r="CD15" s="389">
        <v>280</v>
      </c>
      <c r="CE15" s="389">
        <v>0</v>
      </c>
      <c r="CF15" s="389">
        <v>210</v>
      </c>
      <c r="CG15" s="389">
        <v>260</v>
      </c>
      <c r="CH15" s="389">
        <v>0</v>
      </c>
      <c r="CI15" s="389">
        <v>30</v>
      </c>
      <c r="CJ15" s="389">
        <v>97.5</v>
      </c>
      <c r="CK15" s="389">
        <v>0</v>
      </c>
      <c r="CL15" s="389">
        <v>50</v>
      </c>
      <c r="CM15" s="389">
        <v>80</v>
      </c>
      <c r="CN15" s="389">
        <v>456</v>
      </c>
      <c r="CO15" s="389">
        <v>40</v>
      </c>
      <c r="CP15" s="389">
        <v>4</v>
      </c>
      <c r="CQ15" s="389">
        <v>0</v>
      </c>
      <c r="CR15" s="389">
        <v>0</v>
      </c>
      <c r="CS15" s="389">
        <v>1507.5</v>
      </c>
      <c r="CT15" s="389">
        <v>5</v>
      </c>
      <c r="CU15" s="389">
        <v>0</v>
      </c>
      <c r="CV15" s="389">
        <v>5</v>
      </c>
      <c r="CW15" s="389">
        <v>10</v>
      </c>
      <c r="CX15" s="401">
        <v>1353.7268074962403</v>
      </c>
      <c r="CY15" s="396">
        <v>0</v>
      </c>
      <c r="CZ15" s="396">
        <v>225285.57673395</v>
      </c>
      <c r="DA15" s="402">
        <v>0</v>
      </c>
      <c r="DB15" s="389">
        <v>0</v>
      </c>
      <c r="DC15" s="396">
        <v>4241.8097794800005</v>
      </c>
      <c r="DD15" s="403">
        <v>0</v>
      </c>
      <c r="DE15" s="402">
        <v>1.3</v>
      </c>
      <c r="DF15" s="402">
        <v>0</v>
      </c>
      <c r="DG15" s="402">
        <v>5.7757099310123537E-2</v>
      </c>
      <c r="DH15" s="402">
        <v>0</v>
      </c>
      <c r="DI15" s="402">
        <v>1.6456227410964386</v>
      </c>
      <c r="DJ15" s="402"/>
      <c r="DK15" s="402"/>
      <c r="DL15" s="404"/>
      <c r="DM15" s="404"/>
      <c r="DN15" s="402">
        <v>0.83333333333333337</v>
      </c>
      <c r="DO15" s="402">
        <v>0.69650289914190333</v>
      </c>
      <c r="DP15" s="402">
        <v>1</v>
      </c>
      <c r="DQ15" s="402">
        <v>1</v>
      </c>
      <c r="DR15" s="405">
        <v>0.19500000000000001</v>
      </c>
      <c r="DS15" s="405">
        <v>0</v>
      </c>
      <c r="DT15" s="402">
        <v>8.6635648965185299E-3</v>
      </c>
      <c r="DU15" s="402">
        <v>0</v>
      </c>
      <c r="DV15" s="402">
        <v>0.16456227410964386</v>
      </c>
      <c r="DW15" s="402">
        <v>0.3682258390061624</v>
      </c>
      <c r="DX15" s="402">
        <v>8.3333333333333343E-2</v>
      </c>
      <c r="DY15" s="402">
        <v>0.13930057982838068</v>
      </c>
      <c r="DZ15" s="406">
        <v>0.05</v>
      </c>
      <c r="EA15" s="406">
        <v>0.05</v>
      </c>
      <c r="EB15" s="406">
        <v>0.32263391316171403</v>
      </c>
      <c r="EC15" s="407">
        <v>0.69085975216787643</v>
      </c>
      <c r="ED15" s="408" t="s">
        <v>157</v>
      </c>
      <c r="EE15" s="408" t="s">
        <v>156</v>
      </c>
      <c r="EG15" s="389">
        <v>508380.38251298497</v>
      </c>
      <c r="EH15" s="389">
        <v>498260.60446393501</v>
      </c>
      <c r="EI15" s="389">
        <v>498978.87544389477</v>
      </c>
      <c r="EJ15" s="389">
        <v>336280.38155000011</v>
      </c>
      <c r="EK15" s="389">
        <v>326428.00308172003</v>
      </c>
      <c r="EL15" s="389">
        <v>325941.95309118007</v>
      </c>
      <c r="EN15" s="389">
        <v>5</v>
      </c>
      <c r="EO15" s="409">
        <v>843186.59512947814</v>
      </c>
      <c r="EP15" s="409">
        <v>832298.24505356816</v>
      </c>
      <c r="EQ15" s="410">
        <v>2177.6700151819969</v>
      </c>
      <c r="ER15" s="404">
        <v>0.25</v>
      </c>
      <c r="ES15" s="404">
        <v>1</v>
      </c>
      <c r="ET15" s="404">
        <v>0.15</v>
      </c>
      <c r="EU15" s="411">
        <v>1.0908597521678765</v>
      </c>
      <c r="EV15" s="412" t="s">
        <v>510</v>
      </c>
      <c r="EW15" s="412" t="s">
        <v>28</v>
      </c>
      <c r="EX15" s="381"/>
      <c r="EY15" s="419">
        <v>0.87423718977182063</v>
      </c>
      <c r="EZ15" s="419">
        <v>0.91309389511898775</v>
      </c>
      <c r="FA15" s="419">
        <v>1.0292922956275128</v>
      </c>
      <c r="FB15" s="419">
        <v>1.2349771263363887</v>
      </c>
      <c r="FC15" s="419">
        <v>1.0660475627495301</v>
      </c>
      <c r="FD15" s="419">
        <v>0.9130127000577406</v>
      </c>
      <c r="FE15" s="419">
        <v>0.86895866846691416</v>
      </c>
      <c r="FF15" s="419">
        <v>0.85354278357213775</v>
      </c>
      <c r="FG15" s="419">
        <v>0.85228839366742792</v>
      </c>
      <c r="FH15" s="419">
        <v>1.0263345053461488</v>
      </c>
      <c r="FI15" s="419">
        <v>1.0908597521678765</v>
      </c>
      <c r="FJ15" s="419"/>
      <c r="FK15" s="407">
        <v>0.93887446017277376</v>
      </c>
      <c r="FL15" s="407">
        <v>1.0713457963812199</v>
      </c>
      <c r="FM15" s="419">
        <v>0.85826328190215995</v>
      </c>
      <c r="FN15" s="419">
        <v>1.0585971287570126</v>
      </c>
      <c r="FO15" s="407">
        <v>0.97478589753477141</v>
      </c>
    </row>
    <row r="16" spans="1:171" hidden="1" outlineLevel="1" x14ac:dyDescent="0.25">
      <c r="A16" s="390" t="s">
        <v>299</v>
      </c>
      <c r="B16" s="390" t="s">
        <v>176</v>
      </c>
      <c r="C16" s="390" t="s">
        <v>177</v>
      </c>
      <c r="D16" s="391" t="s">
        <v>176</v>
      </c>
      <c r="E16" s="390" t="s">
        <v>36</v>
      </c>
      <c r="F16" s="391" t="s">
        <v>154</v>
      </c>
      <c r="G16" s="392">
        <v>1</v>
      </c>
      <c r="H16" s="393">
        <v>42831</v>
      </c>
      <c r="I16" s="393">
        <v>43770</v>
      </c>
      <c r="J16" s="394">
        <v>68</v>
      </c>
      <c r="K16" s="391">
        <v>304</v>
      </c>
      <c r="L16" s="390" t="s">
        <v>178</v>
      </c>
      <c r="M16" s="392" t="s">
        <v>354</v>
      </c>
      <c r="N16" s="395">
        <v>7</v>
      </c>
      <c r="O16" s="395">
        <v>2</v>
      </c>
      <c r="P16" s="395">
        <v>7</v>
      </c>
      <c r="Q16" s="389">
        <v>0</v>
      </c>
      <c r="R16" s="389">
        <v>0</v>
      </c>
      <c r="S16" s="389">
        <v>435163.51700000011</v>
      </c>
      <c r="T16" s="389">
        <v>413522.38400000002</v>
      </c>
      <c r="U16" s="389">
        <v>172222.35297222988</v>
      </c>
      <c r="V16" s="389">
        <v>124953.33075131</v>
      </c>
      <c r="W16" s="389">
        <v>0</v>
      </c>
      <c r="X16" s="389">
        <v>0</v>
      </c>
      <c r="Y16" s="389">
        <v>466915.01700000011</v>
      </c>
      <c r="Z16" s="389">
        <v>414122.38400000002</v>
      </c>
      <c r="AA16" s="389"/>
      <c r="AB16" s="389"/>
      <c r="AC16" s="389">
        <v>31751.5</v>
      </c>
      <c r="AD16" s="389">
        <v>600</v>
      </c>
      <c r="AE16" s="389">
        <v>5627.0138888888887</v>
      </c>
      <c r="AF16" s="389">
        <v>438.89670138888891</v>
      </c>
      <c r="AG16" s="389">
        <v>5400</v>
      </c>
      <c r="AH16" s="396">
        <v>12.8</v>
      </c>
      <c r="AI16" s="389">
        <v>2070.5833854166667</v>
      </c>
      <c r="AJ16" s="397">
        <v>0.02</v>
      </c>
      <c r="AK16" s="397">
        <v>0.1</v>
      </c>
      <c r="AL16" s="389">
        <v>474602.46843460575</v>
      </c>
      <c r="AM16" s="389">
        <v>399793.52398497571</v>
      </c>
      <c r="AN16" s="398">
        <v>39438.951434605638</v>
      </c>
      <c r="AO16" s="398">
        <v>-13728.860015024315</v>
      </c>
      <c r="AP16" s="398">
        <v>0</v>
      </c>
      <c r="AQ16" s="398">
        <v>121733.69672296001</v>
      </c>
      <c r="AR16" s="398">
        <v>0</v>
      </c>
      <c r="AS16" s="398">
        <v>0</v>
      </c>
      <c r="AT16" s="398">
        <v>0</v>
      </c>
      <c r="AU16" s="399">
        <v>265.10000000000002</v>
      </c>
      <c r="AV16" s="399">
        <v>0</v>
      </c>
      <c r="AW16" s="399">
        <v>16.8</v>
      </c>
      <c r="AX16" s="399">
        <v>2289490.1852041958</v>
      </c>
      <c r="AY16" s="399">
        <v>2527</v>
      </c>
      <c r="AZ16" s="399">
        <v>36</v>
      </c>
      <c r="BA16" s="399">
        <v>0</v>
      </c>
      <c r="BB16" s="399">
        <v>5.1100000000000003</v>
      </c>
      <c r="BC16" s="399">
        <v>5302</v>
      </c>
      <c r="BD16" s="399">
        <v>0</v>
      </c>
      <c r="BE16" s="399">
        <v>33.6</v>
      </c>
      <c r="BF16" s="399">
        <v>2289.4901852041958</v>
      </c>
      <c r="BG16" s="399">
        <v>252.7</v>
      </c>
      <c r="BH16" s="399">
        <v>3.5999999999999996</v>
      </c>
      <c r="BI16" s="399">
        <v>0</v>
      </c>
      <c r="BJ16" s="399">
        <v>0.51100000000000012</v>
      </c>
      <c r="BK16" s="398">
        <v>7881.9011852041967</v>
      </c>
      <c r="BL16" s="389">
        <v>31</v>
      </c>
      <c r="BM16" s="389">
        <v>0</v>
      </c>
      <c r="BN16" s="395">
        <v>20</v>
      </c>
      <c r="BO16" s="395">
        <v>49</v>
      </c>
      <c r="BP16" s="395">
        <v>0</v>
      </c>
      <c r="BQ16" s="389">
        <v>0</v>
      </c>
      <c r="BR16" s="389">
        <v>0</v>
      </c>
      <c r="BS16" s="389">
        <v>0</v>
      </c>
      <c r="BT16" s="389">
        <v>1344.528</v>
      </c>
      <c r="BU16" s="389">
        <v>0</v>
      </c>
      <c r="BV16" s="389">
        <v>0</v>
      </c>
      <c r="BW16" s="389">
        <v>1</v>
      </c>
      <c r="BX16" s="389">
        <v>3</v>
      </c>
      <c r="BY16" s="389">
        <v>80</v>
      </c>
      <c r="BZ16" s="389">
        <v>0</v>
      </c>
      <c r="CA16" s="400">
        <v>19</v>
      </c>
      <c r="CB16" s="400">
        <v>0</v>
      </c>
      <c r="CC16" s="400">
        <v>0</v>
      </c>
      <c r="CD16" s="389">
        <v>310</v>
      </c>
      <c r="CE16" s="389">
        <v>0</v>
      </c>
      <c r="CF16" s="389">
        <v>200</v>
      </c>
      <c r="CG16" s="389">
        <v>490</v>
      </c>
      <c r="CH16" s="389">
        <v>0</v>
      </c>
      <c r="CI16" s="389">
        <v>0</v>
      </c>
      <c r="CJ16" s="389">
        <v>0</v>
      </c>
      <c r="CK16" s="389">
        <v>537.81119999999999</v>
      </c>
      <c r="CL16" s="389">
        <v>50</v>
      </c>
      <c r="CM16" s="389">
        <v>60</v>
      </c>
      <c r="CN16" s="389">
        <v>320</v>
      </c>
      <c r="CO16" s="389">
        <v>0</v>
      </c>
      <c r="CP16" s="389">
        <v>76</v>
      </c>
      <c r="CQ16" s="389">
        <v>0</v>
      </c>
      <c r="CR16" s="389">
        <v>0</v>
      </c>
      <c r="CS16" s="389">
        <v>2043.8112000000001</v>
      </c>
      <c r="CT16" s="389">
        <v>4</v>
      </c>
      <c r="CU16" s="389">
        <v>0</v>
      </c>
      <c r="CV16" s="389">
        <v>5</v>
      </c>
      <c r="CW16" s="389">
        <v>9</v>
      </c>
      <c r="CX16" s="401">
        <v>464.60334995799042</v>
      </c>
      <c r="CY16" s="396">
        <v>58.485007759999995</v>
      </c>
      <c r="CZ16" s="396">
        <v>59415.128918020011</v>
      </c>
      <c r="DA16" s="402">
        <v>9.843453818083373E-4</v>
      </c>
      <c r="DB16" s="389">
        <v>0</v>
      </c>
      <c r="DC16" s="396">
        <v>0</v>
      </c>
      <c r="DD16" s="403">
        <v>0</v>
      </c>
      <c r="DE16" s="402">
        <v>1.2421130162230332</v>
      </c>
      <c r="DF16" s="402">
        <v>0</v>
      </c>
      <c r="DG16" s="402">
        <v>0</v>
      </c>
      <c r="DH16" s="402">
        <v>0</v>
      </c>
      <c r="DI16" s="402">
        <v>1.8380948861489252</v>
      </c>
      <c r="DJ16" s="402"/>
      <c r="DK16" s="402"/>
      <c r="DL16" s="404"/>
      <c r="DM16" s="404"/>
      <c r="DN16" s="402">
        <v>0.703125</v>
      </c>
      <c r="DO16" s="402">
        <v>0.22438282526086123</v>
      </c>
      <c r="DP16" s="402">
        <v>1</v>
      </c>
      <c r="DQ16" s="402">
        <v>1</v>
      </c>
      <c r="DR16" s="402">
        <v>0.18631695243345497</v>
      </c>
      <c r="DS16" s="405">
        <v>0</v>
      </c>
      <c r="DT16" s="402">
        <v>0</v>
      </c>
      <c r="DU16" s="402">
        <v>0</v>
      </c>
      <c r="DV16" s="402">
        <v>0.18380948861489255</v>
      </c>
      <c r="DW16" s="402">
        <v>0.37012644104834752</v>
      </c>
      <c r="DX16" s="402">
        <v>7.03125E-2</v>
      </c>
      <c r="DY16" s="402">
        <v>4.4876565052172246E-2</v>
      </c>
      <c r="DZ16" s="406">
        <v>0.05</v>
      </c>
      <c r="EA16" s="406">
        <v>0.05</v>
      </c>
      <c r="EB16" s="406">
        <v>0.21518906505217222</v>
      </c>
      <c r="EC16" s="407">
        <v>0.58531550610051974</v>
      </c>
      <c r="ED16" s="408" t="s">
        <v>157</v>
      </c>
      <c r="EE16" s="408" t="s">
        <v>156</v>
      </c>
      <c r="EG16" s="389">
        <v>479201.40015056438</v>
      </c>
      <c r="EH16" s="389">
        <v>469162.28618977586</v>
      </c>
      <c r="EI16" s="389">
        <v>479764.75451824628</v>
      </c>
      <c r="EJ16" s="389">
        <v>340688.53485999996</v>
      </c>
      <c r="EK16" s="389">
        <v>423283.74895933986</v>
      </c>
      <c r="EL16" s="389">
        <v>423968.45148757997</v>
      </c>
      <c r="EN16" s="389">
        <v>6</v>
      </c>
      <c r="EO16" s="409">
        <v>874395.99241958139</v>
      </c>
      <c r="EP16" s="409">
        <v>815808.62816737173</v>
      </c>
      <c r="EQ16" s="410">
        <v>9764.5607087016106</v>
      </c>
      <c r="ER16" s="404">
        <v>0.35</v>
      </c>
      <c r="ES16" s="404">
        <v>1</v>
      </c>
      <c r="ET16" s="404">
        <v>0.15</v>
      </c>
      <c r="EU16" s="411">
        <v>1.0853155061005197</v>
      </c>
      <c r="EV16" s="412" t="s">
        <v>510</v>
      </c>
      <c r="EW16" s="412" t="s">
        <v>28</v>
      </c>
      <c r="EX16" s="381"/>
      <c r="EY16" s="419">
        <v>0.28332853630326305</v>
      </c>
      <c r="EZ16" s="419">
        <v>0.27507496559523653</v>
      </c>
      <c r="FA16" s="419">
        <v>0.92182315973721041</v>
      </c>
      <c r="FB16" s="419">
        <v>0.35611027046476385</v>
      </c>
      <c r="FC16" s="419">
        <v>0.60279278073449016</v>
      </c>
      <c r="FD16" s="419">
        <v>0.69196034557650099</v>
      </c>
      <c r="FE16" s="419">
        <v>0.82538597979403627</v>
      </c>
      <c r="FF16" s="419">
        <v>0.83123533297720698</v>
      </c>
      <c r="FG16" s="419">
        <v>0.74427278860348633</v>
      </c>
      <c r="FH16" s="419">
        <v>1.0900159055730496</v>
      </c>
      <c r="FI16" s="419">
        <v>1.0853155061005197</v>
      </c>
      <c r="FJ16" s="419"/>
      <c r="FK16" s="407">
        <v>0.49340888721190335</v>
      </c>
      <c r="FL16" s="407">
        <v>0.5502877989252517</v>
      </c>
      <c r="FM16" s="419">
        <v>0.80029803379157649</v>
      </c>
      <c r="FN16" s="419">
        <v>1.0876657058367847</v>
      </c>
      <c r="FO16" s="407">
        <v>0.70066505195088769</v>
      </c>
    </row>
    <row r="17" spans="1:171" hidden="1" outlineLevel="1" x14ac:dyDescent="0.25">
      <c r="A17" s="390" t="s">
        <v>299</v>
      </c>
      <c r="B17" s="390" t="s">
        <v>152</v>
      </c>
      <c r="C17" s="390" t="s">
        <v>153</v>
      </c>
      <c r="D17" s="391" t="s">
        <v>152</v>
      </c>
      <c r="E17" s="390" t="s">
        <v>36</v>
      </c>
      <c r="F17" s="391" t="s">
        <v>154</v>
      </c>
      <c r="G17" s="392">
        <v>1</v>
      </c>
      <c r="H17" s="393">
        <v>42705</v>
      </c>
      <c r="I17" s="393">
        <v>43782</v>
      </c>
      <c r="J17" s="394">
        <v>72</v>
      </c>
      <c r="K17" s="391">
        <v>330</v>
      </c>
      <c r="L17" s="390" t="s">
        <v>155</v>
      </c>
      <c r="M17" s="392" t="s">
        <v>354</v>
      </c>
      <c r="N17" s="395">
        <v>3</v>
      </c>
      <c r="O17" s="395">
        <v>1</v>
      </c>
      <c r="P17" s="395">
        <v>2</v>
      </c>
      <c r="Q17" s="389">
        <v>0</v>
      </c>
      <c r="R17" s="389">
        <v>0</v>
      </c>
      <c r="S17" s="389">
        <v>156893.87163654997</v>
      </c>
      <c r="T17" s="389">
        <v>135803.28900000002</v>
      </c>
      <c r="U17" s="389">
        <v>397485.35622721998</v>
      </c>
      <c r="V17" s="389">
        <v>84889.850183670002</v>
      </c>
      <c r="W17" s="389">
        <v>0</v>
      </c>
      <c r="X17" s="389">
        <v>0</v>
      </c>
      <c r="Y17" s="389">
        <v>169354.12163654997</v>
      </c>
      <c r="Z17" s="389">
        <v>136103.28900000002</v>
      </c>
      <c r="AA17" s="389"/>
      <c r="AB17" s="389"/>
      <c r="AC17" s="389">
        <v>12460.25</v>
      </c>
      <c r="AD17" s="389">
        <v>300</v>
      </c>
      <c r="AE17" s="389">
        <v>2766.7881944444443</v>
      </c>
      <c r="AF17" s="389">
        <v>161.6987847222222</v>
      </c>
      <c r="AG17" s="389">
        <v>1800</v>
      </c>
      <c r="AH17" s="396">
        <v>4.8000000000000007</v>
      </c>
      <c r="AI17" s="389">
        <v>857.67598958333338</v>
      </c>
      <c r="AJ17" s="397">
        <v>0.02</v>
      </c>
      <c r="AK17" s="397">
        <v>0.1</v>
      </c>
      <c r="AL17" s="389">
        <v>171239.45885792279</v>
      </c>
      <c r="AM17" s="389">
        <v>110642.72098055002</v>
      </c>
      <c r="AN17" s="398">
        <v>14345.587221372814</v>
      </c>
      <c r="AO17" s="398">
        <v>-25160.568019450002</v>
      </c>
      <c r="AP17" s="398">
        <v>0</v>
      </c>
      <c r="AQ17" s="398">
        <v>78688.489962499996</v>
      </c>
      <c r="AR17" s="398">
        <v>0</v>
      </c>
      <c r="AS17" s="398">
        <v>0</v>
      </c>
      <c r="AT17" s="398">
        <v>0</v>
      </c>
      <c r="AU17" s="399">
        <v>0</v>
      </c>
      <c r="AV17" s="399">
        <v>0</v>
      </c>
      <c r="AW17" s="399">
        <v>3.6</v>
      </c>
      <c r="AX17" s="399">
        <v>89217</v>
      </c>
      <c r="AY17" s="399">
        <v>2050</v>
      </c>
      <c r="AZ17" s="399">
        <v>0</v>
      </c>
      <c r="BA17" s="399">
        <v>0</v>
      </c>
      <c r="BB17" s="399">
        <v>0</v>
      </c>
      <c r="BC17" s="399">
        <v>0</v>
      </c>
      <c r="BD17" s="399">
        <v>0</v>
      </c>
      <c r="BE17" s="399">
        <v>7.2</v>
      </c>
      <c r="BF17" s="399">
        <v>89.216999999999999</v>
      </c>
      <c r="BG17" s="399">
        <v>205</v>
      </c>
      <c r="BH17" s="399">
        <v>0</v>
      </c>
      <c r="BI17" s="399">
        <v>0</v>
      </c>
      <c r="BJ17" s="399">
        <v>0</v>
      </c>
      <c r="BK17" s="398">
        <v>301.41700000000003</v>
      </c>
      <c r="BL17" s="389">
        <v>2</v>
      </c>
      <c r="BM17" s="389">
        <v>0</v>
      </c>
      <c r="BN17" s="395">
        <v>2</v>
      </c>
      <c r="BO17" s="395">
        <v>1</v>
      </c>
      <c r="BP17" s="395">
        <v>0</v>
      </c>
      <c r="BQ17" s="389">
        <v>0</v>
      </c>
      <c r="BR17" s="389">
        <v>0</v>
      </c>
      <c r="BS17" s="389">
        <v>0</v>
      </c>
      <c r="BT17" s="389">
        <v>0</v>
      </c>
      <c r="BU17" s="389">
        <v>0</v>
      </c>
      <c r="BV17" s="389">
        <v>0</v>
      </c>
      <c r="BW17" s="389">
        <v>0</v>
      </c>
      <c r="BX17" s="389">
        <v>0</v>
      </c>
      <c r="BY17" s="389">
        <v>29</v>
      </c>
      <c r="BZ17" s="389">
        <v>0</v>
      </c>
      <c r="CA17" s="400">
        <v>0</v>
      </c>
      <c r="CB17" s="400">
        <v>0</v>
      </c>
      <c r="CC17" s="400">
        <v>0</v>
      </c>
      <c r="CD17" s="389">
        <v>20</v>
      </c>
      <c r="CE17" s="389">
        <v>0</v>
      </c>
      <c r="CF17" s="389">
        <v>20</v>
      </c>
      <c r="CG17" s="389">
        <v>10</v>
      </c>
      <c r="CH17" s="389">
        <v>0</v>
      </c>
      <c r="CI17" s="389">
        <v>0</v>
      </c>
      <c r="CJ17" s="389">
        <v>0</v>
      </c>
      <c r="CK17" s="389">
        <v>0</v>
      </c>
      <c r="CL17" s="389">
        <v>0</v>
      </c>
      <c r="CM17" s="389">
        <v>0</v>
      </c>
      <c r="CN17" s="389">
        <v>116</v>
      </c>
      <c r="CO17" s="389">
        <v>0</v>
      </c>
      <c r="CP17" s="389">
        <v>0</v>
      </c>
      <c r="CQ17" s="389">
        <v>0</v>
      </c>
      <c r="CR17" s="389">
        <v>0</v>
      </c>
      <c r="CS17" s="389">
        <v>166</v>
      </c>
      <c r="CT17" s="389">
        <v>0</v>
      </c>
      <c r="CU17" s="389">
        <v>0</v>
      </c>
      <c r="CV17" s="389">
        <v>2</v>
      </c>
      <c r="CW17" s="389">
        <v>2</v>
      </c>
      <c r="CX17" s="401">
        <v>980.03295385224101</v>
      </c>
      <c r="CY17" s="396">
        <v>0</v>
      </c>
      <c r="CZ17" s="396">
        <v>10910.220067579998</v>
      </c>
      <c r="DA17" s="402">
        <v>0</v>
      </c>
      <c r="DB17" s="389">
        <v>0</v>
      </c>
      <c r="DC17" s="396">
        <v>0</v>
      </c>
      <c r="DD17" s="403">
        <v>0</v>
      </c>
      <c r="DE17" s="402">
        <v>1.1513081375873528</v>
      </c>
      <c r="DF17" s="402">
        <v>0</v>
      </c>
      <c r="DG17" s="402">
        <v>0</v>
      </c>
      <c r="DH17" s="402">
        <v>0</v>
      </c>
      <c r="DI17" s="402">
        <v>0.25967611111111111</v>
      </c>
      <c r="DJ17" s="402"/>
      <c r="DK17" s="402"/>
      <c r="DL17" s="404"/>
      <c r="DM17" s="404"/>
      <c r="DN17" s="402">
        <v>0.41666666666666663</v>
      </c>
      <c r="DO17" s="402">
        <v>1.1426610582025851</v>
      </c>
      <c r="DP17" s="402">
        <v>1</v>
      </c>
      <c r="DQ17" s="402">
        <v>1</v>
      </c>
      <c r="DR17" s="405">
        <v>0.17269622063810292</v>
      </c>
      <c r="DS17" s="405">
        <v>0</v>
      </c>
      <c r="DT17" s="402">
        <v>0</v>
      </c>
      <c r="DU17" s="402">
        <v>0</v>
      </c>
      <c r="DV17" s="402">
        <v>2.5967611111111111E-2</v>
      </c>
      <c r="DW17" s="402">
        <v>0.19866383174921404</v>
      </c>
      <c r="DX17" s="402">
        <v>4.1666666666666664E-2</v>
      </c>
      <c r="DY17" s="402">
        <v>0.22853221164051704</v>
      </c>
      <c r="DZ17" s="406">
        <v>0.05</v>
      </c>
      <c r="EA17" s="406">
        <v>0.05</v>
      </c>
      <c r="EB17" s="406">
        <v>0.37019887830718368</v>
      </c>
      <c r="EC17" s="407">
        <v>0.56886271005639766</v>
      </c>
      <c r="ED17" s="408" t="s">
        <v>157</v>
      </c>
      <c r="EE17" s="408" t="s">
        <v>156</v>
      </c>
      <c r="EG17" s="389">
        <v>170446.0041143999</v>
      </c>
      <c r="EH17" s="389">
        <v>167346.99056432996</v>
      </c>
      <c r="EI17" s="389">
        <v>168600.20003131987</v>
      </c>
      <c r="EJ17" s="389">
        <v>109601.85179999997</v>
      </c>
      <c r="EK17" s="389">
        <v>109126.14047659002</v>
      </c>
      <c r="EL17" s="389">
        <v>108445.68884606</v>
      </c>
      <c r="EN17" s="389">
        <v>3</v>
      </c>
      <c r="EO17" s="409">
        <v>281882.1798384728</v>
      </c>
      <c r="EP17" s="409">
        <v>278248.3546864427</v>
      </c>
      <c r="EQ17" s="410">
        <v>1211.2750506766995</v>
      </c>
      <c r="ER17" s="404">
        <v>0.2</v>
      </c>
      <c r="ES17" s="404">
        <v>1</v>
      </c>
      <c r="ET17" s="404">
        <v>0.15</v>
      </c>
      <c r="EU17" s="411">
        <v>0.91886271005639764</v>
      </c>
      <c r="EV17" s="412" t="s">
        <v>511</v>
      </c>
      <c r="EW17" s="412" t="s">
        <v>27</v>
      </c>
      <c r="EX17" s="381"/>
      <c r="EY17" s="419">
        <v>0.35359856724105282</v>
      </c>
      <c r="EZ17" s="419">
        <v>0.67846136978966443</v>
      </c>
      <c r="FA17" s="419">
        <v>0.87363667698975456</v>
      </c>
      <c r="FB17" s="419">
        <v>0.66623373144163001</v>
      </c>
      <c r="FC17" s="419">
        <v>0.61205950699857858</v>
      </c>
      <c r="FD17" s="419">
        <v>0.69959025982598222</v>
      </c>
      <c r="FE17" s="419">
        <v>0.91240312512590771</v>
      </c>
      <c r="FF17" s="419">
        <v>0.87394099656803348</v>
      </c>
      <c r="FG17" s="419">
        <v>0.8151441672112224</v>
      </c>
      <c r="FH17" s="419">
        <v>0.75320419042491826</v>
      </c>
      <c r="FI17" s="419">
        <v>0.91886271005639764</v>
      </c>
      <c r="FJ17" s="419"/>
      <c r="FK17" s="407">
        <v>0.63523220467349062</v>
      </c>
      <c r="FL17" s="407">
        <v>0.65929449942206364</v>
      </c>
      <c r="FM17" s="419">
        <v>0.8671627629683879</v>
      </c>
      <c r="FN17" s="419">
        <v>0.83603345024065789</v>
      </c>
      <c r="FO17" s="407">
        <v>0.74155775469755847</v>
      </c>
    </row>
    <row r="18" spans="1:171" hidden="1" outlineLevel="1" x14ac:dyDescent="0.25">
      <c r="A18" s="390" t="s">
        <v>446</v>
      </c>
      <c r="B18" s="390" t="s">
        <v>237</v>
      </c>
      <c r="C18" s="390" t="s">
        <v>238</v>
      </c>
      <c r="D18" s="391" t="s">
        <v>237</v>
      </c>
      <c r="E18" s="390" t="s">
        <v>36</v>
      </c>
      <c r="F18" s="391" t="s">
        <v>154</v>
      </c>
      <c r="G18" s="392">
        <v>1</v>
      </c>
      <c r="H18" s="393">
        <v>35125</v>
      </c>
      <c r="I18" s="393">
        <v>44287</v>
      </c>
      <c r="J18" s="394">
        <v>321</v>
      </c>
      <c r="K18" s="391">
        <v>501</v>
      </c>
      <c r="L18" s="390" t="s">
        <v>236</v>
      </c>
      <c r="M18" s="392" t="s">
        <v>354</v>
      </c>
      <c r="N18" s="395">
        <v>13</v>
      </c>
      <c r="O18" s="395">
        <v>1</v>
      </c>
      <c r="P18" s="395">
        <v>14</v>
      </c>
      <c r="Q18" s="389">
        <v>0</v>
      </c>
      <c r="R18" s="389">
        <v>0</v>
      </c>
      <c r="S18" s="389">
        <v>535136.94499999972</v>
      </c>
      <c r="T18" s="389">
        <v>333762.51100000006</v>
      </c>
      <c r="U18" s="389">
        <v>76062.251302879973</v>
      </c>
      <c r="V18" s="389">
        <v>33701.458619769997</v>
      </c>
      <c r="W18" s="389">
        <v>0</v>
      </c>
      <c r="X18" s="389">
        <v>0</v>
      </c>
      <c r="Y18" s="389">
        <v>584408.69499999972</v>
      </c>
      <c r="Z18" s="389">
        <v>334562.51100000006</v>
      </c>
      <c r="AA18" s="389"/>
      <c r="AB18" s="389"/>
      <c r="AC18" s="389">
        <v>49271.75</v>
      </c>
      <c r="AD18" s="389">
        <v>800</v>
      </c>
      <c r="AE18" s="389">
        <v>4728.9756944444443</v>
      </c>
      <c r="AF18" s="389">
        <v>1178.0911458333333</v>
      </c>
      <c r="AG18" s="389">
        <v>6600</v>
      </c>
      <c r="AH18" s="396">
        <v>22.400000000000002</v>
      </c>
      <c r="AI18" s="389">
        <v>2922.5988020833333</v>
      </c>
      <c r="AJ18" s="397">
        <v>0.02</v>
      </c>
      <c r="AK18" s="397">
        <v>0.1</v>
      </c>
      <c r="AL18" s="389">
        <v>620673.85075892054</v>
      </c>
      <c r="AM18" s="389">
        <v>246096.0443805526</v>
      </c>
      <c r="AN18" s="398">
        <v>85536.905758920824</v>
      </c>
      <c r="AO18" s="398">
        <v>-87666.466619447456</v>
      </c>
      <c r="AP18" s="398">
        <v>0</v>
      </c>
      <c r="AQ18" s="398">
        <v>52867.203130420006</v>
      </c>
      <c r="AR18" s="398">
        <v>500</v>
      </c>
      <c r="AS18" s="398">
        <v>0</v>
      </c>
      <c r="AT18" s="398">
        <v>465.5</v>
      </c>
      <c r="AU18" s="399">
        <v>157</v>
      </c>
      <c r="AV18" s="399">
        <v>4</v>
      </c>
      <c r="AW18" s="399">
        <v>0</v>
      </c>
      <c r="AX18" s="399">
        <v>121191.99710330059</v>
      </c>
      <c r="AY18" s="399">
        <v>550</v>
      </c>
      <c r="AZ18" s="399">
        <v>1075</v>
      </c>
      <c r="BA18" s="399">
        <v>0</v>
      </c>
      <c r="BB18" s="399">
        <v>0.2</v>
      </c>
      <c r="BC18" s="399">
        <v>3140</v>
      </c>
      <c r="BD18" s="399">
        <v>32</v>
      </c>
      <c r="BE18" s="399">
        <v>0</v>
      </c>
      <c r="BF18" s="399">
        <v>121.19199710330058</v>
      </c>
      <c r="BG18" s="399">
        <v>55</v>
      </c>
      <c r="BH18" s="399">
        <v>107.5</v>
      </c>
      <c r="BI18" s="399">
        <v>0</v>
      </c>
      <c r="BJ18" s="399">
        <v>0.02</v>
      </c>
      <c r="BK18" s="398">
        <v>3455.7119971033007</v>
      </c>
      <c r="BL18" s="389">
        <v>74</v>
      </c>
      <c r="BM18" s="389">
        <v>0</v>
      </c>
      <c r="BN18" s="395">
        <v>207</v>
      </c>
      <c r="BO18" s="395">
        <v>28</v>
      </c>
      <c r="BP18" s="395">
        <v>0</v>
      </c>
      <c r="BQ18" s="389">
        <v>5</v>
      </c>
      <c r="BR18" s="389">
        <v>0</v>
      </c>
      <c r="BS18" s="389">
        <v>0</v>
      </c>
      <c r="BT18" s="389">
        <v>0</v>
      </c>
      <c r="BU18" s="389">
        <v>0</v>
      </c>
      <c r="BV18" s="389">
        <v>0</v>
      </c>
      <c r="BW18" s="389">
        <v>0</v>
      </c>
      <c r="BX18" s="389">
        <v>0</v>
      </c>
      <c r="BY18" s="389">
        <v>132</v>
      </c>
      <c r="BZ18" s="389">
        <v>5</v>
      </c>
      <c r="CA18" s="400">
        <v>3</v>
      </c>
      <c r="CB18" s="400">
        <v>0</v>
      </c>
      <c r="CC18" s="400">
        <v>33.333333333333329</v>
      </c>
      <c r="CD18" s="389">
        <v>740</v>
      </c>
      <c r="CE18" s="389">
        <v>0</v>
      </c>
      <c r="CF18" s="389">
        <v>2070</v>
      </c>
      <c r="CG18" s="389">
        <v>280</v>
      </c>
      <c r="CH18" s="389">
        <v>0</v>
      </c>
      <c r="CI18" s="389">
        <v>50</v>
      </c>
      <c r="CJ18" s="389">
        <v>0</v>
      </c>
      <c r="CK18" s="389">
        <v>0</v>
      </c>
      <c r="CL18" s="389">
        <v>0</v>
      </c>
      <c r="CM18" s="389">
        <v>0</v>
      </c>
      <c r="CN18" s="389">
        <v>528</v>
      </c>
      <c r="CO18" s="389">
        <v>100</v>
      </c>
      <c r="CP18" s="389">
        <v>12</v>
      </c>
      <c r="CQ18" s="389">
        <v>0</v>
      </c>
      <c r="CR18" s="389">
        <v>6.6666666666666652</v>
      </c>
      <c r="CS18" s="389">
        <v>3786.6666666666665</v>
      </c>
      <c r="CT18" s="389">
        <v>9</v>
      </c>
      <c r="CU18" s="389">
        <v>0</v>
      </c>
      <c r="CV18" s="389">
        <v>10</v>
      </c>
      <c r="CW18" s="389">
        <v>19</v>
      </c>
      <c r="CX18" s="401">
        <v>3228.4352340786468</v>
      </c>
      <c r="CY18" s="396">
        <v>0</v>
      </c>
      <c r="CZ18" s="396">
        <v>45562.966361020022</v>
      </c>
      <c r="DA18" s="402">
        <v>0</v>
      </c>
      <c r="DB18" s="389">
        <v>0</v>
      </c>
      <c r="DC18" s="396">
        <v>0</v>
      </c>
      <c r="DD18" s="403">
        <v>0</v>
      </c>
      <c r="DE18" s="402">
        <v>1.7360232944622593</v>
      </c>
      <c r="DF18" s="402">
        <v>0</v>
      </c>
      <c r="DG18" s="402">
        <v>0.10573114185961989</v>
      </c>
      <c r="DH18" s="402">
        <v>0.39513071772619462</v>
      </c>
      <c r="DI18" s="402">
        <v>1.0973301005712071</v>
      </c>
      <c r="DJ18" s="402"/>
      <c r="DK18" s="402"/>
      <c r="DL18" s="404"/>
      <c r="DM18" s="404"/>
      <c r="DN18" s="402">
        <v>0.84821428571428559</v>
      </c>
      <c r="DO18" s="402">
        <v>1.1046453696543304</v>
      </c>
      <c r="DP18" s="402">
        <v>1</v>
      </c>
      <c r="DQ18" s="402">
        <v>1</v>
      </c>
      <c r="DR18" s="405">
        <v>0.26040349416933889</v>
      </c>
      <c r="DS18" s="405">
        <v>0</v>
      </c>
      <c r="DT18" s="402">
        <v>1.5859671278942982E-2</v>
      </c>
      <c r="DU18" s="402">
        <v>5.9269607658929191E-2</v>
      </c>
      <c r="DV18" s="402">
        <v>0.10973301005712072</v>
      </c>
      <c r="DW18" s="402">
        <v>0.4452657831643318</v>
      </c>
      <c r="DX18" s="402">
        <v>8.4821428571428562E-2</v>
      </c>
      <c r="DY18" s="402">
        <v>0.22092907393086608</v>
      </c>
      <c r="DZ18" s="406">
        <v>0.05</v>
      </c>
      <c r="EA18" s="406">
        <v>0.05</v>
      </c>
      <c r="EB18" s="406">
        <v>0.40575050250229461</v>
      </c>
      <c r="EC18" s="407">
        <v>0.85101628566662635</v>
      </c>
      <c r="ED18" s="408" t="s">
        <v>511</v>
      </c>
      <c r="EE18" s="408" t="s">
        <v>27</v>
      </c>
      <c r="EG18" s="389">
        <v>616854.94955567969</v>
      </c>
      <c r="EH18" s="389">
        <v>630601.08950591949</v>
      </c>
      <c r="EI18" s="389">
        <v>628521.77716381999</v>
      </c>
      <c r="EJ18" s="389">
        <v>243929.50572999995</v>
      </c>
      <c r="EK18" s="389">
        <v>288632.00156305981</v>
      </c>
      <c r="EL18" s="389">
        <v>288621.95202619978</v>
      </c>
      <c r="EM18" s="380"/>
      <c r="EN18" s="389">
        <v>8</v>
      </c>
      <c r="EO18" s="409">
        <v>866769.89513947314</v>
      </c>
      <c r="EP18" s="409">
        <v>822850.35937963135</v>
      </c>
      <c r="EQ18" s="410">
        <v>5489.9419699802238</v>
      </c>
      <c r="ER18" s="404">
        <v>0.35</v>
      </c>
      <c r="ES18" s="404">
        <v>1.3951307177261947</v>
      </c>
      <c r="ET18" s="404">
        <v>0.20926960765892919</v>
      </c>
      <c r="EU18" s="411">
        <v>1.3510162856666263</v>
      </c>
      <c r="EV18" s="412" t="s">
        <v>520</v>
      </c>
      <c r="EW18" s="412" t="s">
        <v>29</v>
      </c>
      <c r="EX18" s="381"/>
      <c r="EY18" s="419">
        <v>0.88483443226384018</v>
      </c>
      <c r="EZ18" s="419">
        <v>0.76348849322285162</v>
      </c>
      <c r="FA18" s="419"/>
      <c r="FB18" s="419">
        <v>0.65001947847727148</v>
      </c>
      <c r="FC18" s="419">
        <v>1.1099583644680551</v>
      </c>
      <c r="FD18" s="419">
        <v>0.81684614438964176</v>
      </c>
      <c r="FE18" s="419">
        <v>1.0433727009347535</v>
      </c>
      <c r="FF18" s="419">
        <v>1.1020968312687762</v>
      </c>
      <c r="FG18" s="419">
        <v>0.65262812305899387</v>
      </c>
      <c r="FH18" s="419">
        <v>1.0622111149759905</v>
      </c>
      <c r="FI18" s="419">
        <v>1.3510162856666263</v>
      </c>
      <c r="FJ18" s="419"/>
      <c r="FK18" s="407">
        <v>0.8241614627433459</v>
      </c>
      <c r="FL18" s="407">
        <v>0.85894132911165622</v>
      </c>
      <c r="FM18" s="419">
        <v>0.93269921842084125</v>
      </c>
      <c r="FN18" s="419">
        <v>1.2066137003213084</v>
      </c>
      <c r="FO18" s="407">
        <v>0.94364719687268006</v>
      </c>
    </row>
    <row r="19" spans="1:171" hidden="1" outlineLevel="1" x14ac:dyDescent="0.25">
      <c r="A19" s="390" t="s">
        <v>446</v>
      </c>
      <c r="B19" s="390" t="s">
        <v>231</v>
      </c>
      <c r="C19" s="390" t="s">
        <v>232</v>
      </c>
      <c r="D19" s="391" t="s">
        <v>231</v>
      </c>
      <c r="E19" s="390" t="s">
        <v>36</v>
      </c>
      <c r="F19" s="391" t="s">
        <v>154</v>
      </c>
      <c r="G19" s="392">
        <v>1</v>
      </c>
      <c r="H19" s="393">
        <v>37993</v>
      </c>
      <c r="I19" s="393">
        <v>44501</v>
      </c>
      <c r="J19" s="394">
        <v>227</v>
      </c>
      <c r="K19" s="391">
        <v>521</v>
      </c>
      <c r="L19" s="390" t="s">
        <v>239</v>
      </c>
      <c r="M19" s="392" t="s">
        <v>354</v>
      </c>
      <c r="N19" s="395">
        <v>8</v>
      </c>
      <c r="O19" s="395">
        <v>2</v>
      </c>
      <c r="P19" s="395">
        <v>9</v>
      </c>
      <c r="Q19" s="389">
        <v>0</v>
      </c>
      <c r="R19" s="389">
        <v>0</v>
      </c>
      <c r="S19" s="389">
        <v>490290.07500000024</v>
      </c>
      <c r="T19" s="389">
        <v>276100.15300000005</v>
      </c>
      <c r="U19" s="389">
        <v>41382.071114389997</v>
      </c>
      <c r="V19" s="389">
        <v>94061.49575851002</v>
      </c>
      <c r="W19" s="389">
        <v>0</v>
      </c>
      <c r="X19" s="389">
        <v>0</v>
      </c>
      <c r="Y19" s="389">
        <v>533553.07500000019</v>
      </c>
      <c r="Z19" s="389">
        <v>276800.15300000005</v>
      </c>
      <c r="AA19" s="389"/>
      <c r="AB19" s="389"/>
      <c r="AC19" s="389">
        <v>43263</v>
      </c>
      <c r="AD19" s="389">
        <v>700</v>
      </c>
      <c r="AE19" s="389">
        <v>6935.1388888888887</v>
      </c>
      <c r="AF19" s="389">
        <v>704.5447048611112</v>
      </c>
      <c r="AG19" s="389">
        <v>4500</v>
      </c>
      <c r="AH19" s="396">
        <v>15.200000000000001</v>
      </c>
      <c r="AI19" s="389">
        <v>2765.0990104166667</v>
      </c>
      <c r="AJ19" s="397">
        <v>0.02</v>
      </c>
      <c r="AK19" s="397">
        <v>0.1</v>
      </c>
      <c r="AL19" s="389">
        <v>514375.49925221433</v>
      </c>
      <c r="AM19" s="389">
        <v>285939.54002283164</v>
      </c>
      <c r="AN19" s="398">
        <v>24085.424252214085</v>
      </c>
      <c r="AO19" s="398">
        <v>9839.3870228315936</v>
      </c>
      <c r="AP19" s="398">
        <v>0</v>
      </c>
      <c r="AQ19" s="398">
        <v>192192.51633826</v>
      </c>
      <c r="AR19" s="398">
        <v>0</v>
      </c>
      <c r="AS19" s="398">
        <v>26</v>
      </c>
      <c r="AT19" s="398">
        <v>230</v>
      </c>
      <c r="AU19" s="399">
        <v>158</v>
      </c>
      <c r="AV19" s="399">
        <v>12</v>
      </c>
      <c r="AW19" s="399">
        <v>3.6</v>
      </c>
      <c r="AX19" s="399">
        <v>10000</v>
      </c>
      <c r="AY19" s="399">
        <v>400</v>
      </c>
      <c r="AZ19" s="399">
        <v>0</v>
      </c>
      <c r="BA19" s="399">
        <v>0</v>
      </c>
      <c r="BB19" s="399">
        <v>0</v>
      </c>
      <c r="BC19" s="399">
        <v>3160</v>
      </c>
      <c r="BD19" s="399">
        <v>96</v>
      </c>
      <c r="BE19" s="399">
        <v>7.2</v>
      </c>
      <c r="BF19" s="399">
        <v>10</v>
      </c>
      <c r="BG19" s="399">
        <v>40</v>
      </c>
      <c r="BH19" s="399">
        <v>0</v>
      </c>
      <c r="BI19" s="399">
        <v>0</v>
      </c>
      <c r="BJ19" s="399">
        <v>0</v>
      </c>
      <c r="BK19" s="398">
        <v>3313.2</v>
      </c>
      <c r="BL19" s="389">
        <v>29</v>
      </c>
      <c r="BM19" s="389">
        <v>0</v>
      </c>
      <c r="BN19" s="395">
        <v>64</v>
      </c>
      <c r="BO19" s="395">
        <v>2</v>
      </c>
      <c r="BP19" s="395">
        <v>0</v>
      </c>
      <c r="BQ19" s="389">
        <v>5</v>
      </c>
      <c r="BR19" s="389">
        <v>0</v>
      </c>
      <c r="BS19" s="389">
        <v>26</v>
      </c>
      <c r="BT19" s="389">
        <v>562.42375100000004</v>
      </c>
      <c r="BU19" s="389">
        <v>0</v>
      </c>
      <c r="BV19" s="389">
        <v>0</v>
      </c>
      <c r="BW19" s="389">
        <v>0</v>
      </c>
      <c r="BX19" s="389">
        <v>5</v>
      </c>
      <c r="BY19" s="389">
        <v>84</v>
      </c>
      <c r="BZ19" s="389">
        <v>1</v>
      </c>
      <c r="CA19" s="400">
        <v>6</v>
      </c>
      <c r="CB19" s="400">
        <v>0</v>
      </c>
      <c r="CC19" s="400">
        <v>0</v>
      </c>
      <c r="CD19" s="389">
        <v>290</v>
      </c>
      <c r="CE19" s="389">
        <v>0</v>
      </c>
      <c r="CF19" s="389">
        <v>640</v>
      </c>
      <c r="CG19" s="389">
        <v>20</v>
      </c>
      <c r="CH19" s="389">
        <v>0</v>
      </c>
      <c r="CI19" s="389">
        <v>50</v>
      </c>
      <c r="CJ19" s="389">
        <v>7.8000000000000007</v>
      </c>
      <c r="CK19" s="389">
        <v>224.96950040000002</v>
      </c>
      <c r="CL19" s="389">
        <v>0</v>
      </c>
      <c r="CM19" s="389">
        <v>100</v>
      </c>
      <c r="CN19" s="389">
        <v>336</v>
      </c>
      <c r="CO19" s="389">
        <v>20</v>
      </c>
      <c r="CP19" s="389">
        <v>24</v>
      </c>
      <c r="CQ19" s="389">
        <v>0</v>
      </c>
      <c r="CR19" s="389">
        <v>0</v>
      </c>
      <c r="CS19" s="389">
        <v>1712.7695004</v>
      </c>
      <c r="CT19" s="389">
        <v>5</v>
      </c>
      <c r="CU19" s="389">
        <v>0</v>
      </c>
      <c r="CV19" s="389">
        <v>6</v>
      </c>
      <c r="CW19" s="389">
        <v>11</v>
      </c>
      <c r="CX19" s="401">
        <v>185.95925467400878</v>
      </c>
      <c r="CY19" s="396">
        <v>0</v>
      </c>
      <c r="CZ19" s="396">
        <v>169631.08386835005</v>
      </c>
      <c r="DA19" s="402">
        <v>0</v>
      </c>
      <c r="DB19" s="389">
        <v>0</v>
      </c>
      <c r="DC19" s="396">
        <v>0</v>
      </c>
      <c r="DD19" s="403">
        <v>0</v>
      </c>
      <c r="DE19" s="402">
        <v>0.55672108388724972</v>
      </c>
      <c r="DF19" s="402">
        <v>1</v>
      </c>
      <c r="DG19" s="402">
        <v>3.7490236917469412E-3</v>
      </c>
      <c r="DH19" s="402">
        <v>0.32645196027034301</v>
      </c>
      <c r="DI19" s="402">
        <v>1.1168821111999998</v>
      </c>
      <c r="DJ19" s="402"/>
      <c r="DK19" s="402"/>
      <c r="DL19" s="404"/>
      <c r="DM19" s="404"/>
      <c r="DN19" s="402">
        <v>0.72368421052631571</v>
      </c>
      <c r="DO19" s="402">
        <v>6.7252295116183552E-2</v>
      </c>
      <c r="DP19" s="402">
        <v>1</v>
      </c>
      <c r="DQ19" s="402">
        <v>1</v>
      </c>
      <c r="DR19" s="405">
        <v>8.350816258308745E-2</v>
      </c>
      <c r="DS19" s="405">
        <v>0.05</v>
      </c>
      <c r="DT19" s="402">
        <v>5.6235355376204113E-4</v>
      </c>
      <c r="DU19" s="402">
        <v>4.8967794040551453E-2</v>
      </c>
      <c r="DV19" s="402">
        <v>0.11168821111999999</v>
      </c>
      <c r="DW19" s="402">
        <v>0.29472652129740096</v>
      </c>
      <c r="DX19" s="402">
        <v>7.2368421052631568E-2</v>
      </c>
      <c r="DY19" s="402">
        <v>1.3450459023236711E-2</v>
      </c>
      <c r="DZ19" s="406">
        <v>0.05</v>
      </c>
      <c r="EA19" s="406">
        <v>0.05</v>
      </c>
      <c r="EB19" s="406">
        <v>0.18581888007586828</v>
      </c>
      <c r="EC19" s="407">
        <v>0.48054540137326923</v>
      </c>
      <c r="ED19" s="408" t="s">
        <v>157</v>
      </c>
      <c r="EE19" s="408" t="s">
        <v>156</v>
      </c>
      <c r="EG19" s="389">
        <v>518770.34256550926</v>
      </c>
      <c r="EH19" s="389">
        <v>520689.31568188919</v>
      </c>
      <c r="EI19" s="389">
        <v>517273.77983499004</v>
      </c>
      <c r="EJ19" s="389">
        <v>291109.19415999996</v>
      </c>
      <c r="EK19" s="389">
        <v>275969.88680552988</v>
      </c>
      <c r="EL19" s="389">
        <v>283569.93672807992</v>
      </c>
      <c r="EN19" s="389">
        <v>7</v>
      </c>
      <c r="EO19" s="409">
        <v>800315.03927504597</v>
      </c>
      <c r="EP19" s="409">
        <v>795291.42690268392</v>
      </c>
      <c r="EQ19" s="410">
        <v>717.6589103374364</v>
      </c>
      <c r="ER19" s="404">
        <v>0.1</v>
      </c>
      <c r="ES19" s="404">
        <v>1.3264519602703431</v>
      </c>
      <c r="ET19" s="404">
        <v>0.19896779404055145</v>
      </c>
      <c r="EU19" s="411">
        <v>0.73054540137326929</v>
      </c>
      <c r="EV19" s="412" t="s">
        <v>509</v>
      </c>
      <c r="EW19" s="412" t="s">
        <v>25</v>
      </c>
      <c r="EX19" s="381"/>
      <c r="EY19" s="419">
        <v>0.80498923360101415</v>
      </c>
      <c r="EZ19" s="419">
        <v>0.62907947130871578</v>
      </c>
      <c r="FA19" s="419">
        <v>1.2043395368475107</v>
      </c>
      <c r="FB19" s="419">
        <v>1.0773020704555962</v>
      </c>
      <c r="FC19" s="419">
        <v>0.3215241983616417</v>
      </c>
      <c r="FD19" s="419">
        <v>0.45934270291345808</v>
      </c>
      <c r="FE19" s="419">
        <v>0.36975183899004588</v>
      </c>
      <c r="FF19" s="419">
        <v>0.68789065068419541</v>
      </c>
      <c r="FG19" s="419">
        <v>0.42404375719586157</v>
      </c>
      <c r="FH19" s="419">
        <v>0.91815552783028054</v>
      </c>
      <c r="FI19" s="419">
        <v>0.73054540137326929</v>
      </c>
      <c r="FJ19" s="419"/>
      <c r="FK19" s="407">
        <v>0.87946941391908029</v>
      </c>
      <c r="FL19" s="407">
        <v>0.61938965724356532</v>
      </c>
      <c r="FM19" s="419">
        <v>0.49389541562336764</v>
      </c>
      <c r="FN19" s="419">
        <v>0.82435046460177497</v>
      </c>
      <c r="FO19" s="407">
        <v>0.69336039905105373</v>
      </c>
    </row>
    <row r="20" spans="1:171" hidden="1" outlineLevel="1" x14ac:dyDescent="0.25">
      <c r="A20" s="390" t="s">
        <v>446</v>
      </c>
      <c r="B20" s="390" t="s">
        <v>356</v>
      </c>
      <c r="C20" s="390" t="s">
        <v>357</v>
      </c>
      <c r="D20" s="391" t="s">
        <v>356</v>
      </c>
      <c r="E20" s="390" t="s">
        <v>36</v>
      </c>
      <c r="F20" s="391" t="s">
        <v>154</v>
      </c>
      <c r="G20" s="392">
        <v>1</v>
      </c>
      <c r="H20" s="393">
        <v>38722</v>
      </c>
      <c r="I20" s="393">
        <v>44501</v>
      </c>
      <c r="J20" s="394">
        <v>203</v>
      </c>
      <c r="K20" s="391">
        <v>531</v>
      </c>
      <c r="L20" s="390" t="s">
        <v>240</v>
      </c>
      <c r="M20" s="392" t="s">
        <v>354</v>
      </c>
      <c r="N20" s="395">
        <v>8</v>
      </c>
      <c r="O20" s="395">
        <v>2</v>
      </c>
      <c r="P20" s="395">
        <v>9</v>
      </c>
      <c r="Q20" s="389">
        <v>0</v>
      </c>
      <c r="R20" s="389">
        <v>0</v>
      </c>
      <c r="S20" s="389">
        <v>583082.5279999997</v>
      </c>
      <c r="T20" s="389">
        <v>412135.7919999999</v>
      </c>
      <c r="U20" s="389">
        <v>85133.294227409991</v>
      </c>
      <c r="V20" s="389">
        <v>112954.22702010002</v>
      </c>
      <c r="W20" s="389">
        <v>0</v>
      </c>
      <c r="X20" s="389">
        <v>0</v>
      </c>
      <c r="Y20" s="389">
        <v>614960.5279999997</v>
      </c>
      <c r="Z20" s="389">
        <v>412935.7919999999</v>
      </c>
      <c r="AA20" s="389"/>
      <c r="AB20" s="389"/>
      <c r="AC20" s="389">
        <v>31878</v>
      </c>
      <c r="AD20" s="389">
        <v>800</v>
      </c>
      <c r="AE20" s="389">
        <v>5627.0138888888887</v>
      </c>
      <c r="AF20" s="389">
        <v>531.29600694444446</v>
      </c>
      <c r="AG20" s="389">
        <v>5700</v>
      </c>
      <c r="AH20" s="396">
        <v>15.200000000000001</v>
      </c>
      <c r="AI20" s="389">
        <v>2096.5949479166666</v>
      </c>
      <c r="AJ20" s="397">
        <v>0.02</v>
      </c>
      <c r="AK20" s="397">
        <v>0.1</v>
      </c>
      <c r="AL20" s="389">
        <v>604831.47226479009</v>
      </c>
      <c r="AM20" s="389">
        <v>369102.64581119001</v>
      </c>
      <c r="AN20" s="398">
        <v>21748.944264790392</v>
      </c>
      <c r="AO20" s="398">
        <v>-43033.146188809886</v>
      </c>
      <c r="AP20" s="398">
        <v>0</v>
      </c>
      <c r="AQ20" s="398">
        <v>144273.08902387001</v>
      </c>
      <c r="AR20" s="398">
        <v>28070</v>
      </c>
      <c r="AS20" s="398">
        <v>0</v>
      </c>
      <c r="AT20" s="398">
        <v>290</v>
      </c>
      <c r="AU20" s="399">
        <v>63</v>
      </c>
      <c r="AV20" s="399">
        <v>0</v>
      </c>
      <c r="AW20" s="399">
        <v>0</v>
      </c>
      <c r="AX20" s="399">
        <v>245788.27</v>
      </c>
      <c r="AY20" s="399">
        <v>50</v>
      </c>
      <c r="AZ20" s="399">
        <v>17</v>
      </c>
      <c r="BA20" s="399">
        <v>0</v>
      </c>
      <c r="BB20" s="399">
        <v>1.61</v>
      </c>
      <c r="BC20" s="399">
        <v>1260</v>
      </c>
      <c r="BD20" s="399">
        <v>0</v>
      </c>
      <c r="BE20" s="399">
        <v>0</v>
      </c>
      <c r="BF20" s="399">
        <v>245.78827000000001</v>
      </c>
      <c r="BG20" s="399">
        <v>5</v>
      </c>
      <c r="BH20" s="399">
        <v>1.7000000000000002</v>
      </c>
      <c r="BI20" s="399">
        <v>0</v>
      </c>
      <c r="BJ20" s="399">
        <v>0.161</v>
      </c>
      <c r="BK20" s="398">
        <v>1512.6492700000001</v>
      </c>
      <c r="BL20" s="389">
        <v>31</v>
      </c>
      <c r="BM20" s="389">
        <v>26</v>
      </c>
      <c r="BN20" s="395">
        <v>32</v>
      </c>
      <c r="BO20" s="395">
        <v>35</v>
      </c>
      <c r="BP20" s="395">
        <v>0</v>
      </c>
      <c r="BQ20" s="389">
        <v>13</v>
      </c>
      <c r="BR20" s="389">
        <v>28070</v>
      </c>
      <c r="BS20" s="389">
        <v>0</v>
      </c>
      <c r="BT20" s="389">
        <v>0</v>
      </c>
      <c r="BU20" s="389">
        <v>0</v>
      </c>
      <c r="BV20" s="389">
        <v>0</v>
      </c>
      <c r="BW20" s="389">
        <v>0</v>
      </c>
      <c r="BX20" s="389">
        <v>4</v>
      </c>
      <c r="BY20" s="389">
        <v>200</v>
      </c>
      <c r="BZ20" s="389">
        <v>2</v>
      </c>
      <c r="CA20" s="400">
        <v>9</v>
      </c>
      <c r="CB20" s="400">
        <v>0</v>
      </c>
      <c r="CC20" s="400">
        <v>0</v>
      </c>
      <c r="CD20" s="389">
        <v>310</v>
      </c>
      <c r="CE20" s="389">
        <v>52</v>
      </c>
      <c r="CF20" s="389">
        <v>320</v>
      </c>
      <c r="CG20" s="389">
        <v>350</v>
      </c>
      <c r="CH20" s="389">
        <v>0</v>
      </c>
      <c r="CI20" s="389">
        <v>130</v>
      </c>
      <c r="CJ20" s="389">
        <v>8421</v>
      </c>
      <c r="CK20" s="389">
        <v>0</v>
      </c>
      <c r="CL20" s="389">
        <v>0</v>
      </c>
      <c r="CM20" s="389">
        <v>80</v>
      </c>
      <c r="CN20" s="389">
        <v>800</v>
      </c>
      <c r="CO20" s="389">
        <v>40</v>
      </c>
      <c r="CP20" s="389">
        <v>36</v>
      </c>
      <c r="CQ20" s="389">
        <v>0</v>
      </c>
      <c r="CR20" s="389">
        <v>0</v>
      </c>
      <c r="CS20" s="389">
        <v>10539</v>
      </c>
      <c r="CT20" s="389">
        <v>6</v>
      </c>
      <c r="CU20" s="389">
        <v>2</v>
      </c>
      <c r="CV20" s="389">
        <v>8</v>
      </c>
      <c r="CW20" s="389">
        <v>16</v>
      </c>
      <c r="CX20" s="401">
        <v>2471.0501470156673</v>
      </c>
      <c r="CY20" s="396">
        <v>0</v>
      </c>
      <c r="CZ20" s="396">
        <v>113306.91839817002</v>
      </c>
      <c r="DA20" s="402">
        <v>0</v>
      </c>
      <c r="DB20" s="389">
        <v>0</v>
      </c>
      <c r="DC20" s="396">
        <v>0</v>
      </c>
      <c r="DD20" s="403">
        <v>0</v>
      </c>
      <c r="DE20" s="402">
        <v>0.68225560777935856</v>
      </c>
      <c r="DF20" s="402">
        <v>0</v>
      </c>
      <c r="DG20" s="402">
        <v>2</v>
      </c>
      <c r="DH20" s="402">
        <v>0.54583508290948657</v>
      </c>
      <c r="DI20" s="402">
        <v>2</v>
      </c>
      <c r="DJ20" s="402"/>
      <c r="DK20" s="402"/>
      <c r="DL20" s="404"/>
      <c r="DM20" s="404"/>
      <c r="DN20" s="402">
        <v>1.0526315789473684</v>
      </c>
      <c r="DO20" s="402">
        <v>1.1786015937275283</v>
      </c>
      <c r="DP20" s="402">
        <v>1</v>
      </c>
      <c r="DQ20" s="402">
        <v>1</v>
      </c>
      <c r="DR20" s="405">
        <v>0.10233834116690378</v>
      </c>
      <c r="DS20" s="405">
        <v>0</v>
      </c>
      <c r="DT20" s="402">
        <v>0.3</v>
      </c>
      <c r="DU20" s="402">
        <v>8.1875262436422985E-2</v>
      </c>
      <c r="DV20" s="402">
        <v>0.2</v>
      </c>
      <c r="DW20" s="402">
        <v>0.68421360360332684</v>
      </c>
      <c r="DX20" s="402">
        <v>0.10526315789473684</v>
      </c>
      <c r="DY20" s="402">
        <v>0.23572031874550567</v>
      </c>
      <c r="DZ20" s="406">
        <v>0.05</v>
      </c>
      <c r="EA20" s="406">
        <v>0.05</v>
      </c>
      <c r="EB20" s="406">
        <v>0.44098347664024251</v>
      </c>
      <c r="EC20" s="407">
        <v>1.1251970802435693</v>
      </c>
      <c r="ED20" s="408" t="s">
        <v>510</v>
      </c>
      <c r="EE20" s="408" t="s">
        <v>28</v>
      </c>
      <c r="EG20" s="389">
        <v>601716.58487397002</v>
      </c>
      <c r="EH20" s="389">
        <v>620610.12360883015</v>
      </c>
      <c r="EI20" s="389">
        <v>622830.15094748035</v>
      </c>
      <c r="EJ20" s="389">
        <v>366841.51226000005</v>
      </c>
      <c r="EK20" s="389">
        <v>380574.87711737002</v>
      </c>
      <c r="EL20" s="389">
        <v>380107.58405378007</v>
      </c>
      <c r="EN20" s="389">
        <v>8</v>
      </c>
      <c r="EO20" s="409">
        <v>973934.11807598011</v>
      </c>
      <c r="EP20" s="409">
        <v>969684.10164539632</v>
      </c>
      <c r="EQ20" s="410">
        <v>531.25205382297281</v>
      </c>
      <c r="ER20" s="404">
        <v>0.1</v>
      </c>
      <c r="ES20" s="404">
        <v>1.5458350829094867</v>
      </c>
      <c r="ET20" s="404">
        <v>0.23187526243642298</v>
      </c>
      <c r="EU20" s="411">
        <v>1.3751970802435696</v>
      </c>
      <c r="EV20" s="412" t="s">
        <v>520</v>
      </c>
      <c r="EW20" s="412" t="s">
        <v>29</v>
      </c>
      <c r="EX20" s="381"/>
      <c r="EY20" s="419">
        <v>1.0217080449039262</v>
      </c>
      <c r="EZ20" s="419">
        <v>1.0118770670258765</v>
      </c>
      <c r="FA20" s="419">
        <v>1.3601341752131617</v>
      </c>
      <c r="FB20" s="419">
        <v>1.0086162991621048</v>
      </c>
      <c r="FC20" s="419">
        <v>1.0131264974434326</v>
      </c>
      <c r="FD20" s="419">
        <v>1.120011618509555</v>
      </c>
      <c r="FE20" s="419">
        <v>1.1203128884733016</v>
      </c>
      <c r="FF20" s="419">
        <v>1.0775561057386231</v>
      </c>
      <c r="FG20" s="419">
        <v>0.86657257820016909</v>
      </c>
      <c r="FH20" s="419">
        <v>0.92783458959269405</v>
      </c>
      <c r="FI20" s="419">
        <v>1.3751970802435696</v>
      </c>
      <c r="FJ20" s="419"/>
      <c r="FK20" s="407">
        <v>1.1312397623809882</v>
      </c>
      <c r="FL20" s="407">
        <v>1.047251471705031</v>
      </c>
      <c r="FM20" s="419">
        <v>1.0214805241373648</v>
      </c>
      <c r="FN20" s="419">
        <v>1.1515158349181318</v>
      </c>
      <c r="FO20" s="407">
        <v>1.0820860858642194</v>
      </c>
    </row>
    <row r="21" spans="1:171" hidden="1" outlineLevel="1" x14ac:dyDescent="0.25">
      <c r="A21" s="390" t="s">
        <v>208</v>
      </c>
      <c r="B21" s="390" t="s">
        <v>215</v>
      </c>
      <c r="C21" s="390" t="s">
        <v>216</v>
      </c>
      <c r="D21" s="391" t="s">
        <v>215</v>
      </c>
      <c r="E21" s="390" t="s">
        <v>36</v>
      </c>
      <c r="F21" s="391" t="s">
        <v>154</v>
      </c>
      <c r="G21" s="392">
        <v>1</v>
      </c>
      <c r="H21" s="393">
        <v>39979</v>
      </c>
      <c r="I21" s="393">
        <v>44046</v>
      </c>
      <c r="J21" s="394">
        <v>162</v>
      </c>
      <c r="K21" s="391">
        <v>701</v>
      </c>
      <c r="L21" s="390" t="s">
        <v>221</v>
      </c>
      <c r="M21" s="392" t="s">
        <v>354</v>
      </c>
      <c r="N21" s="395">
        <v>9</v>
      </c>
      <c r="O21" s="395">
        <v>2</v>
      </c>
      <c r="P21" s="395">
        <v>7</v>
      </c>
      <c r="Q21" s="389">
        <v>0</v>
      </c>
      <c r="R21" s="389">
        <v>0</v>
      </c>
      <c r="S21" s="389">
        <v>472992.96839999984</v>
      </c>
      <c r="T21" s="389">
        <v>499072.98800000001</v>
      </c>
      <c r="U21" s="389">
        <v>119034.64446454002</v>
      </c>
      <c r="V21" s="389">
        <v>231069.98343993994</v>
      </c>
      <c r="W21" s="389">
        <v>0</v>
      </c>
      <c r="X21" s="389">
        <v>0</v>
      </c>
      <c r="Y21" s="389">
        <v>515180.71839999984</v>
      </c>
      <c r="Z21" s="389">
        <v>499772.98800000001</v>
      </c>
      <c r="AA21" s="389"/>
      <c r="AB21" s="389"/>
      <c r="AC21" s="389">
        <v>42187.75</v>
      </c>
      <c r="AD21" s="389">
        <v>700</v>
      </c>
      <c r="AE21" s="389">
        <v>5954.0451388888887</v>
      </c>
      <c r="AF21" s="389">
        <v>635.24522569444434</v>
      </c>
      <c r="AG21" s="389">
        <v>7500</v>
      </c>
      <c r="AH21" s="396">
        <v>14.4</v>
      </c>
      <c r="AI21" s="389">
        <v>2616.0919791666665</v>
      </c>
      <c r="AJ21" s="397">
        <v>0.02</v>
      </c>
      <c r="AK21" s="397">
        <v>0.1</v>
      </c>
      <c r="AL21" s="389">
        <v>538323.81296066905</v>
      </c>
      <c r="AM21" s="389">
        <v>387067.32655854896</v>
      </c>
      <c r="AN21" s="398">
        <v>65330.844560669211</v>
      </c>
      <c r="AO21" s="398">
        <v>-112005.66144145105</v>
      </c>
      <c r="AP21" s="398">
        <v>0</v>
      </c>
      <c r="AQ21" s="398">
        <v>259349.03428252006</v>
      </c>
      <c r="AR21" s="398">
        <v>3051</v>
      </c>
      <c r="AS21" s="398">
        <v>712.5</v>
      </c>
      <c r="AT21" s="398">
        <v>410</v>
      </c>
      <c r="AU21" s="399">
        <v>115</v>
      </c>
      <c r="AV21" s="399">
        <v>0</v>
      </c>
      <c r="AW21" s="399">
        <v>10.8</v>
      </c>
      <c r="AX21" s="399">
        <v>966818.95174904913</v>
      </c>
      <c r="AY21" s="399">
        <v>1495</v>
      </c>
      <c r="AZ21" s="399">
        <v>190</v>
      </c>
      <c r="BA21" s="399">
        <v>0</v>
      </c>
      <c r="BB21" s="399">
        <v>0.32</v>
      </c>
      <c r="BC21" s="399">
        <v>2300</v>
      </c>
      <c r="BD21" s="399">
        <v>0</v>
      </c>
      <c r="BE21" s="399">
        <v>21.6</v>
      </c>
      <c r="BF21" s="399">
        <v>966.81895174904912</v>
      </c>
      <c r="BG21" s="399">
        <v>149.5</v>
      </c>
      <c r="BH21" s="399">
        <v>19</v>
      </c>
      <c r="BI21" s="399">
        <v>0</v>
      </c>
      <c r="BJ21" s="399">
        <v>3.2000000000000001E-2</v>
      </c>
      <c r="BK21" s="398">
        <v>3456.9509517490492</v>
      </c>
      <c r="BL21" s="389">
        <v>35</v>
      </c>
      <c r="BM21" s="389">
        <v>0</v>
      </c>
      <c r="BN21" s="395">
        <v>54</v>
      </c>
      <c r="BO21" s="395">
        <v>29</v>
      </c>
      <c r="BP21" s="395">
        <v>0</v>
      </c>
      <c r="BQ21" s="389">
        <v>6</v>
      </c>
      <c r="BR21" s="389">
        <v>3051</v>
      </c>
      <c r="BS21" s="389">
        <v>0</v>
      </c>
      <c r="BT21" s="389">
        <v>150</v>
      </c>
      <c r="BU21" s="389">
        <v>0</v>
      </c>
      <c r="BV21" s="389">
        <v>0</v>
      </c>
      <c r="BW21" s="389">
        <v>0</v>
      </c>
      <c r="BX21" s="389">
        <v>6</v>
      </c>
      <c r="BY21" s="389">
        <v>102</v>
      </c>
      <c r="BZ21" s="389">
        <v>0</v>
      </c>
      <c r="CA21" s="400">
        <v>82</v>
      </c>
      <c r="CB21" s="400">
        <v>0</v>
      </c>
      <c r="CC21" s="400">
        <v>0</v>
      </c>
      <c r="CD21" s="389">
        <v>350</v>
      </c>
      <c r="CE21" s="389">
        <v>0</v>
      </c>
      <c r="CF21" s="389">
        <v>540</v>
      </c>
      <c r="CG21" s="389">
        <v>290</v>
      </c>
      <c r="CH21" s="389">
        <v>0</v>
      </c>
      <c r="CI21" s="389">
        <v>60</v>
      </c>
      <c r="CJ21" s="389">
        <v>915.30000000000007</v>
      </c>
      <c r="CK21" s="389">
        <v>60</v>
      </c>
      <c r="CL21" s="389">
        <v>0</v>
      </c>
      <c r="CM21" s="389">
        <v>120</v>
      </c>
      <c r="CN21" s="389">
        <v>408</v>
      </c>
      <c r="CO21" s="389">
        <v>0</v>
      </c>
      <c r="CP21" s="389">
        <v>328</v>
      </c>
      <c r="CQ21" s="389">
        <v>0</v>
      </c>
      <c r="CR21" s="389">
        <v>0</v>
      </c>
      <c r="CS21" s="389">
        <v>3071.3</v>
      </c>
      <c r="CT21" s="389">
        <v>6</v>
      </c>
      <c r="CU21" s="389">
        <v>1</v>
      </c>
      <c r="CV21" s="389">
        <v>3</v>
      </c>
      <c r="CW21" s="389">
        <v>10</v>
      </c>
      <c r="CX21" s="401">
        <v>2402.9911797957693</v>
      </c>
      <c r="CY21" s="396">
        <v>0</v>
      </c>
      <c r="CZ21" s="396">
        <v>229619.47976339009</v>
      </c>
      <c r="DA21" s="402">
        <v>0</v>
      </c>
      <c r="DB21" s="389">
        <v>0</v>
      </c>
      <c r="DC21" s="396">
        <v>60.993128840000004</v>
      </c>
      <c r="DD21" s="403">
        <v>0</v>
      </c>
      <c r="DE21" s="402">
        <v>1.5485738054451639</v>
      </c>
      <c r="DF21" s="402">
        <v>0</v>
      </c>
      <c r="DG21" s="402">
        <v>0.63209127781357799</v>
      </c>
      <c r="DH21" s="402">
        <v>0.64542004160958744</v>
      </c>
      <c r="DI21" s="402">
        <v>0.87043346023320656</v>
      </c>
      <c r="DJ21" s="402"/>
      <c r="DK21" s="402"/>
      <c r="DL21" s="404"/>
      <c r="DM21" s="404"/>
      <c r="DN21" s="402">
        <v>0.69444444444444442</v>
      </c>
      <c r="DO21" s="402">
        <v>0.91854231385290264</v>
      </c>
      <c r="DP21" s="402">
        <v>1</v>
      </c>
      <c r="DQ21" s="402">
        <v>1</v>
      </c>
      <c r="DR21" s="405">
        <v>0.23228607081677458</v>
      </c>
      <c r="DS21" s="405">
        <v>0</v>
      </c>
      <c r="DT21" s="402">
        <v>9.4813691672036696E-2</v>
      </c>
      <c r="DU21" s="402">
        <v>9.6813006241438113E-2</v>
      </c>
      <c r="DV21" s="402">
        <v>8.7043346023320659E-2</v>
      </c>
      <c r="DW21" s="402">
        <v>0.51095611475357006</v>
      </c>
      <c r="DX21" s="402">
        <v>6.9444444444444448E-2</v>
      </c>
      <c r="DY21" s="402">
        <v>0.18370846277058053</v>
      </c>
      <c r="DZ21" s="406">
        <v>0.05</v>
      </c>
      <c r="EA21" s="406">
        <v>0.05</v>
      </c>
      <c r="EB21" s="406">
        <v>0.35315290721502496</v>
      </c>
      <c r="EC21" s="407">
        <v>0.86410902196859496</v>
      </c>
      <c r="ED21" s="408" t="s">
        <v>511</v>
      </c>
      <c r="EE21" s="408" t="s">
        <v>27</v>
      </c>
      <c r="EG21" s="389">
        <v>538717.89672434959</v>
      </c>
      <c r="EH21" s="389">
        <v>524420.02696166059</v>
      </c>
      <c r="EI21" s="389">
        <v>529699.46375812066</v>
      </c>
      <c r="EJ21" s="389">
        <v>387436.74981000018</v>
      </c>
      <c r="EK21" s="389">
        <v>387390.53716858017</v>
      </c>
      <c r="EL21" s="389">
        <v>387465.40150783031</v>
      </c>
      <c r="EN21" s="389">
        <v>7</v>
      </c>
      <c r="EO21" s="409">
        <v>925391.13951921801</v>
      </c>
      <c r="EP21" s="409">
        <v>915020.7970047011</v>
      </c>
      <c r="EQ21" s="410">
        <v>1481.4775020738432</v>
      </c>
      <c r="ER21" s="404">
        <v>0.2</v>
      </c>
      <c r="ES21" s="404">
        <v>1.6454200416095874</v>
      </c>
      <c r="ET21" s="404">
        <v>0.24681300624143809</v>
      </c>
      <c r="EU21" s="411">
        <v>1.214109021968595</v>
      </c>
      <c r="EV21" s="412" t="s">
        <v>520</v>
      </c>
      <c r="EW21" s="412" t="s">
        <v>29</v>
      </c>
      <c r="EX21" s="381"/>
      <c r="EY21" s="419">
        <v>1.0483571473841118</v>
      </c>
      <c r="EZ21" s="419">
        <v>0.99990152385550723</v>
      </c>
      <c r="FA21" s="419">
        <v>1.3299518609223069</v>
      </c>
      <c r="FB21" s="419">
        <v>1.0889714363840908</v>
      </c>
      <c r="FC21" s="419">
        <v>1.1513106907937554</v>
      </c>
      <c r="FD21" s="419">
        <v>1.1677258260571004</v>
      </c>
      <c r="FE21" s="419">
        <v>1.1859348284228219</v>
      </c>
      <c r="FF21" s="419">
        <v>1.155869808590595</v>
      </c>
      <c r="FG21" s="419">
        <v>1.0962167633343056</v>
      </c>
      <c r="FH21" s="419">
        <v>1.0900877734743288</v>
      </c>
      <c r="FI21" s="419">
        <v>1.214109021968595</v>
      </c>
      <c r="FJ21" s="419"/>
      <c r="FK21" s="407">
        <v>1.1260701773873087</v>
      </c>
      <c r="FL21" s="407">
        <v>1.1360026510783154</v>
      </c>
      <c r="FM21" s="419">
        <v>1.1460071334492408</v>
      </c>
      <c r="FN21" s="419">
        <v>1.1520983977214621</v>
      </c>
      <c r="FO21" s="407">
        <v>1.1389487891988652</v>
      </c>
    </row>
    <row r="22" spans="1:171" hidden="1" outlineLevel="1" x14ac:dyDescent="0.25">
      <c r="A22" s="390" t="s">
        <v>208</v>
      </c>
      <c r="B22" s="390" t="s">
        <v>219</v>
      </c>
      <c r="C22" s="390" t="s">
        <v>220</v>
      </c>
      <c r="D22" s="391" t="s">
        <v>219</v>
      </c>
      <c r="E22" s="390" t="s">
        <v>36</v>
      </c>
      <c r="F22" s="391" t="s">
        <v>154</v>
      </c>
      <c r="G22" s="392">
        <v>1</v>
      </c>
      <c r="H22" s="393">
        <v>34771</v>
      </c>
      <c r="I22" s="393">
        <v>44046</v>
      </c>
      <c r="J22" s="394">
        <v>333</v>
      </c>
      <c r="K22" s="391">
        <v>702</v>
      </c>
      <c r="L22" s="390" t="s">
        <v>214</v>
      </c>
      <c r="M22" s="392" t="s">
        <v>354</v>
      </c>
      <c r="N22" s="395">
        <v>6</v>
      </c>
      <c r="O22" s="395">
        <v>2</v>
      </c>
      <c r="P22" s="395">
        <v>7</v>
      </c>
      <c r="Q22" s="389">
        <v>0</v>
      </c>
      <c r="R22" s="389">
        <v>0</v>
      </c>
      <c r="S22" s="389">
        <v>325145.93150000001</v>
      </c>
      <c r="T22" s="389">
        <v>317993.63574999996</v>
      </c>
      <c r="U22" s="389">
        <v>70645.002040079984</v>
      </c>
      <c r="V22" s="389">
        <v>267801.92223114992</v>
      </c>
      <c r="W22" s="389">
        <v>0</v>
      </c>
      <c r="X22" s="389">
        <v>0</v>
      </c>
      <c r="Y22" s="389">
        <v>344563.68150000001</v>
      </c>
      <c r="Z22" s="389">
        <v>318368.63574999996</v>
      </c>
      <c r="AA22" s="389"/>
      <c r="AB22" s="389"/>
      <c r="AC22" s="389">
        <v>19417.75</v>
      </c>
      <c r="AD22" s="389">
        <v>375</v>
      </c>
      <c r="AE22" s="389">
        <v>5627.0138888888887</v>
      </c>
      <c r="AF22" s="389">
        <v>577.49565972222229</v>
      </c>
      <c r="AG22" s="389">
        <v>3000</v>
      </c>
      <c r="AH22" s="396">
        <v>12</v>
      </c>
      <c r="AI22" s="389">
        <v>1530.7932291666668</v>
      </c>
      <c r="AJ22" s="397">
        <v>0.02</v>
      </c>
      <c r="AK22" s="397">
        <v>0.1</v>
      </c>
      <c r="AL22" s="389">
        <v>456532.29265815951</v>
      </c>
      <c r="AM22" s="389">
        <v>166261.82812209928</v>
      </c>
      <c r="AN22" s="398">
        <v>131386.3611581595</v>
      </c>
      <c r="AO22" s="398">
        <v>-151731.80762790068</v>
      </c>
      <c r="AP22" s="398">
        <v>92550.861158159503</v>
      </c>
      <c r="AQ22" s="398">
        <v>425047.26133178017</v>
      </c>
      <c r="AR22" s="398">
        <v>4842.8420119900002</v>
      </c>
      <c r="AS22" s="398">
        <v>0</v>
      </c>
      <c r="AT22" s="398">
        <v>50</v>
      </c>
      <c r="AU22" s="399">
        <v>60.2</v>
      </c>
      <c r="AV22" s="399">
        <v>0</v>
      </c>
      <c r="AW22" s="399">
        <v>23.035188000000002</v>
      </c>
      <c r="AX22" s="399">
        <v>806265.66856965492</v>
      </c>
      <c r="AY22" s="399">
        <v>0</v>
      </c>
      <c r="AZ22" s="399">
        <v>7000</v>
      </c>
      <c r="BA22" s="399">
        <v>0</v>
      </c>
      <c r="BB22" s="399">
        <v>0</v>
      </c>
      <c r="BC22" s="399">
        <v>1204</v>
      </c>
      <c r="BD22" s="399">
        <v>0</v>
      </c>
      <c r="BE22" s="399">
        <v>46.070376000000003</v>
      </c>
      <c r="BF22" s="399">
        <v>806.26566856965496</v>
      </c>
      <c r="BG22" s="399">
        <v>0</v>
      </c>
      <c r="BH22" s="399">
        <v>700</v>
      </c>
      <c r="BI22" s="399">
        <v>0</v>
      </c>
      <c r="BJ22" s="399">
        <v>0</v>
      </c>
      <c r="BK22" s="398">
        <v>2756.3360445696549</v>
      </c>
      <c r="BL22" s="389">
        <v>45</v>
      </c>
      <c r="BM22" s="389">
        <v>4</v>
      </c>
      <c r="BN22" s="395">
        <v>103</v>
      </c>
      <c r="BO22" s="395">
        <v>94</v>
      </c>
      <c r="BP22" s="395">
        <v>0</v>
      </c>
      <c r="BQ22" s="389">
        <v>0</v>
      </c>
      <c r="BR22" s="389">
        <v>4842.8420119900002</v>
      </c>
      <c r="BS22" s="389">
        <v>0</v>
      </c>
      <c r="BT22" s="389">
        <v>0</v>
      </c>
      <c r="BU22" s="389">
        <v>0</v>
      </c>
      <c r="BV22" s="389">
        <v>0</v>
      </c>
      <c r="BW22" s="389">
        <v>1</v>
      </c>
      <c r="BX22" s="389">
        <v>2</v>
      </c>
      <c r="BY22" s="389">
        <v>92</v>
      </c>
      <c r="BZ22" s="389">
        <v>0</v>
      </c>
      <c r="CA22" s="400">
        <v>0</v>
      </c>
      <c r="CB22" s="400">
        <v>0</v>
      </c>
      <c r="CC22" s="400">
        <v>0</v>
      </c>
      <c r="CD22" s="389">
        <v>450</v>
      </c>
      <c r="CE22" s="389">
        <v>8</v>
      </c>
      <c r="CF22" s="389">
        <v>1030</v>
      </c>
      <c r="CG22" s="389">
        <v>940</v>
      </c>
      <c r="CH22" s="389">
        <v>0</v>
      </c>
      <c r="CI22" s="389">
        <v>0</v>
      </c>
      <c r="CJ22" s="389">
        <v>1452.8526035970001</v>
      </c>
      <c r="CK22" s="389">
        <v>0</v>
      </c>
      <c r="CL22" s="389">
        <v>50</v>
      </c>
      <c r="CM22" s="389">
        <v>40</v>
      </c>
      <c r="CN22" s="389">
        <v>368</v>
      </c>
      <c r="CO22" s="389">
        <v>0</v>
      </c>
      <c r="CP22" s="389">
        <v>0</v>
      </c>
      <c r="CQ22" s="389">
        <v>0</v>
      </c>
      <c r="CR22" s="389">
        <v>0</v>
      </c>
      <c r="CS22" s="389">
        <v>4338.8526035969999</v>
      </c>
      <c r="CT22" s="389">
        <v>4</v>
      </c>
      <c r="CU22" s="389">
        <v>1</v>
      </c>
      <c r="CV22" s="389">
        <v>6</v>
      </c>
      <c r="CW22" s="389">
        <v>11</v>
      </c>
      <c r="CX22" s="401">
        <v>4718.6499770868077</v>
      </c>
      <c r="CY22" s="396">
        <v>146.22805071000002</v>
      </c>
      <c r="CZ22" s="396">
        <v>393471.79750929982</v>
      </c>
      <c r="DA22" s="402">
        <v>3.716354047116779E-4</v>
      </c>
      <c r="DB22" s="389">
        <v>0</v>
      </c>
      <c r="DC22" s="396">
        <v>0</v>
      </c>
      <c r="DD22" s="403">
        <v>0</v>
      </c>
      <c r="DE22" s="402">
        <v>2</v>
      </c>
      <c r="DF22" s="402">
        <v>0</v>
      </c>
      <c r="DG22" s="402">
        <v>0.86064156009152282</v>
      </c>
      <c r="DH22" s="402">
        <v>8.6580737289090964E-2</v>
      </c>
      <c r="DI22" s="402">
        <v>2</v>
      </c>
      <c r="DJ22" s="402"/>
      <c r="DK22" s="402"/>
      <c r="DL22" s="404"/>
      <c r="DM22" s="404"/>
      <c r="DN22" s="402">
        <v>0.91666666666666663</v>
      </c>
      <c r="DO22" s="402">
        <v>1.3</v>
      </c>
      <c r="DP22" s="402">
        <v>1</v>
      </c>
      <c r="DQ22" s="402">
        <v>1</v>
      </c>
      <c r="DR22" s="405">
        <v>0.3</v>
      </c>
      <c r="DS22" s="405">
        <v>0</v>
      </c>
      <c r="DT22" s="402">
        <v>0.12909623401372841</v>
      </c>
      <c r="DU22" s="402">
        <v>1.2987110593363644E-2</v>
      </c>
      <c r="DV22" s="402">
        <v>0.2</v>
      </c>
      <c r="DW22" s="402">
        <v>0.64208334460709215</v>
      </c>
      <c r="DX22" s="402">
        <v>9.1666666666666674E-2</v>
      </c>
      <c r="DY22" s="402">
        <v>0.26</v>
      </c>
      <c r="DZ22" s="406">
        <v>0.05</v>
      </c>
      <c r="EA22" s="406">
        <v>0.05</v>
      </c>
      <c r="EB22" s="406">
        <v>0.45166666666666666</v>
      </c>
      <c r="EC22" s="407">
        <v>1.0937500112737588</v>
      </c>
      <c r="ED22" s="408" t="s">
        <v>510</v>
      </c>
      <c r="EE22" s="408" t="s">
        <v>28</v>
      </c>
      <c r="EG22" s="389">
        <v>466607.67620191054</v>
      </c>
      <c r="EH22" s="389">
        <v>428441.54244456039</v>
      </c>
      <c r="EI22" s="389">
        <v>439538.19717395073</v>
      </c>
      <c r="EJ22" s="389">
        <v>165992.75835999998</v>
      </c>
      <c r="EK22" s="389">
        <v>194550.08449222994</v>
      </c>
      <c r="EL22" s="389">
        <v>193347.49745684999</v>
      </c>
      <c r="EN22" s="389">
        <v>4</v>
      </c>
      <c r="EO22" s="409">
        <v>622794.12078025879</v>
      </c>
      <c r="EP22" s="409">
        <v>633486.46249768173</v>
      </c>
      <c r="EQ22" s="410">
        <v>-2673.085429355735</v>
      </c>
      <c r="ER22" s="404">
        <v>0</v>
      </c>
      <c r="ES22" s="404">
        <v>1.086580737289091</v>
      </c>
      <c r="ET22" s="404">
        <v>0.16298711059336365</v>
      </c>
      <c r="EU22" s="411">
        <v>1.2437500112737587</v>
      </c>
      <c r="EV22" s="412" t="s">
        <v>520</v>
      </c>
      <c r="EW22" s="412" t="s">
        <v>29</v>
      </c>
      <c r="EX22" s="381"/>
      <c r="EY22" s="419">
        <v>1.0293292004439341</v>
      </c>
      <c r="EZ22" s="419">
        <v>0.90075182649165275</v>
      </c>
      <c r="FA22" s="419">
        <v>1.3534939586386581</v>
      </c>
      <c r="FB22" s="419">
        <v>1.2210346725457288</v>
      </c>
      <c r="FC22" s="419">
        <v>0.99467697305209479</v>
      </c>
      <c r="FD22" s="419">
        <v>1.0459405074151036</v>
      </c>
      <c r="FE22" s="419">
        <v>1.3665160397329426</v>
      </c>
      <c r="FF22" s="419">
        <v>1.2723186758909037</v>
      </c>
      <c r="FG22" s="419">
        <v>1.0990807846157451</v>
      </c>
      <c r="FH22" s="419">
        <v>1.271806276460044</v>
      </c>
      <c r="FI22" s="419">
        <v>1.2437500112737587</v>
      </c>
      <c r="FJ22" s="419"/>
      <c r="FK22" s="407">
        <v>1.0945249951914151</v>
      </c>
      <c r="FL22" s="407">
        <v>1.0872173843376425</v>
      </c>
      <c r="FM22" s="419">
        <v>1.2459718334131973</v>
      </c>
      <c r="FN22" s="419">
        <v>1.2577781438669013</v>
      </c>
      <c r="FO22" s="407">
        <v>1.163518084232779</v>
      </c>
    </row>
    <row r="23" spans="1:171" hidden="1" outlineLevel="1" x14ac:dyDescent="0.25">
      <c r="A23" s="390" t="s">
        <v>447</v>
      </c>
      <c r="B23" s="390" t="s">
        <v>365</v>
      </c>
      <c r="C23" s="390" t="s">
        <v>366</v>
      </c>
      <c r="D23" s="391" t="s">
        <v>365</v>
      </c>
      <c r="E23" s="390" t="s">
        <v>36</v>
      </c>
      <c r="F23" s="391" t="s">
        <v>154</v>
      </c>
      <c r="G23" s="392">
        <v>1</v>
      </c>
      <c r="H23" s="393">
        <v>34425</v>
      </c>
      <c r="I23" s="393">
        <v>44531</v>
      </c>
      <c r="J23" s="394">
        <v>344</v>
      </c>
      <c r="K23" s="391">
        <v>101</v>
      </c>
      <c r="L23" s="390" t="s">
        <v>227</v>
      </c>
      <c r="M23" s="392" t="s">
        <v>354</v>
      </c>
      <c r="N23" s="395">
        <v>14</v>
      </c>
      <c r="O23" s="395">
        <v>4</v>
      </c>
      <c r="P23" s="395">
        <v>18</v>
      </c>
      <c r="Q23" s="389">
        <v>0</v>
      </c>
      <c r="R23" s="389">
        <v>0</v>
      </c>
      <c r="S23" s="389">
        <v>719800.77899999893</v>
      </c>
      <c r="T23" s="389">
        <v>312108.65799999976</v>
      </c>
      <c r="U23" s="389">
        <v>269888.12272794009</v>
      </c>
      <c r="V23" s="389">
        <v>243746.58321189001</v>
      </c>
      <c r="W23" s="389">
        <v>0</v>
      </c>
      <c r="X23" s="389">
        <v>0</v>
      </c>
      <c r="Y23" s="389">
        <v>782608.02899999893</v>
      </c>
      <c r="Z23" s="389">
        <v>313158.65799999976</v>
      </c>
      <c r="AA23" s="389"/>
      <c r="AB23" s="389"/>
      <c r="AC23" s="389">
        <v>62807.25</v>
      </c>
      <c r="AD23" s="389">
        <v>1050</v>
      </c>
      <c r="AE23" s="389">
        <v>11347.465277777777</v>
      </c>
      <c r="AF23" s="389">
        <v>1160.9270833333333</v>
      </c>
      <c r="AG23" s="389">
        <v>9900</v>
      </c>
      <c r="AH23" s="396">
        <v>28.8</v>
      </c>
      <c r="AI23" s="389">
        <v>4170.3384895833333</v>
      </c>
      <c r="AJ23" s="397">
        <v>0.02</v>
      </c>
      <c r="AK23" s="397">
        <v>0.1</v>
      </c>
      <c r="AL23" s="389">
        <v>697326.16112494876</v>
      </c>
      <c r="AM23" s="389">
        <v>305590.87976681802</v>
      </c>
      <c r="AN23" s="398">
        <v>-22474.617875050171</v>
      </c>
      <c r="AO23" s="398">
        <v>-6517.7782331817434</v>
      </c>
      <c r="AP23" s="398">
        <v>0</v>
      </c>
      <c r="AQ23" s="398">
        <v>278580.82027324993</v>
      </c>
      <c r="AR23" s="398">
        <v>3567.9128068333334</v>
      </c>
      <c r="AS23" s="398">
        <v>0</v>
      </c>
      <c r="AT23" s="398">
        <v>673.3</v>
      </c>
      <c r="AU23" s="399">
        <v>168.3</v>
      </c>
      <c r="AV23" s="399">
        <v>39</v>
      </c>
      <c r="AW23" s="399">
        <v>25.2</v>
      </c>
      <c r="AX23" s="399">
        <v>0</v>
      </c>
      <c r="AY23" s="399">
        <v>2336</v>
      </c>
      <c r="AZ23" s="399">
        <v>0</v>
      </c>
      <c r="BA23" s="399">
        <v>0</v>
      </c>
      <c r="BB23" s="399">
        <v>1.3</v>
      </c>
      <c r="BC23" s="399">
        <v>3366</v>
      </c>
      <c r="BD23" s="399">
        <v>312</v>
      </c>
      <c r="BE23" s="399">
        <v>50.4</v>
      </c>
      <c r="BF23" s="399">
        <v>0</v>
      </c>
      <c r="BG23" s="399">
        <v>233.6</v>
      </c>
      <c r="BH23" s="399">
        <v>0</v>
      </c>
      <c r="BI23" s="399">
        <v>0</v>
      </c>
      <c r="BJ23" s="399">
        <v>0.13</v>
      </c>
      <c r="BK23" s="398">
        <v>3962.13</v>
      </c>
      <c r="BL23" s="389">
        <v>75</v>
      </c>
      <c r="BM23" s="389">
        <v>27</v>
      </c>
      <c r="BN23" s="395">
        <v>99</v>
      </c>
      <c r="BO23" s="395">
        <v>8</v>
      </c>
      <c r="BP23" s="395">
        <v>0</v>
      </c>
      <c r="BQ23" s="389">
        <v>13</v>
      </c>
      <c r="BR23" s="389">
        <v>3567.9128068333334</v>
      </c>
      <c r="BS23" s="389">
        <v>0</v>
      </c>
      <c r="BT23" s="389">
        <v>240.01613699999999</v>
      </c>
      <c r="BU23" s="389">
        <v>59.24</v>
      </c>
      <c r="BV23" s="389">
        <v>0</v>
      </c>
      <c r="BW23" s="389">
        <v>1</v>
      </c>
      <c r="BX23" s="389">
        <v>4</v>
      </c>
      <c r="BY23" s="389">
        <v>237</v>
      </c>
      <c r="BZ23" s="389">
        <v>3</v>
      </c>
      <c r="CA23" s="400">
        <v>0</v>
      </c>
      <c r="CB23" s="400">
        <v>0</v>
      </c>
      <c r="CC23" s="400">
        <v>12.5</v>
      </c>
      <c r="CD23" s="389">
        <v>750</v>
      </c>
      <c r="CE23" s="389">
        <v>54</v>
      </c>
      <c r="CF23" s="389">
        <v>990</v>
      </c>
      <c r="CG23" s="389">
        <v>80</v>
      </c>
      <c r="CH23" s="389">
        <v>0</v>
      </c>
      <c r="CI23" s="389">
        <v>130</v>
      </c>
      <c r="CJ23" s="389">
        <v>1070.3738420500001</v>
      </c>
      <c r="CK23" s="389">
        <v>143.3984548</v>
      </c>
      <c r="CL23" s="389">
        <v>50</v>
      </c>
      <c r="CM23" s="389">
        <v>80</v>
      </c>
      <c r="CN23" s="389">
        <v>948</v>
      </c>
      <c r="CO23" s="389">
        <v>60</v>
      </c>
      <c r="CP23" s="389">
        <v>0</v>
      </c>
      <c r="CQ23" s="389">
        <v>0</v>
      </c>
      <c r="CR23" s="389">
        <v>2.5</v>
      </c>
      <c r="CS23" s="389">
        <v>4358.2722968500002</v>
      </c>
      <c r="CT23" s="389">
        <v>8</v>
      </c>
      <c r="CU23" s="389">
        <v>2</v>
      </c>
      <c r="CV23" s="389">
        <v>11</v>
      </c>
      <c r="CW23" s="389">
        <v>21</v>
      </c>
      <c r="CX23" s="401">
        <v>542.34769772999971</v>
      </c>
      <c r="CY23" s="396">
        <v>270.79398992</v>
      </c>
      <c r="CZ23" s="396">
        <v>256272.96404888007</v>
      </c>
      <c r="DA23" s="402">
        <v>1.0566623401926638E-3</v>
      </c>
      <c r="DB23" s="389">
        <v>3.4125509900000002</v>
      </c>
      <c r="DC23" s="396">
        <v>62.059242220000002</v>
      </c>
      <c r="DD23" s="403">
        <v>5.4988602308460477E-2</v>
      </c>
      <c r="DE23" s="402">
        <v>0</v>
      </c>
      <c r="DF23" s="402">
        <v>0</v>
      </c>
      <c r="DG23" s="402">
        <v>0.31442376949330952</v>
      </c>
      <c r="DH23" s="402">
        <v>0.57996751877540398</v>
      </c>
      <c r="DI23" s="402">
        <v>0.84044467644949494</v>
      </c>
      <c r="DJ23" s="402"/>
      <c r="DK23" s="402"/>
      <c r="DL23" s="404"/>
      <c r="DM23" s="404"/>
      <c r="DN23" s="402">
        <v>0.72916666666666663</v>
      </c>
      <c r="DO23" s="402">
        <v>0.13004884353744312</v>
      </c>
      <c r="DP23" s="402">
        <v>1</v>
      </c>
      <c r="DQ23" s="402">
        <v>1</v>
      </c>
      <c r="DR23" s="405">
        <v>0</v>
      </c>
      <c r="DS23" s="405">
        <v>0</v>
      </c>
      <c r="DT23" s="402">
        <v>4.7163565423996426E-2</v>
      </c>
      <c r="DU23" s="402">
        <v>8.6995127816310594E-2</v>
      </c>
      <c r="DV23" s="402">
        <v>8.4044467644949494E-2</v>
      </c>
      <c r="DW23" s="402">
        <v>0.21820316088525651</v>
      </c>
      <c r="DX23" s="402">
        <v>7.2916666666666671E-2</v>
      </c>
      <c r="DY23" s="402">
        <v>2.6009768707488626E-2</v>
      </c>
      <c r="DZ23" s="406">
        <v>0.05</v>
      </c>
      <c r="EA23" s="406">
        <v>0.05</v>
      </c>
      <c r="EB23" s="406">
        <v>0.19892643537415527</v>
      </c>
      <c r="EC23" s="407">
        <v>0.41712959625941182</v>
      </c>
      <c r="ED23" s="408" t="s">
        <v>157</v>
      </c>
      <c r="EE23" s="408" t="s">
        <v>156</v>
      </c>
      <c r="EG23" s="389">
        <v>707921.14108174131</v>
      </c>
      <c r="EH23" s="389">
        <v>695872.66235740657</v>
      </c>
      <c r="EI23" s="389">
        <v>701489.20500462828</v>
      </c>
      <c r="EJ23" s="389">
        <v>302737.44083000015</v>
      </c>
      <c r="EK23" s="389">
        <v>307227.92839321995</v>
      </c>
      <c r="EL23" s="389">
        <v>307243.59247175016</v>
      </c>
      <c r="EN23" s="389">
        <v>11</v>
      </c>
      <c r="EO23" s="409">
        <v>1002917.0408917668</v>
      </c>
      <c r="EP23" s="409">
        <v>1008926.5387569796</v>
      </c>
      <c r="EQ23" s="410">
        <v>-546.31798774662263</v>
      </c>
      <c r="ER23" s="404">
        <v>0</v>
      </c>
      <c r="ES23" s="404">
        <v>1.5799675187754039</v>
      </c>
      <c r="ET23" s="404">
        <v>0.23699512781631057</v>
      </c>
      <c r="EU23" s="411">
        <v>0.56712959625941184</v>
      </c>
      <c r="EV23" s="412" t="s">
        <v>157</v>
      </c>
      <c r="EW23" s="412" t="s">
        <v>156</v>
      </c>
      <c r="EX23" s="381"/>
      <c r="EY23" s="419">
        <v>1.0786568696538903</v>
      </c>
      <c r="EZ23" s="419">
        <v>0.80573944161298905</v>
      </c>
      <c r="FA23" s="419">
        <v>0.57865117545353173</v>
      </c>
      <c r="FB23" s="419">
        <v>0.58395953659531352</v>
      </c>
      <c r="FC23" s="419">
        <v>0.76130935184208581</v>
      </c>
      <c r="FD23" s="419">
        <v>0.51025327645177021</v>
      </c>
      <c r="FE23" s="419">
        <v>0.64150964702918223</v>
      </c>
      <c r="FF23" s="419">
        <v>0.7685770941635155</v>
      </c>
      <c r="FG23" s="419">
        <v>0.68738693913866999</v>
      </c>
      <c r="FH23" s="419">
        <v>0.63321867721127756</v>
      </c>
      <c r="FI23" s="419">
        <v>0.56712959625941184</v>
      </c>
      <c r="FJ23" s="419"/>
      <c r="FK23" s="407">
        <v>0.82101582890680369</v>
      </c>
      <c r="FL23" s="407">
        <v>0.61850738829638985</v>
      </c>
      <c r="FM23" s="419">
        <v>0.6991578934437892</v>
      </c>
      <c r="FN23" s="419">
        <v>0.6001741367353447</v>
      </c>
      <c r="FO23" s="407">
        <v>0.69239923685560345</v>
      </c>
    </row>
    <row r="24" spans="1:171" hidden="1" outlineLevel="1" x14ac:dyDescent="0.25">
      <c r="A24" s="390" t="s">
        <v>251</v>
      </c>
      <c r="B24" s="390" t="s">
        <v>262</v>
      </c>
      <c r="C24" s="390" t="s">
        <v>263</v>
      </c>
      <c r="D24" s="391" t="s">
        <v>262</v>
      </c>
      <c r="E24" s="390" t="s">
        <v>36</v>
      </c>
      <c r="F24" s="391" t="s">
        <v>154</v>
      </c>
      <c r="G24" s="392">
        <v>1</v>
      </c>
      <c r="H24" s="393">
        <v>42738</v>
      </c>
      <c r="I24" s="393">
        <v>43832</v>
      </c>
      <c r="J24" s="394">
        <v>71</v>
      </c>
      <c r="K24" s="391">
        <v>801</v>
      </c>
      <c r="L24" s="390" t="s">
        <v>264</v>
      </c>
      <c r="M24" s="392" t="s">
        <v>354</v>
      </c>
      <c r="N24" s="395">
        <v>10</v>
      </c>
      <c r="O24" s="395">
        <v>3</v>
      </c>
      <c r="P24" s="395">
        <v>18</v>
      </c>
      <c r="Q24" s="389">
        <v>0</v>
      </c>
      <c r="R24" s="389">
        <v>0</v>
      </c>
      <c r="S24" s="389">
        <v>692062.99599999934</v>
      </c>
      <c r="T24" s="389">
        <v>338916.01500000007</v>
      </c>
      <c r="U24" s="389">
        <v>161995.07852982011</v>
      </c>
      <c r="V24" s="389">
        <v>105641.16551796997</v>
      </c>
      <c r="W24" s="389">
        <v>0</v>
      </c>
      <c r="X24" s="389">
        <v>0</v>
      </c>
      <c r="Y24" s="389">
        <v>756767.74599999934</v>
      </c>
      <c r="Z24" s="389">
        <v>339816.01500000007</v>
      </c>
      <c r="AA24" s="389"/>
      <c r="AB24" s="389"/>
      <c r="AC24" s="389">
        <v>64704.75</v>
      </c>
      <c r="AD24" s="389">
        <v>900</v>
      </c>
      <c r="AE24" s="389">
        <v>7506.145833333333</v>
      </c>
      <c r="AF24" s="389">
        <v>1305.1401909722226</v>
      </c>
      <c r="AG24" s="389">
        <v>8100</v>
      </c>
      <c r="AH24" s="396">
        <v>24.8</v>
      </c>
      <c r="AI24" s="389">
        <v>3914.2923437500003</v>
      </c>
      <c r="AJ24" s="397">
        <v>0.02</v>
      </c>
      <c r="AK24" s="397">
        <v>0.1</v>
      </c>
      <c r="AL24" s="389">
        <v>714293.53886321618</v>
      </c>
      <c r="AM24" s="389">
        <v>263072.02881315455</v>
      </c>
      <c r="AN24" s="398">
        <v>22230.542863216833</v>
      </c>
      <c r="AO24" s="398">
        <v>-75843.986186845519</v>
      </c>
      <c r="AP24" s="398">
        <v>0</v>
      </c>
      <c r="AQ24" s="398">
        <v>115986.44716400001</v>
      </c>
      <c r="AR24" s="398">
        <v>0</v>
      </c>
      <c r="AS24" s="398">
        <v>0</v>
      </c>
      <c r="AT24" s="398">
        <v>405</v>
      </c>
      <c r="AU24" s="399">
        <v>209.6078</v>
      </c>
      <c r="AV24" s="399">
        <v>6</v>
      </c>
      <c r="AW24" s="399">
        <v>9.6</v>
      </c>
      <c r="AX24" s="399">
        <v>581910.73555086378</v>
      </c>
      <c r="AY24" s="399">
        <v>500</v>
      </c>
      <c r="AZ24" s="399">
        <v>0</v>
      </c>
      <c r="BA24" s="399">
        <v>0</v>
      </c>
      <c r="BB24" s="399">
        <v>0</v>
      </c>
      <c r="BC24" s="399">
        <v>4192.1559999999999</v>
      </c>
      <c r="BD24" s="399">
        <v>48</v>
      </c>
      <c r="BE24" s="399">
        <v>19.2</v>
      </c>
      <c r="BF24" s="399">
        <v>581.91073555086382</v>
      </c>
      <c r="BG24" s="399">
        <v>50</v>
      </c>
      <c r="BH24" s="399">
        <v>0</v>
      </c>
      <c r="BI24" s="399">
        <v>0</v>
      </c>
      <c r="BJ24" s="399">
        <v>0</v>
      </c>
      <c r="BK24" s="398">
        <v>4891.2667355508638</v>
      </c>
      <c r="BL24" s="389">
        <v>129</v>
      </c>
      <c r="BM24" s="389">
        <v>2</v>
      </c>
      <c r="BN24" s="395">
        <v>131</v>
      </c>
      <c r="BO24" s="395">
        <v>97</v>
      </c>
      <c r="BP24" s="395">
        <v>0</v>
      </c>
      <c r="BQ24" s="389">
        <v>21</v>
      </c>
      <c r="BR24" s="389">
        <v>0</v>
      </c>
      <c r="BS24" s="389">
        <v>0</v>
      </c>
      <c r="BT24" s="389">
        <v>330</v>
      </c>
      <c r="BU24" s="389">
        <v>48</v>
      </c>
      <c r="BV24" s="389">
        <v>0</v>
      </c>
      <c r="BW24" s="389">
        <v>4</v>
      </c>
      <c r="BX24" s="389">
        <v>10</v>
      </c>
      <c r="BY24" s="389">
        <v>562</v>
      </c>
      <c r="BZ24" s="389">
        <v>0</v>
      </c>
      <c r="CA24" s="400">
        <v>0</v>
      </c>
      <c r="CB24" s="400">
        <v>0</v>
      </c>
      <c r="CC24" s="400">
        <v>0</v>
      </c>
      <c r="CD24" s="389">
        <v>1290</v>
      </c>
      <c r="CE24" s="389">
        <v>4</v>
      </c>
      <c r="CF24" s="389">
        <v>1310</v>
      </c>
      <c r="CG24" s="389">
        <v>970</v>
      </c>
      <c r="CH24" s="389">
        <v>0</v>
      </c>
      <c r="CI24" s="389">
        <v>210</v>
      </c>
      <c r="CJ24" s="389">
        <v>0</v>
      </c>
      <c r="CK24" s="389">
        <v>170.4</v>
      </c>
      <c r="CL24" s="389">
        <v>200</v>
      </c>
      <c r="CM24" s="389">
        <v>200</v>
      </c>
      <c r="CN24" s="389">
        <v>2248</v>
      </c>
      <c r="CO24" s="389">
        <v>0</v>
      </c>
      <c r="CP24" s="389">
        <v>0</v>
      </c>
      <c r="CQ24" s="389">
        <v>0</v>
      </c>
      <c r="CR24" s="389">
        <v>0</v>
      </c>
      <c r="CS24" s="389">
        <v>6602.4</v>
      </c>
      <c r="CT24" s="389">
        <v>3</v>
      </c>
      <c r="CU24" s="389">
        <v>1</v>
      </c>
      <c r="CV24" s="389">
        <v>12</v>
      </c>
      <c r="CW24" s="389">
        <v>16</v>
      </c>
      <c r="CX24" s="401">
        <v>770.13246998723582</v>
      </c>
      <c r="CY24" s="396">
        <v>0</v>
      </c>
      <c r="CZ24" s="396">
        <v>88671.244950020002</v>
      </c>
      <c r="DA24" s="402">
        <v>0</v>
      </c>
      <c r="DB24" s="389">
        <v>0</v>
      </c>
      <c r="DC24" s="396">
        <v>335.00033941999999</v>
      </c>
      <c r="DD24" s="403">
        <v>0</v>
      </c>
      <c r="DE24" s="402">
        <v>0.34356894761538886</v>
      </c>
      <c r="DF24" s="402">
        <v>0</v>
      </c>
      <c r="DG24" s="402">
        <v>0</v>
      </c>
      <c r="DH24" s="402">
        <v>0.31031149205382152</v>
      </c>
      <c r="DI24" s="402">
        <v>1.4189712019198597</v>
      </c>
      <c r="DJ24" s="402"/>
      <c r="DK24" s="402"/>
      <c r="DL24" s="404"/>
      <c r="DM24" s="404"/>
      <c r="DN24" s="402">
        <v>0.64516129032258063</v>
      </c>
      <c r="DO24" s="402">
        <v>0.19674883793922954</v>
      </c>
      <c r="DP24" s="402">
        <v>1</v>
      </c>
      <c r="DQ24" s="402">
        <v>1</v>
      </c>
      <c r="DR24" s="405">
        <v>5.153534214230833E-2</v>
      </c>
      <c r="DS24" s="405">
        <v>0</v>
      </c>
      <c r="DT24" s="402">
        <v>0</v>
      </c>
      <c r="DU24" s="402">
        <v>4.6546723808073225E-2</v>
      </c>
      <c r="DV24" s="402">
        <v>0.14189712019198597</v>
      </c>
      <c r="DW24" s="402">
        <v>0.23997918614236752</v>
      </c>
      <c r="DX24" s="402">
        <v>6.4516129032258063E-2</v>
      </c>
      <c r="DY24" s="402">
        <v>3.9349767587845912E-2</v>
      </c>
      <c r="DZ24" s="406">
        <v>0.05</v>
      </c>
      <c r="EA24" s="406">
        <v>0.05</v>
      </c>
      <c r="EB24" s="406">
        <v>0.20386589662010396</v>
      </c>
      <c r="EC24" s="407">
        <v>0.44384508276247148</v>
      </c>
      <c r="ED24" s="408" t="s">
        <v>157</v>
      </c>
      <c r="EE24" s="408" t="s">
        <v>156</v>
      </c>
      <c r="EG24" s="389">
        <v>725734.58315035014</v>
      </c>
      <c r="EH24" s="389">
        <v>715227.45324844192</v>
      </c>
      <c r="EI24" s="389">
        <v>717539.878952133</v>
      </c>
      <c r="EJ24" s="389">
        <v>265916.26842999982</v>
      </c>
      <c r="EK24" s="389">
        <v>262833.53220195993</v>
      </c>
      <c r="EL24" s="389">
        <v>263363.58645353996</v>
      </c>
      <c r="EN24" s="389">
        <v>9</v>
      </c>
      <c r="EO24" s="409">
        <v>977365.56767637073</v>
      </c>
      <c r="EP24" s="409">
        <v>1030880.1767964819</v>
      </c>
      <c r="EQ24" s="410">
        <v>-5946.0676800123574</v>
      </c>
      <c r="ER24" s="404">
        <v>0</v>
      </c>
      <c r="ES24" s="404">
        <v>1.3103114920538215</v>
      </c>
      <c r="ET24" s="404">
        <v>0.19654672380807323</v>
      </c>
      <c r="EU24" s="411">
        <v>0.5938450827624715</v>
      </c>
      <c r="EV24" s="412" t="s">
        <v>157</v>
      </c>
      <c r="EW24" s="412" t="s">
        <v>156</v>
      </c>
      <c r="EX24" s="381"/>
      <c r="EY24" s="419">
        <v>1.0177379136428431</v>
      </c>
      <c r="EZ24" s="419">
        <v>1.0972776499471082</v>
      </c>
      <c r="FA24" s="419">
        <v>0.76658733687673319</v>
      </c>
      <c r="FB24" s="419">
        <v>0.52014109419004917</v>
      </c>
      <c r="FC24" s="419">
        <v>0.67038137204997839</v>
      </c>
      <c r="FD24" s="419">
        <v>0.63732270895388488</v>
      </c>
      <c r="FE24" s="419">
        <v>0.74565729571715245</v>
      </c>
      <c r="FF24" s="419">
        <v>0.64991167973897368</v>
      </c>
      <c r="FG24" s="419">
        <v>0.81679127485228264</v>
      </c>
      <c r="FH24" s="419">
        <v>0.91641921684639738</v>
      </c>
      <c r="FI24" s="419">
        <v>0.5938450827624715</v>
      </c>
      <c r="FJ24" s="419"/>
      <c r="FK24" s="407">
        <v>0.9605343001555614</v>
      </c>
      <c r="FL24" s="407">
        <v>0.60928172506463751</v>
      </c>
      <c r="FM24" s="419">
        <v>0.73745341676946952</v>
      </c>
      <c r="FN24" s="419">
        <v>0.75513214980443444</v>
      </c>
      <c r="FO24" s="407">
        <v>0.76655205687071581</v>
      </c>
    </row>
    <row r="25" spans="1:171" hidden="1" outlineLevel="1" x14ac:dyDescent="0.25">
      <c r="A25" s="390" t="s">
        <v>300</v>
      </c>
      <c r="B25" s="390" t="s">
        <v>201</v>
      </c>
      <c r="C25" s="390" t="s">
        <v>202</v>
      </c>
      <c r="D25" s="391" t="s">
        <v>201</v>
      </c>
      <c r="E25" s="390" t="s">
        <v>36</v>
      </c>
      <c r="F25" s="391" t="s">
        <v>154</v>
      </c>
      <c r="G25" s="392">
        <v>1</v>
      </c>
      <c r="H25" s="393">
        <v>43070</v>
      </c>
      <c r="I25" s="393">
        <v>44228</v>
      </c>
      <c r="J25" s="394">
        <v>60</v>
      </c>
      <c r="K25" s="391">
        <v>309</v>
      </c>
      <c r="L25" s="390" t="s">
        <v>207</v>
      </c>
      <c r="M25" s="392" t="s">
        <v>355</v>
      </c>
      <c r="N25" s="395">
        <v>5</v>
      </c>
      <c r="O25" s="395">
        <v>0</v>
      </c>
      <c r="P25" s="395">
        <v>3</v>
      </c>
      <c r="Q25" s="389">
        <v>0</v>
      </c>
      <c r="R25" s="389">
        <v>0</v>
      </c>
      <c r="S25" s="389">
        <v>244089.84900000007</v>
      </c>
      <c r="T25" s="389">
        <v>288036.49449999991</v>
      </c>
      <c r="U25" s="389">
        <v>46754.542252030005</v>
      </c>
      <c r="V25" s="389">
        <v>7568.8169516900007</v>
      </c>
      <c r="W25" s="389">
        <v>0</v>
      </c>
      <c r="X25" s="389">
        <v>0</v>
      </c>
      <c r="Y25" s="389">
        <v>262305.84900000005</v>
      </c>
      <c r="Z25" s="389">
        <v>288411.49449999991</v>
      </c>
      <c r="AA25" s="389"/>
      <c r="AB25" s="389"/>
      <c r="AC25" s="389">
        <v>18216</v>
      </c>
      <c r="AD25" s="389">
        <v>375</v>
      </c>
      <c r="AE25" s="389">
        <v>887.65625</v>
      </c>
      <c r="AF25" s="389">
        <v>230.99826388888891</v>
      </c>
      <c r="AG25" s="389">
        <v>3000</v>
      </c>
      <c r="AH25" s="396">
        <v>6.4</v>
      </c>
      <c r="AI25" s="389">
        <v>970.38078125000004</v>
      </c>
      <c r="AJ25" s="397">
        <v>0.02</v>
      </c>
      <c r="AK25" s="397">
        <v>0.1</v>
      </c>
      <c r="AL25" s="389">
        <v>252121.72652408518</v>
      </c>
      <c r="AM25" s="389">
        <v>254318.61586293194</v>
      </c>
      <c r="AN25" s="398">
        <v>8031.8775240851101</v>
      </c>
      <c r="AO25" s="398">
        <v>-33717.878637067974</v>
      </c>
      <c r="AP25" s="398">
        <v>0</v>
      </c>
      <c r="AQ25" s="398">
        <v>9114.4124470900006</v>
      </c>
      <c r="AR25" s="398">
        <v>0</v>
      </c>
      <c r="AS25" s="398">
        <v>187.5</v>
      </c>
      <c r="AT25" s="398">
        <v>130</v>
      </c>
      <c r="AU25" s="399">
        <v>115</v>
      </c>
      <c r="AV25" s="399">
        <v>0</v>
      </c>
      <c r="AW25" s="399">
        <v>4.2</v>
      </c>
      <c r="AX25" s="399">
        <v>22500</v>
      </c>
      <c r="AY25" s="399">
        <v>2826</v>
      </c>
      <c r="AZ25" s="399">
        <v>0</v>
      </c>
      <c r="BA25" s="399">
        <v>0</v>
      </c>
      <c r="BB25" s="399">
        <v>5</v>
      </c>
      <c r="BC25" s="399">
        <v>2300</v>
      </c>
      <c r="BD25" s="399">
        <v>0</v>
      </c>
      <c r="BE25" s="399">
        <v>8.4</v>
      </c>
      <c r="BF25" s="399">
        <v>22.5</v>
      </c>
      <c r="BG25" s="399">
        <v>282.60000000000002</v>
      </c>
      <c r="BH25" s="399">
        <v>0</v>
      </c>
      <c r="BI25" s="399">
        <v>0</v>
      </c>
      <c r="BJ25" s="399">
        <v>0.5</v>
      </c>
      <c r="BK25" s="398">
        <v>2614</v>
      </c>
      <c r="BL25" s="389">
        <v>18</v>
      </c>
      <c r="BM25" s="389">
        <v>0</v>
      </c>
      <c r="BN25" s="395">
        <v>1</v>
      </c>
      <c r="BO25" s="395">
        <v>3</v>
      </c>
      <c r="BP25" s="395">
        <v>0</v>
      </c>
      <c r="BQ25" s="389">
        <v>2</v>
      </c>
      <c r="BR25" s="389">
        <v>0</v>
      </c>
      <c r="BS25" s="389">
        <v>187.5</v>
      </c>
      <c r="BT25" s="389">
        <v>0</v>
      </c>
      <c r="BU25" s="389">
        <v>0</v>
      </c>
      <c r="BV25" s="389">
        <v>0</v>
      </c>
      <c r="BW25" s="389">
        <v>0</v>
      </c>
      <c r="BX25" s="389">
        <v>1</v>
      </c>
      <c r="BY25" s="389">
        <v>50</v>
      </c>
      <c r="BZ25" s="389">
        <v>0</v>
      </c>
      <c r="CA25" s="400">
        <v>1</v>
      </c>
      <c r="CB25" s="400">
        <v>0</v>
      </c>
      <c r="CC25" s="400">
        <v>0</v>
      </c>
      <c r="CD25" s="389">
        <v>180</v>
      </c>
      <c r="CE25" s="389">
        <v>0</v>
      </c>
      <c r="CF25" s="389">
        <v>10</v>
      </c>
      <c r="CG25" s="389">
        <v>30</v>
      </c>
      <c r="CH25" s="389">
        <v>0</v>
      </c>
      <c r="CI25" s="389">
        <v>20</v>
      </c>
      <c r="CJ25" s="389">
        <v>56.25</v>
      </c>
      <c r="CK25" s="389">
        <v>0</v>
      </c>
      <c r="CL25" s="389">
        <v>0</v>
      </c>
      <c r="CM25" s="389">
        <v>20</v>
      </c>
      <c r="CN25" s="389">
        <v>200</v>
      </c>
      <c r="CO25" s="389">
        <v>0</v>
      </c>
      <c r="CP25" s="389">
        <v>4</v>
      </c>
      <c r="CQ25" s="389">
        <v>0</v>
      </c>
      <c r="CR25" s="389">
        <v>0</v>
      </c>
      <c r="CS25" s="389">
        <v>520.25</v>
      </c>
      <c r="CT25" s="389">
        <v>3</v>
      </c>
      <c r="CU25" s="389">
        <v>0</v>
      </c>
      <c r="CV25" s="389">
        <v>1</v>
      </c>
      <c r="CW25" s="389">
        <v>4</v>
      </c>
      <c r="CX25" s="401">
        <v>749.73538618568602</v>
      </c>
      <c r="CY25" s="396">
        <v>0</v>
      </c>
      <c r="CZ25" s="396">
        <v>5901.5039755800008</v>
      </c>
      <c r="DA25" s="402">
        <v>0</v>
      </c>
      <c r="DB25" s="389">
        <v>0</v>
      </c>
      <c r="DC25" s="396">
        <v>0</v>
      </c>
      <c r="DD25" s="403">
        <v>0</v>
      </c>
      <c r="DE25" s="402">
        <v>0.44092432609162879</v>
      </c>
      <c r="DF25" s="402">
        <v>0</v>
      </c>
      <c r="DG25" s="402">
        <v>0.21123041718007393</v>
      </c>
      <c r="DH25" s="402">
        <v>0.56277479237909134</v>
      </c>
      <c r="DI25" s="402">
        <v>1.0447500000000001</v>
      </c>
      <c r="DJ25" s="402"/>
      <c r="DK25" s="402"/>
      <c r="DL25" s="404"/>
      <c r="DM25" s="404"/>
      <c r="DN25" s="402">
        <v>0.625</v>
      </c>
      <c r="DO25" s="402">
        <v>0.77261978047412616</v>
      </c>
      <c r="DP25" s="402">
        <v>1</v>
      </c>
      <c r="DQ25" s="402">
        <v>1</v>
      </c>
      <c r="DR25" s="405">
        <v>6.6138648913744311E-2</v>
      </c>
      <c r="DS25" s="405">
        <v>0</v>
      </c>
      <c r="DT25" s="402">
        <v>3.1684562577011091E-2</v>
      </c>
      <c r="DU25" s="402">
        <v>8.4416218856863692E-2</v>
      </c>
      <c r="DV25" s="402">
        <v>0.10447500000000001</v>
      </c>
      <c r="DW25" s="402">
        <v>0.28671443034761912</v>
      </c>
      <c r="DX25" s="402">
        <v>6.25E-2</v>
      </c>
      <c r="DY25" s="402">
        <v>0.15452395609482525</v>
      </c>
      <c r="DZ25" s="406">
        <v>0.05</v>
      </c>
      <c r="EA25" s="406">
        <v>0.05</v>
      </c>
      <c r="EB25" s="406">
        <v>0.31702395609482525</v>
      </c>
      <c r="EC25" s="407">
        <v>0.60373838644244437</v>
      </c>
      <c r="ED25" s="408" t="s">
        <v>157</v>
      </c>
      <c r="EE25" s="408" t="s">
        <v>156</v>
      </c>
      <c r="EG25" s="389">
        <v>250418.57106891405</v>
      </c>
      <c r="EH25" s="389">
        <v>249335.10130758403</v>
      </c>
      <c r="EI25" s="389">
        <v>249811.49780534414</v>
      </c>
      <c r="EJ25" s="389">
        <v>260881.26478000003</v>
      </c>
      <c r="EK25" s="389">
        <v>248959.62055263011</v>
      </c>
      <c r="EL25" s="389">
        <v>248922.07239131007</v>
      </c>
      <c r="EN25" s="389">
        <v>4</v>
      </c>
      <c r="EO25" s="409">
        <v>506440.3423870171</v>
      </c>
      <c r="EP25" s="409">
        <v>511042.78371861519</v>
      </c>
      <c r="EQ25" s="410">
        <v>-1150.6103328995232</v>
      </c>
      <c r="ER25" s="404">
        <v>0</v>
      </c>
      <c r="ES25" s="404">
        <v>1.5627747923790913</v>
      </c>
      <c r="ET25" s="404">
        <v>0.2344162188568637</v>
      </c>
      <c r="EU25" s="411">
        <v>0.7537383864424444</v>
      </c>
      <c r="EV25" s="412" t="s">
        <v>509</v>
      </c>
      <c r="EW25" s="412" t="s">
        <v>25</v>
      </c>
      <c r="EX25" s="381"/>
      <c r="EY25" s="419">
        <v>1.1049840643577169</v>
      </c>
      <c r="EZ25" s="419">
        <v>1.3969365077039075</v>
      </c>
      <c r="FA25" s="419">
        <v>1.3762249151875339</v>
      </c>
      <c r="FB25" s="419">
        <v>1.005858065797963</v>
      </c>
      <c r="FC25" s="419">
        <v>0.53301155527125776</v>
      </c>
      <c r="FD25" s="419">
        <v>1.0489123735230088</v>
      </c>
      <c r="FE25" s="419">
        <v>0.92889407090333576</v>
      </c>
      <c r="FF25" s="419">
        <v>0.58517663536401732</v>
      </c>
      <c r="FG25" s="419">
        <v>1.0463831765449281</v>
      </c>
      <c r="FH25" s="419">
        <v>0.55075383090332308</v>
      </c>
      <c r="FI25" s="419">
        <v>0.7537383864424444</v>
      </c>
      <c r="FJ25" s="419"/>
      <c r="FK25" s="407">
        <v>1.2927151624163862</v>
      </c>
      <c r="FL25" s="407">
        <v>0.86259399819740989</v>
      </c>
      <c r="FM25" s="419">
        <v>0.8534846276040936</v>
      </c>
      <c r="FN25" s="419">
        <v>0.65224610867288368</v>
      </c>
      <c r="FO25" s="407">
        <v>0.93917032563631231</v>
      </c>
    </row>
    <row r="26" spans="1:171" hidden="1" outlineLevel="1" x14ac:dyDescent="0.25">
      <c r="A26" s="390" t="s">
        <v>300</v>
      </c>
      <c r="B26" s="390" t="s">
        <v>466</v>
      </c>
      <c r="C26" s="390" t="s">
        <v>467</v>
      </c>
      <c r="D26" s="391" t="s">
        <v>466</v>
      </c>
      <c r="E26" s="390" t="s">
        <v>36</v>
      </c>
      <c r="F26" s="391" t="s">
        <v>154</v>
      </c>
      <c r="G26" s="392">
        <v>1</v>
      </c>
      <c r="H26" s="393">
        <v>44690</v>
      </c>
      <c r="I26" s="393">
        <v>44690</v>
      </c>
      <c r="J26" s="394">
        <v>7</v>
      </c>
      <c r="K26" s="391">
        <v>318</v>
      </c>
      <c r="L26" s="390" t="s">
        <v>206</v>
      </c>
      <c r="M26" s="392" t="s">
        <v>355</v>
      </c>
      <c r="N26" s="395">
        <v>3</v>
      </c>
      <c r="O26" s="395">
        <v>0</v>
      </c>
      <c r="P26" s="395">
        <v>4</v>
      </c>
      <c r="Q26" s="389">
        <v>0</v>
      </c>
      <c r="R26" s="389">
        <v>0</v>
      </c>
      <c r="S26" s="389">
        <v>183289.22499999998</v>
      </c>
      <c r="T26" s="389">
        <v>197343.07599999986</v>
      </c>
      <c r="U26" s="389">
        <v>47363.745371159996</v>
      </c>
      <c r="V26" s="389">
        <v>24604.78267379</v>
      </c>
      <c r="W26" s="389">
        <v>0</v>
      </c>
      <c r="X26" s="389">
        <v>0</v>
      </c>
      <c r="Y26" s="389">
        <v>195875.97499999998</v>
      </c>
      <c r="Z26" s="389">
        <v>197543.07599999986</v>
      </c>
      <c r="AA26" s="389"/>
      <c r="AB26" s="389"/>
      <c r="AC26" s="389">
        <v>12586.75</v>
      </c>
      <c r="AD26" s="389">
        <v>200</v>
      </c>
      <c r="AE26" s="389">
        <v>887.65625</v>
      </c>
      <c r="AF26" s="389">
        <v>173.24869791666666</v>
      </c>
      <c r="AG26" s="389">
        <v>1800</v>
      </c>
      <c r="AH26" s="396">
        <v>5.6000000000000005</v>
      </c>
      <c r="AI26" s="389">
        <v>708.97859374999996</v>
      </c>
      <c r="AJ26" s="397">
        <v>0.02</v>
      </c>
      <c r="AK26" s="397">
        <v>0.1</v>
      </c>
      <c r="AL26" s="389">
        <v>177433.27114210528</v>
      </c>
      <c r="AM26" s="389">
        <v>113083.21019415541</v>
      </c>
      <c r="AN26" s="398">
        <v>-5855.9538578946958</v>
      </c>
      <c r="AO26" s="398">
        <v>-84259.865805844442</v>
      </c>
      <c r="AP26" s="398">
        <v>0</v>
      </c>
      <c r="AQ26" s="398">
        <v>19688.810397429999</v>
      </c>
      <c r="AR26" s="398">
        <v>0</v>
      </c>
      <c r="AS26" s="398">
        <v>0</v>
      </c>
      <c r="AT26" s="398">
        <v>450</v>
      </c>
      <c r="AU26" s="399">
        <v>50</v>
      </c>
      <c r="AV26" s="399">
        <v>0</v>
      </c>
      <c r="AW26" s="399">
        <v>3.6</v>
      </c>
      <c r="AX26" s="399">
        <v>100000</v>
      </c>
      <c r="AY26" s="399">
        <v>10</v>
      </c>
      <c r="AZ26" s="399">
        <v>0</v>
      </c>
      <c r="BA26" s="399">
        <v>0</v>
      </c>
      <c r="BB26" s="399">
        <v>0.5</v>
      </c>
      <c r="BC26" s="399">
        <v>1000</v>
      </c>
      <c r="BD26" s="399">
        <v>0</v>
      </c>
      <c r="BE26" s="399">
        <v>7.2</v>
      </c>
      <c r="BF26" s="399">
        <v>100</v>
      </c>
      <c r="BG26" s="399">
        <v>1</v>
      </c>
      <c r="BH26" s="399">
        <v>0</v>
      </c>
      <c r="BI26" s="399">
        <v>0</v>
      </c>
      <c r="BJ26" s="399">
        <v>0.05</v>
      </c>
      <c r="BK26" s="398">
        <v>1108.25</v>
      </c>
      <c r="BL26" s="389">
        <v>6</v>
      </c>
      <c r="BM26" s="389">
        <v>0</v>
      </c>
      <c r="BN26" s="395">
        <v>1</v>
      </c>
      <c r="BO26" s="395">
        <v>6</v>
      </c>
      <c r="BP26" s="395">
        <v>0</v>
      </c>
      <c r="BQ26" s="389">
        <v>0</v>
      </c>
      <c r="BR26" s="389">
        <v>0</v>
      </c>
      <c r="BS26" s="389">
        <v>0</v>
      </c>
      <c r="BT26" s="389">
        <v>0</v>
      </c>
      <c r="BU26" s="389">
        <v>0</v>
      </c>
      <c r="BV26" s="389">
        <v>0</v>
      </c>
      <c r="BW26" s="389">
        <v>0</v>
      </c>
      <c r="BX26" s="389">
        <v>0</v>
      </c>
      <c r="BY26" s="389">
        <v>33</v>
      </c>
      <c r="BZ26" s="389">
        <v>0</v>
      </c>
      <c r="CA26" s="400">
        <v>0</v>
      </c>
      <c r="CB26" s="400">
        <v>0</v>
      </c>
      <c r="CC26" s="400">
        <v>0</v>
      </c>
      <c r="CD26" s="389">
        <v>60</v>
      </c>
      <c r="CE26" s="389">
        <v>0</v>
      </c>
      <c r="CF26" s="389">
        <v>10</v>
      </c>
      <c r="CG26" s="389">
        <v>60</v>
      </c>
      <c r="CH26" s="389">
        <v>0</v>
      </c>
      <c r="CI26" s="389">
        <v>0</v>
      </c>
      <c r="CJ26" s="389">
        <v>0</v>
      </c>
      <c r="CK26" s="389">
        <v>0</v>
      </c>
      <c r="CL26" s="389">
        <v>0</v>
      </c>
      <c r="CM26" s="389">
        <v>0</v>
      </c>
      <c r="CN26" s="389">
        <v>132</v>
      </c>
      <c r="CO26" s="389">
        <v>0</v>
      </c>
      <c r="CP26" s="389">
        <v>0</v>
      </c>
      <c r="CQ26" s="389">
        <v>0</v>
      </c>
      <c r="CR26" s="389">
        <v>0</v>
      </c>
      <c r="CS26" s="389">
        <v>262</v>
      </c>
      <c r="CT26" s="389">
        <v>2</v>
      </c>
      <c r="CU26" s="389">
        <v>0</v>
      </c>
      <c r="CV26" s="389">
        <v>3</v>
      </c>
      <c r="CW26" s="389">
        <v>5</v>
      </c>
      <c r="CX26" s="401">
        <v>237.28033967310705</v>
      </c>
      <c r="CY26" s="396">
        <v>0</v>
      </c>
      <c r="CZ26" s="396">
        <v>1986.8815390299999</v>
      </c>
      <c r="DA26" s="402">
        <v>0</v>
      </c>
      <c r="DB26" s="389">
        <v>0</v>
      </c>
      <c r="DC26" s="396">
        <v>504.02025407999997</v>
      </c>
      <c r="DD26" s="403">
        <v>0</v>
      </c>
      <c r="DE26" s="402">
        <v>0</v>
      </c>
      <c r="DF26" s="402">
        <v>0</v>
      </c>
      <c r="DG26" s="402">
        <v>0</v>
      </c>
      <c r="DH26" s="402">
        <v>2</v>
      </c>
      <c r="DI26" s="402">
        <v>0.76124999999999998</v>
      </c>
      <c r="DJ26" s="402"/>
      <c r="DK26" s="402"/>
      <c r="DL26" s="404"/>
      <c r="DM26" s="404"/>
      <c r="DN26" s="402">
        <v>0.89285714285714279</v>
      </c>
      <c r="DO26" s="402">
        <v>0.33467913102715885</v>
      </c>
      <c r="DP26" s="402">
        <v>1</v>
      </c>
      <c r="DQ26" s="402">
        <v>1</v>
      </c>
      <c r="DR26" s="405">
        <v>0</v>
      </c>
      <c r="DS26" s="405">
        <v>0</v>
      </c>
      <c r="DT26" s="402">
        <v>0</v>
      </c>
      <c r="DU26" s="402">
        <v>0.3</v>
      </c>
      <c r="DV26" s="402">
        <v>7.6124999999999998E-2</v>
      </c>
      <c r="DW26" s="402">
        <v>0.37612499999999999</v>
      </c>
      <c r="DX26" s="402">
        <v>8.9285714285714288E-2</v>
      </c>
      <c r="DY26" s="402">
        <v>6.6935826205431773E-2</v>
      </c>
      <c r="DZ26" s="406">
        <v>0.05</v>
      </c>
      <c r="EA26" s="406">
        <v>0.05</v>
      </c>
      <c r="EB26" s="406">
        <v>0.25622154049114604</v>
      </c>
      <c r="EC26" s="407">
        <v>0.63234654049114603</v>
      </c>
      <c r="ED26" s="408" t="s">
        <v>157</v>
      </c>
      <c r="EE26" s="408" t="s">
        <v>156</v>
      </c>
      <c r="EG26" s="389">
        <v>173910.47600929998</v>
      </c>
      <c r="EH26" s="389">
        <v>182650.41307236004</v>
      </c>
      <c r="EI26" s="389">
        <v>184222.4155937201</v>
      </c>
      <c r="EJ26" s="389">
        <v>120838.30727</v>
      </c>
      <c r="EK26" s="389">
        <v>109093.42114081998</v>
      </c>
      <c r="EL26" s="389">
        <v>109116.63566925998</v>
      </c>
      <c r="EN26" s="389">
        <v>2</v>
      </c>
      <c r="EO26" s="409">
        <v>290516.48133626068</v>
      </c>
      <c r="EP26" s="409">
        <v>300872.37665117555</v>
      </c>
      <c r="EQ26" s="410">
        <v>-5177.9476574574364</v>
      </c>
      <c r="ER26" s="404">
        <v>0</v>
      </c>
      <c r="ES26" s="404">
        <v>2</v>
      </c>
      <c r="ET26" s="404">
        <v>0.3</v>
      </c>
      <c r="EU26" s="411">
        <v>0.63234654049114591</v>
      </c>
      <c r="EV26" s="412" t="s">
        <v>157</v>
      </c>
      <c r="EW26" s="412" t="s">
        <v>156</v>
      </c>
      <c r="EX26" s="381"/>
      <c r="EY26" s="419" t="s">
        <v>541</v>
      </c>
      <c r="EZ26" s="419" t="s">
        <v>541</v>
      </c>
      <c r="FA26" s="419" t="s">
        <v>541</v>
      </c>
      <c r="FB26" s="419" t="s">
        <v>541</v>
      </c>
      <c r="FC26" s="419">
        <v>0.55675556249792635</v>
      </c>
      <c r="FD26" s="419">
        <v>0.52501744283362195</v>
      </c>
      <c r="FE26" s="419">
        <v>0.43709806555301595</v>
      </c>
      <c r="FF26" s="419">
        <v>0.32001502828766709</v>
      </c>
      <c r="FG26" s="419">
        <v>0.61250717205691885</v>
      </c>
      <c r="FH26" s="419">
        <v>0.44725144368026637</v>
      </c>
      <c r="FI26" s="419">
        <v>0.63234654049114591</v>
      </c>
      <c r="FJ26" s="419"/>
      <c r="FK26" s="407" t="s">
        <v>156</v>
      </c>
      <c r="FL26" s="407">
        <v>0.54088650266577409</v>
      </c>
      <c r="FM26" s="419">
        <v>0.45654008863253398</v>
      </c>
      <c r="FN26" s="419">
        <v>0.53979899208570614</v>
      </c>
      <c r="FO26" s="407">
        <v>0.50442732220008035</v>
      </c>
    </row>
    <row r="27" spans="1:171" hidden="1" outlineLevel="1" x14ac:dyDescent="0.25">
      <c r="A27" s="390" t="s">
        <v>300</v>
      </c>
      <c r="B27" s="390" t="s">
        <v>361</v>
      </c>
      <c r="C27" s="390" t="s">
        <v>362</v>
      </c>
      <c r="D27" s="391" t="s">
        <v>361</v>
      </c>
      <c r="E27" s="390" t="s">
        <v>36</v>
      </c>
      <c r="F27" s="391" t="s">
        <v>154</v>
      </c>
      <c r="G27" s="392">
        <v>1</v>
      </c>
      <c r="H27" s="393">
        <v>41548</v>
      </c>
      <c r="I27" s="393">
        <v>44384</v>
      </c>
      <c r="J27" s="394">
        <v>110</v>
      </c>
      <c r="K27" s="391">
        <v>320</v>
      </c>
      <c r="L27" s="390" t="s">
        <v>191</v>
      </c>
      <c r="M27" s="392" t="s">
        <v>355</v>
      </c>
      <c r="N27" s="395">
        <v>6</v>
      </c>
      <c r="O27" s="395">
        <v>0</v>
      </c>
      <c r="P27" s="395">
        <v>4</v>
      </c>
      <c r="Q27" s="389">
        <v>0</v>
      </c>
      <c r="R27" s="389">
        <v>0</v>
      </c>
      <c r="S27" s="389">
        <v>307759.7139999998</v>
      </c>
      <c r="T27" s="389">
        <v>241278.27599999998</v>
      </c>
      <c r="U27" s="389">
        <v>31512.456655860005</v>
      </c>
      <c r="V27" s="389">
        <v>8254.4910915199998</v>
      </c>
      <c r="W27" s="389">
        <v>0</v>
      </c>
      <c r="X27" s="389">
        <v>0</v>
      </c>
      <c r="Y27" s="389">
        <v>326038.9639999998</v>
      </c>
      <c r="Z27" s="389">
        <v>241703.27599999998</v>
      </c>
      <c r="AA27" s="389"/>
      <c r="AB27" s="389"/>
      <c r="AC27" s="389">
        <v>18279.25</v>
      </c>
      <c r="AD27" s="389">
        <v>425</v>
      </c>
      <c r="AE27" s="389">
        <v>887.65625</v>
      </c>
      <c r="AF27" s="389">
        <v>311.84765625</v>
      </c>
      <c r="AG27" s="389">
        <v>3300</v>
      </c>
      <c r="AH27" s="396">
        <v>8</v>
      </c>
      <c r="AI27" s="389">
        <v>990.02421874999993</v>
      </c>
      <c r="AJ27" s="397">
        <v>0.02</v>
      </c>
      <c r="AK27" s="397">
        <v>0.1</v>
      </c>
      <c r="AL27" s="389">
        <v>310425.19437500631</v>
      </c>
      <c r="AM27" s="389">
        <v>211981.19126500469</v>
      </c>
      <c r="AN27" s="398">
        <v>2665.4803750065039</v>
      </c>
      <c r="AO27" s="398">
        <v>-29297.084734995296</v>
      </c>
      <c r="AP27" s="398">
        <v>0</v>
      </c>
      <c r="AQ27" s="398">
        <v>6671.5959362000003</v>
      </c>
      <c r="AR27" s="398">
        <v>0</v>
      </c>
      <c r="AS27" s="398">
        <v>0</v>
      </c>
      <c r="AT27" s="398">
        <v>75</v>
      </c>
      <c r="AU27" s="399">
        <v>147</v>
      </c>
      <c r="AV27" s="399">
        <v>0</v>
      </c>
      <c r="AW27" s="399">
        <v>3.6</v>
      </c>
      <c r="AX27" s="399">
        <v>327200</v>
      </c>
      <c r="AY27" s="399">
        <v>3100</v>
      </c>
      <c r="AZ27" s="399">
        <v>5</v>
      </c>
      <c r="BA27" s="399">
        <v>0</v>
      </c>
      <c r="BB27" s="399">
        <v>0</v>
      </c>
      <c r="BC27" s="399">
        <v>2940</v>
      </c>
      <c r="BD27" s="399">
        <v>0</v>
      </c>
      <c r="BE27" s="399">
        <v>7.2</v>
      </c>
      <c r="BF27" s="399">
        <v>327.2</v>
      </c>
      <c r="BG27" s="399">
        <v>310</v>
      </c>
      <c r="BH27" s="399">
        <v>0.5</v>
      </c>
      <c r="BI27" s="399">
        <v>0</v>
      </c>
      <c r="BJ27" s="399">
        <v>0</v>
      </c>
      <c r="BK27" s="398">
        <v>3584.8999999999996</v>
      </c>
      <c r="BL27" s="389">
        <v>17</v>
      </c>
      <c r="BM27" s="389">
        <v>0</v>
      </c>
      <c r="BN27" s="395">
        <v>20</v>
      </c>
      <c r="BO27" s="395">
        <v>91</v>
      </c>
      <c r="BP27" s="395">
        <v>0</v>
      </c>
      <c r="BQ27" s="389">
        <v>18</v>
      </c>
      <c r="BR27" s="389">
        <v>0</v>
      </c>
      <c r="BS27" s="389">
        <v>0</v>
      </c>
      <c r="BT27" s="389">
        <v>0</v>
      </c>
      <c r="BU27" s="389">
        <v>0</v>
      </c>
      <c r="BV27" s="389">
        <v>0</v>
      </c>
      <c r="BW27" s="389">
        <v>0</v>
      </c>
      <c r="BX27" s="389">
        <v>4</v>
      </c>
      <c r="BY27" s="389">
        <v>58</v>
      </c>
      <c r="BZ27" s="389">
        <v>2</v>
      </c>
      <c r="CA27" s="400">
        <v>0</v>
      </c>
      <c r="CB27" s="400">
        <v>0</v>
      </c>
      <c r="CC27" s="400">
        <v>0</v>
      </c>
      <c r="CD27" s="389">
        <v>170</v>
      </c>
      <c r="CE27" s="389">
        <v>0</v>
      </c>
      <c r="CF27" s="389">
        <v>200</v>
      </c>
      <c r="CG27" s="389">
        <v>910</v>
      </c>
      <c r="CH27" s="389">
        <v>0</v>
      </c>
      <c r="CI27" s="389">
        <v>180</v>
      </c>
      <c r="CJ27" s="389">
        <v>0</v>
      </c>
      <c r="CK27" s="389">
        <v>0</v>
      </c>
      <c r="CL27" s="389">
        <v>0</v>
      </c>
      <c r="CM27" s="389">
        <v>80</v>
      </c>
      <c r="CN27" s="389">
        <v>232</v>
      </c>
      <c r="CO27" s="389">
        <v>40</v>
      </c>
      <c r="CP27" s="389">
        <v>0</v>
      </c>
      <c r="CQ27" s="389">
        <v>0</v>
      </c>
      <c r="CR27" s="389">
        <v>0</v>
      </c>
      <c r="CS27" s="389">
        <v>1812</v>
      </c>
      <c r="CT27" s="389">
        <v>3</v>
      </c>
      <c r="CU27" s="389">
        <v>0</v>
      </c>
      <c r="CV27" s="389">
        <v>2</v>
      </c>
      <c r="CW27" s="389">
        <v>5</v>
      </c>
      <c r="CX27" s="401">
        <v>375.04957428549278</v>
      </c>
      <c r="CY27" s="396">
        <v>0</v>
      </c>
      <c r="CZ27" s="396">
        <v>3273.56462431</v>
      </c>
      <c r="DA27" s="402">
        <v>0</v>
      </c>
      <c r="DB27" s="389">
        <v>0</v>
      </c>
      <c r="DC27" s="396">
        <v>0</v>
      </c>
      <c r="DD27" s="403">
        <v>0</v>
      </c>
      <c r="DE27" s="402">
        <v>0.14582000765931336</v>
      </c>
      <c r="DF27" s="402">
        <v>0</v>
      </c>
      <c r="DG27" s="402">
        <v>0</v>
      </c>
      <c r="DH27" s="402">
        <v>0.24050204802525271</v>
      </c>
      <c r="DI27" s="402">
        <v>1.6354242424242422</v>
      </c>
      <c r="DJ27" s="402"/>
      <c r="DK27" s="402"/>
      <c r="DL27" s="404"/>
      <c r="DM27" s="404"/>
      <c r="DN27" s="402">
        <v>0.625</v>
      </c>
      <c r="DO27" s="402">
        <v>0.37882868639216588</v>
      </c>
      <c r="DP27" s="402">
        <v>1</v>
      </c>
      <c r="DQ27" s="402">
        <v>1</v>
      </c>
      <c r="DR27" s="405">
        <v>2.1873001148897002E-2</v>
      </c>
      <c r="DS27" s="405">
        <v>0</v>
      </c>
      <c r="DT27" s="402">
        <v>0</v>
      </c>
      <c r="DU27" s="402">
        <v>3.6075307203787904E-2</v>
      </c>
      <c r="DV27" s="402">
        <v>0.16354242424242424</v>
      </c>
      <c r="DW27" s="402">
        <v>0.22149073259510915</v>
      </c>
      <c r="DX27" s="402">
        <v>6.25E-2</v>
      </c>
      <c r="DY27" s="402">
        <v>7.5765737278433179E-2</v>
      </c>
      <c r="DZ27" s="406">
        <v>0.05</v>
      </c>
      <c r="EA27" s="406">
        <v>0.05</v>
      </c>
      <c r="EB27" s="406">
        <v>0.23826573727843314</v>
      </c>
      <c r="EC27" s="407">
        <v>0.4597564698735423</v>
      </c>
      <c r="ED27" s="408" t="s">
        <v>157</v>
      </c>
      <c r="EE27" s="408" t="s">
        <v>156</v>
      </c>
      <c r="EG27" s="389">
        <v>310744.93546173023</v>
      </c>
      <c r="EH27" s="389">
        <v>305898.87175004004</v>
      </c>
      <c r="EI27" s="389">
        <v>305178.83469161007</v>
      </c>
      <c r="EJ27" s="389">
        <v>214709.63872999995</v>
      </c>
      <c r="EK27" s="389">
        <v>210822.54006736999</v>
      </c>
      <c r="EL27" s="389">
        <v>210488.97871509002</v>
      </c>
      <c r="EN27" s="389">
        <v>5</v>
      </c>
      <c r="EO27" s="409">
        <v>522406.38564001099</v>
      </c>
      <c r="EP27" s="409">
        <v>527141.50440156821</v>
      </c>
      <c r="EQ27" s="410">
        <v>-947.02375231144254</v>
      </c>
      <c r="ER27" s="404">
        <v>0</v>
      </c>
      <c r="ES27" s="404">
        <v>1.2405020480252527</v>
      </c>
      <c r="ET27" s="404">
        <v>0.1860753072037879</v>
      </c>
      <c r="EU27" s="411">
        <v>0.60975646987354226</v>
      </c>
      <c r="EV27" s="412" t="s">
        <v>157</v>
      </c>
      <c r="EW27" s="412" t="s">
        <v>156</v>
      </c>
      <c r="EX27" s="381"/>
      <c r="EY27" s="419">
        <v>0.95457726192062287</v>
      </c>
      <c r="EZ27" s="419">
        <v>0.66642667861473837</v>
      </c>
      <c r="FA27" s="419">
        <v>1.2038742404374394</v>
      </c>
      <c r="FB27" s="419">
        <v>1.0206232590504078</v>
      </c>
      <c r="FC27" s="419">
        <v>0.86220226999007465</v>
      </c>
      <c r="FD27" s="419">
        <v>1.066425589953399</v>
      </c>
      <c r="FE27" s="419">
        <v>1.0314703673276822</v>
      </c>
      <c r="FF27" s="419">
        <v>0.66960202915581379</v>
      </c>
      <c r="FG27" s="419">
        <v>0.65276464979650428</v>
      </c>
      <c r="FH27" s="419">
        <v>0.67453326340546249</v>
      </c>
      <c r="FI27" s="419">
        <v>0.60975646987354226</v>
      </c>
      <c r="FJ27" s="419"/>
      <c r="FK27" s="407">
        <v>0.94162606032426677</v>
      </c>
      <c r="FL27" s="407">
        <v>0.98308370633129394</v>
      </c>
      <c r="FM27" s="419">
        <v>0.78461234876000008</v>
      </c>
      <c r="FN27" s="419">
        <v>0.64214486663950243</v>
      </c>
      <c r="FO27" s="407">
        <v>0.8556596435932442</v>
      </c>
    </row>
    <row r="28" spans="1:171" hidden="1" outlineLevel="1" x14ac:dyDescent="0.25">
      <c r="A28" s="390" t="s">
        <v>300</v>
      </c>
      <c r="B28" s="390" t="s">
        <v>204</v>
      </c>
      <c r="C28" s="390" t="s">
        <v>205</v>
      </c>
      <c r="D28" s="391" t="s">
        <v>204</v>
      </c>
      <c r="E28" s="390" t="s">
        <v>36</v>
      </c>
      <c r="F28" s="391" t="s">
        <v>154</v>
      </c>
      <c r="G28" s="392">
        <v>1</v>
      </c>
      <c r="H28" s="393">
        <v>42793</v>
      </c>
      <c r="I28" s="393">
        <v>44593</v>
      </c>
      <c r="J28" s="394">
        <v>70</v>
      </c>
      <c r="K28" s="391">
        <v>321</v>
      </c>
      <c r="L28" s="390" t="s">
        <v>203</v>
      </c>
      <c r="M28" s="392" t="s">
        <v>355</v>
      </c>
      <c r="N28" s="395">
        <v>3</v>
      </c>
      <c r="O28" s="395">
        <v>0</v>
      </c>
      <c r="P28" s="395">
        <v>2</v>
      </c>
      <c r="Q28" s="389">
        <v>0</v>
      </c>
      <c r="R28" s="389">
        <v>0</v>
      </c>
      <c r="S28" s="389">
        <v>147879.03700000001</v>
      </c>
      <c r="T28" s="389">
        <v>336824.10799999989</v>
      </c>
      <c r="U28" s="389">
        <v>43996.93862945</v>
      </c>
      <c r="V28" s="389">
        <v>24985.189368349998</v>
      </c>
      <c r="W28" s="389">
        <v>0</v>
      </c>
      <c r="X28" s="389">
        <v>0</v>
      </c>
      <c r="Y28" s="389">
        <v>160339.28700000001</v>
      </c>
      <c r="Z28" s="389">
        <v>337224.10799999989</v>
      </c>
      <c r="AA28" s="389"/>
      <c r="AB28" s="389"/>
      <c r="AC28" s="389">
        <v>12460.25</v>
      </c>
      <c r="AD28" s="389">
        <v>400</v>
      </c>
      <c r="AE28" s="389">
        <v>560.625</v>
      </c>
      <c r="AF28" s="389">
        <v>127.0490451388889</v>
      </c>
      <c r="AG28" s="389">
        <v>1800</v>
      </c>
      <c r="AH28" s="396">
        <v>4</v>
      </c>
      <c r="AI28" s="389">
        <v>648.27296875000002</v>
      </c>
      <c r="AJ28" s="397">
        <v>0.02</v>
      </c>
      <c r="AK28" s="397">
        <v>0.1</v>
      </c>
      <c r="AL28" s="389">
        <v>167418.81433590705</v>
      </c>
      <c r="AM28" s="389">
        <v>308540.51683487033</v>
      </c>
      <c r="AN28" s="398">
        <v>19539.777335907042</v>
      </c>
      <c r="AO28" s="398">
        <v>-28283.591165129561</v>
      </c>
      <c r="AP28" s="398">
        <v>0</v>
      </c>
      <c r="AQ28" s="398">
        <v>2059.4770475699997</v>
      </c>
      <c r="AR28" s="398">
        <v>0</v>
      </c>
      <c r="AS28" s="398">
        <v>0</v>
      </c>
      <c r="AT28" s="398">
        <v>105</v>
      </c>
      <c r="AU28" s="399">
        <v>66</v>
      </c>
      <c r="AV28" s="399">
        <v>0</v>
      </c>
      <c r="AW28" s="399">
        <v>0</v>
      </c>
      <c r="AX28" s="399">
        <v>104251.54000000001</v>
      </c>
      <c r="AY28" s="399">
        <v>200</v>
      </c>
      <c r="AZ28" s="399">
        <v>0</v>
      </c>
      <c r="BA28" s="399">
        <v>0</v>
      </c>
      <c r="BB28" s="399">
        <v>0</v>
      </c>
      <c r="BC28" s="399">
        <v>1320</v>
      </c>
      <c r="BD28" s="399">
        <v>0</v>
      </c>
      <c r="BE28" s="399">
        <v>0</v>
      </c>
      <c r="BF28" s="399">
        <v>104.25154000000001</v>
      </c>
      <c r="BG28" s="399">
        <v>20</v>
      </c>
      <c r="BH28" s="399">
        <v>0</v>
      </c>
      <c r="BI28" s="399">
        <v>0</v>
      </c>
      <c r="BJ28" s="399">
        <v>0</v>
      </c>
      <c r="BK28" s="398">
        <v>1444.25154</v>
      </c>
      <c r="BL28" s="389">
        <v>6</v>
      </c>
      <c r="BM28" s="389">
        <v>0</v>
      </c>
      <c r="BN28" s="395">
        <v>4</v>
      </c>
      <c r="BO28" s="395">
        <v>17</v>
      </c>
      <c r="BP28" s="395">
        <v>0</v>
      </c>
      <c r="BQ28" s="389">
        <v>0</v>
      </c>
      <c r="BR28" s="389">
        <v>0</v>
      </c>
      <c r="BS28" s="389">
        <v>0</v>
      </c>
      <c r="BT28" s="389">
        <v>314</v>
      </c>
      <c r="BU28" s="389">
        <v>0</v>
      </c>
      <c r="BV28" s="389">
        <v>0</v>
      </c>
      <c r="BW28" s="389">
        <v>0</v>
      </c>
      <c r="BX28" s="389">
        <v>0</v>
      </c>
      <c r="BY28" s="389">
        <v>23</v>
      </c>
      <c r="BZ28" s="389">
        <v>0</v>
      </c>
      <c r="CA28" s="400">
        <v>1</v>
      </c>
      <c r="CB28" s="400">
        <v>0</v>
      </c>
      <c r="CC28" s="400">
        <v>0</v>
      </c>
      <c r="CD28" s="389">
        <v>60</v>
      </c>
      <c r="CE28" s="389">
        <v>0</v>
      </c>
      <c r="CF28" s="389">
        <v>40</v>
      </c>
      <c r="CG28" s="389">
        <v>170</v>
      </c>
      <c r="CH28" s="389">
        <v>0</v>
      </c>
      <c r="CI28" s="389">
        <v>0</v>
      </c>
      <c r="CJ28" s="389">
        <v>0</v>
      </c>
      <c r="CK28" s="389">
        <v>125.60000000000001</v>
      </c>
      <c r="CL28" s="389">
        <v>0</v>
      </c>
      <c r="CM28" s="389">
        <v>0</v>
      </c>
      <c r="CN28" s="389">
        <v>92</v>
      </c>
      <c r="CO28" s="389">
        <v>0</v>
      </c>
      <c r="CP28" s="389">
        <v>4</v>
      </c>
      <c r="CQ28" s="389">
        <v>0</v>
      </c>
      <c r="CR28" s="389">
        <v>0</v>
      </c>
      <c r="CS28" s="389">
        <v>491.6</v>
      </c>
      <c r="CT28" s="389">
        <v>3</v>
      </c>
      <c r="CU28" s="389">
        <v>0</v>
      </c>
      <c r="CV28" s="389">
        <v>1</v>
      </c>
      <c r="CW28" s="389">
        <v>4</v>
      </c>
      <c r="CX28" s="401">
        <v>44.472900129999999</v>
      </c>
      <c r="CY28" s="396">
        <v>0</v>
      </c>
      <c r="CZ28" s="396">
        <v>2163.11276662</v>
      </c>
      <c r="DA28" s="402">
        <v>0</v>
      </c>
      <c r="DB28" s="389">
        <v>0</v>
      </c>
      <c r="DC28" s="396">
        <v>0</v>
      </c>
      <c r="DD28" s="403">
        <v>0</v>
      </c>
      <c r="DE28" s="402">
        <v>1.5681689641786514</v>
      </c>
      <c r="DF28" s="402">
        <v>0</v>
      </c>
      <c r="DG28" s="402">
        <v>0</v>
      </c>
      <c r="DH28" s="402">
        <v>0.82645249230495921</v>
      </c>
      <c r="DI28" s="402">
        <v>1.0754730777777779</v>
      </c>
      <c r="DJ28" s="402"/>
      <c r="DK28" s="402"/>
      <c r="DL28" s="404"/>
      <c r="DM28" s="404"/>
      <c r="DN28" s="402">
        <v>1</v>
      </c>
      <c r="DO28" s="402">
        <v>6.8602120208332382E-2</v>
      </c>
      <c r="DP28" s="402">
        <v>1</v>
      </c>
      <c r="DQ28" s="402">
        <v>1</v>
      </c>
      <c r="DR28" s="405">
        <v>0.2352253446267977</v>
      </c>
      <c r="DS28" s="405">
        <v>0</v>
      </c>
      <c r="DT28" s="402">
        <v>0</v>
      </c>
      <c r="DU28" s="402">
        <v>0.12396787384574387</v>
      </c>
      <c r="DV28" s="402">
        <v>0.1075473077777778</v>
      </c>
      <c r="DW28" s="402">
        <v>0.46674052625031937</v>
      </c>
      <c r="DX28" s="402">
        <v>0.1</v>
      </c>
      <c r="DY28" s="402">
        <v>1.3720424041666478E-2</v>
      </c>
      <c r="DZ28" s="406">
        <v>0.05</v>
      </c>
      <c r="EA28" s="406">
        <v>0.05</v>
      </c>
      <c r="EB28" s="406">
        <v>0.21372042404166647</v>
      </c>
      <c r="EC28" s="407">
        <v>0.68046095029198583</v>
      </c>
      <c r="ED28" s="408" t="s">
        <v>157</v>
      </c>
      <c r="EE28" s="408" t="s">
        <v>156</v>
      </c>
      <c r="EG28" s="389">
        <v>144830.66133996999</v>
      </c>
      <c r="EH28" s="389">
        <v>172084.17774661002</v>
      </c>
      <c r="EI28" s="389">
        <v>171971.37061403011</v>
      </c>
      <c r="EJ28" s="389">
        <v>384435.82938999997</v>
      </c>
      <c r="EK28" s="389">
        <v>249700.05312752991</v>
      </c>
      <c r="EL28" s="389">
        <v>249690.80622976995</v>
      </c>
      <c r="EN28" s="389">
        <v>4</v>
      </c>
      <c r="EO28" s="409">
        <v>475959.33117077738</v>
      </c>
      <c r="EP28" s="409">
        <v>533936.93169118091</v>
      </c>
      <c r="EQ28" s="410">
        <v>-14494.400130100883</v>
      </c>
      <c r="ER28" s="404">
        <v>0</v>
      </c>
      <c r="ES28" s="404">
        <v>1.8264524923049592</v>
      </c>
      <c r="ET28" s="404">
        <v>0.27396787384574389</v>
      </c>
      <c r="EU28" s="411">
        <v>0.83046095029198574</v>
      </c>
      <c r="EV28" s="412" t="s">
        <v>509</v>
      </c>
      <c r="EW28" s="412" t="s">
        <v>25</v>
      </c>
      <c r="EX28" s="381"/>
      <c r="EY28" s="419">
        <v>0.5951394789618305</v>
      </c>
      <c r="EZ28" s="419">
        <v>0.89841810317320348</v>
      </c>
      <c r="FA28" s="419">
        <v>1.1688286055548154</v>
      </c>
      <c r="FB28" s="419">
        <v>1.1593719560036122</v>
      </c>
      <c r="FC28" s="419">
        <v>1.0534498280311666</v>
      </c>
      <c r="FD28" s="419">
        <v>1.0984500509805684</v>
      </c>
      <c r="FE28" s="419">
        <v>0.86351285221555074</v>
      </c>
      <c r="FF28" s="419">
        <v>0.84695841288191509</v>
      </c>
      <c r="FG28" s="419">
        <v>0.82919829842174975</v>
      </c>
      <c r="FH28" s="419">
        <v>0.52065646887589279</v>
      </c>
      <c r="FI28" s="419">
        <v>0.83046095029198574</v>
      </c>
      <c r="FJ28" s="419"/>
      <c r="FK28" s="407">
        <v>0.88746206256328308</v>
      </c>
      <c r="FL28" s="407">
        <v>1.1037572783384491</v>
      </c>
      <c r="FM28" s="419">
        <v>0.8465565211730719</v>
      </c>
      <c r="FN28" s="419">
        <v>0.67555870958393927</v>
      </c>
      <c r="FO28" s="407">
        <v>0.89676772776293556</v>
      </c>
    </row>
    <row r="29" spans="1:171" hidden="1" outlineLevel="1" x14ac:dyDescent="0.25">
      <c r="A29" s="390" t="s">
        <v>300</v>
      </c>
      <c r="B29" s="390" t="s">
        <v>184</v>
      </c>
      <c r="C29" s="390" t="s">
        <v>185</v>
      </c>
      <c r="D29" s="391" t="s">
        <v>184</v>
      </c>
      <c r="E29" s="390" t="s">
        <v>36</v>
      </c>
      <c r="F29" s="391" t="s">
        <v>154</v>
      </c>
      <c r="G29" s="392">
        <v>1</v>
      </c>
      <c r="H29" s="393">
        <v>42744</v>
      </c>
      <c r="I29" s="393">
        <v>44593</v>
      </c>
      <c r="J29" s="394">
        <v>71</v>
      </c>
      <c r="K29" s="391">
        <v>322</v>
      </c>
      <c r="L29" s="390" t="s">
        <v>188</v>
      </c>
      <c r="M29" s="392" t="s">
        <v>355</v>
      </c>
      <c r="N29" s="395">
        <v>2</v>
      </c>
      <c r="O29" s="395">
        <v>0</v>
      </c>
      <c r="P29" s="395">
        <v>2</v>
      </c>
      <c r="Q29" s="389">
        <v>0</v>
      </c>
      <c r="R29" s="389">
        <v>0</v>
      </c>
      <c r="S29" s="389">
        <v>121049.19600000001</v>
      </c>
      <c r="T29" s="389">
        <v>97483.86699999994</v>
      </c>
      <c r="U29" s="389">
        <v>43406.007544610002</v>
      </c>
      <c r="V29" s="389">
        <v>4168.7310663800008</v>
      </c>
      <c r="W29" s="389">
        <v>0</v>
      </c>
      <c r="X29" s="389">
        <v>0</v>
      </c>
      <c r="Y29" s="389">
        <v>130663.19600000001</v>
      </c>
      <c r="Z29" s="389">
        <v>97683.86699999994</v>
      </c>
      <c r="AA29" s="389"/>
      <c r="AB29" s="389"/>
      <c r="AC29" s="389">
        <v>9614</v>
      </c>
      <c r="AD29" s="389">
        <v>200</v>
      </c>
      <c r="AE29" s="389">
        <v>560.625</v>
      </c>
      <c r="AF29" s="389">
        <v>92.399305555555557</v>
      </c>
      <c r="AG29" s="389">
        <v>1200</v>
      </c>
      <c r="AH29" s="396">
        <v>3.2</v>
      </c>
      <c r="AI29" s="389">
        <v>514.3878125</v>
      </c>
      <c r="AJ29" s="397">
        <v>0.02</v>
      </c>
      <c r="AK29" s="397">
        <v>0.1</v>
      </c>
      <c r="AL29" s="389">
        <v>113546.37165290036</v>
      </c>
      <c r="AM29" s="389">
        <v>71040.167973549324</v>
      </c>
      <c r="AN29" s="398">
        <v>-7502.8243470996531</v>
      </c>
      <c r="AO29" s="398">
        <v>-26443.699026450617</v>
      </c>
      <c r="AP29" s="398">
        <v>0</v>
      </c>
      <c r="AQ29" s="398">
        <v>5878.8836835200009</v>
      </c>
      <c r="AR29" s="398">
        <v>0</v>
      </c>
      <c r="AS29" s="398">
        <v>0</v>
      </c>
      <c r="AT29" s="398">
        <v>285</v>
      </c>
      <c r="AU29" s="399">
        <v>240</v>
      </c>
      <c r="AV29" s="399">
        <v>0</v>
      </c>
      <c r="AW29" s="399">
        <v>0</v>
      </c>
      <c r="AX29" s="399">
        <v>56500</v>
      </c>
      <c r="AY29" s="399">
        <v>0</v>
      </c>
      <c r="AZ29" s="399">
        <v>0</v>
      </c>
      <c r="BA29" s="399">
        <v>0</v>
      </c>
      <c r="BB29" s="399">
        <v>0</v>
      </c>
      <c r="BC29" s="399">
        <v>4800</v>
      </c>
      <c r="BD29" s="399">
        <v>0</v>
      </c>
      <c r="BE29" s="399">
        <v>0</v>
      </c>
      <c r="BF29" s="399">
        <v>56.5</v>
      </c>
      <c r="BG29" s="399">
        <v>0</v>
      </c>
      <c r="BH29" s="399">
        <v>0</v>
      </c>
      <c r="BI29" s="399">
        <v>0</v>
      </c>
      <c r="BJ29" s="399">
        <v>0</v>
      </c>
      <c r="BK29" s="398">
        <v>4856.5</v>
      </c>
      <c r="BL29" s="389">
        <v>6</v>
      </c>
      <c r="BM29" s="389">
        <v>0</v>
      </c>
      <c r="BN29" s="395">
        <v>2</v>
      </c>
      <c r="BO29" s="395">
        <v>19</v>
      </c>
      <c r="BP29" s="395">
        <v>0</v>
      </c>
      <c r="BQ29" s="389">
        <v>1</v>
      </c>
      <c r="BR29" s="389">
        <v>0</v>
      </c>
      <c r="BS29" s="389">
        <v>0</v>
      </c>
      <c r="BT29" s="389">
        <v>0</v>
      </c>
      <c r="BU29" s="389">
        <v>0</v>
      </c>
      <c r="BV29" s="389">
        <v>0</v>
      </c>
      <c r="BW29" s="389">
        <v>0</v>
      </c>
      <c r="BX29" s="389">
        <v>0</v>
      </c>
      <c r="BY29" s="389">
        <v>16</v>
      </c>
      <c r="BZ29" s="389">
        <v>1</v>
      </c>
      <c r="CA29" s="400">
        <v>0</v>
      </c>
      <c r="CB29" s="400">
        <v>0</v>
      </c>
      <c r="CC29" s="400">
        <v>0</v>
      </c>
      <c r="CD29" s="389">
        <v>60</v>
      </c>
      <c r="CE29" s="389">
        <v>0</v>
      </c>
      <c r="CF29" s="389">
        <v>20</v>
      </c>
      <c r="CG29" s="389">
        <v>190</v>
      </c>
      <c r="CH29" s="389">
        <v>0</v>
      </c>
      <c r="CI29" s="389">
        <v>10</v>
      </c>
      <c r="CJ29" s="389">
        <v>0</v>
      </c>
      <c r="CK29" s="389">
        <v>0</v>
      </c>
      <c r="CL29" s="389">
        <v>0</v>
      </c>
      <c r="CM29" s="389">
        <v>0</v>
      </c>
      <c r="CN29" s="389">
        <v>64</v>
      </c>
      <c r="CO29" s="389">
        <v>20</v>
      </c>
      <c r="CP29" s="389">
        <v>0</v>
      </c>
      <c r="CQ29" s="389">
        <v>0</v>
      </c>
      <c r="CR29" s="389">
        <v>0</v>
      </c>
      <c r="CS29" s="389">
        <v>364</v>
      </c>
      <c r="CT29" s="389">
        <v>1</v>
      </c>
      <c r="CU29" s="389">
        <v>0</v>
      </c>
      <c r="CV29" s="389">
        <v>2</v>
      </c>
      <c r="CW29" s="389">
        <v>3</v>
      </c>
      <c r="CX29" s="401">
        <v>102.57431847000001</v>
      </c>
      <c r="CY29" s="396">
        <v>0</v>
      </c>
      <c r="CZ29" s="396">
        <v>5868.32099148</v>
      </c>
      <c r="DA29" s="402">
        <v>0</v>
      </c>
      <c r="DB29" s="389">
        <v>0</v>
      </c>
      <c r="DC29" s="396">
        <v>467.30164485</v>
      </c>
      <c r="DD29" s="403">
        <v>0</v>
      </c>
      <c r="DE29" s="402">
        <v>0</v>
      </c>
      <c r="DF29" s="402">
        <v>0</v>
      </c>
      <c r="DG29" s="402">
        <v>0</v>
      </c>
      <c r="DH29" s="402">
        <v>2</v>
      </c>
      <c r="DI29" s="402">
        <v>2</v>
      </c>
      <c r="DJ29" s="402"/>
      <c r="DK29" s="402"/>
      <c r="DL29" s="404"/>
      <c r="DM29" s="404"/>
      <c r="DN29" s="402">
        <v>0.9375</v>
      </c>
      <c r="DO29" s="402">
        <v>0.19941047586542499</v>
      </c>
      <c r="DP29" s="402">
        <v>1</v>
      </c>
      <c r="DQ29" s="402">
        <v>1</v>
      </c>
      <c r="DR29" s="405">
        <v>0</v>
      </c>
      <c r="DS29" s="405">
        <v>0</v>
      </c>
      <c r="DT29" s="402">
        <v>0</v>
      </c>
      <c r="DU29" s="402">
        <v>0.3</v>
      </c>
      <c r="DV29" s="402">
        <v>0.2</v>
      </c>
      <c r="DW29" s="402">
        <v>0.5</v>
      </c>
      <c r="DX29" s="402">
        <v>9.375E-2</v>
      </c>
      <c r="DY29" s="402">
        <v>3.9882095173084997E-2</v>
      </c>
      <c r="DZ29" s="406">
        <v>0.05</v>
      </c>
      <c r="EA29" s="406">
        <v>0.05</v>
      </c>
      <c r="EB29" s="406">
        <v>0.23363209517308497</v>
      </c>
      <c r="EC29" s="407">
        <v>0.73363209517308503</v>
      </c>
      <c r="ED29" s="408" t="s">
        <v>509</v>
      </c>
      <c r="EE29" s="408" t="s">
        <v>25</v>
      </c>
      <c r="EG29" s="389">
        <v>115342.25600633011</v>
      </c>
      <c r="EH29" s="389">
        <v>113533.11277510002</v>
      </c>
      <c r="EI29" s="389">
        <v>113539.99012086009</v>
      </c>
      <c r="EJ29" s="389">
        <v>74343.126550000001</v>
      </c>
      <c r="EK29" s="389">
        <v>71330.402724610001</v>
      </c>
      <c r="EL29" s="389">
        <v>71014.946797770011</v>
      </c>
      <c r="EN29" s="389">
        <v>2</v>
      </c>
      <c r="EO29" s="409">
        <v>184586.5396264497</v>
      </c>
      <c r="EP29" s="409">
        <v>191312.7406117327</v>
      </c>
      <c r="EQ29" s="410">
        <v>-3363.1004926415044</v>
      </c>
      <c r="ER29" s="404">
        <v>0</v>
      </c>
      <c r="ES29" s="404">
        <v>2</v>
      </c>
      <c r="ET29" s="404">
        <v>0.3</v>
      </c>
      <c r="EU29" s="411">
        <v>0.73363209517308503</v>
      </c>
      <c r="EV29" s="412" t="s">
        <v>509</v>
      </c>
      <c r="EW29" s="412" t="s">
        <v>25</v>
      </c>
      <c r="EX29" s="381"/>
      <c r="EY29" s="419">
        <v>1.1771193642618465</v>
      </c>
      <c r="EZ29" s="419">
        <v>0.53671273078922832</v>
      </c>
      <c r="FA29" s="419">
        <v>0.71573776978728931</v>
      </c>
      <c r="FB29" s="419">
        <v>0.61098806489655377</v>
      </c>
      <c r="FC29" s="419">
        <v>0.85817148685300171</v>
      </c>
      <c r="FD29" s="419">
        <v>0.3763410688346257</v>
      </c>
      <c r="FE29" s="419">
        <v>0.48157944342605152</v>
      </c>
      <c r="FF29" s="419">
        <v>0.55430684703052502</v>
      </c>
      <c r="FG29" s="419">
        <v>0.51701290326639704</v>
      </c>
      <c r="FH29" s="419">
        <v>0.56728391144862744</v>
      </c>
      <c r="FI29" s="419">
        <v>0.73363209517308503</v>
      </c>
      <c r="FJ29" s="419"/>
      <c r="FK29" s="407">
        <v>0.80985662161278815</v>
      </c>
      <c r="FL29" s="407">
        <v>0.61516687352806043</v>
      </c>
      <c r="FM29" s="419">
        <v>0.51763306457432456</v>
      </c>
      <c r="FN29" s="419">
        <v>0.65045800331085624</v>
      </c>
      <c r="FO29" s="407">
        <v>0.64808051688793011</v>
      </c>
    </row>
    <row r="30" spans="1:171" hidden="1" outlineLevel="1" x14ac:dyDescent="0.25">
      <c r="A30" s="390" t="s">
        <v>300</v>
      </c>
      <c r="B30" s="390" t="s">
        <v>195</v>
      </c>
      <c r="C30" s="390" t="s">
        <v>196</v>
      </c>
      <c r="D30" s="391" t="s">
        <v>195</v>
      </c>
      <c r="E30" s="390" t="s">
        <v>36</v>
      </c>
      <c r="F30" s="391" t="s">
        <v>154</v>
      </c>
      <c r="G30" s="392">
        <v>1</v>
      </c>
      <c r="H30" s="393">
        <v>38955</v>
      </c>
      <c r="I30" s="393">
        <v>44200</v>
      </c>
      <c r="J30" s="394">
        <v>196</v>
      </c>
      <c r="K30" s="391">
        <v>323</v>
      </c>
      <c r="L30" s="390" t="s">
        <v>182</v>
      </c>
      <c r="M30" s="392" t="s">
        <v>355</v>
      </c>
      <c r="N30" s="395">
        <v>5</v>
      </c>
      <c r="O30" s="395">
        <v>1</v>
      </c>
      <c r="P30" s="395">
        <v>4</v>
      </c>
      <c r="Q30" s="389">
        <v>0</v>
      </c>
      <c r="R30" s="389">
        <v>0</v>
      </c>
      <c r="S30" s="389">
        <v>224854.66643191496</v>
      </c>
      <c r="T30" s="389">
        <v>243879.78299999997</v>
      </c>
      <c r="U30" s="389">
        <v>42175.588611650011</v>
      </c>
      <c r="V30" s="389">
        <v>10740.50963137</v>
      </c>
      <c r="W30" s="389">
        <v>0</v>
      </c>
      <c r="X30" s="389">
        <v>0</v>
      </c>
      <c r="Y30" s="389">
        <v>250723.91643191496</v>
      </c>
      <c r="Z30" s="389">
        <v>244279.78299999997</v>
      </c>
      <c r="AA30" s="389"/>
      <c r="AB30" s="389"/>
      <c r="AC30" s="389">
        <v>25869.25</v>
      </c>
      <c r="AD30" s="389">
        <v>400</v>
      </c>
      <c r="AE30" s="389">
        <v>3420.8506944444443</v>
      </c>
      <c r="AF30" s="389">
        <v>300.29774305555554</v>
      </c>
      <c r="AG30" s="389">
        <v>4200</v>
      </c>
      <c r="AH30" s="396">
        <v>8</v>
      </c>
      <c r="AI30" s="389">
        <v>1574.3056770833334</v>
      </c>
      <c r="AJ30" s="397">
        <v>0.02</v>
      </c>
      <c r="AK30" s="397">
        <v>0.1</v>
      </c>
      <c r="AL30" s="389">
        <v>303232.42072509002</v>
      </c>
      <c r="AM30" s="389">
        <v>166627.40140540164</v>
      </c>
      <c r="AN30" s="398">
        <v>78377.754293175065</v>
      </c>
      <c r="AO30" s="398">
        <v>-77252.381594598322</v>
      </c>
      <c r="AP30" s="398">
        <v>26639.254293175065</v>
      </c>
      <c r="AQ30" s="398">
        <v>12585.578330660001</v>
      </c>
      <c r="AR30" s="398">
        <v>0</v>
      </c>
      <c r="AS30" s="398">
        <v>0</v>
      </c>
      <c r="AT30" s="398">
        <v>470</v>
      </c>
      <c r="AU30" s="399">
        <v>167.79957999999999</v>
      </c>
      <c r="AV30" s="399">
        <v>0</v>
      </c>
      <c r="AW30" s="399">
        <v>21.6</v>
      </c>
      <c r="AX30" s="399">
        <v>69264.239466853818</v>
      </c>
      <c r="AY30" s="399">
        <v>500</v>
      </c>
      <c r="AZ30" s="399">
        <v>0</v>
      </c>
      <c r="BA30" s="399">
        <v>0</v>
      </c>
      <c r="BB30" s="399">
        <v>0</v>
      </c>
      <c r="BC30" s="399">
        <v>3355.9915999999998</v>
      </c>
      <c r="BD30" s="399">
        <v>0</v>
      </c>
      <c r="BE30" s="399">
        <v>43.2</v>
      </c>
      <c r="BF30" s="399">
        <v>69.264239466853809</v>
      </c>
      <c r="BG30" s="399">
        <v>50</v>
      </c>
      <c r="BH30" s="399">
        <v>0</v>
      </c>
      <c r="BI30" s="399">
        <v>0</v>
      </c>
      <c r="BJ30" s="399">
        <v>0</v>
      </c>
      <c r="BK30" s="398">
        <v>3518.4558394668534</v>
      </c>
      <c r="BL30" s="389">
        <v>24</v>
      </c>
      <c r="BM30" s="389">
        <v>0</v>
      </c>
      <c r="BN30" s="395">
        <v>15</v>
      </c>
      <c r="BO30" s="395">
        <v>18</v>
      </c>
      <c r="BP30" s="395">
        <v>0</v>
      </c>
      <c r="BQ30" s="389">
        <v>1</v>
      </c>
      <c r="BR30" s="389">
        <v>0</v>
      </c>
      <c r="BS30" s="389">
        <v>0</v>
      </c>
      <c r="BT30" s="389">
        <v>0</v>
      </c>
      <c r="BU30" s="389">
        <v>0</v>
      </c>
      <c r="BV30" s="389">
        <v>0</v>
      </c>
      <c r="BW30" s="389">
        <v>1</v>
      </c>
      <c r="BX30" s="389">
        <v>0</v>
      </c>
      <c r="BY30" s="389">
        <v>62</v>
      </c>
      <c r="BZ30" s="389">
        <v>2</v>
      </c>
      <c r="CA30" s="400">
        <v>1</v>
      </c>
      <c r="CB30" s="400">
        <v>0</v>
      </c>
      <c r="CC30" s="400">
        <v>0</v>
      </c>
      <c r="CD30" s="389">
        <v>240</v>
      </c>
      <c r="CE30" s="389">
        <v>0</v>
      </c>
      <c r="CF30" s="389">
        <v>150</v>
      </c>
      <c r="CG30" s="389">
        <v>180</v>
      </c>
      <c r="CH30" s="389">
        <v>0</v>
      </c>
      <c r="CI30" s="389">
        <v>10</v>
      </c>
      <c r="CJ30" s="389">
        <v>0</v>
      </c>
      <c r="CK30" s="389">
        <v>0</v>
      </c>
      <c r="CL30" s="389">
        <v>50</v>
      </c>
      <c r="CM30" s="389">
        <v>0</v>
      </c>
      <c r="CN30" s="389">
        <v>248</v>
      </c>
      <c r="CO30" s="389">
        <v>40</v>
      </c>
      <c r="CP30" s="389">
        <v>4</v>
      </c>
      <c r="CQ30" s="389">
        <v>0</v>
      </c>
      <c r="CR30" s="389">
        <v>0</v>
      </c>
      <c r="CS30" s="389">
        <v>922</v>
      </c>
      <c r="CT30" s="389">
        <v>3</v>
      </c>
      <c r="CU30" s="389">
        <v>0</v>
      </c>
      <c r="CV30" s="389">
        <v>3</v>
      </c>
      <c r="CW30" s="389">
        <v>6</v>
      </c>
      <c r="CX30" s="401">
        <v>1178.8611181512613</v>
      </c>
      <c r="CY30" s="396">
        <v>0</v>
      </c>
      <c r="CZ30" s="396">
        <v>9460.4193013099994</v>
      </c>
      <c r="DA30" s="402">
        <v>0</v>
      </c>
      <c r="DB30" s="389">
        <v>84.053244100000001</v>
      </c>
      <c r="DC30" s="396">
        <v>422.83310989</v>
      </c>
      <c r="DD30" s="403">
        <v>0.19878586168870846</v>
      </c>
      <c r="DE30" s="402">
        <v>2</v>
      </c>
      <c r="DF30" s="402">
        <v>0</v>
      </c>
      <c r="DG30" s="402">
        <v>0</v>
      </c>
      <c r="DH30" s="402">
        <v>1.565113327918183</v>
      </c>
      <c r="DI30" s="402">
        <v>1.0572513903492506</v>
      </c>
      <c r="DJ30" s="402"/>
      <c r="DK30" s="402"/>
      <c r="DL30" s="404"/>
      <c r="DM30" s="404"/>
      <c r="DN30" s="402">
        <v>0.75</v>
      </c>
      <c r="DO30" s="402">
        <v>0.74881335646029057</v>
      </c>
      <c r="DP30" s="402">
        <v>1</v>
      </c>
      <c r="DQ30" s="402">
        <v>0.50305388497194248</v>
      </c>
      <c r="DR30" s="405">
        <v>0.3</v>
      </c>
      <c r="DS30" s="405">
        <v>0</v>
      </c>
      <c r="DT30" s="402">
        <v>0</v>
      </c>
      <c r="DU30" s="402">
        <v>0.23476699918772745</v>
      </c>
      <c r="DV30" s="402">
        <v>0.10572513903492507</v>
      </c>
      <c r="DW30" s="402">
        <v>0.6404921382226525</v>
      </c>
      <c r="DX30" s="402">
        <v>7.5000000000000011E-2</v>
      </c>
      <c r="DY30" s="402">
        <v>0.14976267129205811</v>
      </c>
      <c r="DZ30" s="406">
        <v>0.05</v>
      </c>
      <c r="EA30" s="406">
        <v>2.5152694248597125E-2</v>
      </c>
      <c r="EB30" s="406">
        <v>0.29991536554065523</v>
      </c>
      <c r="EC30" s="407">
        <v>0.94040750376330773</v>
      </c>
      <c r="ED30" s="408" t="s">
        <v>511</v>
      </c>
      <c r="EE30" s="408" t="s">
        <v>27</v>
      </c>
      <c r="EG30" s="389">
        <v>279102.30527859327</v>
      </c>
      <c r="EH30" s="389">
        <v>351465.63008641626</v>
      </c>
      <c r="EI30" s="389">
        <v>353442.26305011642</v>
      </c>
      <c r="EJ30" s="389">
        <v>169142.64491999996</v>
      </c>
      <c r="EK30" s="389">
        <v>161693.17347898</v>
      </c>
      <c r="EL30" s="389">
        <v>161646.96661875001</v>
      </c>
      <c r="EN30" s="389">
        <v>5</v>
      </c>
      <c r="EO30" s="409">
        <v>469859.82213049167</v>
      </c>
      <c r="EP30" s="409">
        <v>468461.71484519256</v>
      </c>
      <c r="EQ30" s="410">
        <v>279.62145705982113</v>
      </c>
      <c r="ER30" s="404">
        <v>0</v>
      </c>
      <c r="ES30" s="404">
        <v>2</v>
      </c>
      <c r="ET30" s="404">
        <v>0.3</v>
      </c>
      <c r="EU30" s="411">
        <v>1.0056405045755803</v>
      </c>
      <c r="EV30" s="412" t="s">
        <v>510</v>
      </c>
      <c r="EW30" s="412" t="s">
        <v>28</v>
      </c>
      <c r="EX30" s="381"/>
      <c r="EY30" s="419">
        <v>0.68276105832131817</v>
      </c>
      <c r="EZ30" s="419">
        <v>0.74728531197020831</v>
      </c>
      <c r="FA30" s="419">
        <v>1.0654627618723658</v>
      </c>
      <c r="FB30" s="419">
        <v>0.72190726434262398</v>
      </c>
      <c r="FC30" s="419">
        <v>0.40906514118708592</v>
      </c>
      <c r="FD30" s="419">
        <v>0.83219903159587683</v>
      </c>
      <c r="FE30" s="419">
        <v>1.1981966836238327</v>
      </c>
      <c r="FF30" s="419">
        <v>1.0190745455268535</v>
      </c>
      <c r="FG30" s="419">
        <v>1.2213482591816107</v>
      </c>
      <c r="FH30" s="419">
        <v>0.91539059878905582</v>
      </c>
      <c r="FI30" s="419">
        <v>1.0056405045755803</v>
      </c>
      <c r="FJ30" s="419"/>
      <c r="FK30" s="407">
        <v>0.83183637738796412</v>
      </c>
      <c r="FL30" s="407">
        <v>0.65439047904186232</v>
      </c>
      <c r="FM30" s="419">
        <v>1.1462064961107656</v>
      </c>
      <c r="FN30" s="419">
        <v>0.96051555168231806</v>
      </c>
      <c r="FO30" s="407">
        <v>0.89257556008967398</v>
      </c>
    </row>
    <row r="31" spans="1:171" hidden="1" outlineLevel="1" x14ac:dyDescent="0.25">
      <c r="A31" s="390" t="s">
        <v>300</v>
      </c>
      <c r="B31" s="390" t="s">
        <v>192</v>
      </c>
      <c r="C31" s="390" t="s">
        <v>193</v>
      </c>
      <c r="D31" s="391" t="s">
        <v>192</v>
      </c>
      <c r="E31" s="390" t="s">
        <v>36</v>
      </c>
      <c r="F31" s="391" t="s">
        <v>154</v>
      </c>
      <c r="G31" s="392">
        <v>1</v>
      </c>
      <c r="H31" s="393">
        <v>42644</v>
      </c>
      <c r="I31" s="393">
        <v>44200</v>
      </c>
      <c r="J31" s="394">
        <v>74</v>
      </c>
      <c r="K31" s="391">
        <v>329</v>
      </c>
      <c r="L31" s="390" t="s">
        <v>197</v>
      </c>
      <c r="M31" s="392" t="s">
        <v>355</v>
      </c>
      <c r="N31" s="395">
        <v>4</v>
      </c>
      <c r="O31" s="395">
        <v>1</v>
      </c>
      <c r="P31" s="395">
        <v>5</v>
      </c>
      <c r="Q31" s="389">
        <v>0</v>
      </c>
      <c r="R31" s="389">
        <v>0</v>
      </c>
      <c r="S31" s="389">
        <v>305831.81769267318</v>
      </c>
      <c r="T31" s="389">
        <v>98077.095000000016</v>
      </c>
      <c r="U31" s="389">
        <v>80445.643705110022</v>
      </c>
      <c r="V31" s="389">
        <v>21204.458678600004</v>
      </c>
      <c r="W31" s="389">
        <v>0</v>
      </c>
      <c r="X31" s="389">
        <v>0</v>
      </c>
      <c r="Y31" s="389">
        <v>321328.06769267318</v>
      </c>
      <c r="Z31" s="389">
        <v>98377.095000000016</v>
      </c>
      <c r="AA31" s="389"/>
      <c r="AB31" s="389"/>
      <c r="AC31" s="389">
        <v>15496.25</v>
      </c>
      <c r="AD31" s="389">
        <v>300</v>
      </c>
      <c r="AE31" s="389">
        <v>3093.8194444444443</v>
      </c>
      <c r="AF31" s="389">
        <v>254.09809027777777</v>
      </c>
      <c r="AG31" s="389">
        <v>2400</v>
      </c>
      <c r="AH31" s="396">
        <v>8</v>
      </c>
      <c r="AI31" s="389">
        <v>1058.6348958333333</v>
      </c>
      <c r="AJ31" s="397">
        <v>0.02</v>
      </c>
      <c r="AK31" s="397">
        <v>0.1</v>
      </c>
      <c r="AL31" s="389">
        <v>311916.41897518758</v>
      </c>
      <c r="AM31" s="389">
        <v>69221.259733159299</v>
      </c>
      <c r="AN31" s="398">
        <v>6084.6012825143989</v>
      </c>
      <c r="AO31" s="398">
        <v>-28855.835266840717</v>
      </c>
      <c r="AP31" s="398">
        <v>0</v>
      </c>
      <c r="AQ31" s="398">
        <v>13406.38061149</v>
      </c>
      <c r="AR31" s="398">
        <v>1215</v>
      </c>
      <c r="AS31" s="398">
        <v>0</v>
      </c>
      <c r="AT31" s="398">
        <v>318.2</v>
      </c>
      <c r="AU31" s="399">
        <v>60</v>
      </c>
      <c r="AV31" s="399">
        <v>27</v>
      </c>
      <c r="AW31" s="399">
        <v>9.6</v>
      </c>
      <c r="AX31" s="399">
        <v>25745428.48</v>
      </c>
      <c r="AY31" s="399">
        <v>0</v>
      </c>
      <c r="AZ31" s="399">
        <v>100</v>
      </c>
      <c r="BA31" s="399">
        <v>0</v>
      </c>
      <c r="BB31" s="399">
        <v>1.3</v>
      </c>
      <c r="BC31" s="399">
        <v>1200</v>
      </c>
      <c r="BD31" s="399">
        <v>216</v>
      </c>
      <c r="BE31" s="399">
        <v>19.2</v>
      </c>
      <c r="BF31" s="399">
        <v>25745.428480000002</v>
      </c>
      <c r="BG31" s="399">
        <v>0</v>
      </c>
      <c r="BH31" s="399">
        <v>10</v>
      </c>
      <c r="BI31" s="399">
        <v>0</v>
      </c>
      <c r="BJ31" s="399">
        <v>0.13</v>
      </c>
      <c r="BK31" s="398">
        <v>27190.758480000004</v>
      </c>
      <c r="BL31" s="389">
        <v>42</v>
      </c>
      <c r="BM31" s="389">
        <v>0</v>
      </c>
      <c r="BN31" s="395">
        <v>21</v>
      </c>
      <c r="BO31" s="395">
        <v>0</v>
      </c>
      <c r="BP31" s="395">
        <v>0</v>
      </c>
      <c r="BQ31" s="389">
        <v>3</v>
      </c>
      <c r="BR31" s="389">
        <v>1215</v>
      </c>
      <c r="BS31" s="389">
        <v>0</v>
      </c>
      <c r="BT31" s="389">
        <v>0</v>
      </c>
      <c r="BU31" s="389">
        <v>20.85</v>
      </c>
      <c r="BV31" s="389">
        <v>0</v>
      </c>
      <c r="BW31" s="389">
        <v>0</v>
      </c>
      <c r="BX31" s="389">
        <v>0</v>
      </c>
      <c r="BY31" s="389">
        <v>101</v>
      </c>
      <c r="BZ31" s="389">
        <v>1</v>
      </c>
      <c r="CA31" s="400">
        <v>3</v>
      </c>
      <c r="CB31" s="400">
        <v>0</v>
      </c>
      <c r="CC31" s="400">
        <v>0</v>
      </c>
      <c r="CD31" s="389">
        <v>420</v>
      </c>
      <c r="CE31" s="389">
        <v>0</v>
      </c>
      <c r="CF31" s="389">
        <v>210</v>
      </c>
      <c r="CG31" s="389">
        <v>0</v>
      </c>
      <c r="CH31" s="389">
        <v>0</v>
      </c>
      <c r="CI31" s="389">
        <v>30</v>
      </c>
      <c r="CJ31" s="389">
        <v>364.5</v>
      </c>
      <c r="CK31" s="389">
        <v>16.68</v>
      </c>
      <c r="CL31" s="389">
        <v>0</v>
      </c>
      <c r="CM31" s="389">
        <v>0</v>
      </c>
      <c r="CN31" s="389">
        <v>404</v>
      </c>
      <c r="CO31" s="389">
        <v>20</v>
      </c>
      <c r="CP31" s="389">
        <v>12</v>
      </c>
      <c r="CQ31" s="389">
        <v>0</v>
      </c>
      <c r="CR31" s="389">
        <v>0</v>
      </c>
      <c r="CS31" s="389">
        <v>1477.18</v>
      </c>
      <c r="CT31" s="389">
        <v>3</v>
      </c>
      <c r="CU31" s="389">
        <v>0</v>
      </c>
      <c r="CV31" s="389">
        <v>5</v>
      </c>
      <c r="CW31" s="389">
        <v>8</v>
      </c>
      <c r="CX31" s="401">
        <v>194.68645867000001</v>
      </c>
      <c r="CY31" s="396">
        <v>0</v>
      </c>
      <c r="CZ31" s="396">
        <v>9813.31458088</v>
      </c>
      <c r="DA31" s="402">
        <v>0</v>
      </c>
      <c r="DB31" s="389">
        <v>0</v>
      </c>
      <c r="DC31" s="396">
        <v>0</v>
      </c>
      <c r="DD31" s="403">
        <v>0</v>
      </c>
      <c r="DE31" s="402">
        <v>0.39264991740030003</v>
      </c>
      <c r="DF31" s="402">
        <v>0</v>
      </c>
      <c r="DG31" s="402">
        <v>0.39271845749814821</v>
      </c>
      <c r="DH31" s="402">
        <v>1.2522723002449432</v>
      </c>
      <c r="DI31" s="402">
        <v>2</v>
      </c>
      <c r="DJ31" s="402"/>
      <c r="DK31" s="402"/>
      <c r="DL31" s="404"/>
      <c r="DM31" s="404"/>
      <c r="DN31" s="402">
        <v>1</v>
      </c>
      <c r="DO31" s="402">
        <v>0.18390330739735086</v>
      </c>
      <c r="DP31" s="402">
        <v>1</v>
      </c>
      <c r="DQ31" s="402">
        <v>1</v>
      </c>
      <c r="DR31" s="402">
        <v>5.8897487610044999E-2</v>
      </c>
      <c r="DS31" s="405">
        <v>0</v>
      </c>
      <c r="DT31" s="402">
        <v>5.8907768624722232E-2</v>
      </c>
      <c r="DU31" s="402">
        <v>0.18784084503674148</v>
      </c>
      <c r="DV31" s="402">
        <v>0.2</v>
      </c>
      <c r="DW31" s="402">
        <v>0.50564610127150877</v>
      </c>
      <c r="DX31" s="402">
        <v>0.1</v>
      </c>
      <c r="DY31" s="402">
        <v>3.6780661479470171E-2</v>
      </c>
      <c r="DZ31" s="406">
        <v>0.05</v>
      </c>
      <c r="EA31" s="406">
        <v>0.05</v>
      </c>
      <c r="EB31" s="406">
        <v>0.23678066147947019</v>
      </c>
      <c r="EC31" s="407">
        <v>0.74242676275097896</v>
      </c>
      <c r="ED31" s="408" t="s">
        <v>509</v>
      </c>
      <c r="EE31" s="408" t="s">
        <v>25</v>
      </c>
      <c r="EG31" s="389">
        <v>301856.29722383298</v>
      </c>
      <c r="EH31" s="389">
        <v>318954.85682940303</v>
      </c>
      <c r="EI31" s="389">
        <v>323995.82066007302</v>
      </c>
      <c r="EJ31" s="389">
        <v>62901.175410000011</v>
      </c>
      <c r="EK31" s="389">
        <v>68312.454367329992</v>
      </c>
      <c r="EL31" s="389">
        <v>69317.839540460001</v>
      </c>
      <c r="EN31" s="389">
        <v>3</v>
      </c>
      <c r="EO31" s="409">
        <v>381137.67870834691</v>
      </c>
      <c r="EP31" s="409">
        <v>372764.66832004092</v>
      </c>
      <c r="EQ31" s="410">
        <v>2791.0034627686641</v>
      </c>
      <c r="ER31" s="404">
        <v>0.25</v>
      </c>
      <c r="ES31" s="404">
        <v>2</v>
      </c>
      <c r="ET31" s="404">
        <v>0.3</v>
      </c>
      <c r="EU31" s="411">
        <v>1.1045859177142374</v>
      </c>
      <c r="EV31" s="412" t="s">
        <v>510</v>
      </c>
      <c r="EW31" s="412" t="s">
        <v>28</v>
      </c>
      <c r="EX31" s="381"/>
      <c r="EY31" s="419">
        <v>1.2501680587046384</v>
      </c>
      <c r="EZ31" s="419">
        <v>1.169208589006427</v>
      </c>
      <c r="FA31" s="419">
        <v>1.0187745775365897</v>
      </c>
      <c r="FB31" s="419">
        <v>0.99523583567748863</v>
      </c>
      <c r="FC31" s="419">
        <v>1.0887550673868185</v>
      </c>
      <c r="FD31" s="419">
        <v>1.1292399670951743</v>
      </c>
      <c r="FE31" s="419">
        <v>0.81780284415209104</v>
      </c>
      <c r="FF31" s="419">
        <v>0.8737289678700273</v>
      </c>
      <c r="FG31" s="419">
        <v>0.59147841084582686</v>
      </c>
      <c r="FH31" s="419">
        <v>0.54462614398755926</v>
      </c>
      <c r="FI31" s="419">
        <v>1.1045859177142374</v>
      </c>
      <c r="FJ31" s="419"/>
      <c r="FK31" s="407">
        <v>1.1460504084158851</v>
      </c>
      <c r="FL31" s="407">
        <v>1.0710769567198271</v>
      </c>
      <c r="FM31" s="419">
        <v>0.76100340762264851</v>
      </c>
      <c r="FN31" s="419">
        <v>0.82460603085089834</v>
      </c>
      <c r="FO31" s="407">
        <v>0.96214585272517072</v>
      </c>
    </row>
    <row r="32" spans="1:171" hidden="1" outlineLevel="1" x14ac:dyDescent="0.25">
      <c r="A32" s="390" t="s">
        <v>299</v>
      </c>
      <c r="B32" s="390" t="s">
        <v>501</v>
      </c>
      <c r="C32" s="390" t="s">
        <v>502</v>
      </c>
      <c r="D32" s="391" t="s">
        <v>501</v>
      </c>
      <c r="E32" s="390" t="s">
        <v>36</v>
      </c>
      <c r="F32" s="391" t="s">
        <v>154</v>
      </c>
      <c r="G32" s="392">
        <v>1</v>
      </c>
      <c r="H32" s="393">
        <v>44392</v>
      </c>
      <c r="I32" s="393">
        <v>44805</v>
      </c>
      <c r="J32" s="394">
        <v>17</v>
      </c>
      <c r="K32" s="391">
        <v>302</v>
      </c>
      <c r="L32" s="390" t="s">
        <v>172</v>
      </c>
      <c r="M32" s="392" t="s">
        <v>355</v>
      </c>
      <c r="N32" s="395">
        <v>3</v>
      </c>
      <c r="O32" s="395">
        <v>0</v>
      </c>
      <c r="P32" s="395">
        <v>3</v>
      </c>
      <c r="Q32" s="389">
        <v>0</v>
      </c>
      <c r="R32" s="389">
        <v>0</v>
      </c>
      <c r="S32" s="389">
        <v>170516.829</v>
      </c>
      <c r="T32" s="389">
        <v>88173.390999999989</v>
      </c>
      <c r="U32" s="389">
        <v>24600.814171180005</v>
      </c>
      <c r="V32" s="389">
        <v>7578.6159711</v>
      </c>
      <c r="W32" s="389">
        <v>0</v>
      </c>
      <c r="X32" s="389">
        <v>0</v>
      </c>
      <c r="Y32" s="389">
        <v>183040.329</v>
      </c>
      <c r="Z32" s="389">
        <v>88473.390999999989</v>
      </c>
      <c r="AA32" s="389"/>
      <c r="AB32" s="389"/>
      <c r="AC32" s="389">
        <v>12523.5</v>
      </c>
      <c r="AD32" s="389">
        <v>300</v>
      </c>
      <c r="AE32" s="389">
        <v>560.625</v>
      </c>
      <c r="AF32" s="389">
        <v>138.59895833333334</v>
      </c>
      <c r="AG32" s="389">
        <v>1800</v>
      </c>
      <c r="AH32" s="396">
        <v>4.8000000000000007</v>
      </c>
      <c r="AI32" s="389">
        <v>654.6410937500001</v>
      </c>
      <c r="AJ32" s="397">
        <v>0.02</v>
      </c>
      <c r="AK32" s="397">
        <v>0.1</v>
      </c>
      <c r="AL32" s="389">
        <v>187973.76008575902</v>
      </c>
      <c r="AM32" s="389">
        <v>134919.62273708262</v>
      </c>
      <c r="AN32" s="398">
        <v>17456.931085759017</v>
      </c>
      <c r="AO32" s="398">
        <v>46746.231737082635</v>
      </c>
      <c r="AP32" s="398">
        <v>0</v>
      </c>
      <c r="AQ32" s="398">
        <v>16897.382589059998</v>
      </c>
      <c r="AR32" s="398">
        <v>0</v>
      </c>
      <c r="AS32" s="398">
        <v>0</v>
      </c>
      <c r="AT32" s="398">
        <v>25</v>
      </c>
      <c r="AU32" s="399">
        <v>75</v>
      </c>
      <c r="AV32" s="399">
        <v>0</v>
      </c>
      <c r="AW32" s="399">
        <v>0</v>
      </c>
      <c r="AX32" s="399">
        <v>31273.08</v>
      </c>
      <c r="AY32" s="399">
        <v>100</v>
      </c>
      <c r="AZ32" s="399">
        <v>0</v>
      </c>
      <c r="BA32" s="399">
        <v>0</v>
      </c>
      <c r="BB32" s="399">
        <v>50</v>
      </c>
      <c r="BC32" s="399">
        <v>1500</v>
      </c>
      <c r="BD32" s="399">
        <v>0</v>
      </c>
      <c r="BE32" s="399">
        <v>0</v>
      </c>
      <c r="BF32" s="399">
        <v>31.27308</v>
      </c>
      <c r="BG32" s="399">
        <v>10</v>
      </c>
      <c r="BH32" s="399">
        <v>0</v>
      </c>
      <c r="BI32" s="399">
        <v>0</v>
      </c>
      <c r="BJ32" s="399">
        <v>5</v>
      </c>
      <c r="BK32" s="398">
        <v>1546.2730799999999</v>
      </c>
      <c r="BL32" s="389">
        <v>8</v>
      </c>
      <c r="BM32" s="389">
        <v>0</v>
      </c>
      <c r="BN32" s="395">
        <v>4</v>
      </c>
      <c r="BO32" s="395">
        <v>0</v>
      </c>
      <c r="BP32" s="395">
        <v>0</v>
      </c>
      <c r="BQ32" s="389">
        <v>0</v>
      </c>
      <c r="BR32" s="389">
        <v>0</v>
      </c>
      <c r="BS32" s="389">
        <v>0</v>
      </c>
      <c r="BT32" s="389">
        <v>0</v>
      </c>
      <c r="BU32" s="389">
        <v>0</v>
      </c>
      <c r="BV32" s="389">
        <v>0</v>
      </c>
      <c r="BW32" s="389">
        <v>0</v>
      </c>
      <c r="BX32" s="389">
        <v>0</v>
      </c>
      <c r="BY32" s="389">
        <v>26</v>
      </c>
      <c r="BZ32" s="389">
        <v>1</v>
      </c>
      <c r="CA32" s="400">
        <v>0</v>
      </c>
      <c r="CB32" s="400">
        <v>0</v>
      </c>
      <c r="CC32" s="400">
        <v>0</v>
      </c>
      <c r="CD32" s="389">
        <v>80</v>
      </c>
      <c r="CE32" s="389">
        <v>0</v>
      </c>
      <c r="CF32" s="389">
        <v>40</v>
      </c>
      <c r="CG32" s="389">
        <v>0</v>
      </c>
      <c r="CH32" s="389">
        <v>0</v>
      </c>
      <c r="CI32" s="389">
        <v>0</v>
      </c>
      <c r="CJ32" s="389">
        <v>0</v>
      </c>
      <c r="CK32" s="389">
        <v>0</v>
      </c>
      <c r="CL32" s="389">
        <v>0</v>
      </c>
      <c r="CM32" s="389">
        <v>0</v>
      </c>
      <c r="CN32" s="389">
        <v>104</v>
      </c>
      <c r="CO32" s="389">
        <v>20</v>
      </c>
      <c r="CP32" s="389">
        <v>0</v>
      </c>
      <c r="CQ32" s="389">
        <v>0</v>
      </c>
      <c r="CR32" s="389">
        <v>0</v>
      </c>
      <c r="CS32" s="389">
        <v>244</v>
      </c>
      <c r="CT32" s="389">
        <v>1</v>
      </c>
      <c r="CU32" s="389">
        <v>0</v>
      </c>
      <c r="CV32" s="389">
        <v>1</v>
      </c>
      <c r="CW32" s="389">
        <v>2</v>
      </c>
      <c r="CX32" s="401">
        <v>229.8453863316557</v>
      </c>
      <c r="CY32" s="396">
        <v>0</v>
      </c>
      <c r="CZ32" s="396">
        <v>15265.77216267</v>
      </c>
      <c r="DA32" s="402">
        <v>0</v>
      </c>
      <c r="DB32" s="389">
        <v>0</v>
      </c>
      <c r="DC32" s="396">
        <v>0</v>
      </c>
      <c r="DD32" s="403">
        <v>0</v>
      </c>
      <c r="DE32" s="402">
        <v>1.393933891145368</v>
      </c>
      <c r="DF32" s="402">
        <v>1</v>
      </c>
      <c r="DG32" s="402">
        <v>0</v>
      </c>
      <c r="DH32" s="402">
        <v>0.18037653601893952</v>
      </c>
      <c r="DI32" s="402">
        <v>0.99459615555555547</v>
      </c>
      <c r="DJ32" s="402"/>
      <c r="DK32" s="402"/>
      <c r="DL32" s="404"/>
      <c r="DM32" s="404"/>
      <c r="DN32" s="402">
        <v>0.41666666666666663</v>
      </c>
      <c r="DO32" s="402">
        <v>0.35110137222676552</v>
      </c>
      <c r="DP32" s="402">
        <v>1</v>
      </c>
      <c r="DQ32" s="402">
        <v>1</v>
      </c>
      <c r="DR32" s="405">
        <v>0.2090900836718052</v>
      </c>
      <c r="DS32" s="405">
        <v>0.05</v>
      </c>
      <c r="DT32" s="402">
        <v>0</v>
      </c>
      <c r="DU32" s="402">
        <v>2.7056480402840928E-2</v>
      </c>
      <c r="DV32" s="402">
        <v>9.9459615555555547E-2</v>
      </c>
      <c r="DW32" s="402">
        <v>0.38560617963020166</v>
      </c>
      <c r="DX32" s="402">
        <v>4.1666666666666664E-2</v>
      </c>
      <c r="DY32" s="402">
        <v>7.0220274445353101E-2</v>
      </c>
      <c r="DZ32" s="406">
        <v>0.05</v>
      </c>
      <c r="EA32" s="406">
        <v>0.05</v>
      </c>
      <c r="EB32" s="406">
        <v>0.21188694111201978</v>
      </c>
      <c r="EC32" s="407">
        <v>0.59749312074222138</v>
      </c>
      <c r="ED32" s="408" t="s">
        <v>157</v>
      </c>
      <c r="EE32" s="408" t="s">
        <v>156</v>
      </c>
      <c r="EG32" s="389">
        <v>166284.91384573712</v>
      </c>
      <c r="EH32" s="389">
        <v>198569.84763726001</v>
      </c>
      <c r="EI32" s="389">
        <v>197551.13552503</v>
      </c>
      <c r="EJ32" s="389">
        <v>159755.72413999998</v>
      </c>
      <c r="EK32" s="389">
        <v>120439.07496512002</v>
      </c>
      <c r="EL32" s="389">
        <v>120084.80469021002</v>
      </c>
      <c r="EN32" s="389">
        <v>3</v>
      </c>
      <c r="EO32" s="409">
        <v>322893.38282284164</v>
      </c>
      <c r="EP32" s="409">
        <v>328789.33026743215</v>
      </c>
      <c r="EQ32" s="410">
        <v>-1965.3158148635023</v>
      </c>
      <c r="ER32" s="404">
        <v>0</v>
      </c>
      <c r="ES32" s="404">
        <v>1.1803765360189395</v>
      </c>
      <c r="ET32" s="404">
        <v>0.17705648040284092</v>
      </c>
      <c r="EU32" s="411">
        <v>0.74749312074222141</v>
      </c>
      <c r="EV32" s="412" t="s">
        <v>509</v>
      </c>
      <c r="EW32" s="412" t="s">
        <v>25</v>
      </c>
      <c r="EX32" s="381"/>
      <c r="EY32" s="419" t="s">
        <v>541</v>
      </c>
      <c r="EZ32" s="419" t="s">
        <v>541</v>
      </c>
      <c r="FA32" s="419" t="s">
        <v>541</v>
      </c>
      <c r="FB32" s="419" t="s">
        <v>541</v>
      </c>
      <c r="FC32" s="419" t="s">
        <v>541</v>
      </c>
      <c r="FD32" s="419" t="s">
        <v>541</v>
      </c>
      <c r="FE32" s="419" t="s">
        <v>541</v>
      </c>
      <c r="FF32" s="419" t="s">
        <v>541</v>
      </c>
      <c r="FG32" s="419">
        <v>0.40301768339855137</v>
      </c>
      <c r="FH32" s="419">
        <v>0.95577962747234846</v>
      </c>
      <c r="FI32" s="419">
        <v>0.74749312074222141</v>
      </c>
      <c r="FJ32" s="419"/>
      <c r="FK32" s="407" t="s">
        <v>156</v>
      </c>
      <c r="FL32" s="407" t="s">
        <v>156</v>
      </c>
      <c r="FM32" s="419">
        <v>0.40301768339855137</v>
      </c>
      <c r="FN32" s="419">
        <v>0.85163637410728499</v>
      </c>
      <c r="FO32" s="407">
        <v>0.70209681053770712</v>
      </c>
    </row>
    <row r="33" spans="1:171" hidden="1" outlineLevel="1" x14ac:dyDescent="0.25">
      <c r="A33" s="390" t="s">
        <v>299</v>
      </c>
      <c r="B33" s="390" t="s">
        <v>148</v>
      </c>
      <c r="C33" s="390" t="s">
        <v>171</v>
      </c>
      <c r="D33" s="391" t="s">
        <v>148</v>
      </c>
      <c r="E33" s="390" t="s">
        <v>36</v>
      </c>
      <c r="F33" s="391" t="s">
        <v>154</v>
      </c>
      <c r="G33" s="392">
        <v>1</v>
      </c>
      <c r="H33" s="393">
        <v>37988</v>
      </c>
      <c r="I33" s="393">
        <v>44805</v>
      </c>
      <c r="J33" s="394">
        <v>227</v>
      </c>
      <c r="K33" s="391">
        <v>308</v>
      </c>
      <c r="L33" s="390" t="s">
        <v>166</v>
      </c>
      <c r="M33" s="392" t="s">
        <v>355</v>
      </c>
      <c r="N33" s="395">
        <v>6</v>
      </c>
      <c r="O33" s="395">
        <v>0</v>
      </c>
      <c r="P33" s="395">
        <v>7</v>
      </c>
      <c r="Q33" s="389">
        <v>0</v>
      </c>
      <c r="R33" s="389">
        <v>0</v>
      </c>
      <c r="S33" s="389">
        <v>251109.92199999999</v>
      </c>
      <c r="T33" s="389">
        <v>159654.302</v>
      </c>
      <c r="U33" s="389">
        <v>100459.57128643998</v>
      </c>
      <c r="V33" s="389">
        <v>21134.560745369999</v>
      </c>
      <c r="W33" s="389">
        <v>0</v>
      </c>
      <c r="X33" s="389">
        <v>0</v>
      </c>
      <c r="Y33" s="389">
        <v>270527.67200000002</v>
      </c>
      <c r="Z33" s="389">
        <v>160154.302</v>
      </c>
      <c r="AA33" s="389"/>
      <c r="AB33" s="389"/>
      <c r="AC33" s="389">
        <v>19417.75</v>
      </c>
      <c r="AD33" s="389">
        <v>500</v>
      </c>
      <c r="AE33" s="389">
        <v>0</v>
      </c>
      <c r="AF33" s="389">
        <v>831.59374999999989</v>
      </c>
      <c r="AG33" s="389">
        <v>3000</v>
      </c>
      <c r="AH33" s="396">
        <v>10.4</v>
      </c>
      <c r="AI33" s="389">
        <v>1046.5159375000001</v>
      </c>
      <c r="AJ33" s="397">
        <v>0.02</v>
      </c>
      <c r="AK33" s="397">
        <v>0.1</v>
      </c>
      <c r="AL33" s="389">
        <v>225516.32349021107</v>
      </c>
      <c r="AM33" s="389">
        <v>186202.86413829363</v>
      </c>
      <c r="AN33" s="398">
        <v>-25593.598509788921</v>
      </c>
      <c r="AO33" s="398">
        <v>26548.562138293637</v>
      </c>
      <c r="AP33" s="398">
        <v>0</v>
      </c>
      <c r="AQ33" s="398">
        <v>18292.072879810003</v>
      </c>
      <c r="AR33" s="398">
        <v>0</v>
      </c>
      <c r="AS33" s="398">
        <v>0</v>
      </c>
      <c r="AT33" s="398">
        <v>150</v>
      </c>
      <c r="AU33" s="399">
        <v>118.89525</v>
      </c>
      <c r="AV33" s="399">
        <v>24</v>
      </c>
      <c r="AW33" s="399">
        <v>0</v>
      </c>
      <c r="AX33" s="399">
        <v>0</v>
      </c>
      <c r="AY33" s="399">
        <v>0</v>
      </c>
      <c r="AZ33" s="399">
        <v>0</v>
      </c>
      <c r="BA33" s="399">
        <v>0</v>
      </c>
      <c r="BB33" s="399">
        <v>0</v>
      </c>
      <c r="BC33" s="399">
        <v>2377.9050000000002</v>
      </c>
      <c r="BD33" s="399">
        <v>192</v>
      </c>
      <c r="BE33" s="399">
        <v>0</v>
      </c>
      <c r="BF33" s="399">
        <v>0</v>
      </c>
      <c r="BG33" s="399">
        <v>0</v>
      </c>
      <c r="BH33" s="399">
        <v>0</v>
      </c>
      <c r="BI33" s="399">
        <v>0</v>
      </c>
      <c r="BJ33" s="399">
        <v>0</v>
      </c>
      <c r="BK33" s="398">
        <v>2569.9050000000002</v>
      </c>
      <c r="BL33" s="389">
        <v>39</v>
      </c>
      <c r="BM33" s="389">
        <v>0</v>
      </c>
      <c r="BN33" s="395">
        <v>79</v>
      </c>
      <c r="BO33" s="395">
        <v>0</v>
      </c>
      <c r="BP33" s="395">
        <v>0</v>
      </c>
      <c r="BQ33" s="389">
        <v>5</v>
      </c>
      <c r="BR33" s="389">
        <v>0</v>
      </c>
      <c r="BS33" s="389">
        <v>0</v>
      </c>
      <c r="BT33" s="389">
        <v>0</v>
      </c>
      <c r="BU33" s="389">
        <v>0</v>
      </c>
      <c r="BV33" s="389">
        <v>0</v>
      </c>
      <c r="BW33" s="389">
        <v>0</v>
      </c>
      <c r="BX33" s="389">
        <v>5</v>
      </c>
      <c r="BY33" s="389">
        <v>91</v>
      </c>
      <c r="BZ33" s="389">
        <v>3</v>
      </c>
      <c r="CA33" s="400">
        <v>0</v>
      </c>
      <c r="CB33" s="400">
        <v>0</v>
      </c>
      <c r="CC33" s="400">
        <v>0</v>
      </c>
      <c r="CD33" s="389">
        <v>390</v>
      </c>
      <c r="CE33" s="389">
        <v>0</v>
      </c>
      <c r="CF33" s="389">
        <v>790</v>
      </c>
      <c r="CG33" s="389">
        <v>0</v>
      </c>
      <c r="CH33" s="389">
        <v>0</v>
      </c>
      <c r="CI33" s="389">
        <v>50</v>
      </c>
      <c r="CJ33" s="389">
        <v>0</v>
      </c>
      <c r="CK33" s="389">
        <v>0</v>
      </c>
      <c r="CL33" s="389">
        <v>0</v>
      </c>
      <c r="CM33" s="389">
        <v>100</v>
      </c>
      <c r="CN33" s="389">
        <v>364</v>
      </c>
      <c r="CO33" s="389">
        <v>60</v>
      </c>
      <c r="CP33" s="389">
        <v>0</v>
      </c>
      <c r="CQ33" s="389">
        <v>0</v>
      </c>
      <c r="CR33" s="389">
        <v>0</v>
      </c>
      <c r="CS33" s="389">
        <v>1754</v>
      </c>
      <c r="CT33" s="389">
        <v>3</v>
      </c>
      <c r="CU33" s="389">
        <v>0</v>
      </c>
      <c r="CV33" s="389">
        <v>6</v>
      </c>
      <c r="CW33" s="389">
        <v>9</v>
      </c>
      <c r="CX33" s="401">
        <v>74.429438119999986</v>
      </c>
      <c r="CY33" s="396">
        <v>0</v>
      </c>
      <c r="CZ33" s="396">
        <v>1554.5285662000001</v>
      </c>
      <c r="DA33" s="402">
        <v>0</v>
      </c>
      <c r="DB33" s="389">
        <v>0</v>
      </c>
      <c r="DC33" s="396">
        <v>0</v>
      </c>
      <c r="DD33" s="403">
        <v>0</v>
      </c>
      <c r="DE33" s="402">
        <v>0</v>
      </c>
      <c r="DF33" s="402">
        <v>1</v>
      </c>
      <c r="DG33" s="402">
        <v>0</v>
      </c>
      <c r="DH33" s="402">
        <v>0.18037653601893955</v>
      </c>
      <c r="DI33" s="402">
        <v>1.4413016666666669</v>
      </c>
      <c r="DJ33" s="402"/>
      <c r="DK33" s="402"/>
      <c r="DL33" s="404"/>
      <c r="DM33" s="404"/>
      <c r="DN33" s="402">
        <v>0.86538461538461531</v>
      </c>
      <c r="DO33" s="402">
        <v>7.1121170211514317E-2</v>
      </c>
      <c r="DP33" s="402">
        <v>1</v>
      </c>
      <c r="DQ33" s="402">
        <v>1</v>
      </c>
      <c r="DR33" s="405">
        <v>0</v>
      </c>
      <c r="DS33" s="405">
        <v>0.05</v>
      </c>
      <c r="DT33" s="402">
        <v>0</v>
      </c>
      <c r="DU33" s="402">
        <v>5.4112960805681863E-2</v>
      </c>
      <c r="DV33" s="402">
        <v>0.1441301666666667</v>
      </c>
      <c r="DW33" s="402">
        <v>0.24824312747234856</v>
      </c>
      <c r="DX33" s="402">
        <v>8.6538461538461536E-2</v>
      </c>
      <c r="DY33" s="402">
        <v>1.4224234042302865E-2</v>
      </c>
      <c r="DZ33" s="406">
        <v>0.05</v>
      </c>
      <c r="EA33" s="406">
        <v>0.05</v>
      </c>
      <c r="EB33" s="406">
        <v>0.20076269558076437</v>
      </c>
      <c r="EC33" s="407">
        <v>0.44900582305311293</v>
      </c>
      <c r="ED33" s="408" t="s">
        <v>157</v>
      </c>
      <c r="EE33" s="408" t="s">
        <v>156</v>
      </c>
      <c r="EG33" s="389">
        <v>238670.07012405797</v>
      </c>
      <c r="EH33" s="389">
        <v>223939.35304600431</v>
      </c>
      <c r="EI33" s="389">
        <v>222969.84251990393</v>
      </c>
      <c r="EJ33" s="389">
        <v>187994.51424000002</v>
      </c>
      <c r="EK33" s="389">
        <v>188536.28785820003</v>
      </c>
      <c r="EL33" s="389">
        <v>194348.01033074004</v>
      </c>
      <c r="EN33" s="389">
        <v>5</v>
      </c>
      <c r="EO33" s="409">
        <v>411719.1876285047</v>
      </c>
      <c r="EP33" s="409">
        <v>424865.47137472115</v>
      </c>
      <c r="EQ33" s="410">
        <v>-2629.2567492432891</v>
      </c>
      <c r="ER33" s="404">
        <v>0</v>
      </c>
      <c r="ES33" s="404">
        <v>1.1803765360189395</v>
      </c>
      <c r="ET33" s="404">
        <v>0.35411296080568183</v>
      </c>
      <c r="EU33" s="411">
        <v>0.74900582305311292</v>
      </c>
      <c r="EV33" s="412" t="s">
        <v>509</v>
      </c>
      <c r="EW33" s="412" t="s">
        <v>25</v>
      </c>
      <c r="EX33" s="381"/>
      <c r="EY33" s="419">
        <v>0.92217154087282194</v>
      </c>
      <c r="EZ33" s="419">
        <v>0.92154383908701076</v>
      </c>
      <c r="FA33" s="419">
        <v>0.84242359289402635</v>
      </c>
      <c r="FB33" s="419">
        <v>0.8218220910516677</v>
      </c>
      <c r="FC33" s="419">
        <v>0.91290174598421836</v>
      </c>
      <c r="FD33" s="419">
        <v>0.71509853491102926</v>
      </c>
      <c r="FE33" s="419">
        <v>1.4097580256911875</v>
      </c>
      <c r="FF33" s="419">
        <v>0.47484223124094721</v>
      </c>
      <c r="FG33" s="419">
        <v>0.60821030742871474</v>
      </c>
      <c r="FH33" s="419">
        <v>0.7762353900611314</v>
      </c>
      <c r="FI33" s="419">
        <v>0.74900582305311292</v>
      </c>
      <c r="FJ33" s="419"/>
      <c r="FK33" s="407">
        <v>0.89537965761795302</v>
      </c>
      <c r="FL33" s="407">
        <v>0.81660745731563844</v>
      </c>
      <c r="FM33" s="419">
        <v>0.8309368547869499</v>
      </c>
      <c r="FN33" s="419">
        <v>0.76262060655712216</v>
      </c>
      <c r="FO33" s="407">
        <v>0.83218301111598802</v>
      </c>
    </row>
    <row r="34" spans="1:171" hidden="1" outlineLevel="1" x14ac:dyDescent="0.25">
      <c r="A34" s="390" t="s">
        <v>299</v>
      </c>
      <c r="B34" s="390" t="s">
        <v>468</v>
      </c>
      <c r="C34" s="390" t="s">
        <v>469</v>
      </c>
      <c r="D34" s="391" t="s">
        <v>468</v>
      </c>
      <c r="E34" s="390" t="s">
        <v>36</v>
      </c>
      <c r="F34" s="391" t="s">
        <v>154</v>
      </c>
      <c r="G34" s="392">
        <v>1</v>
      </c>
      <c r="H34" s="393">
        <v>44694</v>
      </c>
      <c r="I34" s="393">
        <v>44694</v>
      </c>
      <c r="J34" s="394">
        <v>7</v>
      </c>
      <c r="K34" s="391">
        <v>312</v>
      </c>
      <c r="L34" s="390" t="s">
        <v>163</v>
      </c>
      <c r="M34" s="392" t="s">
        <v>355</v>
      </c>
      <c r="N34" s="395">
        <v>2</v>
      </c>
      <c r="O34" s="395">
        <v>1</v>
      </c>
      <c r="P34" s="395">
        <v>3</v>
      </c>
      <c r="Q34" s="389">
        <v>0</v>
      </c>
      <c r="R34" s="389">
        <v>0</v>
      </c>
      <c r="S34" s="389">
        <v>154283.99000000005</v>
      </c>
      <c r="T34" s="389">
        <v>156377.97200000004</v>
      </c>
      <c r="U34" s="389">
        <v>197514.86153129995</v>
      </c>
      <c r="V34" s="389">
        <v>115799.53634370001</v>
      </c>
      <c r="W34" s="389">
        <v>0</v>
      </c>
      <c r="X34" s="389">
        <v>0</v>
      </c>
      <c r="Y34" s="389">
        <v>163961.24000000005</v>
      </c>
      <c r="Z34" s="389">
        <v>156477.97200000004</v>
      </c>
      <c r="AA34" s="389"/>
      <c r="AB34" s="389"/>
      <c r="AC34" s="389">
        <v>9677.25</v>
      </c>
      <c r="AD34" s="389">
        <v>100</v>
      </c>
      <c r="AE34" s="389">
        <v>3093.8194444444443</v>
      </c>
      <c r="AF34" s="389">
        <v>161.69878472222223</v>
      </c>
      <c r="AG34" s="389">
        <v>1200</v>
      </c>
      <c r="AH34" s="396">
        <v>4.8000000000000007</v>
      </c>
      <c r="AI34" s="389">
        <v>778.12833333333333</v>
      </c>
      <c r="AJ34" s="397">
        <v>0.02</v>
      </c>
      <c r="AK34" s="397">
        <v>0.1</v>
      </c>
      <c r="AL34" s="389">
        <v>146108.25725051409</v>
      </c>
      <c r="AM34" s="389">
        <v>106620.39186676205</v>
      </c>
      <c r="AN34" s="398">
        <v>-8175.7327494859637</v>
      </c>
      <c r="AO34" s="398">
        <v>-49757.580133237992</v>
      </c>
      <c r="AP34" s="398">
        <v>0</v>
      </c>
      <c r="AQ34" s="398">
        <v>110417.74400519</v>
      </c>
      <c r="AR34" s="398">
        <v>0</v>
      </c>
      <c r="AS34" s="398">
        <v>259.375</v>
      </c>
      <c r="AT34" s="398">
        <v>100</v>
      </c>
      <c r="AU34" s="399">
        <v>165</v>
      </c>
      <c r="AV34" s="399">
        <v>12</v>
      </c>
      <c r="AW34" s="399">
        <v>0</v>
      </c>
      <c r="AX34" s="399">
        <v>22925.79</v>
      </c>
      <c r="AY34" s="399">
        <v>1140</v>
      </c>
      <c r="AZ34" s="399">
        <v>0</v>
      </c>
      <c r="BA34" s="399">
        <v>0</v>
      </c>
      <c r="BB34" s="399">
        <v>0</v>
      </c>
      <c r="BC34" s="399">
        <v>3300</v>
      </c>
      <c r="BD34" s="399">
        <v>96</v>
      </c>
      <c r="BE34" s="399">
        <v>0</v>
      </c>
      <c r="BF34" s="399">
        <v>22.925789999999999</v>
      </c>
      <c r="BG34" s="399">
        <v>114</v>
      </c>
      <c r="BH34" s="399">
        <v>0</v>
      </c>
      <c r="BI34" s="399">
        <v>0</v>
      </c>
      <c r="BJ34" s="399">
        <v>0</v>
      </c>
      <c r="BK34" s="398">
        <v>3532.9257899999998</v>
      </c>
      <c r="BL34" s="389">
        <v>10</v>
      </c>
      <c r="BM34" s="389">
        <v>0</v>
      </c>
      <c r="BN34" s="395">
        <v>5</v>
      </c>
      <c r="BO34" s="395">
        <v>84</v>
      </c>
      <c r="BP34" s="395">
        <v>0</v>
      </c>
      <c r="BQ34" s="389">
        <v>1</v>
      </c>
      <c r="BR34" s="389">
        <v>0</v>
      </c>
      <c r="BS34" s="389">
        <v>259.375</v>
      </c>
      <c r="BT34" s="389">
        <v>0</v>
      </c>
      <c r="BU34" s="389">
        <v>0</v>
      </c>
      <c r="BV34" s="389">
        <v>0</v>
      </c>
      <c r="BW34" s="389">
        <v>0</v>
      </c>
      <c r="BX34" s="389">
        <v>1</v>
      </c>
      <c r="BY34" s="389">
        <v>12</v>
      </c>
      <c r="BZ34" s="389">
        <v>0</v>
      </c>
      <c r="CA34" s="400">
        <v>0</v>
      </c>
      <c r="CB34" s="400">
        <v>0</v>
      </c>
      <c r="CC34" s="400">
        <v>0</v>
      </c>
      <c r="CD34" s="389">
        <v>100</v>
      </c>
      <c r="CE34" s="389">
        <v>0</v>
      </c>
      <c r="CF34" s="389">
        <v>50</v>
      </c>
      <c r="CG34" s="389">
        <v>840</v>
      </c>
      <c r="CH34" s="389">
        <v>0</v>
      </c>
      <c r="CI34" s="389">
        <v>10</v>
      </c>
      <c r="CJ34" s="389">
        <v>77.8125</v>
      </c>
      <c r="CK34" s="389">
        <v>0</v>
      </c>
      <c r="CL34" s="389">
        <v>0</v>
      </c>
      <c r="CM34" s="389">
        <v>20</v>
      </c>
      <c r="CN34" s="389">
        <v>48</v>
      </c>
      <c r="CO34" s="389">
        <v>0</v>
      </c>
      <c r="CP34" s="389">
        <v>0</v>
      </c>
      <c r="CQ34" s="389">
        <v>0</v>
      </c>
      <c r="CR34" s="389">
        <v>0</v>
      </c>
      <c r="CS34" s="389">
        <v>1145.8125</v>
      </c>
      <c r="CT34" s="389">
        <v>1</v>
      </c>
      <c r="CU34" s="389">
        <v>0</v>
      </c>
      <c r="CV34" s="389">
        <v>2</v>
      </c>
      <c r="CW34" s="389">
        <v>3</v>
      </c>
      <c r="CX34" s="401">
        <v>368.5993242074984</v>
      </c>
      <c r="CY34" s="396">
        <v>0</v>
      </c>
      <c r="CZ34" s="396">
        <v>12731.41734641</v>
      </c>
      <c r="DA34" s="402">
        <v>0</v>
      </c>
      <c r="DB34" s="389">
        <v>0</v>
      </c>
      <c r="DC34" s="396">
        <v>0</v>
      </c>
      <c r="DD34" s="403">
        <v>0</v>
      </c>
      <c r="DE34" s="402">
        <v>0</v>
      </c>
      <c r="DF34" s="402">
        <v>0</v>
      </c>
      <c r="DG34" s="402">
        <v>8.3836501986487399E-2</v>
      </c>
      <c r="DH34" s="402">
        <v>0.61843383777922123</v>
      </c>
      <c r="DI34" s="402">
        <v>2</v>
      </c>
      <c r="DJ34" s="402"/>
      <c r="DK34" s="402"/>
      <c r="DL34" s="404"/>
      <c r="DM34" s="404"/>
      <c r="DN34" s="402">
        <v>0.62499999999999989</v>
      </c>
      <c r="DO34" s="402">
        <v>0.47369991352004714</v>
      </c>
      <c r="DP34" s="402">
        <v>1</v>
      </c>
      <c r="DQ34" s="402">
        <v>1</v>
      </c>
      <c r="DR34" s="405">
        <v>0</v>
      </c>
      <c r="DS34" s="405">
        <v>0</v>
      </c>
      <c r="DT34" s="402">
        <v>1.2575475297973109E-2</v>
      </c>
      <c r="DU34" s="402">
        <v>9.2765075666883176E-2</v>
      </c>
      <c r="DV34" s="402">
        <v>0.2</v>
      </c>
      <c r="DW34" s="402">
        <v>0.30534055096485629</v>
      </c>
      <c r="DX34" s="402">
        <v>6.2499999999999993E-2</v>
      </c>
      <c r="DY34" s="402">
        <v>9.4739982704009434E-2</v>
      </c>
      <c r="DZ34" s="406">
        <v>0.05</v>
      </c>
      <c r="EA34" s="406">
        <v>0.05</v>
      </c>
      <c r="EB34" s="406">
        <v>0.25723998270400944</v>
      </c>
      <c r="EC34" s="407">
        <v>0.56258053366886573</v>
      </c>
      <c r="ED34" s="408" t="s">
        <v>157</v>
      </c>
      <c r="EE34" s="408" t="s">
        <v>156</v>
      </c>
      <c r="EG34" s="389">
        <v>148070.04488947996</v>
      </c>
      <c r="EH34" s="389">
        <v>148104.23952797003</v>
      </c>
      <c r="EI34" s="389">
        <v>146278.90142417999</v>
      </c>
      <c r="EJ34" s="389">
        <v>111591.55890999999</v>
      </c>
      <c r="EK34" s="389">
        <v>104036.51006133997</v>
      </c>
      <c r="EL34" s="389">
        <v>103784.38655742997</v>
      </c>
      <c r="EN34" s="389">
        <v>1</v>
      </c>
      <c r="EO34" s="409">
        <v>252728.64911727613</v>
      </c>
      <c r="EP34" s="409">
        <v>266223.75446573005</v>
      </c>
      <c r="EQ34" s="410">
        <v>-13495.105348453915</v>
      </c>
      <c r="ER34" s="404">
        <v>0</v>
      </c>
      <c r="ES34" s="404">
        <v>1.6184338377792211</v>
      </c>
      <c r="ET34" s="404">
        <v>0.24276507566688316</v>
      </c>
      <c r="EU34" s="411">
        <v>0.71258053366886576</v>
      </c>
      <c r="EV34" s="412" t="s">
        <v>509</v>
      </c>
      <c r="EW34" s="412" t="s">
        <v>25</v>
      </c>
      <c r="EX34" s="381"/>
      <c r="EY34" s="419" t="s">
        <v>541</v>
      </c>
      <c r="EZ34" s="419" t="s">
        <v>541</v>
      </c>
      <c r="FA34" s="419" t="s">
        <v>541</v>
      </c>
      <c r="FB34" s="419" t="s">
        <v>541</v>
      </c>
      <c r="FC34" s="419">
        <v>0.38958344741288631</v>
      </c>
      <c r="FD34" s="419">
        <v>0.62485527351940329</v>
      </c>
      <c r="FE34" s="419">
        <v>1.3213957249192492</v>
      </c>
      <c r="FF34" s="419">
        <v>0.89418348340742471</v>
      </c>
      <c r="FG34" s="419">
        <v>0.47722266978079164</v>
      </c>
      <c r="FH34" s="419">
        <v>0.5454586832453352</v>
      </c>
      <c r="FI34" s="419">
        <v>0.71258053366886576</v>
      </c>
      <c r="FJ34" s="419"/>
      <c r="FK34" s="407" t="s">
        <v>156</v>
      </c>
      <c r="FL34" s="407">
        <v>0.5072193604661448</v>
      </c>
      <c r="FM34" s="419">
        <v>0.89760062603582191</v>
      </c>
      <c r="FN34" s="419">
        <v>0.62901960845710048</v>
      </c>
      <c r="FO34" s="407">
        <v>0.70932568799342222</v>
      </c>
    </row>
    <row r="35" spans="1:171" hidden="1" outlineLevel="1" x14ac:dyDescent="0.25">
      <c r="A35" s="390" t="s">
        <v>299</v>
      </c>
      <c r="B35" s="390" t="s">
        <v>173</v>
      </c>
      <c r="C35" s="390" t="s">
        <v>174</v>
      </c>
      <c r="D35" s="391" t="s">
        <v>173</v>
      </c>
      <c r="E35" s="390" t="s">
        <v>36</v>
      </c>
      <c r="F35" s="391" t="s">
        <v>154</v>
      </c>
      <c r="G35" s="392">
        <v>1</v>
      </c>
      <c r="H35" s="393">
        <v>42737</v>
      </c>
      <c r="I35" s="393">
        <v>44046</v>
      </c>
      <c r="J35" s="394">
        <v>71</v>
      </c>
      <c r="K35" s="391">
        <v>319</v>
      </c>
      <c r="L35" s="390" t="s">
        <v>162</v>
      </c>
      <c r="M35" s="392" t="s">
        <v>355</v>
      </c>
      <c r="N35" s="395">
        <v>2</v>
      </c>
      <c r="O35" s="395">
        <v>1</v>
      </c>
      <c r="P35" s="395">
        <v>3</v>
      </c>
      <c r="Q35" s="389">
        <v>0</v>
      </c>
      <c r="R35" s="389">
        <v>0</v>
      </c>
      <c r="S35" s="389">
        <v>143627.75149999993</v>
      </c>
      <c r="T35" s="389">
        <v>121142.591</v>
      </c>
      <c r="U35" s="389">
        <v>129616.35734059999</v>
      </c>
      <c r="V35" s="389">
        <v>117822.56084085001</v>
      </c>
      <c r="W35" s="389">
        <v>0</v>
      </c>
      <c r="X35" s="389">
        <v>0</v>
      </c>
      <c r="Y35" s="389">
        <v>153305.00149999993</v>
      </c>
      <c r="Z35" s="389">
        <v>121317.591</v>
      </c>
      <c r="AA35" s="389"/>
      <c r="AB35" s="389"/>
      <c r="AC35" s="389">
        <v>9677.25</v>
      </c>
      <c r="AD35" s="389">
        <v>175</v>
      </c>
      <c r="AE35" s="389">
        <v>3093.8194444444443</v>
      </c>
      <c r="AF35" s="389">
        <v>161.69878472222223</v>
      </c>
      <c r="AG35" s="389">
        <v>1200</v>
      </c>
      <c r="AH35" s="396">
        <v>4.8000000000000007</v>
      </c>
      <c r="AI35" s="389">
        <v>778.12833333333333</v>
      </c>
      <c r="AJ35" s="397">
        <v>0.02</v>
      </c>
      <c r="AK35" s="397">
        <v>0.1</v>
      </c>
      <c r="AL35" s="389">
        <v>112327.00948588761</v>
      </c>
      <c r="AM35" s="389">
        <v>98181.22862011494</v>
      </c>
      <c r="AN35" s="398">
        <v>-31300.742014112315</v>
      </c>
      <c r="AO35" s="398">
        <v>-22961.36237988506</v>
      </c>
      <c r="AP35" s="398">
        <v>0</v>
      </c>
      <c r="AQ35" s="398">
        <v>90604.634773990008</v>
      </c>
      <c r="AR35" s="398">
        <v>0</v>
      </c>
      <c r="AS35" s="398">
        <v>0</v>
      </c>
      <c r="AT35" s="398">
        <v>145</v>
      </c>
      <c r="AU35" s="399">
        <v>87.5</v>
      </c>
      <c r="AV35" s="399">
        <v>38</v>
      </c>
      <c r="AW35" s="399">
        <v>0</v>
      </c>
      <c r="AX35" s="399">
        <v>0</v>
      </c>
      <c r="AY35" s="399">
        <v>875</v>
      </c>
      <c r="AZ35" s="399">
        <v>0</v>
      </c>
      <c r="BA35" s="399">
        <v>0</v>
      </c>
      <c r="BB35" s="399">
        <v>5.0999999999999996</v>
      </c>
      <c r="BC35" s="399">
        <v>1750</v>
      </c>
      <c r="BD35" s="399">
        <v>304</v>
      </c>
      <c r="BE35" s="399">
        <v>0</v>
      </c>
      <c r="BF35" s="399">
        <v>0</v>
      </c>
      <c r="BG35" s="399">
        <v>87.5</v>
      </c>
      <c r="BH35" s="399">
        <v>0</v>
      </c>
      <c r="BI35" s="399">
        <v>0</v>
      </c>
      <c r="BJ35" s="399">
        <v>0.51</v>
      </c>
      <c r="BK35" s="398">
        <v>2142.0100000000002</v>
      </c>
      <c r="BL35" s="389">
        <v>5</v>
      </c>
      <c r="BM35" s="389">
        <v>0</v>
      </c>
      <c r="BN35" s="395">
        <v>1</v>
      </c>
      <c r="BO35" s="395">
        <v>4</v>
      </c>
      <c r="BP35" s="395">
        <v>0</v>
      </c>
      <c r="BQ35" s="389">
        <v>0</v>
      </c>
      <c r="BR35" s="389">
        <v>0</v>
      </c>
      <c r="BS35" s="389">
        <v>0</v>
      </c>
      <c r="BT35" s="389">
        <v>1500</v>
      </c>
      <c r="BU35" s="389">
        <v>0</v>
      </c>
      <c r="BV35" s="389">
        <v>0</v>
      </c>
      <c r="BW35" s="389">
        <v>0</v>
      </c>
      <c r="BX35" s="389">
        <v>1</v>
      </c>
      <c r="BY35" s="389">
        <v>33</v>
      </c>
      <c r="BZ35" s="389">
        <v>1</v>
      </c>
      <c r="CA35" s="400">
        <v>0</v>
      </c>
      <c r="CB35" s="400">
        <v>0</v>
      </c>
      <c r="CC35" s="400">
        <v>0</v>
      </c>
      <c r="CD35" s="389">
        <v>50</v>
      </c>
      <c r="CE35" s="389">
        <v>0</v>
      </c>
      <c r="CF35" s="389">
        <v>10</v>
      </c>
      <c r="CG35" s="389">
        <v>40</v>
      </c>
      <c r="CH35" s="389">
        <v>0</v>
      </c>
      <c r="CI35" s="389">
        <v>0</v>
      </c>
      <c r="CJ35" s="389">
        <v>0</v>
      </c>
      <c r="CK35" s="389">
        <v>600</v>
      </c>
      <c r="CL35" s="389">
        <v>0</v>
      </c>
      <c r="CM35" s="389">
        <v>20</v>
      </c>
      <c r="CN35" s="389">
        <v>132</v>
      </c>
      <c r="CO35" s="389">
        <v>20</v>
      </c>
      <c r="CP35" s="389">
        <v>0</v>
      </c>
      <c r="CQ35" s="389">
        <v>0</v>
      </c>
      <c r="CR35" s="389">
        <v>0</v>
      </c>
      <c r="CS35" s="389">
        <v>872</v>
      </c>
      <c r="CT35" s="389">
        <v>1</v>
      </c>
      <c r="CU35" s="389">
        <v>0</v>
      </c>
      <c r="CV35" s="389">
        <v>3</v>
      </c>
      <c r="CW35" s="389">
        <v>4</v>
      </c>
      <c r="CX35" s="401">
        <v>147.89464928999999</v>
      </c>
      <c r="CY35" s="396">
        <v>0</v>
      </c>
      <c r="CZ35" s="396">
        <v>62782.326758609997</v>
      </c>
      <c r="DA35" s="402">
        <v>0</v>
      </c>
      <c r="DB35" s="389">
        <v>0</v>
      </c>
      <c r="DC35" s="396">
        <v>183.06413538999999</v>
      </c>
      <c r="DD35" s="403">
        <v>0</v>
      </c>
      <c r="DE35" s="402">
        <v>0</v>
      </c>
      <c r="DF35" s="402">
        <v>0</v>
      </c>
      <c r="DG35" s="402">
        <v>0</v>
      </c>
      <c r="DH35" s="402">
        <v>0.8967290647798708</v>
      </c>
      <c r="DI35" s="402">
        <v>2</v>
      </c>
      <c r="DJ35" s="402"/>
      <c r="DK35" s="402"/>
      <c r="DL35" s="404"/>
      <c r="DM35" s="404"/>
      <c r="DN35" s="402">
        <v>0.83333333333333326</v>
      </c>
      <c r="DO35" s="402">
        <v>0.19006459854308522</v>
      </c>
      <c r="DP35" s="402">
        <v>1</v>
      </c>
      <c r="DQ35" s="402">
        <v>1</v>
      </c>
      <c r="DR35" s="405">
        <v>0</v>
      </c>
      <c r="DS35" s="405">
        <v>0</v>
      </c>
      <c r="DT35" s="402">
        <v>0</v>
      </c>
      <c r="DU35" s="402">
        <v>0.13450935971698061</v>
      </c>
      <c r="DV35" s="402">
        <v>0.2</v>
      </c>
      <c r="DW35" s="402">
        <v>0.33450935971698059</v>
      </c>
      <c r="DX35" s="402">
        <v>8.3333333333333329E-2</v>
      </c>
      <c r="DY35" s="402">
        <v>3.8012919708617046E-2</v>
      </c>
      <c r="DZ35" s="406">
        <v>0.05</v>
      </c>
      <c r="EA35" s="406">
        <v>0.05</v>
      </c>
      <c r="EB35" s="406">
        <v>0.22134625304195038</v>
      </c>
      <c r="EC35" s="407">
        <v>0.55585561275893092</v>
      </c>
      <c r="ED35" s="408" t="s">
        <v>157</v>
      </c>
      <c r="EE35" s="408" t="s">
        <v>156</v>
      </c>
      <c r="EG35" s="389">
        <v>106745.87822488998</v>
      </c>
      <c r="EH35" s="389">
        <v>113249.21071410998</v>
      </c>
      <c r="EI35" s="389">
        <v>114415.73745518</v>
      </c>
      <c r="EJ35" s="389">
        <v>101540.43306000001</v>
      </c>
      <c r="EK35" s="389">
        <v>96838.94618567999</v>
      </c>
      <c r="EL35" s="389">
        <v>95444.916524439992</v>
      </c>
      <c r="EN35" s="389">
        <v>2</v>
      </c>
      <c r="EO35" s="409">
        <v>210508.23810600257</v>
      </c>
      <c r="EP35" s="409">
        <v>213169.05845823127</v>
      </c>
      <c r="EQ35" s="410">
        <v>-1330.4101761143538</v>
      </c>
      <c r="ER35" s="404">
        <v>0</v>
      </c>
      <c r="ES35" s="404">
        <v>1.8967290647798709</v>
      </c>
      <c r="ET35" s="404">
        <v>0.2845093597169806</v>
      </c>
      <c r="EU35" s="411">
        <v>0.70585561275893083</v>
      </c>
      <c r="EV35" s="412" t="s">
        <v>509</v>
      </c>
      <c r="EW35" s="412" t="s">
        <v>25</v>
      </c>
      <c r="EX35" s="381"/>
      <c r="EY35" s="419">
        <v>0.92308863305755229</v>
      </c>
      <c r="EZ35" s="419">
        <v>1.2643601281623131</v>
      </c>
      <c r="FA35" s="419">
        <v>1.0953023732989042</v>
      </c>
      <c r="FB35" s="419">
        <v>1.1160957657832562</v>
      </c>
      <c r="FC35" s="419">
        <v>0.96845270663223748</v>
      </c>
      <c r="FD35" s="419">
        <v>1.0085112650336148</v>
      </c>
      <c r="FE35" s="419">
        <v>1.0347739972574779</v>
      </c>
      <c r="FF35" s="419">
        <v>0.34955069393769134</v>
      </c>
      <c r="FG35" s="419">
        <v>0.29200926124251037</v>
      </c>
      <c r="FH35" s="419">
        <v>0.25952616159874731</v>
      </c>
      <c r="FI35" s="419">
        <v>0.70585561275893083</v>
      </c>
      <c r="FJ35" s="419"/>
      <c r="FK35" s="407">
        <v>1.0942503781729231</v>
      </c>
      <c r="FL35" s="407">
        <v>1.0310199124830361</v>
      </c>
      <c r="FM35" s="419">
        <v>0.55877798414589319</v>
      </c>
      <c r="FN35" s="419">
        <v>0.48269088717883907</v>
      </c>
      <c r="FO35" s="407">
        <v>0.81977514534211238</v>
      </c>
    </row>
    <row r="36" spans="1:171" hidden="1" outlineLevel="1" x14ac:dyDescent="0.25">
      <c r="A36" s="390" t="s">
        <v>299</v>
      </c>
      <c r="B36" s="390" t="s">
        <v>179</v>
      </c>
      <c r="C36" s="390" t="s">
        <v>180</v>
      </c>
      <c r="D36" s="391" t="s">
        <v>179</v>
      </c>
      <c r="E36" s="390" t="s">
        <v>36</v>
      </c>
      <c r="F36" s="391" t="s">
        <v>154</v>
      </c>
      <c r="G36" s="392">
        <v>1</v>
      </c>
      <c r="H36" s="393">
        <v>42993</v>
      </c>
      <c r="I36" s="393">
        <v>44229</v>
      </c>
      <c r="J36" s="394">
        <v>63</v>
      </c>
      <c r="K36" s="391">
        <v>324</v>
      </c>
      <c r="L36" s="390" t="s">
        <v>183</v>
      </c>
      <c r="M36" s="392" t="s">
        <v>355</v>
      </c>
      <c r="N36" s="395">
        <v>2</v>
      </c>
      <c r="O36" s="395">
        <v>0</v>
      </c>
      <c r="P36" s="395">
        <v>3</v>
      </c>
      <c r="Q36" s="389">
        <v>0</v>
      </c>
      <c r="R36" s="389">
        <v>0</v>
      </c>
      <c r="S36" s="389">
        <v>94117.088000000018</v>
      </c>
      <c r="T36" s="389">
        <v>51751.48799999999</v>
      </c>
      <c r="U36" s="389">
        <v>21466.125536459993</v>
      </c>
      <c r="V36" s="389">
        <v>45389.957692004995</v>
      </c>
      <c r="W36" s="389">
        <v>0</v>
      </c>
      <c r="X36" s="389">
        <v>0</v>
      </c>
      <c r="Y36" s="389">
        <v>111384.33800000002</v>
      </c>
      <c r="Z36" s="389">
        <v>51951.48799999999</v>
      </c>
      <c r="AA36" s="389"/>
      <c r="AB36" s="389"/>
      <c r="AC36" s="389">
        <v>17267.25</v>
      </c>
      <c r="AD36" s="389">
        <v>200</v>
      </c>
      <c r="AE36" s="389">
        <v>560.625</v>
      </c>
      <c r="AF36" s="389">
        <v>103.94921875</v>
      </c>
      <c r="AG36" s="389">
        <v>3600</v>
      </c>
      <c r="AH36" s="396">
        <v>4</v>
      </c>
      <c r="AI36" s="389">
        <v>878.54968750000012</v>
      </c>
      <c r="AJ36" s="397">
        <v>0.02</v>
      </c>
      <c r="AK36" s="397">
        <v>0.1</v>
      </c>
      <c r="AL36" s="389">
        <v>78209.743901345093</v>
      </c>
      <c r="AM36" s="389">
        <v>54100.957772561735</v>
      </c>
      <c r="AN36" s="398">
        <v>-15907.344098654925</v>
      </c>
      <c r="AO36" s="398">
        <v>2349.4697725617443</v>
      </c>
      <c r="AP36" s="398">
        <v>0</v>
      </c>
      <c r="AQ36" s="398">
        <v>35430.50023908</v>
      </c>
      <c r="AR36" s="398">
        <v>0</v>
      </c>
      <c r="AS36" s="398">
        <v>0</v>
      </c>
      <c r="AT36" s="398">
        <v>0</v>
      </c>
      <c r="AU36" s="399">
        <v>25</v>
      </c>
      <c r="AV36" s="399">
        <v>0</v>
      </c>
      <c r="AW36" s="399">
        <v>0</v>
      </c>
      <c r="AX36" s="399">
        <v>450000</v>
      </c>
      <c r="AY36" s="399">
        <v>0</v>
      </c>
      <c r="AZ36" s="399">
        <v>0</v>
      </c>
      <c r="BA36" s="399">
        <v>0</v>
      </c>
      <c r="BB36" s="399">
        <v>6.5</v>
      </c>
      <c r="BC36" s="399">
        <v>500</v>
      </c>
      <c r="BD36" s="399">
        <v>0</v>
      </c>
      <c r="BE36" s="399">
        <v>0</v>
      </c>
      <c r="BF36" s="399">
        <v>450</v>
      </c>
      <c r="BG36" s="399">
        <v>0</v>
      </c>
      <c r="BH36" s="399">
        <v>0</v>
      </c>
      <c r="BI36" s="399">
        <v>0</v>
      </c>
      <c r="BJ36" s="399">
        <v>0.65</v>
      </c>
      <c r="BK36" s="398">
        <v>950.65</v>
      </c>
      <c r="BL36" s="389">
        <v>4</v>
      </c>
      <c r="BM36" s="389">
        <v>0</v>
      </c>
      <c r="BN36" s="395">
        <v>0</v>
      </c>
      <c r="BO36" s="395">
        <v>53</v>
      </c>
      <c r="BP36" s="395">
        <v>0</v>
      </c>
      <c r="BQ36" s="389">
        <v>2</v>
      </c>
      <c r="BR36" s="389">
        <v>0</v>
      </c>
      <c r="BS36" s="389">
        <v>0</v>
      </c>
      <c r="BT36" s="389">
        <v>0</v>
      </c>
      <c r="BU36" s="389">
        <v>0</v>
      </c>
      <c r="BV36" s="389">
        <v>0</v>
      </c>
      <c r="BW36" s="389">
        <v>0</v>
      </c>
      <c r="BX36" s="389">
        <v>0</v>
      </c>
      <c r="BY36" s="389">
        <v>12</v>
      </c>
      <c r="BZ36" s="389">
        <v>0</v>
      </c>
      <c r="CA36" s="400">
        <v>10</v>
      </c>
      <c r="CB36" s="400">
        <v>0</v>
      </c>
      <c r="CC36" s="400">
        <v>0</v>
      </c>
      <c r="CD36" s="389">
        <v>40</v>
      </c>
      <c r="CE36" s="389">
        <v>0</v>
      </c>
      <c r="CF36" s="389">
        <v>0</v>
      </c>
      <c r="CG36" s="389">
        <v>530</v>
      </c>
      <c r="CH36" s="389">
        <v>0</v>
      </c>
      <c r="CI36" s="389">
        <v>20</v>
      </c>
      <c r="CJ36" s="389">
        <v>0</v>
      </c>
      <c r="CK36" s="389">
        <v>0</v>
      </c>
      <c r="CL36" s="389">
        <v>0</v>
      </c>
      <c r="CM36" s="389">
        <v>0</v>
      </c>
      <c r="CN36" s="389">
        <v>48</v>
      </c>
      <c r="CO36" s="389">
        <v>0</v>
      </c>
      <c r="CP36" s="389">
        <v>40</v>
      </c>
      <c r="CQ36" s="389">
        <v>0</v>
      </c>
      <c r="CR36" s="389">
        <v>0</v>
      </c>
      <c r="CS36" s="389">
        <v>678</v>
      </c>
      <c r="CT36" s="389">
        <v>1</v>
      </c>
      <c r="CU36" s="389">
        <v>0</v>
      </c>
      <c r="CV36" s="389">
        <v>2</v>
      </c>
      <c r="CW36" s="389">
        <v>3</v>
      </c>
      <c r="CX36" s="401">
        <v>8.75</v>
      </c>
      <c r="CY36" s="396">
        <v>0</v>
      </c>
      <c r="CZ36" s="396">
        <v>28944.278299940004</v>
      </c>
      <c r="DA36" s="402">
        <v>0</v>
      </c>
      <c r="DB36" s="389">
        <v>0</v>
      </c>
      <c r="DC36" s="396">
        <v>0</v>
      </c>
      <c r="DD36" s="403">
        <v>0</v>
      </c>
      <c r="DE36" s="402">
        <v>0</v>
      </c>
      <c r="DF36" s="402">
        <v>1</v>
      </c>
      <c r="DG36" s="402">
        <v>0</v>
      </c>
      <c r="DH36" s="402">
        <v>0</v>
      </c>
      <c r="DI36" s="402">
        <v>0.45240277777777782</v>
      </c>
      <c r="DJ36" s="402"/>
      <c r="DK36" s="402"/>
      <c r="DL36" s="404"/>
      <c r="DM36" s="404"/>
      <c r="DN36" s="402">
        <v>0.75</v>
      </c>
      <c r="DO36" s="402">
        <v>9.9595960530120837E-3</v>
      </c>
      <c r="DP36" s="402">
        <v>1</v>
      </c>
      <c r="DQ36" s="402">
        <v>1</v>
      </c>
      <c r="DR36" s="405">
        <v>0</v>
      </c>
      <c r="DS36" s="405">
        <v>0.05</v>
      </c>
      <c r="DT36" s="402">
        <v>0</v>
      </c>
      <c r="DU36" s="402">
        <v>0</v>
      </c>
      <c r="DV36" s="402">
        <v>4.5240277777777782E-2</v>
      </c>
      <c r="DW36" s="402">
        <v>9.5240277777777785E-2</v>
      </c>
      <c r="DX36" s="402">
        <v>7.5000000000000011E-2</v>
      </c>
      <c r="DY36" s="402">
        <v>1.991919210602417E-3</v>
      </c>
      <c r="DZ36" s="406">
        <v>0.05</v>
      </c>
      <c r="EA36" s="406">
        <v>0.05</v>
      </c>
      <c r="EB36" s="406">
        <v>0.17699191921060242</v>
      </c>
      <c r="EC36" s="407">
        <v>0.27223219698838019</v>
      </c>
      <c r="ED36" s="408" t="s">
        <v>157</v>
      </c>
      <c r="EE36" s="408" t="s">
        <v>156</v>
      </c>
      <c r="EG36" s="389">
        <v>88317.525718589983</v>
      </c>
      <c r="EH36" s="389">
        <v>77927.466612116972</v>
      </c>
      <c r="EI36" s="389">
        <v>76931.938499787007</v>
      </c>
      <c r="EJ36" s="389">
        <v>53678.310829999995</v>
      </c>
      <c r="EK36" s="389">
        <v>54235.312779500004</v>
      </c>
      <c r="EL36" s="389">
        <v>54221.167313720005</v>
      </c>
      <c r="EN36" s="389">
        <v>2</v>
      </c>
      <c r="EO36" s="409">
        <v>132310.70167390682</v>
      </c>
      <c r="EP36" s="409">
        <v>134694.06546545192</v>
      </c>
      <c r="EQ36" s="410">
        <v>-1191.6818957725482</v>
      </c>
      <c r="ER36" s="404">
        <v>0</v>
      </c>
      <c r="ES36" s="404">
        <v>1</v>
      </c>
      <c r="ET36" s="404">
        <v>0.15</v>
      </c>
      <c r="EU36" s="411">
        <v>0.42223219698838022</v>
      </c>
      <c r="EV36" s="412" t="s">
        <v>157</v>
      </c>
      <c r="EW36" s="412" t="s">
        <v>156</v>
      </c>
      <c r="EX36" s="381"/>
      <c r="EY36" s="419">
        <v>0.55071602364432026</v>
      </c>
      <c r="EZ36" s="419">
        <v>0.28566592935218482</v>
      </c>
      <c r="FA36" s="419">
        <v>0.38589899937725042</v>
      </c>
      <c r="FB36" s="419">
        <v>0.49046292257417479</v>
      </c>
      <c r="FC36" s="419">
        <v>0.54041134798784007</v>
      </c>
      <c r="FD36" s="419">
        <v>0.69845130259380639</v>
      </c>
      <c r="FE36" s="419">
        <v>0.93865131384280742</v>
      </c>
      <c r="FF36" s="419">
        <v>0.45832263067690876</v>
      </c>
      <c r="FG36" s="419">
        <v>0.42984829564953808</v>
      </c>
      <c r="FH36" s="419">
        <v>0.26972922058195958</v>
      </c>
      <c r="FI36" s="419">
        <v>0.42223219698838022</v>
      </c>
      <c r="FJ36" s="419"/>
      <c r="FK36" s="407">
        <v>0.40742698412458517</v>
      </c>
      <c r="FL36" s="407">
        <v>0.57644185771860712</v>
      </c>
      <c r="FM36" s="419">
        <v>0.60894074672308474</v>
      </c>
      <c r="FN36" s="419">
        <v>0.3459807087851699</v>
      </c>
      <c r="FO36" s="407">
        <v>0.49730819847901558</v>
      </c>
    </row>
    <row r="37" spans="1:171" hidden="1" outlineLevel="1" x14ac:dyDescent="0.25">
      <c r="A37" s="390" t="s">
        <v>299</v>
      </c>
      <c r="B37" s="390" t="s">
        <v>164</v>
      </c>
      <c r="C37" s="390" t="s">
        <v>165</v>
      </c>
      <c r="D37" s="391" t="s">
        <v>164</v>
      </c>
      <c r="E37" s="390" t="s">
        <v>36</v>
      </c>
      <c r="F37" s="391" t="s">
        <v>154</v>
      </c>
      <c r="G37" s="392">
        <v>1</v>
      </c>
      <c r="H37" s="393">
        <v>40911</v>
      </c>
      <c r="I37" s="393">
        <v>44743</v>
      </c>
      <c r="J37" s="394">
        <v>131</v>
      </c>
      <c r="K37" s="391">
        <v>325</v>
      </c>
      <c r="L37" s="390" t="s">
        <v>161</v>
      </c>
      <c r="M37" s="392" t="s">
        <v>355</v>
      </c>
      <c r="N37" s="395">
        <v>4</v>
      </c>
      <c r="O37" s="395">
        <v>0</v>
      </c>
      <c r="P37" s="395">
        <v>4</v>
      </c>
      <c r="Q37" s="389">
        <v>0</v>
      </c>
      <c r="R37" s="389">
        <v>0</v>
      </c>
      <c r="S37" s="389">
        <v>125337.92200000002</v>
      </c>
      <c r="T37" s="389">
        <v>68039.662000000026</v>
      </c>
      <c r="U37" s="389">
        <v>98849.750996859992</v>
      </c>
      <c r="V37" s="389">
        <v>53247.523434270006</v>
      </c>
      <c r="W37" s="389">
        <v>0</v>
      </c>
      <c r="X37" s="389">
        <v>0</v>
      </c>
      <c r="Y37" s="389">
        <v>137924.67200000002</v>
      </c>
      <c r="Z37" s="389">
        <v>68239.662000000026</v>
      </c>
      <c r="AA37" s="389"/>
      <c r="AB37" s="389"/>
      <c r="AC37" s="389">
        <v>12586.75</v>
      </c>
      <c r="AD37" s="389">
        <v>200</v>
      </c>
      <c r="AE37" s="389">
        <v>887.65625</v>
      </c>
      <c r="AF37" s="389">
        <v>242.54817708333334</v>
      </c>
      <c r="AG37" s="389">
        <v>2100</v>
      </c>
      <c r="AH37" s="396">
        <v>6.4</v>
      </c>
      <c r="AI37" s="389">
        <v>722.25390625</v>
      </c>
      <c r="AJ37" s="397">
        <v>0.02</v>
      </c>
      <c r="AK37" s="397">
        <v>0.1</v>
      </c>
      <c r="AL37" s="389">
        <v>129222.07921944582</v>
      </c>
      <c r="AM37" s="389">
        <v>71980.542341050663</v>
      </c>
      <c r="AN37" s="398">
        <v>3884.1572194457985</v>
      </c>
      <c r="AO37" s="398">
        <v>3940.8803410506371</v>
      </c>
      <c r="AP37" s="398">
        <v>0</v>
      </c>
      <c r="AQ37" s="398">
        <v>45392.062033720002</v>
      </c>
      <c r="AR37" s="398">
        <v>0</v>
      </c>
      <c r="AS37" s="398">
        <v>0</v>
      </c>
      <c r="AT37" s="398">
        <v>125</v>
      </c>
      <c r="AU37" s="399">
        <v>115.1</v>
      </c>
      <c r="AV37" s="399">
        <v>0</v>
      </c>
      <c r="AW37" s="399">
        <v>3.6</v>
      </c>
      <c r="AX37" s="399">
        <v>23500</v>
      </c>
      <c r="AY37" s="399">
        <v>0</v>
      </c>
      <c r="AZ37" s="399">
        <v>0</v>
      </c>
      <c r="BA37" s="399">
        <v>0</v>
      </c>
      <c r="BB37" s="399">
        <v>0</v>
      </c>
      <c r="BC37" s="399">
        <v>2302</v>
      </c>
      <c r="BD37" s="399">
        <v>0</v>
      </c>
      <c r="BE37" s="399">
        <v>7.2</v>
      </c>
      <c r="BF37" s="399">
        <v>23.5</v>
      </c>
      <c r="BG37" s="399">
        <v>0</v>
      </c>
      <c r="BH37" s="399">
        <v>0</v>
      </c>
      <c r="BI37" s="399">
        <v>0</v>
      </c>
      <c r="BJ37" s="399">
        <v>0</v>
      </c>
      <c r="BK37" s="398">
        <v>2332.6999999999998</v>
      </c>
      <c r="BL37" s="389">
        <v>2</v>
      </c>
      <c r="BM37" s="389">
        <v>0</v>
      </c>
      <c r="BN37" s="395">
        <v>9</v>
      </c>
      <c r="BO37" s="395">
        <v>7</v>
      </c>
      <c r="BP37" s="395">
        <v>0</v>
      </c>
      <c r="BQ37" s="389">
        <v>0</v>
      </c>
      <c r="BR37" s="389">
        <v>0</v>
      </c>
      <c r="BS37" s="389">
        <v>0</v>
      </c>
      <c r="BT37" s="389">
        <v>0</v>
      </c>
      <c r="BU37" s="389">
        <v>0</v>
      </c>
      <c r="BV37" s="389">
        <v>0</v>
      </c>
      <c r="BW37" s="389">
        <v>0</v>
      </c>
      <c r="BX37" s="389">
        <v>4</v>
      </c>
      <c r="BY37" s="389">
        <v>40</v>
      </c>
      <c r="BZ37" s="389">
        <v>1</v>
      </c>
      <c r="CA37" s="400">
        <v>0</v>
      </c>
      <c r="CB37" s="400">
        <v>0</v>
      </c>
      <c r="CC37" s="400">
        <v>0</v>
      </c>
      <c r="CD37" s="389">
        <v>20</v>
      </c>
      <c r="CE37" s="389">
        <v>0</v>
      </c>
      <c r="CF37" s="389">
        <v>90</v>
      </c>
      <c r="CG37" s="389">
        <v>70</v>
      </c>
      <c r="CH37" s="389">
        <v>0</v>
      </c>
      <c r="CI37" s="389">
        <v>0</v>
      </c>
      <c r="CJ37" s="389">
        <v>0</v>
      </c>
      <c r="CK37" s="389">
        <v>0</v>
      </c>
      <c r="CL37" s="389">
        <v>0</v>
      </c>
      <c r="CM37" s="389">
        <v>80</v>
      </c>
      <c r="CN37" s="389">
        <v>160</v>
      </c>
      <c r="CO37" s="389">
        <v>20</v>
      </c>
      <c r="CP37" s="389">
        <v>0</v>
      </c>
      <c r="CQ37" s="389">
        <v>0</v>
      </c>
      <c r="CR37" s="389">
        <v>0</v>
      </c>
      <c r="CS37" s="389">
        <v>440</v>
      </c>
      <c r="CT37" s="389">
        <v>2</v>
      </c>
      <c r="CU37" s="389">
        <v>0</v>
      </c>
      <c r="CV37" s="389">
        <v>1</v>
      </c>
      <c r="CW37" s="389">
        <v>3</v>
      </c>
      <c r="CX37" s="401">
        <v>638.95763577946423</v>
      </c>
      <c r="CY37" s="396">
        <v>3733.2711443900002</v>
      </c>
      <c r="CZ37" s="396">
        <v>43022.694234690003</v>
      </c>
      <c r="DA37" s="402">
        <v>8.6774461962444788E-2</v>
      </c>
      <c r="DB37" s="389">
        <v>0</v>
      </c>
      <c r="DC37" s="396">
        <v>222.37545002000002</v>
      </c>
      <c r="DD37" s="403">
        <v>0</v>
      </c>
      <c r="DE37" s="402">
        <v>0.30859095631881134</v>
      </c>
      <c r="DF37" s="402">
        <v>1</v>
      </c>
      <c r="DG37" s="402">
        <v>0</v>
      </c>
      <c r="DH37" s="402">
        <v>0.51536153148268438</v>
      </c>
      <c r="DI37" s="402">
        <v>1.3203333333333331</v>
      </c>
      <c r="DJ37" s="402"/>
      <c r="DK37" s="402"/>
      <c r="DL37" s="404"/>
      <c r="DM37" s="404"/>
      <c r="DN37" s="402">
        <v>0.46875</v>
      </c>
      <c r="DO37" s="402">
        <v>0.88467176189739605</v>
      </c>
      <c r="DP37" s="402">
        <v>0.23048255843586588</v>
      </c>
      <c r="DQ37" s="402">
        <v>1</v>
      </c>
      <c r="DR37" s="405">
        <v>4.6288643447821701E-2</v>
      </c>
      <c r="DS37" s="405">
        <v>0.05</v>
      </c>
      <c r="DT37" s="402">
        <v>0</v>
      </c>
      <c r="DU37" s="402">
        <v>7.7304229722402654E-2</v>
      </c>
      <c r="DV37" s="402">
        <v>0.13203333333333331</v>
      </c>
      <c r="DW37" s="402">
        <v>0.30562620650355765</v>
      </c>
      <c r="DX37" s="402">
        <v>4.6875E-2</v>
      </c>
      <c r="DY37" s="402">
        <v>0.17693435237947922</v>
      </c>
      <c r="DZ37" s="406">
        <v>1.1524127921793295E-2</v>
      </c>
      <c r="EA37" s="406">
        <v>0.05</v>
      </c>
      <c r="EB37" s="406">
        <v>0.28533348030127254</v>
      </c>
      <c r="EC37" s="407">
        <v>0.59095968680483013</v>
      </c>
      <c r="ED37" s="408" t="s">
        <v>157</v>
      </c>
      <c r="EE37" s="408" t="s">
        <v>156</v>
      </c>
      <c r="EG37" s="389">
        <v>128604.59650309999</v>
      </c>
      <c r="EH37" s="389">
        <v>124770.89850929285</v>
      </c>
      <c r="EI37" s="389">
        <v>126032.55169672305</v>
      </c>
      <c r="EJ37" s="389">
        <v>78996.961940000008</v>
      </c>
      <c r="EK37" s="389">
        <v>72506.254145099971</v>
      </c>
      <c r="EL37" s="389">
        <v>72408.284373119968</v>
      </c>
      <c r="EN37" s="389">
        <v>2</v>
      </c>
      <c r="EO37" s="409">
        <v>201202.62156049648</v>
      </c>
      <c r="EP37" s="409">
        <v>202619.38956429201</v>
      </c>
      <c r="EQ37" s="410">
        <v>-708.38400189776439</v>
      </c>
      <c r="ER37" s="404">
        <v>0</v>
      </c>
      <c r="ES37" s="404">
        <v>1.5153615314826845</v>
      </c>
      <c r="ET37" s="404">
        <v>0.22730422972240266</v>
      </c>
      <c r="EU37" s="411">
        <v>0.74095968680483004</v>
      </c>
      <c r="EV37" s="412" t="s">
        <v>509</v>
      </c>
      <c r="EW37" s="412" t="s">
        <v>25</v>
      </c>
      <c r="EX37" s="381"/>
      <c r="EY37" s="419">
        <v>0.50162567793879198</v>
      </c>
      <c r="EZ37" s="419">
        <v>0.44998964385257412</v>
      </c>
      <c r="FA37" s="419">
        <v>0.37739629069291936</v>
      </c>
      <c r="FB37" s="419">
        <v>0.40689947534349469</v>
      </c>
      <c r="FC37" s="419">
        <v>0.4569470071455084</v>
      </c>
      <c r="FD37" s="419">
        <v>0.39008066219199422</v>
      </c>
      <c r="FE37" s="419">
        <v>0.71152159006059301</v>
      </c>
      <c r="FF37" s="419">
        <v>0.70730173799273377</v>
      </c>
      <c r="FG37" s="419">
        <v>0.68497541536256401</v>
      </c>
      <c r="FH37" s="419">
        <v>0.99788373237139472</v>
      </c>
      <c r="FI37" s="419">
        <v>0.74095968680483004</v>
      </c>
      <c r="FJ37" s="419"/>
      <c r="FK37" s="407">
        <v>0.44300387082809517</v>
      </c>
      <c r="FL37" s="407">
        <v>0.41797571489366581</v>
      </c>
      <c r="FM37" s="419">
        <v>0.701266247805297</v>
      </c>
      <c r="FN37" s="419">
        <v>0.86942170958811238</v>
      </c>
      <c r="FO37" s="407">
        <v>0.58414371997794534</v>
      </c>
    </row>
    <row r="38" spans="1:171" hidden="1" outlineLevel="1" x14ac:dyDescent="0.25">
      <c r="A38" s="390" t="s">
        <v>299</v>
      </c>
      <c r="B38" s="390" t="s">
        <v>186</v>
      </c>
      <c r="C38" s="390" t="s">
        <v>187</v>
      </c>
      <c r="D38" s="391" t="s">
        <v>186</v>
      </c>
      <c r="E38" s="390" t="s">
        <v>36</v>
      </c>
      <c r="F38" s="391" t="s">
        <v>154</v>
      </c>
      <c r="G38" s="392">
        <v>1</v>
      </c>
      <c r="H38" s="393">
        <v>34214</v>
      </c>
      <c r="I38" s="393">
        <v>44046</v>
      </c>
      <c r="J38" s="394">
        <v>351</v>
      </c>
      <c r="K38" s="391">
        <v>328</v>
      </c>
      <c r="L38" s="390" t="s">
        <v>170</v>
      </c>
      <c r="M38" s="392" t="s">
        <v>355</v>
      </c>
      <c r="N38" s="395">
        <v>2</v>
      </c>
      <c r="O38" s="395">
        <v>0</v>
      </c>
      <c r="P38" s="395">
        <v>2</v>
      </c>
      <c r="Q38" s="389">
        <v>0</v>
      </c>
      <c r="R38" s="389">
        <v>0</v>
      </c>
      <c r="S38" s="389">
        <v>94829.073999999979</v>
      </c>
      <c r="T38" s="389">
        <v>60852.598999999995</v>
      </c>
      <c r="U38" s="389">
        <v>53359.936564630014</v>
      </c>
      <c r="V38" s="389">
        <v>4059.1283127699999</v>
      </c>
      <c r="W38" s="389">
        <v>0</v>
      </c>
      <c r="X38" s="389">
        <v>0</v>
      </c>
      <c r="Y38" s="389">
        <v>104443.07399999998</v>
      </c>
      <c r="Z38" s="389">
        <v>61052.598999999995</v>
      </c>
      <c r="AA38" s="389"/>
      <c r="AB38" s="389"/>
      <c r="AC38" s="389">
        <v>9614</v>
      </c>
      <c r="AD38" s="389">
        <v>200</v>
      </c>
      <c r="AE38" s="389">
        <v>560.625</v>
      </c>
      <c r="AF38" s="389">
        <v>92.399305555555557</v>
      </c>
      <c r="AG38" s="389">
        <v>1200</v>
      </c>
      <c r="AH38" s="396">
        <v>3.2</v>
      </c>
      <c r="AI38" s="389">
        <v>514.3878125</v>
      </c>
      <c r="AJ38" s="397">
        <v>0.02</v>
      </c>
      <c r="AK38" s="397">
        <v>0.1</v>
      </c>
      <c r="AL38" s="389">
        <v>93866.951261731621</v>
      </c>
      <c r="AM38" s="389">
        <v>50915.287615739348</v>
      </c>
      <c r="AN38" s="398">
        <v>-962.12273826835735</v>
      </c>
      <c r="AO38" s="398">
        <v>-9937.3113842606472</v>
      </c>
      <c r="AP38" s="398">
        <v>0</v>
      </c>
      <c r="AQ38" s="398">
        <v>4056.9609281799999</v>
      </c>
      <c r="AR38" s="398">
        <v>0</v>
      </c>
      <c r="AS38" s="398">
        <v>0</v>
      </c>
      <c r="AT38" s="398">
        <v>120</v>
      </c>
      <c r="AU38" s="399">
        <v>55</v>
      </c>
      <c r="AV38" s="399">
        <v>0</v>
      </c>
      <c r="AW38" s="399">
        <v>3.6</v>
      </c>
      <c r="AX38" s="399">
        <v>9000</v>
      </c>
      <c r="AY38" s="399">
        <v>0</v>
      </c>
      <c r="AZ38" s="399">
        <v>0</v>
      </c>
      <c r="BA38" s="399">
        <v>0</v>
      </c>
      <c r="BB38" s="399">
        <v>0</v>
      </c>
      <c r="BC38" s="399">
        <v>1100</v>
      </c>
      <c r="BD38" s="399">
        <v>0</v>
      </c>
      <c r="BE38" s="399">
        <v>7.2</v>
      </c>
      <c r="BF38" s="399">
        <v>9</v>
      </c>
      <c r="BG38" s="399">
        <v>0</v>
      </c>
      <c r="BH38" s="399">
        <v>0</v>
      </c>
      <c r="BI38" s="399">
        <v>0</v>
      </c>
      <c r="BJ38" s="399">
        <v>0</v>
      </c>
      <c r="BK38" s="398">
        <v>1116.2</v>
      </c>
      <c r="BL38" s="389">
        <v>3</v>
      </c>
      <c r="BM38" s="389">
        <v>0</v>
      </c>
      <c r="BN38" s="395">
        <v>11</v>
      </c>
      <c r="BO38" s="395">
        <v>0</v>
      </c>
      <c r="BP38" s="395">
        <v>0</v>
      </c>
      <c r="BQ38" s="389">
        <v>4</v>
      </c>
      <c r="BR38" s="389">
        <v>0</v>
      </c>
      <c r="BS38" s="389">
        <v>0</v>
      </c>
      <c r="BT38" s="389">
        <v>0</v>
      </c>
      <c r="BU38" s="389">
        <v>0</v>
      </c>
      <c r="BV38" s="389">
        <v>0</v>
      </c>
      <c r="BW38" s="389">
        <v>0</v>
      </c>
      <c r="BX38" s="389">
        <v>0</v>
      </c>
      <c r="BY38" s="389">
        <v>30</v>
      </c>
      <c r="BZ38" s="389">
        <v>0</v>
      </c>
      <c r="CA38" s="400">
        <v>0</v>
      </c>
      <c r="CB38" s="400">
        <v>0</v>
      </c>
      <c r="CC38" s="400">
        <v>0</v>
      </c>
      <c r="CD38" s="389">
        <v>30</v>
      </c>
      <c r="CE38" s="389">
        <v>0</v>
      </c>
      <c r="CF38" s="389">
        <v>110</v>
      </c>
      <c r="CG38" s="389">
        <v>0</v>
      </c>
      <c r="CH38" s="389">
        <v>0</v>
      </c>
      <c r="CI38" s="389">
        <v>40</v>
      </c>
      <c r="CJ38" s="389">
        <v>0</v>
      </c>
      <c r="CK38" s="389">
        <v>0</v>
      </c>
      <c r="CL38" s="389">
        <v>0</v>
      </c>
      <c r="CM38" s="389">
        <v>0</v>
      </c>
      <c r="CN38" s="389">
        <v>120</v>
      </c>
      <c r="CO38" s="389">
        <v>0</v>
      </c>
      <c r="CP38" s="389">
        <v>0</v>
      </c>
      <c r="CQ38" s="389">
        <v>0</v>
      </c>
      <c r="CR38" s="389">
        <v>0</v>
      </c>
      <c r="CS38" s="389">
        <v>300</v>
      </c>
      <c r="CT38" s="389">
        <v>1</v>
      </c>
      <c r="CU38" s="389">
        <v>0</v>
      </c>
      <c r="CV38" s="389">
        <v>2</v>
      </c>
      <c r="CW38" s="389">
        <v>3</v>
      </c>
      <c r="CX38" s="401">
        <v>174.43459940522769</v>
      </c>
      <c r="CY38" s="396">
        <v>0</v>
      </c>
      <c r="CZ38" s="396">
        <v>2415.0870645499999</v>
      </c>
      <c r="DA38" s="402">
        <v>0</v>
      </c>
      <c r="DB38" s="389">
        <v>0</v>
      </c>
      <c r="DC38" s="396">
        <v>0</v>
      </c>
      <c r="DD38" s="403">
        <v>0</v>
      </c>
      <c r="DE38" s="402">
        <v>0</v>
      </c>
      <c r="DF38" s="402">
        <v>0</v>
      </c>
      <c r="DG38" s="402">
        <v>0</v>
      </c>
      <c r="DH38" s="402">
        <v>1.2987110593363647</v>
      </c>
      <c r="DI38" s="402">
        <v>1.1801666666666668</v>
      </c>
      <c r="DJ38" s="402"/>
      <c r="DK38" s="402"/>
      <c r="DL38" s="404"/>
      <c r="DM38" s="404"/>
      <c r="DN38" s="402">
        <v>0.9375</v>
      </c>
      <c r="DO38" s="402">
        <v>0.33911106594351453</v>
      </c>
      <c r="DP38" s="402">
        <v>1</v>
      </c>
      <c r="DQ38" s="402">
        <v>1</v>
      </c>
      <c r="DR38" s="405">
        <v>0</v>
      </c>
      <c r="DS38" s="405">
        <v>0</v>
      </c>
      <c r="DT38" s="402">
        <v>0</v>
      </c>
      <c r="DU38" s="402">
        <v>0.1948066589004547</v>
      </c>
      <c r="DV38" s="402">
        <v>0.11801666666666669</v>
      </c>
      <c r="DW38" s="402">
        <v>0.31282332556712139</v>
      </c>
      <c r="DX38" s="402">
        <v>9.375E-2</v>
      </c>
      <c r="DY38" s="402">
        <v>6.7822213188702907E-2</v>
      </c>
      <c r="DZ38" s="406">
        <v>0.05</v>
      </c>
      <c r="EA38" s="406">
        <v>0.05</v>
      </c>
      <c r="EB38" s="406">
        <v>0.26157221318870288</v>
      </c>
      <c r="EC38" s="407">
        <v>0.57439553875582428</v>
      </c>
      <c r="ED38" s="408" t="s">
        <v>157</v>
      </c>
      <c r="EE38" s="408" t="s">
        <v>156</v>
      </c>
      <c r="EG38" s="389">
        <v>92919.044240291973</v>
      </c>
      <c r="EH38" s="389">
        <v>94150.261968712002</v>
      </c>
      <c r="EI38" s="389">
        <v>94525.60873957201</v>
      </c>
      <c r="EJ38" s="389">
        <v>51983.181779999992</v>
      </c>
      <c r="EK38" s="389">
        <v>50688.618825029989</v>
      </c>
      <c r="EL38" s="389">
        <v>50688.795998729998</v>
      </c>
      <c r="EN38" s="389">
        <v>2</v>
      </c>
      <c r="EO38" s="409">
        <v>144782.23887747095</v>
      </c>
      <c r="EP38" s="409">
        <v>144879.94316093429</v>
      </c>
      <c r="EQ38" s="410">
        <v>-48.852141731666052</v>
      </c>
      <c r="ER38" s="404">
        <v>0</v>
      </c>
      <c r="ES38" s="404">
        <v>2</v>
      </c>
      <c r="ET38" s="404">
        <v>0.3</v>
      </c>
      <c r="EU38" s="411">
        <v>0.67958887985536953</v>
      </c>
      <c r="EV38" s="412" t="s">
        <v>157</v>
      </c>
      <c r="EW38" s="412" t="s">
        <v>156</v>
      </c>
      <c r="EX38" s="381"/>
      <c r="EY38" s="419">
        <v>0.23762712359488114</v>
      </c>
      <c r="EZ38" s="419">
        <v>0.54571718606990238</v>
      </c>
      <c r="FA38" s="419">
        <v>0.49320378296170003</v>
      </c>
      <c r="FB38" s="419">
        <v>0.58532434987948434</v>
      </c>
      <c r="FC38" s="419">
        <v>0.60602584207446641</v>
      </c>
      <c r="FD38" s="419">
        <v>0.75091491942158939</v>
      </c>
      <c r="FE38" s="419">
        <v>0.66648403950451107</v>
      </c>
      <c r="FF38" s="419">
        <v>0.55738731921429518</v>
      </c>
      <c r="FG38" s="419">
        <v>0.52290661591082388</v>
      </c>
      <c r="FH38" s="419">
        <v>0.60657463721779892</v>
      </c>
      <c r="FI38" s="419">
        <v>0.67958887985536953</v>
      </c>
      <c r="FJ38" s="419"/>
      <c r="FK38" s="407">
        <v>0.42551603087549456</v>
      </c>
      <c r="FL38" s="407">
        <v>0.64742170379184671</v>
      </c>
      <c r="FM38" s="419">
        <v>0.58225932487654342</v>
      </c>
      <c r="FN38" s="419">
        <v>0.64308175853658422</v>
      </c>
      <c r="FO38" s="407">
        <v>0.56834133597316561</v>
      </c>
    </row>
    <row r="39" spans="1:171" hidden="1" outlineLevel="1" x14ac:dyDescent="0.25">
      <c r="A39" s="390" t="s">
        <v>446</v>
      </c>
      <c r="B39" s="390" t="s">
        <v>499</v>
      </c>
      <c r="C39" s="390" t="s">
        <v>500</v>
      </c>
      <c r="D39" s="391" t="s">
        <v>499</v>
      </c>
      <c r="E39" s="390" t="s">
        <v>36</v>
      </c>
      <c r="F39" s="391" t="s">
        <v>154</v>
      </c>
      <c r="G39" s="392">
        <v>1</v>
      </c>
      <c r="H39" s="393">
        <v>37002</v>
      </c>
      <c r="I39" s="393">
        <v>44774</v>
      </c>
      <c r="J39" s="394">
        <v>260</v>
      </c>
      <c r="K39" s="391">
        <v>511</v>
      </c>
      <c r="L39" s="390" t="s">
        <v>230</v>
      </c>
      <c r="M39" s="392" t="s">
        <v>355</v>
      </c>
      <c r="N39" s="395">
        <v>6</v>
      </c>
      <c r="O39" s="395">
        <v>0</v>
      </c>
      <c r="P39" s="395">
        <v>9</v>
      </c>
      <c r="Q39" s="389">
        <v>0</v>
      </c>
      <c r="R39" s="389">
        <v>0</v>
      </c>
      <c r="S39" s="389">
        <v>278374.83899999986</v>
      </c>
      <c r="T39" s="389">
        <v>139925.96400000001</v>
      </c>
      <c r="U39" s="389">
        <v>43975.032102190024</v>
      </c>
      <c r="V39" s="389">
        <v>17330.465420060002</v>
      </c>
      <c r="W39" s="389">
        <v>0</v>
      </c>
      <c r="X39" s="389">
        <v>0</v>
      </c>
      <c r="Y39" s="389">
        <v>301714.08899999986</v>
      </c>
      <c r="Z39" s="389">
        <v>140325.96400000001</v>
      </c>
      <c r="AA39" s="389"/>
      <c r="AB39" s="389"/>
      <c r="AC39" s="389">
        <v>23339.25</v>
      </c>
      <c r="AD39" s="389">
        <v>400</v>
      </c>
      <c r="AE39" s="389">
        <v>0</v>
      </c>
      <c r="AF39" s="389">
        <v>762.29427083333337</v>
      </c>
      <c r="AG39" s="389">
        <v>3000</v>
      </c>
      <c r="AH39" s="396">
        <v>12</v>
      </c>
      <c r="AI39" s="389">
        <v>1226.2109375000002</v>
      </c>
      <c r="AJ39" s="397">
        <v>0.02</v>
      </c>
      <c r="AK39" s="397">
        <v>0.1</v>
      </c>
      <c r="AL39" s="389">
        <v>260246.20962427105</v>
      </c>
      <c r="AM39" s="389">
        <v>107179.11188662637</v>
      </c>
      <c r="AN39" s="398">
        <v>-18128.629375728808</v>
      </c>
      <c r="AO39" s="398">
        <v>-32746.852113373636</v>
      </c>
      <c r="AP39" s="398">
        <v>0</v>
      </c>
      <c r="AQ39" s="398">
        <v>24952.391874410005</v>
      </c>
      <c r="AR39" s="398">
        <v>2500</v>
      </c>
      <c r="AS39" s="398">
        <v>0</v>
      </c>
      <c r="AT39" s="398">
        <v>150</v>
      </c>
      <c r="AU39" s="399">
        <v>0</v>
      </c>
      <c r="AV39" s="399">
        <v>35.1</v>
      </c>
      <c r="AW39" s="399">
        <v>7.4351880000000001</v>
      </c>
      <c r="AX39" s="399">
        <v>0</v>
      </c>
      <c r="AY39" s="399">
        <v>60</v>
      </c>
      <c r="AZ39" s="399">
        <v>0</v>
      </c>
      <c r="BA39" s="399">
        <v>0</v>
      </c>
      <c r="BB39" s="399">
        <v>1.0467000000000001E-2</v>
      </c>
      <c r="BC39" s="399">
        <v>0</v>
      </c>
      <c r="BD39" s="399">
        <v>280.8</v>
      </c>
      <c r="BE39" s="399">
        <v>14.870376</v>
      </c>
      <c r="BF39" s="399">
        <v>0</v>
      </c>
      <c r="BG39" s="399">
        <v>6</v>
      </c>
      <c r="BH39" s="399">
        <v>0</v>
      </c>
      <c r="BI39" s="399">
        <v>0</v>
      </c>
      <c r="BJ39" s="399">
        <v>1.0467000000000002E-3</v>
      </c>
      <c r="BK39" s="398">
        <v>301.67142270000005</v>
      </c>
      <c r="BL39" s="389">
        <v>33</v>
      </c>
      <c r="BM39" s="389">
        <v>15</v>
      </c>
      <c r="BN39" s="395">
        <v>49</v>
      </c>
      <c r="BO39" s="395">
        <v>0</v>
      </c>
      <c r="BP39" s="395">
        <v>0</v>
      </c>
      <c r="BQ39" s="389">
        <v>37</v>
      </c>
      <c r="BR39" s="389">
        <v>2500</v>
      </c>
      <c r="BS39" s="389">
        <v>0</v>
      </c>
      <c r="BT39" s="389">
        <v>0</v>
      </c>
      <c r="BU39" s="389">
        <v>0</v>
      </c>
      <c r="BV39" s="389">
        <v>0</v>
      </c>
      <c r="BW39" s="389">
        <v>0</v>
      </c>
      <c r="BX39" s="389">
        <v>0</v>
      </c>
      <c r="BY39" s="389">
        <v>86</v>
      </c>
      <c r="BZ39" s="389">
        <v>1</v>
      </c>
      <c r="CA39" s="400">
        <v>2</v>
      </c>
      <c r="CB39" s="400">
        <v>0</v>
      </c>
      <c r="CC39" s="400">
        <v>0</v>
      </c>
      <c r="CD39" s="389">
        <v>330</v>
      </c>
      <c r="CE39" s="389">
        <v>30</v>
      </c>
      <c r="CF39" s="389">
        <v>490</v>
      </c>
      <c r="CG39" s="389">
        <v>0</v>
      </c>
      <c r="CH39" s="389">
        <v>0</v>
      </c>
      <c r="CI39" s="389">
        <v>370</v>
      </c>
      <c r="CJ39" s="389">
        <v>750</v>
      </c>
      <c r="CK39" s="389">
        <v>0</v>
      </c>
      <c r="CL39" s="389">
        <v>0</v>
      </c>
      <c r="CM39" s="389">
        <v>0</v>
      </c>
      <c r="CN39" s="389">
        <v>344</v>
      </c>
      <c r="CO39" s="389">
        <v>20</v>
      </c>
      <c r="CP39" s="389">
        <v>8</v>
      </c>
      <c r="CQ39" s="389">
        <v>0</v>
      </c>
      <c r="CR39" s="389">
        <v>0</v>
      </c>
      <c r="CS39" s="389">
        <v>2342</v>
      </c>
      <c r="CT39" s="389">
        <v>4</v>
      </c>
      <c r="CU39" s="389">
        <v>1</v>
      </c>
      <c r="CV39" s="389">
        <v>6</v>
      </c>
      <c r="CW39" s="389">
        <v>11</v>
      </c>
      <c r="CX39" s="401">
        <v>219.14333581999998</v>
      </c>
      <c r="CY39" s="396">
        <v>0</v>
      </c>
      <c r="CZ39" s="396">
        <v>18170.960967570001</v>
      </c>
      <c r="DA39" s="402">
        <v>0</v>
      </c>
      <c r="DB39" s="389">
        <v>0</v>
      </c>
      <c r="DC39" s="396">
        <v>0</v>
      </c>
      <c r="DD39" s="403">
        <v>0</v>
      </c>
      <c r="DE39" s="402">
        <v>0</v>
      </c>
      <c r="DF39" s="402">
        <v>0</v>
      </c>
      <c r="DG39" s="402">
        <v>0</v>
      </c>
      <c r="DH39" s="402">
        <v>0.19677440292975221</v>
      </c>
      <c r="DI39" s="402">
        <v>0.88122380756666674</v>
      </c>
      <c r="DJ39" s="402"/>
      <c r="DK39" s="402"/>
      <c r="DL39" s="404"/>
      <c r="DM39" s="404"/>
      <c r="DN39" s="402">
        <v>0.91666666666666663</v>
      </c>
      <c r="DO39" s="402">
        <v>0.17871585476703508</v>
      </c>
      <c r="DP39" s="402">
        <v>1</v>
      </c>
      <c r="DQ39" s="402">
        <v>1</v>
      </c>
      <c r="DR39" s="405">
        <v>0</v>
      </c>
      <c r="DS39" s="405">
        <v>0</v>
      </c>
      <c r="DT39" s="402">
        <v>0</v>
      </c>
      <c r="DU39" s="402">
        <v>5.9032320878925661E-2</v>
      </c>
      <c r="DV39" s="402">
        <v>8.8122380756666674E-2</v>
      </c>
      <c r="DW39" s="402">
        <v>0.14715470163559233</v>
      </c>
      <c r="DX39" s="402">
        <v>9.1666666666666674E-2</v>
      </c>
      <c r="DY39" s="402">
        <v>3.5743170953407018E-2</v>
      </c>
      <c r="DZ39" s="406">
        <v>0.05</v>
      </c>
      <c r="EA39" s="406">
        <v>0.05</v>
      </c>
      <c r="EB39" s="406">
        <v>0.22740983762007366</v>
      </c>
      <c r="EC39" s="407">
        <v>0.37456453925566602</v>
      </c>
      <c r="ED39" s="408" t="s">
        <v>157</v>
      </c>
      <c r="EE39" s="408" t="s">
        <v>156</v>
      </c>
      <c r="EG39" s="389">
        <v>255797.70001382608</v>
      </c>
      <c r="EH39" s="389">
        <v>263638.90602472995</v>
      </c>
      <c r="EI39" s="389">
        <v>265550.11105016008</v>
      </c>
      <c r="EJ39" s="389">
        <v>102457.32188</v>
      </c>
      <c r="EK39" s="389">
        <v>117619.71332535997</v>
      </c>
      <c r="EL39" s="389">
        <v>117500.49312058999</v>
      </c>
      <c r="EN39" s="389">
        <v>4</v>
      </c>
      <c r="EO39" s="409">
        <v>367425.32151089743</v>
      </c>
      <c r="EP39" s="409">
        <v>357982.55506782426</v>
      </c>
      <c r="EQ39" s="410">
        <v>2360.6916107682919</v>
      </c>
      <c r="ER39" s="404">
        <v>0.25</v>
      </c>
      <c r="ES39" s="404">
        <v>1.1967744029297522</v>
      </c>
      <c r="ET39" s="404">
        <v>0.35903232087892567</v>
      </c>
      <c r="EU39" s="411">
        <v>0.92456453925566606</v>
      </c>
      <c r="EV39" s="412" t="s">
        <v>511</v>
      </c>
      <c r="EW39" s="412" t="s">
        <v>27</v>
      </c>
      <c r="EX39" s="381"/>
      <c r="EY39" s="419">
        <v>0.78992771895118519</v>
      </c>
      <c r="EZ39" s="419">
        <v>1.0564377581382955</v>
      </c>
      <c r="FA39" s="419">
        <v>0.54649993794906793</v>
      </c>
      <c r="FB39" s="419">
        <v>0.15236363636363637</v>
      </c>
      <c r="FC39" s="419">
        <v>0.74084865847545089</v>
      </c>
      <c r="FD39" s="419">
        <v>0.83729719767286936</v>
      </c>
      <c r="FE39" s="419">
        <v>0.76743629559911297</v>
      </c>
      <c r="FF39" s="419">
        <v>0.56743115776757902</v>
      </c>
      <c r="FG39" s="419">
        <v>0.58716133128697934</v>
      </c>
      <c r="FH39" s="419">
        <v>0.49579559982513521</v>
      </c>
      <c r="FI39" s="419">
        <v>0.92456453925566606</v>
      </c>
      <c r="FJ39" s="419"/>
      <c r="FK39" s="407">
        <v>0.79762180501284963</v>
      </c>
      <c r="FL39" s="407">
        <v>0.57683649750398558</v>
      </c>
      <c r="FM39" s="419">
        <v>0.64067626155122381</v>
      </c>
      <c r="FN39" s="419">
        <v>0.71018006954040058</v>
      </c>
      <c r="FO39" s="407">
        <v>0.67870580284408888</v>
      </c>
    </row>
    <row r="40" spans="1:171" hidden="1" outlineLevel="1" x14ac:dyDescent="0.25">
      <c r="A40" s="390" t="s">
        <v>446</v>
      </c>
      <c r="B40" s="390" t="s">
        <v>267</v>
      </c>
      <c r="C40" s="390" t="s">
        <v>268</v>
      </c>
      <c r="D40" s="391" t="s">
        <v>267</v>
      </c>
      <c r="E40" s="390" t="s">
        <v>36</v>
      </c>
      <c r="F40" s="391" t="s">
        <v>154</v>
      </c>
      <c r="G40" s="392">
        <v>1</v>
      </c>
      <c r="H40" s="393">
        <v>38930</v>
      </c>
      <c r="I40" s="393">
        <v>44501</v>
      </c>
      <c r="J40" s="394">
        <v>196</v>
      </c>
      <c r="K40" s="391">
        <v>541</v>
      </c>
      <c r="L40" s="390" t="s">
        <v>233</v>
      </c>
      <c r="M40" s="392" t="s">
        <v>355</v>
      </c>
      <c r="N40" s="395">
        <v>6</v>
      </c>
      <c r="O40" s="395">
        <v>1</v>
      </c>
      <c r="P40" s="395">
        <v>5</v>
      </c>
      <c r="Q40" s="389">
        <v>0</v>
      </c>
      <c r="R40" s="389">
        <v>0</v>
      </c>
      <c r="S40" s="389">
        <v>318455.72600000002</v>
      </c>
      <c r="T40" s="389">
        <v>118957.69200000001</v>
      </c>
      <c r="U40" s="389">
        <v>41789.616929359996</v>
      </c>
      <c r="V40" s="389">
        <v>8382.9257661099982</v>
      </c>
      <c r="W40" s="389">
        <v>0</v>
      </c>
      <c r="X40" s="389">
        <v>0</v>
      </c>
      <c r="Y40" s="389">
        <v>340593.22600000002</v>
      </c>
      <c r="Z40" s="389">
        <v>119457.69200000001</v>
      </c>
      <c r="AA40" s="389"/>
      <c r="AB40" s="389"/>
      <c r="AC40" s="389">
        <v>22137.5</v>
      </c>
      <c r="AD40" s="389">
        <v>500</v>
      </c>
      <c r="AE40" s="389">
        <v>2766.7881944444443</v>
      </c>
      <c r="AF40" s="389">
        <v>519.74609375</v>
      </c>
      <c r="AG40" s="389">
        <v>3300</v>
      </c>
      <c r="AH40" s="396">
        <v>9.6000000000000014</v>
      </c>
      <c r="AI40" s="389">
        <v>1376.3859895833334</v>
      </c>
      <c r="AJ40" s="397">
        <v>0.02</v>
      </c>
      <c r="AK40" s="397">
        <v>0.1</v>
      </c>
      <c r="AL40" s="389">
        <v>340767.21388054604</v>
      </c>
      <c r="AM40" s="389">
        <v>141998.15427922961</v>
      </c>
      <c r="AN40" s="398">
        <v>22311.487880546018</v>
      </c>
      <c r="AO40" s="398">
        <v>23040.4622792296</v>
      </c>
      <c r="AP40" s="398">
        <v>0</v>
      </c>
      <c r="AQ40" s="398">
        <v>15892.203290369998</v>
      </c>
      <c r="AR40" s="398">
        <v>0</v>
      </c>
      <c r="AS40" s="398">
        <v>22.25</v>
      </c>
      <c r="AT40" s="398">
        <v>50</v>
      </c>
      <c r="AU40" s="399">
        <v>97.7</v>
      </c>
      <c r="AV40" s="399">
        <v>0</v>
      </c>
      <c r="AW40" s="399">
        <v>0</v>
      </c>
      <c r="AX40" s="399">
        <v>0</v>
      </c>
      <c r="AY40" s="399">
        <v>0</v>
      </c>
      <c r="AZ40" s="399">
        <v>0</v>
      </c>
      <c r="BA40" s="399">
        <v>0</v>
      </c>
      <c r="BB40" s="399">
        <v>0.02</v>
      </c>
      <c r="BC40" s="399">
        <v>1954</v>
      </c>
      <c r="BD40" s="399">
        <v>0</v>
      </c>
      <c r="BE40" s="399">
        <v>0</v>
      </c>
      <c r="BF40" s="399">
        <v>0</v>
      </c>
      <c r="BG40" s="399">
        <v>0</v>
      </c>
      <c r="BH40" s="399">
        <v>0</v>
      </c>
      <c r="BI40" s="399">
        <v>0</v>
      </c>
      <c r="BJ40" s="399">
        <v>2E-3</v>
      </c>
      <c r="BK40" s="398">
        <v>1954.002</v>
      </c>
      <c r="BL40" s="389">
        <v>29</v>
      </c>
      <c r="BM40" s="389">
        <v>0</v>
      </c>
      <c r="BN40" s="395">
        <v>58</v>
      </c>
      <c r="BO40" s="395">
        <v>0</v>
      </c>
      <c r="BP40" s="395">
        <v>0</v>
      </c>
      <c r="BQ40" s="389">
        <v>36</v>
      </c>
      <c r="BR40" s="389">
        <v>0</v>
      </c>
      <c r="BS40" s="389">
        <v>22.25</v>
      </c>
      <c r="BT40" s="389">
        <v>0</v>
      </c>
      <c r="BU40" s="389">
        <v>0</v>
      </c>
      <c r="BV40" s="389">
        <v>0</v>
      </c>
      <c r="BW40" s="389">
        <v>0</v>
      </c>
      <c r="BX40" s="389">
        <v>0</v>
      </c>
      <c r="BY40" s="389">
        <v>109</v>
      </c>
      <c r="BZ40" s="389">
        <v>3</v>
      </c>
      <c r="CA40" s="400">
        <v>6</v>
      </c>
      <c r="CB40" s="400">
        <v>0</v>
      </c>
      <c r="CC40" s="400">
        <v>0</v>
      </c>
      <c r="CD40" s="389">
        <v>290</v>
      </c>
      <c r="CE40" s="389">
        <v>0</v>
      </c>
      <c r="CF40" s="389">
        <v>580</v>
      </c>
      <c r="CG40" s="389">
        <v>0</v>
      </c>
      <c r="CH40" s="389">
        <v>0</v>
      </c>
      <c r="CI40" s="389">
        <v>360</v>
      </c>
      <c r="CJ40" s="389">
        <v>6.6749999999999998</v>
      </c>
      <c r="CK40" s="389">
        <v>0</v>
      </c>
      <c r="CL40" s="389">
        <v>0</v>
      </c>
      <c r="CM40" s="389">
        <v>0</v>
      </c>
      <c r="CN40" s="389">
        <v>436</v>
      </c>
      <c r="CO40" s="389">
        <v>60</v>
      </c>
      <c r="CP40" s="389">
        <v>24</v>
      </c>
      <c r="CQ40" s="389">
        <v>0</v>
      </c>
      <c r="CR40" s="389">
        <v>0</v>
      </c>
      <c r="CS40" s="389">
        <v>1756.675</v>
      </c>
      <c r="CT40" s="389">
        <v>5</v>
      </c>
      <c r="CU40" s="389">
        <v>0</v>
      </c>
      <c r="CV40" s="389">
        <v>5</v>
      </c>
      <c r="CW40" s="389">
        <v>10</v>
      </c>
      <c r="CX40" s="401">
        <v>990.29878798590846</v>
      </c>
      <c r="CY40" s="396">
        <v>0</v>
      </c>
      <c r="CZ40" s="396">
        <v>14540.210986890001</v>
      </c>
      <c r="DA40" s="402">
        <v>0</v>
      </c>
      <c r="DB40" s="389">
        <v>0</v>
      </c>
      <c r="DC40" s="396">
        <v>0</v>
      </c>
      <c r="DD40" s="403">
        <v>0</v>
      </c>
      <c r="DE40" s="402">
        <v>1.0078594186582053</v>
      </c>
      <c r="DF40" s="402">
        <v>1</v>
      </c>
      <c r="DG40" s="402">
        <v>8.0418154323040527E-3</v>
      </c>
      <c r="DH40" s="402">
        <v>9.6200819210101082E-2</v>
      </c>
      <c r="DI40" s="402">
        <v>1.1244475757575756</v>
      </c>
      <c r="DJ40" s="402"/>
      <c r="DK40" s="402"/>
      <c r="DL40" s="404"/>
      <c r="DM40" s="404"/>
      <c r="DN40" s="402">
        <v>1.0416666666666665</v>
      </c>
      <c r="DO40" s="402">
        <v>0.71949205780981307</v>
      </c>
      <c r="DP40" s="402">
        <v>1</v>
      </c>
      <c r="DQ40" s="402">
        <v>1</v>
      </c>
      <c r="DR40" s="405">
        <v>0.15117891279873077</v>
      </c>
      <c r="DS40" s="405">
        <v>0.05</v>
      </c>
      <c r="DT40" s="402">
        <v>1.2062723148456079E-3</v>
      </c>
      <c r="DU40" s="402">
        <v>1.4430122881515161E-2</v>
      </c>
      <c r="DV40" s="402">
        <v>0.11244475757575756</v>
      </c>
      <c r="DW40" s="402">
        <v>0.32926006557084908</v>
      </c>
      <c r="DX40" s="402">
        <v>0.10416666666666666</v>
      </c>
      <c r="DY40" s="402">
        <v>0.14389841156196262</v>
      </c>
      <c r="DZ40" s="406">
        <v>0.05</v>
      </c>
      <c r="EA40" s="406">
        <v>0.05</v>
      </c>
      <c r="EB40" s="406">
        <v>0.34806507822862925</v>
      </c>
      <c r="EC40" s="407">
        <v>0.67732514379947828</v>
      </c>
      <c r="ED40" s="408" t="s">
        <v>157</v>
      </c>
      <c r="EE40" s="408" t="s">
        <v>156</v>
      </c>
      <c r="EG40" s="389">
        <v>336957.3623320738</v>
      </c>
      <c r="EH40" s="389">
        <v>355760.24547441985</v>
      </c>
      <c r="EI40" s="389">
        <v>357878.98681862961</v>
      </c>
      <c r="EJ40" s="389">
        <v>129242.28559999997</v>
      </c>
      <c r="EK40" s="389">
        <v>243580.6680756</v>
      </c>
      <c r="EL40" s="389">
        <v>243273.14433272</v>
      </c>
      <c r="EN40" s="389">
        <v>5</v>
      </c>
      <c r="EO40" s="409">
        <v>482765.36815977562</v>
      </c>
      <c r="EP40" s="409">
        <v>458735.59951621242</v>
      </c>
      <c r="EQ40" s="410">
        <v>4805.9537287126414</v>
      </c>
      <c r="ER40" s="404">
        <v>0.35</v>
      </c>
      <c r="ES40" s="404">
        <v>1.0962008192101012</v>
      </c>
      <c r="ET40" s="404">
        <v>0.16443012288151518</v>
      </c>
      <c r="EU40" s="411">
        <v>1.1773251437994785</v>
      </c>
      <c r="EV40" s="412" t="s">
        <v>510</v>
      </c>
      <c r="EW40" s="412" t="s">
        <v>28</v>
      </c>
      <c r="EX40" s="381"/>
      <c r="EY40" s="419">
        <v>0.29612254820297113</v>
      </c>
      <c r="EZ40" s="419">
        <v>0.92839176252238564</v>
      </c>
      <c r="FA40" s="419">
        <v>1.0501364471463337</v>
      </c>
      <c r="FB40" s="419">
        <v>1.0188657686703242</v>
      </c>
      <c r="FC40" s="419">
        <v>1.0285892455503636</v>
      </c>
      <c r="FD40" s="419">
        <v>0.97961313753388124</v>
      </c>
      <c r="FE40" s="419">
        <v>0.70997771394251674</v>
      </c>
      <c r="FF40" s="419">
        <v>1.0693349440013054</v>
      </c>
      <c r="FG40" s="419">
        <v>0.79027836392504991</v>
      </c>
      <c r="FH40" s="419">
        <v>0.57925472493295249</v>
      </c>
      <c r="FI40" s="419">
        <v>1.1773251437994785</v>
      </c>
      <c r="FJ40" s="419"/>
      <c r="FK40" s="407">
        <v>0.75821691929056334</v>
      </c>
      <c r="FL40" s="407">
        <v>1.0090227172515231</v>
      </c>
      <c r="FM40" s="419">
        <v>0.8565303406229573</v>
      </c>
      <c r="FN40" s="419">
        <v>0.8782899343662155</v>
      </c>
      <c r="FO40" s="407">
        <v>0.87526270911159676</v>
      </c>
    </row>
    <row r="41" spans="1:171" hidden="1" outlineLevel="1" x14ac:dyDescent="0.25">
      <c r="A41" s="390" t="s">
        <v>446</v>
      </c>
      <c r="B41" s="390" t="s">
        <v>241</v>
      </c>
      <c r="C41" s="390" t="s">
        <v>242</v>
      </c>
      <c r="D41" s="391" t="s">
        <v>241</v>
      </c>
      <c r="E41" s="390" t="s">
        <v>36</v>
      </c>
      <c r="F41" s="391" t="s">
        <v>154</v>
      </c>
      <c r="G41" s="392">
        <v>1</v>
      </c>
      <c r="H41" s="393">
        <v>36982</v>
      </c>
      <c r="I41" s="393">
        <v>43073</v>
      </c>
      <c r="J41" s="394">
        <v>260</v>
      </c>
      <c r="K41" s="391">
        <v>601</v>
      </c>
      <c r="L41" s="390" t="s">
        <v>243</v>
      </c>
      <c r="M41" s="392" t="s">
        <v>355</v>
      </c>
      <c r="N41" s="395">
        <v>5</v>
      </c>
      <c r="O41" s="395">
        <v>1</v>
      </c>
      <c r="P41" s="395">
        <v>4</v>
      </c>
      <c r="Q41" s="389">
        <v>0</v>
      </c>
      <c r="R41" s="389">
        <v>0</v>
      </c>
      <c r="S41" s="389">
        <v>293113.59399999975</v>
      </c>
      <c r="T41" s="389">
        <v>232735.07158032496</v>
      </c>
      <c r="U41" s="389">
        <v>84078.06613931997</v>
      </c>
      <c r="V41" s="389">
        <v>51747.493260470008</v>
      </c>
      <c r="W41" s="389">
        <v>0</v>
      </c>
      <c r="X41" s="389">
        <v>0</v>
      </c>
      <c r="Y41" s="389">
        <v>318982.84399999975</v>
      </c>
      <c r="Z41" s="389">
        <v>233135.07158032496</v>
      </c>
      <c r="AA41" s="389"/>
      <c r="AB41" s="389"/>
      <c r="AC41" s="389">
        <v>25869.25</v>
      </c>
      <c r="AD41" s="389">
        <v>400</v>
      </c>
      <c r="AE41" s="389">
        <v>3093.8194444444443</v>
      </c>
      <c r="AF41" s="389">
        <v>485.09635416666669</v>
      </c>
      <c r="AG41" s="389">
        <v>4200</v>
      </c>
      <c r="AH41" s="396">
        <v>8</v>
      </c>
      <c r="AI41" s="389">
        <v>1566.4231770833335</v>
      </c>
      <c r="AJ41" s="397">
        <v>0.02</v>
      </c>
      <c r="AK41" s="397">
        <v>0.1</v>
      </c>
      <c r="AL41" s="389">
        <v>291198.57227927871</v>
      </c>
      <c r="AM41" s="389">
        <v>196540.96118993865</v>
      </c>
      <c r="AN41" s="398">
        <v>-1915.0217207210371</v>
      </c>
      <c r="AO41" s="398">
        <v>-36194.110390386311</v>
      </c>
      <c r="AP41" s="398">
        <v>0</v>
      </c>
      <c r="AQ41" s="398">
        <v>50265.096370549996</v>
      </c>
      <c r="AR41" s="398">
        <v>0</v>
      </c>
      <c r="AS41" s="398">
        <v>80</v>
      </c>
      <c r="AT41" s="398">
        <v>97.3</v>
      </c>
      <c r="AU41" s="399">
        <v>102.5</v>
      </c>
      <c r="AV41" s="399">
        <v>4</v>
      </c>
      <c r="AW41" s="399">
        <v>6</v>
      </c>
      <c r="AX41" s="399">
        <v>29320</v>
      </c>
      <c r="AY41" s="399">
        <v>610</v>
      </c>
      <c r="AZ41" s="399">
        <v>0</v>
      </c>
      <c r="BA41" s="399">
        <v>0</v>
      </c>
      <c r="BB41" s="399">
        <v>0.5</v>
      </c>
      <c r="BC41" s="399">
        <v>2050</v>
      </c>
      <c r="BD41" s="399">
        <v>32</v>
      </c>
      <c r="BE41" s="399">
        <v>12</v>
      </c>
      <c r="BF41" s="399">
        <v>29.32</v>
      </c>
      <c r="BG41" s="399">
        <v>61</v>
      </c>
      <c r="BH41" s="399">
        <v>0</v>
      </c>
      <c r="BI41" s="399">
        <v>0</v>
      </c>
      <c r="BJ41" s="399">
        <v>0.05</v>
      </c>
      <c r="BK41" s="398">
        <v>2184.3700000000003</v>
      </c>
      <c r="BL41" s="389">
        <v>23</v>
      </c>
      <c r="BM41" s="389">
        <v>0</v>
      </c>
      <c r="BN41" s="395">
        <v>7</v>
      </c>
      <c r="BO41" s="395">
        <v>2</v>
      </c>
      <c r="BP41" s="395">
        <v>0</v>
      </c>
      <c r="BQ41" s="389">
        <v>2</v>
      </c>
      <c r="BR41" s="389">
        <v>0</v>
      </c>
      <c r="BS41" s="389">
        <v>80</v>
      </c>
      <c r="BT41" s="389">
        <v>0</v>
      </c>
      <c r="BU41" s="389">
        <v>0</v>
      </c>
      <c r="BV41" s="389">
        <v>0</v>
      </c>
      <c r="BW41" s="389">
        <v>0</v>
      </c>
      <c r="BX41" s="389">
        <v>1</v>
      </c>
      <c r="BY41" s="389">
        <v>40</v>
      </c>
      <c r="BZ41" s="389">
        <v>0</v>
      </c>
      <c r="CA41" s="400">
        <v>0</v>
      </c>
      <c r="CB41" s="400">
        <v>0</v>
      </c>
      <c r="CC41" s="400">
        <v>0</v>
      </c>
      <c r="CD41" s="389">
        <v>230</v>
      </c>
      <c r="CE41" s="389">
        <v>0</v>
      </c>
      <c r="CF41" s="389">
        <v>70</v>
      </c>
      <c r="CG41" s="389">
        <v>20</v>
      </c>
      <c r="CH41" s="389">
        <v>0</v>
      </c>
      <c r="CI41" s="389">
        <v>20</v>
      </c>
      <c r="CJ41" s="389">
        <v>24</v>
      </c>
      <c r="CK41" s="389">
        <v>0</v>
      </c>
      <c r="CL41" s="389">
        <v>0</v>
      </c>
      <c r="CM41" s="389">
        <v>20</v>
      </c>
      <c r="CN41" s="389">
        <v>160</v>
      </c>
      <c r="CO41" s="389">
        <v>0</v>
      </c>
      <c r="CP41" s="389">
        <v>0</v>
      </c>
      <c r="CQ41" s="389">
        <v>0</v>
      </c>
      <c r="CR41" s="389">
        <v>0</v>
      </c>
      <c r="CS41" s="389">
        <v>544</v>
      </c>
      <c r="CT41" s="389">
        <v>2</v>
      </c>
      <c r="CU41" s="389">
        <v>0</v>
      </c>
      <c r="CV41" s="389">
        <v>3</v>
      </c>
      <c r="CW41" s="389">
        <v>5</v>
      </c>
      <c r="CX41" s="401">
        <v>57.67451509</v>
      </c>
      <c r="CY41" s="396">
        <v>214.87408042000001</v>
      </c>
      <c r="CZ41" s="396">
        <v>16729.754561260001</v>
      </c>
      <c r="DA41" s="402">
        <v>1.2843827423360404E-2</v>
      </c>
      <c r="DB41" s="389">
        <v>0</v>
      </c>
      <c r="DC41" s="396">
        <v>0</v>
      </c>
      <c r="DD41" s="403">
        <v>0</v>
      </c>
      <c r="DE41" s="402">
        <v>0</v>
      </c>
      <c r="DF41" s="402">
        <v>0</v>
      </c>
      <c r="DG41" s="402">
        <v>2.5858005431976836E-2</v>
      </c>
      <c r="DH41" s="402">
        <v>0.20057870805306074</v>
      </c>
      <c r="DI41" s="402">
        <v>0.64961190476190489</v>
      </c>
      <c r="DJ41" s="402"/>
      <c r="DK41" s="402"/>
      <c r="DL41" s="404"/>
      <c r="DM41" s="404"/>
      <c r="DN41" s="402">
        <v>0.625</v>
      </c>
      <c r="DO41" s="402">
        <v>3.6819242675781558E-2</v>
      </c>
      <c r="DP41" s="402">
        <v>1</v>
      </c>
      <c r="DQ41" s="402">
        <v>1</v>
      </c>
      <c r="DR41" s="405">
        <v>0</v>
      </c>
      <c r="DS41" s="405">
        <v>0</v>
      </c>
      <c r="DT41" s="402">
        <v>3.8787008147965251E-3</v>
      </c>
      <c r="DU41" s="402">
        <v>3.0086806207959109E-2</v>
      </c>
      <c r="DV41" s="402">
        <v>6.4961190476190492E-2</v>
      </c>
      <c r="DW41" s="402">
        <v>9.8926697498946128E-2</v>
      </c>
      <c r="DX41" s="402">
        <v>6.25E-2</v>
      </c>
      <c r="DY41" s="402">
        <v>7.3638485351563117E-3</v>
      </c>
      <c r="DZ41" s="406">
        <v>0.05</v>
      </c>
      <c r="EA41" s="406">
        <v>0.05</v>
      </c>
      <c r="EB41" s="406">
        <v>0.16986384853515632</v>
      </c>
      <c r="EC41" s="407">
        <v>0.26879054603410246</v>
      </c>
      <c r="ED41" s="408" t="s">
        <v>157</v>
      </c>
      <c r="EE41" s="408" t="s">
        <v>156</v>
      </c>
      <c r="EG41" s="389">
        <v>291213.77452168002</v>
      </c>
      <c r="EH41" s="389">
        <v>290882.66132910998</v>
      </c>
      <c r="EI41" s="389">
        <v>293222.02788496006</v>
      </c>
      <c r="EJ41" s="389">
        <v>205142.84088</v>
      </c>
      <c r="EK41" s="389">
        <v>190521.72217173994</v>
      </c>
      <c r="EL41" s="389">
        <v>189980.53417021991</v>
      </c>
      <c r="EN41" s="389">
        <v>4</v>
      </c>
      <c r="EO41" s="409">
        <v>487739.53346921736</v>
      </c>
      <c r="EP41" s="409">
        <v>498265.77795137477</v>
      </c>
      <c r="EQ41" s="410">
        <v>-2631.5611205393507</v>
      </c>
      <c r="ER41" s="404">
        <v>0</v>
      </c>
      <c r="ES41" s="404">
        <v>1.2005787080530608</v>
      </c>
      <c r="ET41" s="404">
        <v>0.18008680620795911</v>
      </c>
      <c r="EU41" s="411">
        <v>0.41879054603410248</v>
      </c>
      <c r="EV41" s="412" t="s">
        <v>157</v>
      </c>
      <c r="EW41" s="412" t="s">
        <v>156</v>
      </c>
      <c r="EX41" s="381"/>
      <c r="EY41" s="419">
        <v>0.65550106358005067</v>
      </c>
      <c r="EZ41" s="419">
        <v>0.41245499146662767</v>
      </c>
      <c r="FA41" s="419">
        <v>0.47969160922154691</v>
      </c>
      <c r="FB41" s="419">
        <v>0.23371412894269758</v>
      </c>
      <c r="FC41" s="419">
        <v>0.29327628746024859</v>
      </c>
      <c r="FD41" s="419">
        <v>0.42108323339273962</v>
      </c>
      <c r="FE41" s="419">
        <v>0.49531827731967421</v>
      </c>
      <c r="FF41" s="419">
        <v>0.62449257017593873</v>
      </c>
      <c r="FG41" s="419">
        <v>0.28110130054145149</v>
      </c>
      <c r="FH41" s="419">
        <v>0.43644034996399772</v>
      </c>
      <c r="FI41" s="419">
        <v>0.41879054603410248</v>
      </c>
      <c r="FJ41" s="419"/>
      <c r="FK41" s="407">
        <v>0.51588255475607514</v>
      </c>
      <c r="FL41" s="407">
        <v>0.31602454993189527</v>
      </c>
      <c r="FM41" s="419">
        <v>0.46697071601235485</v>
      </c>
      <c r="FN41" s="419">
        <v>0.4276154479990501</v>
      </c>
      <c r="FO41" s="407">
        <v>0.43198766891809781</v>
      </c>
    </row>
    <row r="42" spans="1:171" hidden="1" outlineLevel="1" x14ac:dyDescent="0.25">
      <c r="A42" s="390" t="s">
        <v>446</v>
      </c>
      <c r="B42" s="390" t="s">
        <v>234</v>
      </c>
      <c r="C42" s="390" t="s">
        <v>235</v>
      </c>
      <c r="D42" s="391" t="s">
        <v>234</v>
      </c>
      <c r="E42" s="390" t="s">
        <v>36</v>
      </c>
      <c r="F42" s="391" t="s">
        <v>154</v>
      </c>
      <c r="G42" s="392">
        <v>1</v>
      </c>
      <c r="H42" s="393">
        <v>36323</v>
      </c>
      <c r="I42" s="393">
        <v>44287</v>
      </c>
      <c r="J42" s="394">
        <v>282</v>
      </c>
      <c r="K42" s="391">
        <v>602</v>
      </c>
      <c r="L42" s="390" t="s">
        <v>250</v>
      </c>
      <c r="M42" s="392" t="s">
        <v>355</v>
      </c>
      <c r="N42" s="395">
        <v>9</v>
      </c>
      <c r="O42" s="395">
        <v>1</v>
      </c>
      <c r="P42" s="395">
        <v>7</v>
      </c>
      <c r="Q42" s="389">
        <v>0</v>
      </c>
      <c r="R42" s="389">
        <v>0</v>
      </c>
      <c r="S42" s="389">
        <v>546182.83749999979</v>
      </c>
      <c r="T42" s="389">
        <v>258912.42099999997</v>
      </c>
      <c r="U42" s="389">
        <v>77304.244798150001</v>
      </c>
      <c r="V42" s="389">
        <v>32707.155174879998</v>
      </c>
      <c r="W42" s="389">
        <v>0</v>
      </c>
      <c r="X42" s="389">
        <v>0</v>
      </c>
      <c r="Y42" s="389">
        <v>584575.58749999979</v>
      </c>
      <c r="Z42" s="389">
        <v>259512.42099999997</v>
      </c>
      <c r="AA42" s="389"/>
      <c r="AB42" s="389"/>
      <c r="AC42" s="389">
        <v>38392.75</v>
      </c>
      <c r="AD42" s="389">
        <v>600</v>
      </c>
      <c r="AE42" s="389">
        <v>2766.7881944444443</v>
      </c>
      <c r="AF42" s="389">
        <v>987.517578125</v>
      </c>
      <c r="AG42" s="389">
        <v>5100</v>
      </c>
      <c r="AH42" s="396">
        <v>13.600000000000001</v>
      </c>
      <c r="AI42" s="389">
        <v>2186.6925520833338</v>
      </c>
      <c r="AJ42" s="397">
        <v>0.02</v>
      </c>
      <c r="AK42" s="397">
        <v>0.1</v>
      </c>
      <c r="AL42" s="389">
        <v>561299.11578079069</v>
      </c>
      <c r="AM42" s="389">
        <v>247305.36112310237</v>
      </c>
      <c r="AN42" s="398">
        <v>15116.278280790895</v>
      </c>
      <c r="AO42" s="398">
        <v>-11607.059876897605</v>
      </c>
      <c r="AP42" s="398">
        <v>0</v>
      </c>
      <c r="AQ42" s="398">
        <v>66959.464821969988</v>
      </c>
      <c r="AR42" s="398">
        <v>0</v>
      </c>
      <c r="AS42" s="398">
        <v>300</v>
      </c>
      <c r="AT42" s="398">
        <v>125</v>
      </c>
      <c r="AU42" s="399">
        <v>72</v>
      </c>
      <c r="AV42" s="399">
        <v>99.1</v>
      </c>
      <c r="AW42" s="399">
        <v>10.8</v>
      </c>
      <c r="AX42" s="399">
        <v>26900</v>
      </c>
      <c r="AY42" s="399">
        <v>550</v>
      </c>
      <c r="AZ42" s="399">
        <v>0</v>
      </c>
      <c r="BA42" s="399">
        <v>0</v>
      </c>
      <c r="BB42" s="399">
        <v>0.1</v>
      </c>
      <c r="BC42" s="399">
        <v>1440</v>
      </c>
      <c r="BD42" s="399">
        <v>792.8</v>
      </c>
      <c r="BE42" s="399">
        <v>21.6</v>
      </c>
      <c r="BF42" s="399">
        <v>26.9</v>
      </c>
      <c r="BG42" s="399">
        <v>55</v>
      </c>
      <c r="BH42" s="399">
        <v>0</v>
      </c>
      <c r="BI42" s="399">
        <v>0</v>
      </c>
      <c r="BJ42" s="399">
        <v>0.01</v>
      </c>
      <c r="BK42" s="398">
        <v>2336.3100000000004</v>
      </c>
      <c r="BL42" s="389">
        <v>49</v>
      </c>
      <c r="BM42" s="389">
        <v>15</v>
      </c>
      <c r="BN42" s="395">
        <v>78</v>
      </c>
      <c r="BO42" s="395">
        <v>0</v>
      </c>
      <c r="BP42" s="395">
        <v>0</v>
      </c>
      <c r="BQ42" s="389">
        <v>5</v>
      </c>
      <c r="BR42" s="389">
        <v>0</v>
      </c>
      <c r="BS42" s="389">
        <v>300</v>
      </c>
      <c r="BT42" s="389">
        <v>0</v>
      </c>
      <c r="BU42" s="389">
        <v>0</v>
      </c>
      <c r="BV42" s="389">
        <v>0</v>
      </c>
      <c r="BW42" s="389">
        <v>0</v>
      </c>
      <c r="BX42" s="389">
        <v>1</v>
      </c>
      <c r="BY42" s="389">
        <v>118</v>
      </c>
      <c r="BZ42" s="389">
        <v>2</v>
      </c>
      <c r="CA42" s="400">
        <v>2</v>
      </c>
      <c r="CB42" s="400">
        <v>0</v>
      </c>
      <c r="CC42" s="400">
        <v>0</v>
      </c>
      <c r="CD42" s="389">
        <v>490</v>
      </c>
      <c r="CE42" s="389">
        <v>30</v>
      </c>
      <c r="CF42" s="389">
        <v>780</v>
      </c>
      <c r="CG42" s="389">
        <v>0</v>
      </c>
      <c r="CH42" s="389">
        <v>0</v>
      </c>
      <c r="CI42" s="389">
        <v>50</v>
      </c>
      <c r="CJ42" s="389">
        <v>90</v>
      </c>
      <c r="CK42" s="389">
        <v>0</v>
      </c>
      <c r="CL42" s="389">
        <v>0</v>
      </c>
      <c r="CM42" s="389">
        <v>20</v>
      </c>
      <c r="CN42" s="389">
        <v>472</v>
      </c>
      <c r="CO42" s="389">
        <v>40</v>
      </c>
      <c r="CP42" s="389">
        <v>8</v>
      </c>
      <c r="CQ42" s="389">
        <v>0</v>
      </c>
      <c r="CR42" s="389">
        <v>0</v>
      </c>
      <c r="CS42" s="389">
        <v>1980</v>
      </c>
      <c r="CT42" s="389">
        <v>4</v>
      </c>
      <c r="CU42" s="389">
        <v>0</v>
      </c>
      <c r="CV42" s="389">
        <v>5</v>
      </c>
      <c r="CW42" s="389">
        <v>9</v>
      </c>
      <c r="CX42" s="401">
        <v>80.731487949999973</v>
      </c>
      <c r="CY42" s="396">
        <v>0</v>
      </c>
      <c r="CZ42" s="396">
        <v>64855.167978900012</v>
      </c>
      <c r="DA42" s="402">
        <v>0</v>
      </c>
      <c r="DB42" s="389">
        <v>0</v>
      </c>
      <c r="DC42" s="396">
        <v>0</v>
      </c>
      <c r="DD42" s="403">
        <v>0</v>
      </c>
      <c r="DE42" s="402">
        <v>0.39372741678548412</v>
      </c>
      <c r="DF42" s="402">
        <v>0</v>
      </c>
      <c r="DG42" s="402">
        <v>0.10842897212095352</v>
      </c>
      <c r="DH42" s="402">
        <v>0.12658002527644879</v>
      </c>
      <c r="DI42" s="402">
        <v>0.84633529411764719</v>
      </c>
      <c r="DJ42" s="402"/>
      <c r="DK42" s="402"/>
      <c r="DL42" s="404"/>
      <c r="DM42" s="404"/>
      <c r="DN42" s="402">
        <v>0.66176470588235292</v>
      </c>
      <c r="DO42" s="402">
        <v>3.6919450735351175E-2</v>
      </c>
      <c r="DP42" s="402">
        <v>1</v>
      </c>
      <c r="DQ42" s="402">
        <v>1</v>
      </c>
      <c r="DR42" s="405">
        <v>5.9059112517822615E-2</v>
      </c>
      <c r="DS42" s="405">
        <v>0</v>
      </c>
      <c r="DT42" s="402">
        <v>1.6264345818143029E-2</v>
      </c>
      <c r="DU42" s="402">
        <v>1.8987003791467318E-2</v>
      </c>
      <c r="DV42" s="402">
        <v>8.4633529411764719E-2</v>
      </c>
      <c r="DW42" s="402">
        <v>0.17894399153919768</v>
      </c>
      <c r="DX42" s="402">
        <v>6.6176470588235295E-2</v>
      </c>
      <c r="DY42" s="402">
        <v>7.3838901470702351E-3</v>
      </c>
      <c r="DZ42" s="406">
        <v>0.05</v>
      </c>
      <c r="EA42" s="406">
        <v>0.05</v>
      </c>
      <c r="EB42" s="406">
        <v>0.17356036073530554</v>
      </c>
      <c r="EC42" s="407">
        <v>0.35250435227450322</v>
      </c>
      <c r="ED42" s="408" t="s">
        <v>157</v>
      </c>
      <c r="EE42" s="408" t="s">
        <v>156</v>
      </c>
      <c r="EG42" s="389">
        <v>568265.3248841106</v>
      </c>
      <c r="EH42" s="389">
        <v>557788.59239605069</v>
      </c>
      <c r="EI42" s="389">
        <v>559445.71253442054</v>
      </c>
      <c r="EJ42" s="389">
        <v>245008.41040000005</v>
      </c>
      <c r="EK42" s="389">
        <v>249088.48573105995</v>
      </c>
      <c r="EL42" s="389">
        <v>247614.99954930996</v>
      </c>
      <c r="EN42" s="389">
        <v>6</v>
      </c>
      <c r="EO42" s="409">
        <v>808604.47690389305</v>
      </c>
      <c r="EP42" s="409">
        <v>817727.146775692</v>
      </c>
      <c r="EQ42" s="410">
        <v>-1520.4449786331581</v>
      </c>
      <c r="ER42" s="404">
        <v>0</v>
      </c>
      <c r="ES42" s="404">
        <v>1.1265800252764488</v>
      </c>
      <c r="ET42" s="404">
        <v>0.16898700379146733</v>
      </c>
      <c r="EU42" s="411">
        <v>0.50250435227450319</v>
      </c>
      <c r="EV42" s="412" t="s">
        <v>157</v>
      </c>
      <c r="EW42" s="412" t="s">
        <v>156</v>
      </c>
      <c r="EX42" s="381"/>
      <c r="EY42" s="419">
        <v>0.73820676856152423</v>
      </c>
      <c r="EZ42" s="419">
        <v>0.77395706154686983</v>
      </c>
      <c r="FA42" s="419">
        <v>0.86936098360071323</v>
      </c>
      <c r="FB42" s="419">
        <v>0.59119606583576023</v>
      </c>
      <c r="FC42" s="419">
        <v>0.57979210985708263</v>
      </c>
      <c r="FD42" s="419">
        <v>0.68313323052313624</v>
      </c>
      <c r="FE42" s="419">
        <v>0.55560435099062699</v>
      </c>
      <c r="FF42" s="419">
        <v>0.89795427609116985</v>
      </c>
      <c r="FG42" s="419">
        <v>0.45105698074143347</v>
      </c>
      <c r="FH42" s="419">
        <v>0.70803546088089853</v>
      </c>
      <c r="FI42" s="419">
        <v>0.50250435227450319</v>
      </c>
      <c r="FJ42" s="419"/>
      <c r="FK42" s="407">
        <v>0.79384160456970243</v>
      </c>
      <c r="FL42" s="407">
        <v>0.6180404687386597</v>
      </c>
      <c r="FM42" s="419">
        <v>0.63487186927441008</v>
      </c>
      <c r="FN42" s="419">
        <v>0.60526990657770086</v>
      </c>
      <c r="FO42" s="407">
        <v>0.66825469462761078</v>
      </c>
    </row>
    <row r="43" spans="1:171" hidden="1" outlineLevel="1" x14ac:dyDescent="0.25">
      <c r="A43" s="390" t="s">
        <v>447</v>
      </c>
      <c r="B43" s="390" t="s">
        <v>244</v>
      </c>
      <c r="C43" s="390" t="s">
        <v>245</v>
      </c>
      <c r="D43" s="391" t="s">
        <v>244</v>
      </c>
      <c r="E43" s="390" t="s">
        <v>36</v>
      </c>
      <c r="F43" s="391" t="s">
        <v>154</v>
      </c>
      <c r="G43" s="392">
        <v>1</v>
      </c>
      <c r="H43" s="393">
        <v>39114</v>
      </c>
      <c r="I43" s="393">
        <v>43405</v>
      </c>
      <c r="J43" s="394">
        <v>190</v>
      </c>
      <c r="K43" s="391">
        <v>611</v>
      </c>
      <c r="L43" s="390" t="s">
        <v>246</v>
      </c>
      <c r="M43" s="392" t="s">
        <v>355</v>
      </c>
      <c r="N43" s="395">
        <v>4</v>
      </c>
      <c r="O43" s="395">
        <v>1</v>
      </c>
      <c r="P43" s="395">
        <v>5</v>
      </c>
      <c r="Q43" s="389">
        <v>0</v>
      </c>
      <c r="R43" s="389">
        <v>0</v>
      </c>
      <c r="S43" s="389">
        <v>234047.3365</v>
      </c>
      <c r="T43" s="389">
        <v>228669.0385</v>
      </c>
      <c r="U43" s="389">
        <v>80965.842286519983</v>
      </c>
      <c r="V43" s="389">
        <v>26702.340775290002</v>
      </c>
      <c r="W43" s="389">
        <v>0</v>
      </c>
      <c r="X43" s="389">
        <v>0</v>
      </c>
      <c r="Y43" s="389">
        <v>253338.5865</v>
      </c>
      <c r="Z43" s="389">
        <v>229069.0385</v>
      </c>
      <c r="AA43" s="389"/>
      <c r="AB43" s="389"/>
      <c r="AC43" s="389">
        <v>19291.25</v>
      </c>
      <c r="AD43" s="389">
        <v>400</v>
      </c>
      <c r="AE43" s="389">
        <v>2766.7881944444443</v>
      </c>
      <c r="AF43" s="389">
        <v>485.09635416666669</v>
      </c>
      <c r="AG43" s="389">
        <v>2400</v>
      </c>
      <c r="AH43" s="396">
        <v>8</v>
      </c>
      <c r="AI43" s="389">
        <v>1236.4198958333336</v>
      </c>
      <c r="AJ43" s="397">
        <v>0.02</v>
      </c>
      <c r="AK43" s="397">
        <v>0.1</v>
      </c>
      <c r="AL43" s="389">
        <v>250948.93716165089</v>
      </c>
      <c r="AM43" s="389">
        <v>169773.7854642327</v>
      </c>
      <c r="AN43" s="398">
        <v>16901.600661650882</v>
      </c>
      <c r="AO43" s="398">
        <v>-58895.253035767295</v>
      </c>
      <c r="AP43" s="398">
        <v>0</v>
      </c>
      <c r="AQ43" s="398">
        <v>22850.794079949996</v>
      </c>
      <c r="AR43" s="398">
        <v>0</v>
      </c>
      <c r="AS43" s="398">
        <v>0</v>
      </c>
      <c r="AT43" s="398">
        <v>40</v>
      </c>
      <c r="AU43" s="399">
        <v>191</v>
      </c>
      <c r="AV43" s="399">
        <v>39</v>
      </c>
      <c r="AW43" s="399">
        <v>0</v>
      </c>
      <c r="AX43" s="399">
        <v>0</v>
      </c>
      <c r="AY43" s="399">
        <v>0</v>
      </c>
      <c r="AZ43" s="399">
        <v>0</v>
      </c>
      <c r="BA43" s="399">
        <v>0</v>
      </c>
      <c r="BB43" s="399">
        <v>1</v>
      </c>
      <c r="BC43" s="399">
        <v>3820</v>
      </c>
      <c r="BD43" s="399">
        <v>312</v>
      </c>
      <c r="BE43" s="399">
        <v>0</v>
      </c>
      <c r="BF43" s="399">
        <v>0</v>
      </c>
      <c r="BG43" s="399">
        <v>0</v>
      </c>
      <c r="BH43" s="399">
        <v>0</v>
      </c>
      <c r="BI43" s="399">
        <v>0</v>
      </c>
      <c r="BJ43" s="399">
        <v>0.1</v>
      </c>
      <c r="BK43" s="398">
        <v>4132.1000000000004</v>
      </c>
      <c r="BL43" s="389">
        <v>12</v>
      </c>
      <c r="BM43" s="389">
        <v>0</v>
      </c>
      <c r="BN43" s="395">
        <v>6</v>
      </c>
      <c r="BO43" s="395">
        <v>2</v>
      </c>
      <c r="BP43" s="395">
        <v>0</v>
      </c>
      <c r="BQ43" s="389">
        <v>0</v>
      </c>
      <c r="BR43" s="389">
        <v>0</v>
      </c>
      <c r="BS43" s="389">
        <v>0</v>
      </c>
      <c r="BT43" s="389">
        <v>0</v>
      </c>
      <c r="BU43" s="389">
        <v>0</v>
      </c>
      <c r="BV43" s="389">
        <v>0</v>
      </c>
      <c r="BW43" s="389">
        <v>0</v>
      </c>
      <c r="BX43" s="389">
        <v>0</v>
      </c>
      <c r="BY43" s="389">
        <v>33</v>
      </c>
      <c r="BZ43" s="389">
        <v>1</v>
      </c>
      <c r="CA43" s="400">
        <v>0</v>
      </c>
      <c r="CB43" s="400">
        <v>0</v>
      </c>
      <c r="CC43" s="400">
        <v>0</v>
      </c>
      <c r="CD43" s="389">
        <v>120</v>
      </c>
      <c r="CE43" s="389">
        <v>0</v>
      </c>
      <c r="CF43" s="389">
        <v>60</v>
      </c>
      <c r="CG43" s="389">
        <v>20</v>
      </c>
      <c r="CH43" s="389">
        <v>0</v>
      </c>
      <c r="CI43" s="389">
        <v>0</v>
      </c>
      <c r="CJ43" s="389">
        <v>0</v>
      </c>
      <c r="CK43" s="389">
        <v>0</v>
      </c>
      <c r="CL43" s="389">
        <v>0</v>
      </c>
      <c r="CM43" s="389">
        <v>0</v>
      </c>
      <c r="CN43" s="389">
        <v>132</v>
      </c>
      <c r="CO43" s="389">
        <v>20</v>
      </c>
      <c r="CP43" s="389">
        <v>0</v>
      </c>
      <c r="CQ43" s="389">
        <v>0</v>
      </c>
      <c r="CR43" s="389">
        <v>0</v>
      </c>
      <c r="CS43" s="389">
        <v>352</v>
      </c>
      <c r="CT43" s="389">
        <v>2</v>
      </c>
      <c r="CU43" s="389">
        <v>0</v>
      </c>
      <c r="CV43" s="389">
        <v>4</v>
      </c>
      <c r="CW43" s="389">
        <v>6</v>
      </c>
      <c r="CX43" s="401">
        <v>860.85092951523791</v>
      </c>
      <c r="CY43" s="396">
        <v>0</v>
      </c>
      <c r="CZ43" s="396">
        <v>5755.3205441999999</v>
      </c>
      <c r="DA43" s="402">
        <v>0</v>
      </c>
      <c r="DB43" s="389">
        <v>55.896877600000003</v>
      </c>
      <c r="DC43" s="396">
        <v>55.896877600000003</v>
      </c>
      <c r="DD43" s="403">
        <v>1</v>
      </c>
      <c r="DE43" s="402">
        <v>0.87612781243573545</v>
      </c>
      <c r="DF43" s="402">
        <v>0</v>
      </c>
      <c r="DG43" s="402">
        <v>0</v>
      </c>
      <c r="DH43" s="402">
        <v>8.2457845037229499E-2</v>
      </c>
      <c r="DI43" s="402">
        <v>1.8683750000000001</v>
      </c>
      <c r="DJ43" s="402"/>
      <c r="DK43" s="402"/>
      <c r="DL43" s="404"/>
      <c r="DM43" s="404"/>
      <c r="DN43" s="402">
        <v>0.75</v>
      </c>
      <c r="DO43" s="402">
        <v>0.69624480519624254</v>
      </c>
      <c r="DP43" s="402">
        <v>1</v>
      </c>
      <c r="DQ43" s="402">
        <v>0.1</v>
      </c>
      <c r="DR43" s="405">
        <v>0.13141917186536031</v>
      </c>
      <c r="DS43" s="405">
        <v>0</v>
      </c>
      <c r="DT43" s="402">
        <v>0</v>
      </c>
      <c r="DU43" s="402">
        <v>1.2368676755584425E-2</v>
      </c>
      <c r="DV43" s="402">
        <v>0.18683750000000002</v>
      </c>
      <c r="DW43" s="402">
        <v>0.33062534862094473</v>
      </c>
      <c r="DX43" s="402">
        <v>7.5000000000000011E-2</v>
      </c>
      <c r="DY43" s="402">
        <v>0.13924896103924853</v>
      </c>
      <c r="DZ43" s="406">
        <v>0.05</v>
      </c>
      <c r="EA43" s="406">
        <v>5.000000000000001E-3</v>
      </c>
      <c r="EB43" s="406">
        <v>0.26924896103924856</v>
      </c>
      <c r="EC43" s="407">
        <v>0.59987430966019328</v>
      </c>
      <c r="ED43" s="408" t="s">
        <v>157</v>
      </c>
      <c r="EE43" s="408" t="s">
        <v>156</v>
      </c>
      <c r="EG43" s="389">
        <v>263618.75301969022</v>
      </c>
      <c r="EH43" s="389">
        <v>237431.58449756008</v>
      </c>
      <c r="EI43" s="389">
        <v>238767.79428831031</v>
      </c>
      <c r="EJ43" s="389">
        <v>170597.66350999998</v>
      </c>
      <c r="EK43" s="389">
        <v>169461.77204828997</v>
      </c>
      <c r="EL43" s="389">
        <v>168556.60704828997</v>
      </c>
      <c r="EN43" s="389">
        <v>4</v>
      </c>
      <c r="EO43" s="409">
        <v>420722.72262588359</v>
      </c>
      <c r="EP43" s="409">
        <v>432310.28864347533</v>
      </c>
      <c r="EQ43" s="410">
        <v>-2896.8915043979359</v>
      </c>
      <c r="ER43" s="404">
        <v>0</v>
      </c>
      <c r="ES43" s="404">
        <v>1.0824578450372295</v>
      </c>
      <c r="ET43" s="404">
        <v>0.16236867675558442</v>
      </c>
      <c r="EU43" s="411">
        <v>0.74987430966019331</v>
      </c>
      <c r="EV43" s="412" t="s">
        <v>509</v>
      </c>
      <c r="EW43" s="412" t="s">
        <v>25</v>
      </c>
      <c r="EX43" s="381"/>
      <c r="EY43" s="419">
        <v>0.38802119130320117</v>
      </c>
      <c r="EZ43" s="419">
        <v>0.20110545187618112</v>
      </c>
      <c r="FA43" s="419">
        <v>0.23633663117397546</v>
      </c>
      <c r="FB43" s="419">
        <v>0.34364422103480852</v>
      </c>
      <c r="FC43" s="419">
        <v>0.2136016462805842</v>
      </c>
      <c r="FD43" s="419">
        <v>0.48100436467554208</v>
      </c>
      <c r="FE43" s="419">
        <v>0.84136963290012856</v>
      </c>
      <c r="FF43" s="419">
        <v>1.0843441353468224</v>
      </c>
      <c r="FG43" s="419">
        <v>0.89547189965001239</v>
      </c>
      <c r="FH43" s="419">
        <v>0.94923541843281733</v>
      </c>
      <c r="FI43" s="419">
        <v>0.74987430966019331</v>
      </c>
      <c r="FJ43" s="419"/>
      <c r="FK43" s="407">
        <v>0.27515442478445257</v>
      </c>
      <c r="FL43" s="407">
        <v>0.34608341066364495</v>
      </c>
      <c r="FM43" s="419">
        <v>0.94039522263232111</v>
      </c>
      <c r="FN43" s="419">
        <v>0.84955486404650538</v>
      </c>
      <c r="FO43" s="407">
        <v>0.58036444566675149</v>
      </c>
    </row>
    <row r="44" spans="1:171" hidden="1" outlineLevel="1" x14ac:dyDescent="0.25">
      <c r="A44" s="390" t="s">
        <v>447</v>
      </c>
      <c r="B44" s="390" t="s">
        <v>247</v>
      </c>
      <c r="C44" s="390" t="s">
        <v>248</v>
      </c>
      <c r="D44" s="391" t="s">
        <v>247</v>
      </c>
      <c r="E44" s="390" t="s">
        <v>36</v>
      </c>
      <c r="F44" s="391" t="s">
        <v>154</v>
      </c>
      <c r="G44" s="392">
        <v>1</v>
      </c>
      <c r="H44" s="393">
        <v>37843</v>
      </c>
      <c r="I44" s="393">
        <v>43405</v>
      </c>
      <c r="J44" s="394">
        <v>232</v>
      </c>
      <c r="K44" s="391">
        <v>631</v>
      </c>
      <c r="L44" s="390" t="s">
        <v>249</v>
      </c>
      <c r="M44" s="392" t="s">
        <v>355</v>
      </c>
      <c r="N44" s="395">
        <v>5</v>
      </c>
      <c r="O44" s="395">
        <v>1</v>
      </c>
      <c r="P44" s="395">
        <v>6</v>
      </c>
      <c r="Q44" s="389">
        <v>0</v>
      </c>
      <c r="R44" s="389">
        <v>0</v>
      </c>
      <c r="S44" s="389">
        <v>294200.55200000003</v>
      </c>
      <c r="T44" s="389">
        <v>302790.57199999993</v>
      </c>
      <c r="U44" s="389">
        <v>158038.9929483101</v>
      </c>
      <c r="V44" s="389">
        <v>36764.649162880007</v>
      </c>
      <c r="W44" s="389">
        <v>0</v>
      </c>
      <c r="X44" s="389">
        <v>0</v>
      </c>
      <c r="Y44" s="389">
        <v>320196.30200000003</v>
      </c>
      <c r="Z44" s="389">
        <v>303190.57199999993</v>
      </c>
      <c r="AA44" s="389"/>
      <c r="AB44" s="389"/>
      <c r="AC44" s="389">
        <v>25995.75</v>
      </c>
      <c r="AD44" s="389">
        <v>400</v>
      </c>
      <c r="AE44" s="389">
        <v>2766.7881944444443</v>
      </c>
      <c r="AF44" s="389">
        <v>652.57009548611109</v>
      </c>
      <c r="AG44" s="389">
        <v>3000</v>
      </c>
      <c r="AH44" s="396">
        <v>9.6000000000000014</v>
      </c>
      <c r="AI44" s="389">
        <v>1566.8945833333335</v>
      </c>
      <c r="AJ44" s="397">
        <v>0.02</v>
      </c>
      <c r="AK44" s="397">
        <v>0.1</v>
      </c>
      <c r="AL44" s="389">
        <v>291882.08427170257</v>
      </c>
      <c r="AM44" s="389">
        <v>237650.55605678144</v>
      </c>
      <c r="AN44" s="398">
        <v>-2318.467728297459</v>
      </c>
      <c r="AO44" s="398">
        <v>-65140.015943218488</v>
      </c>
      <c r="AP44" s="398">
        <v>0</v>
      </c>
      <c r="AQ44" s="398">
        <v>41646.427641430011</v>
      </c>
      <c r="AR44" s="398">
        <v>0</v>
      </c>
      <c r="AS44" s="398">
        <v>32.5</v>
      </c>
      <c r="AT44" s="398">
        <v>175</v>
      </c>
      <c r="AU44" s="399">
        <v>0</v>
      </c>
      <c r="AV44" s="399">
        <v>0</v>
      </c>
      <c r="AW44" s="399">
        <v>7.6703760000000001</v>
      </c>
      <c r="AX44" s="399">
        <v>20666</v>
      </c>
      <c r="AY44" s="399">
        <v>2104</v>
      </c>
      <c r="AZ44" s="399">
        <v>0</v>
      </c>
      <c r="BA44" s="399">
        <v>0</v>
      </c>
      <c r="BB44" s="399">
        <v>0.5</v>
      </c>
      <c r="BC44" s="399">
        <v>0</v>
      </c>
      <c r="BD44" s="399">
        <v>0</v>
      </c>
      <c r="BE44" s="399">
        <v>15.340752</v>
      </c>
      <c r="BF44" s="399">
        <v>20.666000000000004</v>
      </c>
      <c r="BG44" s="399">
        <v>210.39999999999998</v>
      </c>
      <c r="BH44" s="399">
        <v>0</v>
      </c>
      <c r="BI44" s="399">
        <v>0</v>
      </c>
      <c r="BJ44" s="399">
        <v>0.05</v>
      </c>
      <c r="BK44" s="398">
        <v>246.45675199999999</v>
      </c>
      <c r="BL44" s="389">
        <v>17</v>
      </c>
      <c r="BM44" s="389">
        <v>0</v>
      </c>
      <c r="BN44" s="395">
        <v>23</v>
      </c>
      <c r="BO44" s="395">
        <v>8</v>
      </c>
      <c r="BP44" s="395">
        <v>0</v>
      </c>
      <c r="BQ44" s="389">
        <v>3</v>
      </c>
      <c r="BR44" s="389">
        <v>0</v>
      </c>
      <c r="BS44" s="389">
        <v>0</v>
      </c>
      <c r="BT44" s="389">
        <v>0</v>
      </c>
      <c r="BU44" s="389">
        <v>0</v>
      </c>
      <c r="BV44" s="389">
        <v>0</v>
      </c>
      <c r="BW44" s="389">
        <v>0</v>
      </c>
      <c r="BX44" s="389">
        <v>0</v>
      </c>
      <c r="BY44" s="389">
        <v>57</v>
      </c>
      <c r="BZ44" s="389">
        <v>1</v>
      </c>
      <c r="CA44" s="400">
        <v>1</v>
      </c>
      <c r="CB44" s="400">
        <v>0</v>
      </c>
      <c r="CC44" s="400">
        <v>0</v>
      </c>
      <c r="CD44" s="389">
        <v>170</v>
      </c>
      <c r="CE44" s="389">
        <v>0</v>
      </c>
      <c r="CF44" s="389">
        <v>230</v>
      </c>
      <c r="CG44" s="389">
        <v>80</v>
      </c>
      <c r="CH44" s="389">
        <v>0</v>
      </c>
      <c r="CI44" s="389">
        <v>30</v>
      </c>
      <c r="CJ44" s="389">
        <v>0</v>
      </c>
      <c r="CK44" s="389">
        <v>0</v>
      </c>
      <c r="CL44" s="389">
        <v>0</v>
      </c>
      <c r="CM44" s="389">
        <v>0</v>
      </c>
      <c r="CN44" s="389">
        <v>228</v>
      </c>
      <c r="CO44" s="389">
        <v>20</v>
      </c>
      <c r="CP44" s="389">
        <v>4</v>
      </c>
      <c r="CQ44" s="389">
        <v>0</v>
      </c>
      <c r="CR44" s="389">
        <v>0</v>
      </c>
      <c r="CS44" s="389">
        <v>762</v>
      </c>
      <c r="CT44" s="389">
        <v>0</v>
      </c>
      <c r="CU44" s="389">
        <v>0</v>
      </c>
      <c r="CV44" s="389">
        <v>6</v>
      </c>
      <c r="CW44" s="389">
        <v>6</v>
      </c>
      <c r="CX44" s="401">
        <v>365.49087893863179</v>
      </c>
      <c r="CY44" s="396">
        <v>31.950928280000003</v>
      </c>
      <c r="CZ44" s="396">
        <v>33142.349698080012</v>
      </c>
      <c r="DA44" s="402">
        <v>9.6405138956852452E-4</v>
      </c>
      <c r="DB44" s="389">
        <v>0</v>
      </c>
      <c r="DC44" s="396">
        <v>0</v>
      </c>
      <c r="DD44" s="403">
        <v>0</v>
      </c>
      <c r="DE44" s="402">
        <v>0</v>
      </c>
      <c r="DF44" s="402">
        <v>0</v>
      </c>
      <c r="DG44" s="402">
        <v>1.1746471979769966E-2</v>
      </c>
      <c r="DH44" s="402">
        <v>0.26817042523169771</v>
      </c>
      <c r="DI44" s="402">
        <v>0.33615225066666671</v>
      </c>
      <c r="DJ44" s="402"/>
      <c r="DK44" s="402"/>
      <c r="DL44" s="404"/>
      <c r="DM44" s="404"/>
      <c r="DN44" s="402">
        <v>0.62499999999999989</v>
      </c>
      <c r="DO44" s="402">
        <v>0.23325811629337867</v>
      </c>
      <c r="DP44" s="402">
        <v>1</v>
      </c>
      <c r="DQ44" s="402">
        <v>1</v>
      </c>
      <c r="DR44" s="405">
        <v>0</v>
      </c>
      <c r="DS44" s="405">
        <v>0</v>
      </c>
      <c r="DT44" s="402">
        <v>1.7619707969654948E-3</v>
      </c>
      <c r="DU44" s="402">
        <v>4.0225563784754656E-2</v>
      </c>
      <c r="DV44" s="402">
        <v>3.3615225066666671E-2</v>
      </c>
      <c r="DW44" s="402">
        <v>7.5602759648386822E-2</v>
      </c>
      <c r="DX44" s="402">
        <v>6.2499999999999993E-2</v>
      </c>
      <c r="DY44" s="402">
        <v>4.6651623258675737E-2</v>
      </c>
      <c r="DZ44" s="406">
        <v>0.05</v>
      </c>
      <c r="EA44" s="406">
        <v>0.05</v>
      </c>
      <c r="EB44" s="406">
        <v>0.2091516232586757</v>
      </c>
      <c r="EC44" s="407">
        <v>0.28475438290706251</v>
      </c>
      <c r="ED44" s="408" t="s">
        <v>157</v>
      </c>
      <c r="EE44" s="408" t="s">
        <v>156</v>
      </c>
      <c r="EG44" s="389">
        <v>289429.47030681017</v>
      </c>
      <c r="EH44" s="389">
        <v>292901.92173852999</v>
      </c>
      <c r="EI44" s="389">
        <v>292593.95022502041</v>
      </c>
      <c r="EJ44" s="389">
        <v>245293.52696999992</v>
      </c>
      <c r="EK44" s="389">
        <v>234484.54556946002</v>
      </c>
      <c r="EL44" s="389">
        <v>234484.61316647998</v>
      </c>
      <c r="EN44" s="389">
        <v>4</v>
      </c>
      <c r="EO44" s="409">
        <v>529532.64032848401</v>
      </c>
      <c r="EP44" s="409">
        <v>545626.56737239403</v>
      </c>
      <c r="EQ44" s="410">
        <v>-4023.4817609775055</v>
      </c>
      <c r="ER44" s="404">
        <v>0</v>
      </c>
      <c r="ES44" s="404">
        <v>1.2681704252316977</v>
      </c>
      <c r="ET44" s="404">
        <v>0.19022556378475464</v>
      </c>
      <c r="EU44" s="411">
        <v>0.43475438290706248</v>
      </c>
      <c r="EV44" s="412" t="s">
        <v>157</v>
      </c>
      <c r="EW44" s="412" t="s">
        <v>156</v>
      </c>
      <c r="EX44" s="381"/>
      <c r="EY44" s="419">
        <v>0.61299858843732991</v>
      </c>
      <c r="EZ44" s="419">
        <v>0.58922909047698235</v>
      </c>
      <c r="FA44" s="419">
        <v>0.64336951243581864</v>
      </c>
      <c r="FB44" s="419">
        <v>0.3998307204474803</v>
      </c>
      <c r="FC44" s="419">
        <v>0.27434173284531183</v>
      </c>
      <c r="FD44" s="419">
        <v>0.29080219811140018</v>
      </c>
      <c r="FE44" s="419">
        <v>0.50090726257955309</v>
      </c>
      <c r="FF44" s="419">
        <v>0.56680785412616774</v>
      </c>
      <c r="FG44" s="419">
        <v>0.67607422475167456</v>
      </c>
      <c r="FH44" s="419">
        <v>0.33666128317005206</v>
      </c>
      <c r="FI44" s="419">
        <v>0.43475438290706248</v>
      </c>
      <c r="FJ44" s="419"/>
      <c r="FK44" s="407">
        <v>0.61519906378337696</v>
      </c>
      <c r="FL44" s="407">
        <v>0.32165821713473081</v>
      </c>
      <c r="FM44" s="419">
        <v>0.58126311381913176</v>
      </c>
      <c r="FN44" s="419">
        <v>0.38570783303855727</v>
      </c>
      <c r="FO44" s="407">
        <v>0.48416153184443939</v>
      </c>
    </row>
    <row r="45" spans="1:171" hidden="1" outlineLevel="1" x14ac:dyDescent="0.25">
      <c r="A45" s="390" t="s">
        <v>208</v>
      </c>
      <c r="B45" s="390" t="s">
        <v>210</v>
      </c>
      <c r="C45" s="390" t="s">
        <v>211</v>
      </c>
      <c r="D45" s="391" t="s">
        <v>210</v>
      </c>
      <c r="E45" s="390" t="s">
        <v>36</v>
      </c>
      <c r="F45" s="391" t="s">
        <v>154</v>
      </c>
      <c r="G45" s="392">
        <v>1</v>
      </c>
      <c r="H45" s="393">
        <v>39704</v>
      </c>
      <c r="I45" s="393">
        <v>44046</v>
      </c>
      <c r="J45" s="394">
        <v>171</v>
      </c>
      <c r="K45" s="391">
        <v>711</v>
      </c>
      <c r="L45" s="390" t="s">
        <v>217</v>
      </c>
      <c r="M45" s="392" t="s">
        <v>355</v>
      </c>
      <c r="N45" s="395">
        <v>9</v>
      </c>
      <c r="O45" s="395">
        <v>2</v>
      </c>
      <c r="P45" s="395">
        <v>7</v>
      </c>
      <c r="Q45" s="389">
        <v>0</v>
      </c>
      <c r="R45" s="389">
        <v>0</v>
      </c>
      <c r="S45" s="389">
        <v>394970.72718576487</v>
      </c>
      <c r="T45" s="389">
        <v>301524.76699999999</v>
      </c>
      <c r="U45" s="389">
        <v>101257.68767032007</v>
      </c>
      <c r="V45" s="389">
        <v>155561.58869700998</v>
      </c>
      <c r="W45" s="389">
        <v>0</v>
      </c>
      <c r="X45" s="389">
        <v>0</v>
      </c>
      <c r="Y45" s="389">
        <v>437158.47718576487</v>
      </c>
      <c r="Z45" s="389">
        <v>302324.76699999999</v>
      </c>
      <c r="AA45" s="389"/>
      <c r="AB45" s="389"/>
      <c r="AC45" s="389">
        <v>42187.75</v>
      </c>
      <c r="AD45" s="389">
        <v>800</v>
      </c>
      <c r="AE45" s="389">
        <v>6281.0763888888887</v>
      </c>
      <c r="AF45" s="389">
        <v>658.34505208333337</v>
      </c>
      <c r="AG45" s="389">
        <v>6300</v>
      </c>
      <c r="AH45" s="396">
        <v>14.4</v>
      </c>
      <c r="AI45" s="389">
        <v>2646.4519791666667</v>
      </c>
      <c r="AJ45" s="397">
        <v>0.02</v>
      </c>
      <c r="AK45" s="397">
        <v>0.1</v>
      </c>
      <c r="AL45" s="389">
        <v>431592.66574215289</v>
      </c>
      <c r="AM45" s="389">
        <v>271053.39912187925</v>
      </c>
      <c r="AN45" s="398">
        <v>36621.938556388021</v>
      </c>
      <c r="AO45" s="398">
        <v>-30471.367878120742</v>
      </c>
      <c r="AP45" s="398">
        <v>0</v>
      </c>
      <c r="AQ45" s="398">
        <v>169736.70661721998</v>
      </c>
      <c r="AR45" s="398">
        <v>11000</v>
      </c>
      <c r="AS45" s="398">
        <v>387.25</v>
      </c>
      <c r="AT45" s="398">
        <v>400</v>
      </c>
      <c r="AU45" s="399">
        <v>714.5</v>
      </c>
      <c r="AV45" s="399">
        <v>12</v>
      </c>
      <c r="AW45" s="399">
        <v>28.8</v>
      </c>
      <c r="AX45" s="399">
        <v>127105.94290550216</v>
      </c>
      <c r="AY45" s="399">
        <v>325</v>
      </c>
      <c r="AZ45" s="399">
        <v>350</v>
      </c>
      <c r="BA45" s="399">
        <v>0</v>
      </c>
      <c r="BB45" s="399">
        <v>0.125</v>
      </c>
      <c r="BC45" s="399">
        <v>14290</v>
      </c>
      <c r="BD45" s="399">
        <v>96</v>
      </c>
      <c r="BE45" s="399">
        <v>57.6</v>
      </c>
      <c r="BF45" s="399">
        <v>127.10594290550216</v>
      </c>
      <c r="BG45" s="399">
        <v>32.5</v>
      </c>
      <c r="BH45" s="399">
        <v>35</v>
      </c>
      <c r="BI45" s="399">
        <v>0</v>
      </c>
      <c r="BJ45" s="399">
        <v>1.2500000000000001E-2</v>
      </c>
      <c r="BK45" s="398">
        <v>14638.218442905503</v>
      </c>
      <c r="BL45" s="389">
        <v>41</v>
      </c>
      <c r="BM45" s="389">
        <v>25</v>
      </c>
      <c r="BN45" s="395">
        <v>43</v>
      </c>
      <c r="BO45" s="395">
        <v>16</v>
      </c>
      <c r="BP45" s="395">
        <v>0</v>
      </c>
      <c r="BQ45" s="389">
        <v>38</v>
      </c>
      <c r="BR45" s="389">
        <v>11000</v>
      </c>
      <c r="BS45" s="389">
        <v>1074.75</v>
      </c>
      <c r="BT45" s="389">
        <v>0</v>
      </c>
      <c r="BU45" s="389">
        <v>0</v>
      </c>
      <c r="BV45" s="389">
        <v>0</v>
      </c>
      <c r="BW45" s="389">
        <v>1</v>
      </c>
      <c r="BX45" s="389">
        <v>0</v>
      </c>
      <c r="BY45" s="389">
        <v>192</v>
      </c>
      <c r="BZ45" s="389">
        <v>2</v>
      </c>
      <c r="CA45" s="400">
        <v>0</v>
      </c>
      <c r="CB45" s="400">
        <v>0</v>
      </c>
      <c r="CC45" s="400">
        <v>0</v>
      </c>
      <c r="CD45" s="389">
        <v>410</v>
      </c>
      <c r="CE45" s="389">
        <v>50</v>
      </c>
      <c r="CF45" s="389">
        <v>430</v>
      </c>
      <c r="CG45" s="389">
        <v>160</v>
      </c>
      <c r="CH45" s="389">
        <v>0</v>
      </c>
      <c r="CI45" s="389">
        <v>380</v>
      </c>
      <c r="CJ45" s="389">
        <v>3622.4250000000002</v>
      </c>
      <c r="CK45" s="389">
        <v>0</v>
      </c>
      <c r="CL45" s="389">
        <v>50</v>
      </c>
      <c r="CM45" s="389">
        <v>0</v>
      </c>
      <c r="CN45" s="389">
        <v>768</v>
      </c>
      <c r="CO45" s="389">
        <v>40</v>
      </c>
      <c r="CP45" s="389">
        <v>0</v>
      </c>
      <c r="CQ45" s="389">
        <v>0</v>
      </c>
      <c r="CR45" s="389">
        <v>0</v>
      </c>
      <c r="CS45" s="389">
        <v>5910.4250000000002</v>
      </c>
      <c r="CT45" s="389">
        <v>7</v>
      </c>
      <c r="CU45" s="389">
        <v>1</v>
      </c>
      <c r="CV45" s="389">
        <v>6</v>
      </c>
      <c r="CW45" s="389">
        <v>14</v>
      </c>
      <c r="CX45" s="401">
        <v>990.39933008999992</v>
      </c>
      <c r="CY45" s="396">
        <v>0</v>
      </c>
      <c r="CZ45" s="396">
        <v>131049.55114307003</v>
      </c>
      <c r="DA45" s="402">
        <v>0</v>
      </c>
      <c r="DB45" s="389">
        <v>0</v>
      </c>
      <c r="DC45" s="396">
        <v>0</v>
      </c>
      <c r="DD45" s="403">
        <v>0</v>
      </c>
      <c r="DE45" s="402">
        <v>0.86807043647475912</v>
      </c>
      <c r="DF45" s="402">
        <v>0</v>
      </c>
      <c r="DG45" s="402">
        <v>1.8129456314436552</v>
      </c>
      <c r="DH45" s="402">
        <v>0.60758412132695416</v>
      </c>
      <c r="DI45" s="402">
        <v>2</v>
      </c>
      <c r="DJ45" s="402"/>
      <c r="DK45" s="402"/>
      <c r="DL45" s="404"/>
      <c r="DM45" s="404"/>
      <c r="DN45" s="402">
        <v>0.97222222222222221</v>
      </c>
      <c r="DO45" s="402">
        <v>0.37423665265290917</v>
      </c>
      <c r="DP45" s="402">
        <v>1</v>
      </c>
      <c r="DQ45" s="402">
        <v>1</v>
      </c>
      <c r="DR45" s="405">
        <v>0.13021056547121387</v>
      </c>
      <c r="DS45" s="405">
        <v>0</v>
      </c>
      <c r="DT45" s="402">
        <v>0.27194184471654825</v>
      </c>
      <c r="DU45" s="402">
        <v>9.1137618199043119E-2</v>
      </c>
      <c r="DV45" s="402">
        <v>0.2</v>
      </c>
      <c r="DW45" s="402">
        <v>0.69329002838680531</v>
      </c>
      <c r="DX45" s="402">
        <v>9.7222222222222224E-2</v>
      </c>
      <c r="DY45" s="402">
        <v>7.4847330530581832E-2</v>
      </c>
      <c r="DZ45" s="406">
        <v>0.05</v>
      </c>
      <c r="EA45" s="406">
        <v>0.05</v>
      </c>
      <c r="EB45" s="406">
        <v>0.27206955275280403</v>
      </c>
      <c r="EC45" s="407">
        <v>0.9653595811396094</v>
      </c>
      <c r="ED45" s="408" t="s">
        <v>511</v>
      </c>
      <c r="EE45" s="408" t="s">
        <v>27</v>
      </c>
      <c r="EG45" s="389">
        <v>440112.38188440952</v>
      </c>
      <c r="EH45" s="389">
        <v>438661.46978032897</v>
      </c>
      <c r="EI45" s="389">
        <v>428380.12263668864</v>
      </c>
      <c r="EJ45" s="389">
        <v>273502.46974999993</v>
      </c>
      <c r="EK45" s="389">
        <v>264605.49051435996</v>
      </c>
      <c r="EL45" s="389">
        <v>275129.41725196003</v>
      </c>
      <c r="EN45" s="389">
        <v>8</v>
      </c>
      <c r="EO45" s="409">
        <v>702646.0648640322</v>
      </c>
      <c r="EP45" s="409">
        <v>713495.96041709394</v>
      </c>
      <c r="EQ45" s="410">
        <v>-1356.2369441327173</v>
      </c>
      <c r="ER45" s="404">
        <v>0</v>
      </c>
      <c r="ES45" s="404">
        <v>1.6075841213269542</v>
      </c>
      <c r="ET45" s="404">
        <v>0.24113761819904311</v>
      </c>
      <c r="EU45" s="411">
        <v>1.1153595811396093</v>
      </c>
      <c r="EV45" s="412" t="s">
        <v>510</v>
      </c>
      <c r="EW45" s="412" t="s">
        <v>28</v>
      </c>
      <c r="EX45" s="381"/>
      <c r="EY45" s="419">
        <v>0.76451932100355613</v>
      </c>
      <c r="EZ45" s="419">
        <v>0.98538168903398948</v>
      </c>
      <c r="FA45" s="419">
        <v>0.78552171592810549</v>
      </c>
      <c r="FB45" s="419">
        <v>0.45201147537372693</v>
      </c>
      <c r="FC45" s="419">
        <v>0.50602590469116226</v>
      </c>
      <c r="FD45" s="419">
        <v>0.78790981948191197</v>
      </c>
      <c r="FE45" s="419">
        <v>0.7717244205613325</v>
      </c>
      <c r="FF45" s="419">
        <v>0.71118324277190625</v>
      </c>
      <c r="FG45" s="419">
        <v>0.97324495161457458</v>
      </c>
      <c r="FH45" s="419">
        <v>0.83519716141050515</v>
      </c>
      <c r="FI45" s="419">
        <v>1.1153595811396093</v>
      </c>
      <c r="FJ45" s="419"/>
      <c r="FK45" s="407">
        <v>0.84514090865521707</v>
      </c>
      <c r="FL45" s="407">
        <v>0.58198239984893363</v>
      </c>
      <c r="FM45" s="419">
        <v>0.81871753831593785</v>
      </c>
      <c r="FN45" s="419">
        <v>0.97527837127505723</v>
      </c>
      <c r="FO45" s="407">
        <v>0.78982538936458002</v>
      </c>
    </row>
    <row r="46" spans="1:171" hidden="1" outlineLevel="1" x14ac:dyDescent="0.25">
      <c r="A46" s="390" t="s">
        <v>208</v>
      </c>
      <c r="B46" s="390" t="s">
        <v>453</v>
      </c>
      <c r="C46" s="390" t="s">
        <v>454</v>
      </c>
      <c r="D46" s="391" t="s">
        <v>453</v>
      </c>
      <c r="E46" s="390" t="s">
        <v>36</v>
      </c>
      <c r="F46" s="391" t="s">
        <v>154</v>
      </c>
      <c r="G46" s="392">
        <v>1</v>
      </c>
      <c r="H46" s="393">
        <v>44690</v>
      </c>
      <c r="I46" s="393">
        <v>44690</v>
      </c>
      <c r="J46" s="394">
        <v>7</v>
      </c>
      <c r="K46" s="391">
        <v>721</v>
      </c>
      <c r="L46" s="390" t="s">
        <v>218</v>
      </c>
      <c r="M46" s="392" t="s">
        <v>355</v>
      </c>
      <c r="N46" s="395">
        <v>4</v>
      </c>
      <c r="O46" s="395">
        <v>0</v>
      </c>
      <c r="P46" s="395">
        <v>8</v>
      </c>
      <c r="Q46" s="389">
        <v>0</v>
      </c>
      <c r="R46" s="389">
        <v>0</v>
      </c>
      <c r="S46" s="389">
        <v>174701.51999999996</v>
      </c>
      <c r="T46" s="389">
        <v>70585.241999999998</v>
      </c>
      <c r="U46" s="389">
        <v>86796.846293330003</v>
      </c>
      <c r="V46" s="389">
        <v>52187.010433870004</v>
      </c>
      <c r="W46" s="389">
        <v>0</v>
      </c>
      <c r="X46" s="389">
        <v>0</v>
      </c>
      <c r="Y46" s="389">
        <v>191336.26999999996</v>
      </c>
      <c r="Z46" s="389">
        <v>70885.241999999998</v>
      </c>
      <c r="AA46" s="389"/>
      <c r="AB46" s="389"/>
      <c r="AC46" s="389">
        <v>16634.75</v>
      </c>
      <c r="AD46" s="389">
        <v>300</v>
      </c>
      <c r="AE46" s="389">
        <v>0</v>
      </c>
      <c r="AF46" s="389">
        <v>646.7951388888888</v>
      </c>
      <c r="AG46" s="389">
        <v>2100</v>
      </c>
      <c r="AH46" s="396">
        <v>9.6000000000000014</v>
      </c>
      <c r="AI46" s="389">
        <v>893.13109374999999</v>
      </c>
      <c r="AJ46" s="397">
        <v>0.02</v>
      </c>
      <c r="AK46" s="397">
        <v>0.1</v>
      </c>
      <c r="AL46" s="389">
        <v>192837.02858912683</v>
      </c>
      <c r="AM46" s="389">
        <v>64385.64658813928</v>
      </c>
      <c r="AN46" s="398">
        <v>18135.508589126868</v>
      </c>
      <c r="AO46" s="398">
        <v>-6199.5954118607187</v>
      </c>
      <c r="AP46" s="398">
        <v>0</v>
      </c>
      <c r="AQ46" s="398">
        <v>42187.070294910001</v>
      </c>
      <c r="AR46" s="398">
        <v>0</v>
      </c>
      <c r="AS46" s="398">
        <v>0</v>
      </c>
      <c r="AT46" s="398">
        <v>38.700000000000003</v>
      </c>
      <c r="AU46" s="399">
        <v>247.63804999999999</v>
      </c>
      <c r="AV46" s="399">
        <v>26</v>
      </c>
      <c r="AW46" s="399">
        <v>30</v>
      </c>
      <c r="AX46" s="399">
        <v>0</v>
      </c>
      <c r="AY46" s="399">
        <v>0</v>
      </c>
      <c r="AZ46" s="399">
        <v>0</v>
      </c>
      <c r="BA46" s="399">
        <v>0</v>
      </c>
      <c r="BB46" s="399">
        <v>0.01</v>
      </c>
      <c r="BC46" s="399">
        <v>4952.7609999999995</v>
      </c>
      <c r="BD46" s="399">
        <v>208</v>
      </c>
      <c r="BE46" s="399">
        <v>60</v>
      </c>
      <c r="BF46" s="399">
        <v>0</v>
      </c>
      <c r="BG46" s="399">
        <v>0</v>
      </c>
      <c r="BH46" s="399">
        <v>0</v>
      </c>
      <c r="BI46" s="399">
        <v>0</v>
      </c>
      <c r="BJ46" s="399">
        <v>1E-3</v>
      </c>
      <c r="BK46" s="398">
        <v>5220.7619999999997</v>
      </c>
      <c r="BL46" s="389">
        <v>57</v>
      </c>
      <c r="BM46" s="389">
        <v>4</v>
      </c>
      <c r="BN46" s="395">
        <v>73</v>
      </c>
      <c r="BO46" s="395">
        <v>0</v>
      </c>
      <c r="BP46" s="395">
        <v>0</v>
      </c>
      <c r="BQ46" s="389">
        <v>2</v>
      </c>
      <c r="BR46" s="389">
        <v>0</v>
      </c>
      <c r="BS46" s="389">
        <v>0</v>
      </c>
      <c r="BT46" s="389">
        <v>0</v>
      </c>
      <c r="BU46" s="389">
        <v>0</v>
      </c>
      <c r="BV46" s="389">
        <v>0</v>
      </c>
      <c r="BW46" s="389">
        <v>0</v>
      </c>
      <c r="BX46" s="389">
        <v>1</v>
      </c>
      <c r="BY46" s="389">
        <v>100</v>
      </c>
      <c r="BZ46" s="389">
        <v>0</v>
      </c>
      <c r="CA46" s="400">
        <v>0</v>
      </c>
      <c r="CB46" s="400">
        <v>0</v>
      </c>
      <c r="CC46" s="400">
        <v>0</v>
      </c>
      <c r="CD46" s="389">
        <v>570</v>
      </c>
      <c r="CE46" s="389">
        <v>8</v>
      </c>
      <c r="CF46" s="389">
        <v>730</v>
      </c>
      <c r="CG46" s="389">
        <v>0</v>
      </c>
      <c r="CH46" s="389">
        <v>0</v>
      </c>
      <c r="CI46" s="389">
        <v>20</v>
      </c>
      <c r="CJ46" s="389">
        <v>0</v>
      </c>
      <c r="CK46" s="389">
        <v>0</v>
      </c>
      <c r="CL46" s="389">
        <v>0</v>
      </c>
      <c r="CM46" s="389">
        <v>20</v>
      </c>
      <c r="CN46" s="389">
        <v>400</v>
      </c>
      <c r="CO46" s="389">
        <v>0</v>
      </c>
      <c r="CP46" s="389">
        <v>0</v>
      </c>
      <c r="CQ46" s="389">
        <v>0</v>
      </c>
      <c r="CR46" s="389">
        <v>0</v>
      </c>
      <c r="CS46" s="389">
        <v>1748</v>
      </c>
      <c r="CT46" s="389">
        <v>4</v>
      </c>
      <c r="CU46" s="389">
        <v>0</v>
      </c>
      <c r="CV46" s="389">
        <v>7</v>
      </c>
      <c r="CW46" s="389">
        <v>11</v>
      </c>
      <c r="CX46" s="401">
        <v>527.4110634767427</v>
      </c>
      <c r="CY46" s="396">
        <v>0</v>
      </c>
      <c r="CZ46" s="396">
        <v>4384.3940730599998</v>
      </c>
      <c r="DA46" s="402">
        <v>0</v>
      </c>
      <c r="DB46" s="389">
        <v>0</v>
      </c>
      <c r="DC46" s="396">
        <v>10.740919160000001</v>
      </c>
      <c r="DD46" s="403">
        <v>0</v>
      </c>
      <c r="DE46" s="402">
        <v>1.090218283360247</v>
      </c>
      <c r="DF46" s="402">
        <v>0</v>
      </c>
      <c r="DG46" s="402">
        <v>0</v>
      </c>
      <c r="DH46" s="402">
        <v>5.9833473805139668E-2</v>
      </c>
      <c r="DI46" s="402">
        <v>2</v>
      </c>
      <c r="DJ46" s="402"/>
      <c r="DK46" s="402"/>
      <c r="DL46" s="404"/>
      <c r="DM46" s="404"/>
      <c r="DN46" s="402">
        <v>1.1458333333333333</v>
      </c>
      <c r="DO46" s="402">
        <v>0.59051920503886579</v>
      </c>
      <c r="DP46" s="402">
        <v>1</v>
      </c>
      <c r="DQ46" s="402">
        <v>1</v>
      </c>
      <c r="DR46" s="405">
        <v>0.16353274250403704</v>
      </c>
      <c r="DS46" s="405">
        <v>0</v>
      </c>
      <c r="DT46" s="402">
        <v>0</v>
      </c>
      <c r="DU46" s="402">
        <v>1.7950042141541899E-2</v>
      </c>
      <c r="DV46" s="402">
        <v>0.2</v>
      </c>
      <c r="DW46" s="402">
        <v>0.38148278464557894</v>
      </c>
      <c r="DX46" s="402">
        <v>0.11458333333333333</v>
      </c>
      <c r="DY46" s="402">
        <v>0.11810384100777316</v>
      </c>
      <c r="DZ46" s="406">
        <v>0.05</v>
      </c>
      <c r="EA46" s="406">
        <v>0.05</v>
      </c>
      <c r="EB46" s="406">
        <v>0.33268717434110645</v>
      </c>
      <c r="EC46" s="407">
        <v>0.71416995898668545</v>
      </c>
      <c r="ED46" s="408" t="s">
        <v>509</v>
      </c>
      <c r="EE46" s="408" t="s">
        <v>25</v>
      </c>
      <c r="EG46" s="389">
        <v>198959.21474845996</v>
      </c>
      <c r="EH46" s="389">
        <v>189867.83103810047</v>
      </c>
      <c r="EI46" s="389">
        <v>189993.40233335024</v>
      </c>
      <c r="EJ46" s="389">
        <v>65267.792599999993</v>
      </c>
      <c r="EK46" s="389">
        <v>58753.573119600012</v>
      </c>
      <c r="EL46" s="389">
        <v>58453.243119600018</v>
      </c>
      <c r="EN46" s="389">
        <v>3</v>
      </c>
      <c r="EO46" s="409">
        <v>257222.67517726612</v>
      </c>
      <c r="EP46" s="409">
        <v>253912.34215365854</v>
      </c>
      <c r="EQ46" s="410">
        <v>1103.4443412025284</v>
      </c>
      <c r="ER46" s="404">
        <v>0.2</v>
      </c>
      <c r="ES46" s="404">
        <v>1.0598334738051396</v>
      </c>
      <c r="ET46" s="404">
        <v>0.31795004214154188</v>
      </c>
      <c r="EU46" s="411">
        <v>1.2141699589866854</v>
      </c>
      <c r="EV46" s="412" t="s">
        <v>520</v>
      </c>
      <c r="EW46" s="412" t="s">
        <v>29</v>
      </c>
      <c r="EX46" s="381"/>
      <c r="EY46" s="419" t="s">
        <v>541</v>
      </c>
      <c r="EZ46" s="419" t="s">
        <v>541</v>
      </c>
      <c r="FA46" s="419" t="s">
        <v>541</v>
      </c>
      <c r="FB46" s="419" t="s">
        <v>541</v>
      </c>
      <c r="FC46" s="419">
        <v>0.3607462264149216</v>
      </c>
      <c r="FD46" s="419">
        <v>0.35515055583023869</v>
      </c>
      <c r="FE46" s="419">
        <v>0.59677417055317961</v>
      </c>
      <c r="FF46" s="419">
        <v>0.65431401092262287</v>
      </c>
      <c r="FG46" s="419">
        <v>0.88568003300845755</v>
      </c>
      <c r="FH46" s="419">
        <v>0.55324385302209811</v>
      </c>
      <c r="FI46" s="419">
        <v>1.2141699589866854</v>
      </c>
      <c r="FJ46" s="419"/>
      <c r="FK46" s="407" t="s">
        <v>156</v>
      </c>
      <c r="FL46" s="407">
        <v>0.35794839112258015</v>
      </c>
      <c r="FM46" s="419">
        <v>0.71225607149475334</v>
      </c>
      <c r="FN46" s="419">
        <v>0.88370690600439183</v>
      </c>
      <c r="FO46" s="407">
        <v>0.66001125839117203</v>
      </c>
    </row>
    <row r="47" spans="1:171" hidden="1" outlineLevel="1" x14ac:dyDescent="0.25">
      <c r="A47" s="390" t="s">
        <v>208</v>
      </c>
      <c r="B47" s="390" t="s">
        <v>303</v>
      </c>
      <c r="C47" s="390" t="s">
        <v>304</v>
      </c>
      <c r="D47" s="391" t="s">
        <v>303</v>
      </c>
      <c r="E47" s="390" t="s">
        <v>36</v>
      </c>
      <c r="F47" s="391" t="s">
        <v>154</v>
      </c>
      <c r="G47" s="392">
        <v>1</v>
      </c>
      <c r="H47" s="393">
        <v>37970</v>
      </c>
      <c r="I47" s="393">
        <v>44046</v>
      </c>
      <c r="J47" s="394">
        <v>228</v>
      </c>
      <c r="K47" s="391">
        <v>731</v>
      </c>
      <c r="L47" s="390" t="s">
        <v>212</v>
      </c>
      <c r="M47" s="392" t="s">
        <v>355</v>
      </c>
      <c r="N47" s="395">
        <v>4</v>
      </c>
      <c r="O47" s="395">
        <v>1</v>
      </c>
      <c r="P47" s="395">
        <v>7</v>
      </c>
      <c r="Q47" s="389">
        <v>0</v>
      </c>
      <c r="R47" s="389">
        <v>0</v>
      </c>
      <c r="S47" s="389">
        <v>186166.69599999994</v>
      </c>
      <c r="T47" s="389">
        <v>149782.31849999996</v>
      </c>
      <c r="U47" s="389">
        <v>44050.072069259993</v>
      </c>
      <c r="V47" s="389">
        <v>26428.854937039996</v>
      </c>
      <c r="W47" s="389">
        <v>0</v>
      </c>
      <c r="X47" s="389">
        <v>0</v>
      </c>
      <c r="Y47" s="389">
        <v>206533.19599999994</v>
      </c>
      <c r="Z47" s="389">
        <v>150182.31849999996</v>
      </c>
      <c r="AA47" s="389"/>
      <c r="AB47" s="389"/>
      <c r="AC47" s="389">
        <v>20366.5</v>
      </c>
      <c r="AD47" s="389">
        <v>400</v>
      </c>
      <c r="AE47" s="389">
        <v>3747.8819444444443</v>
      </c>
      <c r="AF47" s="389">
        <v>571.720703125</v>
      </c>
      <c r="AG47" s="389">
        <v>2100</v>
      </c>
      <c r="AH47" s="396">
        <v>9.6000000000000014</v>
      </c>
      <c r="AI47" s="389">
        <v>1394.9977083333333</v>
      </c>
      <c r="AJ47" s="397">
        <v>0.02</v>
      </c>
      <c r="AK47" s="397">
        <v>0.1</v>
      </c>
      <c r="AL47" s="389">
        <v>159426.60155866534</v>
      </c>
      <c r="AM47" s="389">
        <v>106635.68497322661</v>
      </c>
      <c r="AN47" s="398">
        <v>-26740.094441334601</v>
      </c>
      <c r="AO47" s="398">
        <v>-43146.633526773352</v>
      </c>
      <c r="AP47" s="398">
        <v>0</v>
      </c>
      <c r="AQ47" s="398">
        <v>21880.694846480001</v>
      </c>
      <c r="AR47" s="398">
        <v>0</v>
      </c>
      <c r="AS47" s="398">
        <v>0</v>
      </c>
      <c r="AT47" s="398">
        <v>157</v>
      </c>
      <c r="AU47" s="399">
        <v>78.2</v>
      </c>
      <c r="AV47" s="399">
        <v>12</v>
      </c>
      <c r="AW47" s="399">
        <v>9.6</v>
      </c>
      <c r="AX47" s="399">
        <v>6485</v>
      </c>
      <c r="AY47" s="399">
        <v>0</v>
      </c>
      <c r="AZ47" s="399">
        <v>0</v>
      </c>
      <c r="BA47" s="399">
        <v>0</v>
      </c>
      <c r="BB47" s="399">
        <v>0</v>
      </c>
      <c r="BC47" s="399">
        <v>1564</v>
      </c>
      <c r="BD47" s="399">
        <v>96</v>
      </c>
      <c r="BE47" s="399">
        <v>19.2</v>
      </c>
      <c r="BF47" s="399">
        <v>6.4849999999999994</v>
      </c>
      <c r="BG47" s="399">
        <v>0</v>
      </c>
      <c r="BH47" s="399">
        <v>0</v>
      </c>
      <c r="BI47" s="399">
        <v>0</v>
      </c>
      <c r="BJ47" s="399">
        <v>0</v>
      </c>
      <c r="BK47" s="398">
        <v>1685.6849999999999</v>
      </c>
      <c r="BL47" s="389">
        <v>38</v>
      </c>
      <c r="BM47" s="389">
        <v>0</v>
      </c>
      <c r="BN47" s="395">
        <v>64</v>
      </c>
      <c r="BO47" s="395">
        <v>1</v>
      </c>
      <c r="BP47" s="395">
        <v>0</v>
      </c>
      <c r="BQ47" s="389">
        <v>9</v>
      </c>
      <c r="BR47" s="389">
        <v>0</v>
      </c>
      <c r="BS47" s="389">
        <v>0</v>
      </c>
      <c r="BT47" s="389">
        <v>0</v>
      </c>
      <c r="BU47" s="389">
        <v>0</v>
      </c>
      <c r="BV47" s="389">
        <v>0</v>
      </c>
      <c r="BW47" s="389">
        <v>0</v>
      </c>
      <c r="BX47" s="389">
        <v>1</v>
      </c>
      <c r="BY47" s="389">
        <v>81</v>
      </c>
      <c r="BZ47" s="389">
        <v>0</v>
      </c>
      <c r="CA47" s="400">
        <v>1</v>
      </c>
      <c r="CB47" s="400">
        <v>0</v>
      </c>
      <c r="CC47" s="400">
        <v>0</v>
      </c>
      <c r="CD47" s="389">
        <v>380</v>
      </c>
      <c r="CE47" s="389">
        <v>0</v>
      </c>
      <c r="CF47" s="389">
        <v>640</v>
      </c>
      <c r="CG47" s="389">
        <v>10</v>
      </c>
      <c r="CH47" s="389">
        <v>0</v>
      </c>
      <c r="CI47" s="389">
        <v>90</v>
      </c>
      <c r="CJ47" s="389">
        <v>0</v>
      </c>
      <c r="CK47" s="389">
        <v>0</v>
      </c>
      <c r="CL47" s="389">
        <v>0</v>
      </c>
      <c r="CM47" s="389">
        <v>20</v>
      </c>
      <c r="CN47" s="389">
        <v>324</v>
      </c>
      <c r="CO47" s="389">
        <v>0</v>
      </c>
      <c r="CP47" s="389">
        <v>4</v>
      </c>
      <c r="CQ47" s="389">
        <v>0</v>
      </c>
      <c r="CR47" s="389">
        <v>0</v>
      </c>
      <c r="CS47" s="389">
        <v>1468</v>
      </c>
      <c r="CT47" s="389">
        <v>3</v>
      </c>
      <c r="CU47" s="389">
        <v>0</v>
      </c>
      <c r="CV47" s="389">
        <v>6</v>
      </c>
      <c r="CW47" s="389">
        <v>9</v>
      </c>
      <c r="CX47" s="401">
        <v>54.879196939999986</v>
      </c>
      <c r="CY47" s="396">
        <v>0</v>
      </c>
      <c r="CZ47" s="396">
        <v>12224.595603059997</v>
      </c>
      <c r="DA47" s="402">
        <v>0</v>
      </c>
      <c r="DB47" s="389">
        <v>0</v>
      </c>
      <c r="DC47" s="396">
        <v>0</v>
      </c>
      <c r="DD47" s="403">
        <v>0</v>
      </c>
      <c r="DE47" s="402">
        <v>0</v>
      </c>
      <c r="DF47" s="402">
        <v>0</v>
      </c>
      <c r="DG47" s="402">
        <v>0</v>
      </c>
      <c r="DH47" s="402">
        <v>0.27460961119974309</v>
      </c>
      <c r="DI47" s="402">
        <v>1.501754761904762</v>
      </c>
      <c r="DJ47" s="402"/>
      <c r="DK47" s="402"/>
      <c r="DL47" s="404"/>
      <c r="DM47" s="404"/>
      <c r="DN47" s="402">
        <v>0.93749999999999989</v>
      </c>
      <c r="DO47" s="402">
        <v>3.9339990748491364E-2</v>
      </c>
      <c r="DP47" s="402">
        <v>1</v>
      </c>
      <c r="DQ47" s="402">
        <v>1</v>
      </c>
      <c r="DR47" s="405">
        <v>0</v>
      </c>
      <c r="DS47" s="405">
        <v>0</v>
      </c>
      <c r="DT47" s="402">
        <v>0</v>
      </c>
      <c r="DU47" s="402">
        <v>4.1191441679961464E-2</v>
      </c>
      <c r="DV47" s="402">
        <v>0.15017547619047622</v>
      </c>
      <c r="DW47" s="402">
        <v>0.19136691787043769</v>
      </c>
      <c r="DX47" s="402">
        <v>9.375E-2</v>
      </c>
      <c r="DY47" s="402">
        <v>7.8679981496982739E-3</v>
      </c>
      <c r="DZ47" s="406">
        <v>0.05</v>
      </c>
      <c r="EA47" s="406">
        <v>0.05</v>
      </c>
      <c r="EB47" s="406">
        <v>0.20161799814969827</v>
      </c>
      <c r="EC47" s="407">
        <v>0.39298491602013597</v>
      </c>
      <c r="ED47" s="408" t="s">
        <v>157</v>
      </c>
      <c r="EE47" s="408" t="s">
        <v>156</v>
      </c>
      <c r="EG47" s="389">
        <v>153780.79310757003</v>
      </c>
      <c r="EH47" s="389">
        <v>158717.54034567013</v>
      </c>
      <c r="EI47" s="389">
        <v>159477.69611991997</v>
      </c>
      <c r="EJ47" s="389">
        <v>106871.60481999999</v>
      </c>
      <c r="EK47" s="389">
        <v>101080.46529390002</v>
      </c>
      <c r="EL47" s="389">
        <v>101164.34410106002</v>
      </c>
      <c r="EN47" s="389">
        <v>4</v>
      </c>
      <c r="EO47" s="409">
        <v>266062.28653189196</v>
      </c>
      <c r="EP47" s="409">
        <v>258048.29526147238</v>
      </c>
      <c r="EQ47" s="410">
        <v>2003.4978176048971</v>
      </c>
      <c r="ER47" s="404">
        <v>0.25</v>
      </c>
      <c r="ES47" s="404">
        <v>1.2746096111997431</v>
      </c>
      <c r="ET47" s="404">
        <v>0.19119144167996147</v>
      </c>
      <c r="EU47" s="411">
        <v>0.79298491602013599</v>
      </c>
      <c r="EV47" s="412" t="s">
        <v>509</v>
      </c>
      <c r="EW47" s="412" t="s">
        <v>25</v>
      </c>
      <c r="EX47" s="381"/>
      <c r="EY47" s="419">
        <v>0.47323073440427033</v>
      </c>
      <c r="EZ47" s="419">
        <v>0.59148332327376063</v>
      </c>
      <c r="FA47" s="419">
        <v>0.52132156230235149</v>
      </c>
      <c r="FB47" s="419">
        <v>0.47057886391319398</v>
      </c>
      <c r="FC47" s="419">
        <v>0.39743486237234393</v>
      </c>
      <c r="FD47" s="419">
        <v>0.38975344130044687</v>
      </c>
      <c r="FE47" s="419">
        <v>0.48881984372764387</v>
      </c>
      <c r="FF47" s="419">
        <v>0.60636356199787456</v>
      </c>
      <c r="FG47" s="419">
        <v>0.69333610081509889</v>
      </c>
      <c r="FH47" s="419">
        <v>0.3600302645337099</v>
      </c>
      <c r="FI47" s="419">
        <v>0.79298491602013599</v>
      </c>
      <c r="FJ47" s="419"/>
      <c r="FK47" s="407">
        <v>0.52867853999346082</v>
      </c>
      <c r="FL47" s="407">
        <v>0.41925572252866156</v>
      </c>
      <c r="FM47" s="419">
        <v>0.59617316884687244</v>
      </c>
      <c r="FN47" s="419">
        <v>0.576507590276923</v>
      </c>
      <c r="FO47" s="407">
        <v>0.52593977042371176</v>
      </c>
    </row>
    <row r="48" spans="1:171" hidden="1" outlineLevel="1" x14ac:dyDescent="0.25">
      <c r="A48" s="390" t="s">
        <v>208</v>
      </c>
      <c r="B48" s="390" t="s">
        <v>285</v>
      </c>
      <c r="C48" s="390" t="s">
        <v>286</v>
      </c>
      <c r="D48" s="391" t="s">
        <v>285</v>
      </c>
      <c r="E48" s="390" t="s">
        <v>36</v>
      </c>
      <c r="F48" s="391" t="s">
        <v>154</v>
      </c>
      <c r="G48" s="392">
        <v>1</v>
      </c>
      <c r="H48" s="393">
        <v>39164</v>
      </c>
      <c r="I48" s="393">
        <v>44440</v>
      </c>
      <c r="J48" s="394">
        <v>189</v>
      </c>
      <c r="K48" s="391">
        <v>741</v>
      </c>
      <c r="L48" s="390" t="s">
        <v>213</v>
      </c>
      <c r="M48" s="392" t="s">
        <v>355</v>
      </c>
      <c r="N48" s="395">
        <v>8</v>
      </c>
      <c r="O48" s="395">
        <v>2</v>
      </c>
      <c r="P48" s="395">
        <v>8</v>
      </c>
      <c r="Q48" s="389">
        <v>0</v>
      </c>
      <c r="R48" s="389">
        <v>0</v>
      </c>
      <c r="S48" s="389">
        <v>576539.12800000014</v>
      </c>
      <c r="T48" s="389">
        <v>342857.95800000004</v>
      </c>
      <c r="U48" s="389">
        <v>51150.681825740001</v>
      </c>
      <c r="V48" s="389">
        <v>20632.055906799997</v>
      </c>
      <c r="W48" s="389">
        <v>0</v>
      </c>
      <c r="X48" s="389">
        <v>0</v>
      </c>
      <c r="Y48" s="389">
        <v>615943.87800000014</v>
      </c>
      <c r="Z48" s="389">
        <v>343557.95800000004</v>
      </c>
      <c r="AA48" s="389"/>
      <c r="AB48" s="389"/>
      <c r="AC48" s="389">
        <v>39404.75</v>
      </c>
      <c r="AD48" s="389">
        <v>700</v>
      </c>
      <c r="AE48" s="389">
        <v>6608.1076388888887</v>
      </c>
      <c r="AF48" s="389">
        <v>883.568359375</v>
      </c>
      <c r="AG48" s="389">
        <v>4500</v>
      </c>
      <c r="AH48" s="396">
        <v>14.4</v>
      </c>
      <c r="AI48" s="389">
        <v>2580.416666666667</v>
      </c>
      <c r="AJ48" s="397">
        <v>0.02</v>
      </c>
      <c r="AK48" s="397">
        <v>0.1</v>
      </c>
      <c r="AL48" s="389">
        <v>560152.23808431672</v>
      </c>
      <c r="AM48" s="389">
        <v>307677.15097873466</v>
      </c>
      <c r="AN48" s="398">
        <v>-16386.889915683423</v>
      </c>
      <c r="AO48" s="398">
        <v>-35180.807021265384</v>
      </c>
      <c r="AP48" s="398">
        <v>0</v>
      </c>
      <c r="AQ48" s="398">
        <v>59222.849626970004</v>
      </c>
      <c r="AR48" s="398">
        <v>0</v>
      </c>
      <c r="AS48" s="398">
        <v>0</v>
      </c>
      <c r="AT48" s="398">
        <v>220</v>
      </c>
      <c r="AU48" s="399">
        <v>699.02589999999998</v>
      </c>
      <c r="AV48" s="399">
        <v>12</v>
      </c>
      <c r="AW48" s="399">
        <v>11.035188</v>
      </c>
      <c r="AX48" s="399">
        <v>21000</v>
      </c>
      <c r="AY48" s="399">
        <v>900</v>
      </c>
      <c r="AZ48" s="399">
        <v>0</v>
      </c>
      <c r="BA48" s="399">
        <v>0</v>
      </c>
      <c r="BB48" s="399">
        <v>0.87</v>
      </c>
      <c r="BC48" s="399">
        <v>13980.518</v>
      </c>
      <c r="BD48" s="399">
        <v>96</v>
      </c>
      <c r="BE48" s="399">
        <v>22.070376</v>
      </c>
      <c r="BF48" s="399">
        <v>21</v>
      </c>
      <c r="BG48" s="399">
        <v>90</v>
      </c>
      <c r="BH48" s="399">
        <v>0</v>
      </c>
      <c r="BI48" s="399">
        <v>0</v>
      </c>
      <c r="BJ48" s="399">
        <v>8.6999999999999994E-2</v>
      </c>
      <c r="BK48" s="398">
        <v>14209.675375999999</v>
      </c>
      <c r="BL48" s="389">
        <v>65</v>
      </c>
      <c r="BM48" s="389">
        <v>0</v>
      </c>
      <c r="BN48" s="395">
        <v>77</v>
      </c>
      <c r="BO48" s="395">
        <v>6</v>
      </c>
      <c r="BP48" s="395">
        <v>0</v>
      </c>
      <c r="BQ48" s="389">
        <v>16</v>
      </c>
      <c r="BR48" s="389">
        <v>0</v>
      </c>
      <c r="BS48" s="389">
        <v>0</v>
      </c>
      <c r="BT48" s="389">
        <v>0</v>
      </c>
      <c r="BU48" s="389">
        <v>0</v>
      </c>
      <c r="BV48" s="389">
        <v>0</v>
      </c>
      <c r="BW48" s="389">
        <v>1</v>
      </c>
      <c r="BX48" s="389">
        <v>4</v>
      </c>
      <c r="BY48" s="389">
        <v>275</v>
      </c>
      <c r="BZ48" s="389">
        <v>0</v>
      </c>
      <c r="CA48" s="400">
        <v>0</v>
      </c>
      <c r="CB48" s="400">
        <v>0</v>
      </c>
      <c r="CC48" s="400">
        <v>0</v>
      </c>
      <c r="CD48" s="389">
        <v>650</v>
      </c>
      <c r="CE48" s="389">
        <v>0</v>
      </c>
      <c r="CF48" s="389">
        <v>770</v>
      </c>
      <c r="CG48" s="389">
        <v>60</v>
      </c>
      <c r="CH48" s="389">
        <v>0</v>
      </c>
      <c r="CI48" s="389">
        <v>160</v>
      </c>
      <c r="CJ48" s="389">
        <v>0</v>
      </c>
      <c r="CK48" s="389">
        <v>0</v>
      </c>
      <c r="CL48" s="389">
        <v>50</v>
      </c>
      <c r="CM48" s="389">
        <v>80</v>
      </c>
      <c r="CN48" s="389">
        <v>1100</v>
      </c>
      <c r="CO48" s="389">
        <v>0</v>
      </c>
      <c r="CP48" s="389">
        <v>0</v>
      </c>
      <c r="CQ48" s="389">
        <v>0</v>
      </c>
      <c r="CR48" s="389">
        <v>0</v>
      </c>
      <c r="CS48" s="389">
        <v>2870</v>
      </c>
      <c r="CT48" s="389">
        <v>6</v>
      </c>
      <c r="CU48" s="389">
        <v>0</v>
      </c>
      <c r="CV48" s="389">
        <v>7</v>
      </c>
      <c r="CW48" s="389">
        <v>13</v>
      </c>
      <c r="CX48" s="401">
        <v>270.02795551999998</v>
      </c>
      <c r="CY48" s="396">
        <v>0</v>
      </c>
      <c r="CZ48" s="396">
        <v>45944.997193790012</v>
      </c>
      <c r="DA48" s="402">
        <v>0</v>
      </c>
      <c r="DB48" s="389">
        <v>0</v>
      </c>
      <c r="DC48" s="396">
        <v>147.48387546999999</v>
      </c>
      <c r="DD48" s="403">
        <v>0</v>
      </c>
      <c r="DE48" s="402">
        <v>0</v>
      </c>
      <c r="DF48" s="402">
        <v>0</v>
      </c>
      <c r="DG48" s="402">
        <v>0</v>
      </c>
      <c r="DH48" s="402">
        <v>0.24899035560261457</v>
      </c>
      <c r="DI48" s="402">
        <v>2</v>
      </c>
      <c r="DJ48" s="402"/>
      <c r="DK48" s="402"/>
      <c r="DL48" s="404"/>
      <c r="DM48" s="404"/>
      <c r="DN48" s="402">
        <v>0.90277777777777779</v>
      </c>
      <c r="DO48" s="402">
        <v>0.10464509821540446</v>
      </c>
      <c r="DP48" s="402">
        <v>1</v>
      </c>
      <c r="DQ48" s="402">
        <v>1</v>
      </c>
      <c r="DR48" s="402">
        <v>0</v>
      </c>
      <c r="DS48" s="405">
        <v>0</v>
      </c>
      <c r="DT48" s="402">
        <v>0</v>
      </c>
      <c r="DU48" s="402">
        <v>3.7348553340392186E-2</v>
      </c>
      <c r="DV48" s="402">
        <v>0.2</v>
      </c>
      <c r="DW48" s="402">
        <v>0.2373485533403922</v>
      </c>
      <c r="DX48" s="402">
        <v>9.027777777777779E-2</v>
      </c>
      <c r="DY48" s="402">
        <v>2.0929019643080894E-2</v>
      </c>
      <c r="DZ48" s="406">
        <v>0.05</v>
      </c>
      <c r="EA48" s="406">
        <v>0.05</v>
      </c>
      <c r="EB48" s="406">
        <v>0.21120679742085868</v>
      </c>
      <c r="EC48" s="407">
        <v>0.44855535076125086</v>
      </c>
      <c r="ED48" s="408" t="s">
        <v>157</v>
      </c>
      <c r="EE48" s="408" t="s">
        <v>156</v>
      </c>
      <c r="EG48" s="389">
        <v>566763.01917143469</v>
      </c>
      <c r="EH48" s="389">
        <v>552060.55241037323</v>
      </c>
      <c r="EI48" s="389">
        <v>549940.23654708476</v>
      </c>
      <c r="EJ48" s="389">
        <v>305115.17540999997</v>
      </c>
      <c r="EK48" s="389">
        <v>307808.95803322998</v>
      </c>
      <c r="EL48" s="389">
        <v>305953.52898593008</v>
      </c>
      <c r="EN48" s="389">
        <v>7</v>
      </c>
      <c r="EO48" s="409">
        <v>867829.38906305144</v>
      </c>
      <c r="EP48" s="409">
        <v>871364.58743097633</v>
      </c>
      <c r="EQ48" s="410">
        <v>-505.028338274985</v>
      </c>
      <c r="ER48" s="404">
        <v>0</v>
      </c>
      <c r="ES48" s="404">
        <v>1.2489903556026145</v>
      </c>
      <c r="ET48" s="404">
        <v>0.18734855334039216</v>
      </c>
      <c r="EU48" s="411">
        <v>0.59855535076125077</v>
      </c>
      <c r="EV48" s="412" t="s">
        <v>157</v>
      </c>
      <c r="EW48" s="412" t="s">
        <v>156</v>
      </c>
      <c r="EX48" s="381"/>
      <c r="EY48" s="419">
        <v>0.92966575508236193</v>
      </c>
      <c r="EZ48" s="419">
        <v>0.33514616165584565</v>
      </c>
      <c r="FA48" s="419">
        <v>0.45802613821467536</v>
      </c>
      <c r="FB48" s="419">
        <v>0.40962703089394792</v>
      </c>
      <c r="FC48" s="419">
        <v>0.39516099446461456</v>
      </c>
      <c r="FD48" s="419">
        <v>0.67814970307435807</v>
      </c>
      <c r="FE48" s="419">
        <v>0.51021986730650748</v>
      </c>
      <c r="FF48" s="419">
        <v>0.53211072174853447</v>
      </c>
      <c r="FG48" s="419">
        <v>0.45723751358148851</v>
      </c>
      <c r="FH48" s="419">
        <v>0.46136691116815015</v>
      </c>
      <c r="FI48" s="419">
        <v>0.59855535076125077</v>
      </c>
      <c r="FJ48" s="419"/>
      <c r="FK48" s="407">
        <v>0.57427935165096089</v>
      </c>
      <c r="FL48" s="407">
        <v>0.49431257614430679</v>
      </c>
      <c r="FM48" s="419">
        <v>0.49985603421217678</v>
      </c>
      <c r="FN48" s="419">
        <v>0.52996113096470043</v>
      </c>
      <c r="FO48" s="407">
        <v>0.52411510435924857</v>
      </c>
    </row>
    <row r="49" spans="1:171" hidden="1" outlineLevel="1" x14ac:dyDescent="0.25">
      <c r="A49" s="390" t="s">
        <v>208</v>
      </c>
      <c r="B49" s="390" t="s">
        <v>278</v>
      </c>
      <c r="C49" s="390" t="s">
        <v>279</v>
      </c>
      <c r="D49" s="391" t="s">
        <v>278</v>
      </c>
      <c r="E49" s="390" t="s">
        <v>36</v>
      </c>
      <c r="F49" s="391" t="s">
        <v>154</v>
      </c>
      <c r="G49" s="392">
        <v>1</v>
      </c>
      <c r="H49" s="393">
        <v>39508</v>
      </c>
      <c r="I49" s="393">
        <v>44166</v>
      </c>
      <c r="J49" s="394">
        <v>177</v>
      </c>
      <c r="K49" s="391">
        <v>751</v>
      </c>
      <c r="L49" s="390" t="s">
        <v>209</v>
      </c>
      <c r="M49" s="392" t="s">
        <v>355</v>
      </c>
      <c r="N49" s="395">
        <v>2</v>
      </c>
      <c r="O49" s="395">
        <v>0</v>
      </c>
      <c r="P49" s="395">
        <v>3</v>
      </c>
      <c r="Q49" s="389">
        <v>0</v>
      </c>
      <c r="R49" s="389">
        <v>0</v>
      </c>
      <c r="S49" s="389">
        <v>134037.51199999999</v>
      </c>
      <c r="T49" s="389">
        <v>86182.141000000003</v>
      </c>
      <c r="U49" s="389">
        <v>66897.495346509997</v>
      </c>
      <c r="V49" s="389">
        <v>43446.926118259995</v>
      </c>
      <c r="W49" s="389">
        <v>0</v>
      </c>
      <c r="X49" s="389">
        <v>0</v>
      </c>
      <c r="Y49" s="389">
        <v>143714.76199999999</v>
      </c>
      <c r="Z49" s="389">
        <v>86357.141000000003</v>
      </c>
      <c r="AA49" s="389"/>
      <c r="AB49" s="389"/>
      <c r="AC49" s="389">
        <v>9677.25</v>
      </c>
      <c r="AD49" s="389">
        <v>175</v>
      </c>
      <c r="AE49" s="389">
        <v>0</v>
      </c>
      <c r="AF49" s="389">
        <v>207.8984375</v>
      </c>
      <c r="AG49" s="389">
        <v>1200</v>
      </c>
      <c r="AH49" s="396">
        <v>4</v>
      </c>
      <c r="AI49" s="389">
        <v>481.95750000000004</v>
      </c>
      <c r="AJ49" s="397">
        <v>0.02</v>
      </c>
      <c r="AK49" s="397">
        <v>0.1</v>
      </c>
      <c r="AL49" s="389">
        <v>134942.95076422545</v>
      </c>
      <c r="AM49" s="389">
        <v>51328.576565672694</v>
      </c>
      <c r="AN49" s="398">
        <v>905.43876422545873</v>
      </c>
      <c r="AO49" s="398">
        <v>-34853.564434327309</v>
      </c>
      <c r="AP49" s="398">
        <v>0</v>
      </c>
      <c r="AQ49" s="398">
        <v>28580.839616590005</v>
      </c>
      <c r="AR49" s="398">
        <v>0</v>
      </c>
      <c r="AS49" s="398">
        <v>0</v>
      </c>
      <c r="AT49" s="398">
        <v>24.54</v>
      </c>
      <c r="AU49" s="399">
        <v>48</v>
      </c>
      <c r="AV49" s="399">
        <v>10.1</v>
      </c>
      <c r="AW49" s="399">
        <v>12</v>
      </c>
      <c r="AX49" s="399">
        <v>100000</v>
      </c>
      <c r="AY49" s="399">
        <v>0</v>
      </c>
      <c r="AZ49" s="399">
        <v>0</v>
      </c>
      <c r="BA49" s="399">
        <v>0</v>
      </c>
      <c r="BB49" s="399">
        <v>0</v>
      </c>
      <c r="BC49" s="399">
        <v>960</v>
      </c>
      <c r="BD49" s="399">
        <v>80.8</v>
      </c>
      <c r="BE49" s="399">
        <v>24</v>
      </c>
      <c r="BF49" s="399">
        <v>100</v>
      </c>
      <c r="BG49" s="399">
        <v>0</v>
      </c>
      <c r="BH49" s="399">
        <v>0</v>
      </c>
      <c r="BI49" s="399">
        <v>0</v>
      </c>
      <c r="BJ49" s="399">
        <v>0</v>
      </c>
      <c r="BK49" s="398">
        <v>1164.8</v>
      </c>
      <c r="BL49" s="389">
        <v>16</v>
      </c>
      <c r="BM49" s="389">
        <v>0</v>
      </c>
      <c r="BN49" s="395">
        <v>8</v>
      </c>
      <c r="BO49" s="395">
        <v>0</v>
      </c>
      <c r="BP49" s="395">
        <v>0</v>
      </c>
      <c r="BQ49" s="389">
        <v>2</v>
      </c>
      <c r="BR49" s="389">
        <v>0</v>
      </c>
      <c r="BS49" s="389">
        <v>0</v>
      </c>
      <c r="BT49" s="389">
        <v>0</v>
      </c>
      <c r="BU49" s="389">
        <v>0</v>
      </c>
      <c r="BV49" s="389">
        <v>0</v>
      </c>
      <c r="BW49" s="389">
        <v>1</v>
      </c>
      <c r="BX49" s="389">
        <v>1</v>
      </c>
      <c r="BY49" s="389">
        <v>46</v>
      </c>
      <c r="BZ49" s="389">
        <v>0</v>
      </c>
      <c r="CA49" s="400">
        <v>1</v>
      </c>
      <c r="CB49" s="400">
        <v>0</v>
      </c>
      <c r="CC49" s="400">
        <v>142.5</v>
      </c>
      <c r="CD49" s="389">
        <v>160</v>
      </c>
      <c r="CE49" s="389">
        <v>0</v>
      </c>
      <c r="CF49" s="389">
        <v>80</v>
      </c>
      <c r="CG49" s="389">
        <v>0</v>
      </c>
      <c r="CH49" s="389">
        <v>0</v>
      </c>
      <c r="CI49" s="389">
        <v>20</v>
      </c>
      <c r="CJ49" s="389">
        <v>0</v>
      </c>
      <c r="CK49" s="389">
        <v>0</v>
      </c>
      <c r="CL49" s="389">
        <v>50</v>
      </c>
      <c r="CM49" s="389">
        <v>20</v>
      </c>
      <c r="CN49" s="389">
        <v>184</v>
      </c>
      <c r="CO49" s="389">
        <v>0</v>
      </c>
      <c r="CP49" s="389">
        <v>4</v>
      </c>
      <c r="CQ49" s="389">
        <v>0</v>
      </c>
      <c r="CR49" s="389">
        <v>28.5</v>
      </c>
      <c r="CS49" s="389">
        <v>546.5</v>
      </c>
      <c r="CT49" s="389">
        <v>2</v>
      </c>
      <c r="CU49" s="389">
        <v>0</v>
      </c>
      <c r="CV49" s="389">
        <v>2</v>
      </c>
      <c r="CW49" s="389">
        <v>4</v>
      </c>
      <c r="CX49" s="401">
        <v>29.818550160000001</v>
      </c>
      <c r="CY49" s="396">
        <v>0</v>
      </c>
      <c r="CZ49" s="396">
        <v>3102.5265050100002</v>
      </c>
      <c r="DA49" s="402">
        <v>0</v>
      </c>
      <c r="DB49" s="389">
        <v>0</v>
      </c>
      <c r="DC49" s="396">
        <v>81.137808769999992</v>
      </c>
      <c r="DD49" s="403">
        <v>0</v>
      </c>
      <c r="DE49" s="402">
        <v>9.3563643000383237E-2</v>
      </c>
      <c r="DF49" s="402">
        <v>0</v>
      </c>
      <c r="DG49" s="402">
        <v>0</v>
      </c>
      <c r="DH49" s="402">
        <v>0.11803840517079403</v>
      </c>
      <c r="DI49" s="402">
        <v>1.4260833333333334</v>
      </c>
      <c r="DJ49" s="402"/>
      <c r="DK49" s="402"/>
      <c r="DL49" s="404"/>
      <c r="DM49" s="404"/>
      <c r="DN49" s="402">
        <v>1</v>
      </c>
      <c r="DO49" s="402">
        <v>6.1869667263192291E-2</v>
      </c>
      <c r="DP49" s="402">
        <v>1</v>
      </c>
      <c r="DQ49" s="402">
        <v>1</v>
      </c>
      <c r="DR49" s="405">
        <v>1.4034546450057485E-2</v>
      </c>
      <c r="DS49" s="405">
        <v>0</v>
      </c>
      <c r="DT49" s="402">
        <v>0</v>
      </c>
      <c r="DU49" s="402">
        <v>3.5411521551238209E-2</v>
      </c>
      <c r="DV49" s="402">
        <v>0.14260833333333334</v>
      </c>
      <c r="DW49" s="402">
        <v>0.19205440133462903</v>
      </c>
      <c r="DX49" s="402">
        <v>0.1</v>
      </c>
      <c r="DY49" s="402">
        <v>1.2373933452638458E-2</v>
      </c>
      <c r="DZ49" s="406">
        <v>0.05</v>
      </c>
      <c r="EA49" s="406">
        <v>0.05</v>
      </c>
      <c r="EB49" s="406">
        <v>0.21237393345263844</v>
      </c>
      <c r="EC49" s="407">
        <v>0.40442833478726747</v>
      </c>
      <c r="ED49" s="408" t="s">
        <v>157</v>
      </c>
      <c r="EE49" s="408" t="s">
        <v>156</v>
      </c>
      <c r="EG49" s="389">
        <v>132528.01821646531</v>
      </c>
      <c r="EH49" s="389">
        <v>137279.10296815317</v>
      </c>
      <c r="EI49" s="389">
        <v>137308.62869383322</v>
      </c>
      <c r="EJ49" s="389">
        <v>50289.310830000002</v>
      </c>
      <c r="EK49" s="389">
        <v>50964.470711379996</v>
      </c>
      <c r="EL49" s="389">
        <v>51060.11264905001</v>
      </c>
      <c r="EN49" s="389">
        <v>2</v>
      </c>
      <c r="EO49" s="409">
        <v>186271.52732989815</v>
      </c>
      <c r="EP49" s="409">
        <v>181498.96026542661</v>
      </c>
      <c r="EQ49" s="410">
        <v>2386.2835322357714</v>
      </c>
      <c r="ER49" s="404">
        <v>0.25</v>
      </c>
      <c r="ES49" s="404">
        <v>1.1180384051707941</v>
      </c>
      <c r="ET49" s="404">
        <v>0.33541152155123821</v>
      </c>
      <c r="EU49" s="411">
        <v>0.95442833478726752</v>
      </c>
      <c r="EV49" s="412" t="s">
        <v>511</v>
      </c>
      <c r="EW49" s="412" t="s">
        <v>27</v>
      </c>
      <c r="EX49" s="381"/>
      <c r="EY49" s="419">
        <v>1.0712613774967981</v>
      </c>
      <c r="EZ49" s="419">
        <v>0.68070840440697578</v>
      </c>
      <c r="FA49" s="419">
        <v>0.58062920310096588</v>
      </c>
      <c r="FB49" s="419">
        <v>0.61916376467143741</v>
      </c>
      <c r="FC49" s="419">
        <v>1.1120412858446405</v>
      </c>
      <c r="FD49" s="419">
        <v>0.67208782735248074</v>
      </c>
      <c r="FE49" s="419">
        <v>0.5996802818284146</v>
      </c>
      <c r="FF49" s="419">
        <v>0.19811320466560087</v>
      </c>
      <c r="FG49" s="419">
        <v>0.31701770960225706</v>
      </c>
      <c r="FH49" s="419">
        <v>0.4624967699774486</v>
      </c>
      <c r="FI49" s="419">
        <v>0.95442833478726752</v>
      </c>
      <c r="FJ49" s="419"/>
      <c r="FK49" s="407">
        <v>0.77753299500158002</v>
      </c>
      <c r="FL49" s="407">
        <v>0.80109762595618628</v>
      </c>
      <c r="FM49" s="419">
        <v>0.37160373203209085</v>
      </c>
      <c r="FN49" s="419">
        <v>0.708462552382358</v>
      </c>
      <c r="FO49" s="407">
        <v>0.66069346943038976</v>
      </c>
    </row>
    <row r="50" spans="1:171" hidden="1" outlineLevel="1" x14ac:dyDescent="0.25">
      <c r="A50" s="390" t="s">
        <v>208</v>
      </c>
      <c r="B50" s="390" t="s">
        <v>222</v>
      </c>
      <c r="C50" s="390" t="s">
        <v>223</v>
      </c>
      <c r="D50" s="391" t="s">
        <v>222</v>
      </c>
      <c r="E50" s="390" t="s">
        <v>36</v>
      </c>
      <c r="F50" s="391" t="s">
        <v>154</v>
      </c>
      <c r="G50" s="392">
        <v>1</v>
      </c>
      <c r="H50" s="393">
        <v>43626</v>
      </c>
      <c r="I50" s="393">
        <v>43626</v>
      </c>
      <c r="J50" s="394">
        <v>42</v>
      </c>
      <c r="K50" s="391">
        <v>771</v>
      </c>
      <c r="L50" s="390" t="s">
        <v>224</v>
      </c>
      <c r="M50" s="392" t="s">
        <v>355</v>
      </c>
      <c r="N50" s="395">
        <v>5</v>
      </c>
      <c r="O50" s="395">
        <v>1</v>
      </c>
      <c r="P50" s="395">
        <v>6</v>
      </c>
      <c r="Q50" s="389">
        <v>0</v>
      </c>
      <c r="R50" s="389">
        <v>0</v>
      </c>
      <c r="S50" s="389">
        <v>164741.15849482501</v>
      </c>
      <c r="T50" s="389">
        <v>156206.89849999998</v>
      </c>
      <c r="U50" s="389">
        <v>30197.805445890001</v>
      </c>
      <c r="V50" s="389">
        <v>33303.419377090002</v>
      </c>
      <c r="W50" s="389">
        <v>0</v>
      </c>
      <c r="X50" s="389">
        <v>0</v>
      </c>
      <c r="Y50" s="389">
        <v>177454.40849482501</v>
      </c>
      <c r="Z50" s="389">
        <v>156406.89849999998</v>
      </c>
      <c r="AA50" s="389"/>
      <c r="AB50" s="389"/>
      <c r="AC50" s="389">
        <v>12713.25</v>
      </c>
      <c r="AD50" s="389">
        <v>200</v>
      </c>
      <c r="AE50" s="389">
        <v>3093.8194444444443</v>
      </c>
      <c r="AF50" s="389">
        <v>404.2469618055556</v>
      </c>
      <c r="AG50" s="389">
        <v>2400</v>
      </c>
      <c r="AH50" s="396">
        <v>9.6000000000000014</v>
      </c>
      <c r="AI50" s="389">
        <v>962.76567708333346</v>
      </c>
      <c r="AJ50" s="397">
        <v>0.02</v>
      </c>
      <c r="AK50" s="397">
        <v>0.1</v>
      </c>
      <c r="AL50" s="389">
        <v>186041.25211648384</v>
      </c>
      <c r="AM50" s="389">
        <v>167438.74803261022</v>
      </c>
      <c r="AN50" s="398">
        <v>21300.093621658831</v>
      </c>
      <c r="AO50" s="398">
        <v>11231.849532610242</v>
      </c>
      <c r="AP50" s="398">
        <v>0</v>
      </c>
      <c r="AQ50" s="398">
        <v>32246.89875534</v>
      </c>
      <c r="AR50" s="398">
        <v>0</v>
      </c>
      <c r="AS50" s="398">
        <v>0</v>
      </c>
      <c r="AT50" s="398">
        <v>207</v>
      </c>
      <c r="AU50" s="399">
        <v>250</v>
      </c>
      <c r="AV50" s="399">
        <v>12</v>
      </c>
      <c r="AW50" s="399">
        <v>11.328851999999999</v>
      </c>
      <c r="AX50" s="399">
        <v>66000</v>
      </c>
      <c r="AY50" s="399">
        <v>0</v>
      </c>
      <c r="AZ50" s="399">
        <v>0</v>
      </c>
      <c r="BA50" s="399">
        <v>0</v>
      </c>
      <c r="BB50" s="399">
        <v>0.1</v>
      </c>
      <c r="BC50" s="399">
        <v>5000</v>
      </c>
      <c r="BD50" s="399">
        <v>96</v>
      </c>
      <c r="BE50" s="399">
        <v>22.657703999999999</v>
      </c>
      <c r="BF50" s="399">
        <v>66</v>
      </c>
      <c r="BG50" s="399">
        <v>0</v>
      </c>
      <c r="BH50" s="399">
        <v>0</v>
      </c>
      <c r="BI50" s="399">
        <v>0</v>
      </c>
      <c r="BJ50" s="399">
        <v>0.01</v>
      </c>
      <c r="BK50" s="398">
        <v>5184.6677040000004</v>
      </c>
      <c r="BL50" s="389">
        <v>32</v>
      </c>
      <c r="BM50" s="389">
        <v>0</v>
      </c>
      <c r="BN50" s="395">
        <v>40</v>
      </c>
      <c r="BO50" s="395">
        <v>18</v>
      </c>
      <c r="BP50" s="395">
        <v>0</v>
      </c>
      <c r="BQ50" s="389">
        <v>0</v>
      </c>
      <c r="BR50" s="389">
        <v>0</v>
      </c>
      <c r="BS50" s="389">
        <v>0</v>
      </c>
      <c r="BT50" s="389">
        <v>195.665019</v>
      </c>
      <c r="BU50" s="389">
        <v>0</v>
      </c>
      <c r="BV50" s="389">
        <v>0</v>
      </c>
      <c r="BW50" s="389">
        <v>0</v>
      </c>
      <c r="BX50" s="389">
        <v>3</v>
      </c>
      <c r="BY50" s="389">
        <v>53</v>
      </c>
      <c r="BZ50" s="389">
        <v>1</v>
      </c>
      <c r="CA50" s="400">
        <v>0</v>
      </c>
      <c r="CB50" s="400">
        <v>0</v>
      </c>
      <c r="CC50" s="400">
        <v>0</v>
      </c>
      <c r="CD50" s="389">
        <v>320</v>
      </c>
      <c r="CE50" s="389">
        <v>0</v>
      </c>
      <c r="CF50" s="389">
        <v>400</v>
      </c>
      <c r="CG50" s="389">
        <v>180</v>
      </c>
      <c r="CH50" s="389">
        <v>0</v>
      </c>
      <c r="CI50" s="389">
        <v>0</v>
      </c>
      <c r="CJ50" s="389">
        <v>0</v>
      </c>
      <c r="CK50" s="389">
        <v>78.266007599999995</v>
      </c>
      <c r="CL50" s="389">
        <v>0</v>
      </c>
      <c r="CM50" s="389">
        <v>60</v>
      </c>
      <c r="CN50" s="389">
        <v>212</v>
      </c>
      <c r="CO50" s="389">
        <v>20</v>
      </c>
      <c r="CP50" s="389">
        <v>0</v>
      </c>
      <c r="CQ50" s="389">
        <v>0</v>
      </c>
      <c r="CR50" s="389">
        <v>0</v>
      </c>
      <c r="CS50" s="389">
        <v>1270.2660076</v>
      </c>
      <c r="CT50" s="389">
        <v>3</v>
      </c>
      <c r="CU50" s="389">
        <v>0</v>
      </c>
      <c r="CV50" s="389">
        <v>4</v>
      </c>
      <c r="CW50" s="389">
        <v>7</v>
      </c>
      <c r="CX50" s="401">
        <v>133.36014890999999</v>
      </c>
      <c r="CY50" s="396">
        <v>0</v>
      </c>
      <c r="CZ50" s="396">
        <v>5691.0963022100004</v>
      </c>
      <c r="DA50" s="402">
        <v>0</v>
      </c>
      <c r="DB50" s="389">
        <v>0</v>
      </c>
      <c r="DC50" s="396">
        <v>0</v>
      </c>
      <c r="DD50" s="403">
        <v>0</v>
      </c>
      <c r="DE50" s="402">
        <v>1.6754247436067748</v>
      </c>
      <c r="DF50" s="402">
        <v>1</v>
      </c>
      <c r="DG50" s="402">
        <v>0</v>
      </c>
      <c r="DH50" s="402">
        <v>0.51206321768119512</v>
      </c>
      <c r="DI50" s="402">
        <v>2</v>
      </c>
      <c r="DJ50" s="402"/>
      <c r="DK50" s="402"/>
      <c r="DL50" s="404"/>
      <c r="DM50" s="404"/>
      <c r="DN50" s="402">
        <v>0.72916666666666652</v>
      </c>
      <c r="DO50" s="402">
        <v>0.13851776406696395</v>
      </c>
      <c r="DP50" s="402">
        <v>1</v>
      </c>
      <c r="DQ50" s="402">
        <v>1</v>
      </c>
      <c r="DR50" s="405">
        <v>0.25131371154101623</v>
      </c>
      <c r="DS50" s="405">
        <v>0.05</v>
      </c>
      <c r="DT50" s="402">
        <v>0</v>
      </c>
      <c r="DU50" s="402">
        <v>7.6809482652179267E-2</v>
      </c>
      <c r="DV50" s="402">
        <v>0.2</v>
      </c>
      <c r="DW50" s="402">
        <v>0.57812319419319547</v>
      </c>
      <c r="DX50" s="402">
        <v>7.2916666666666657E-2</v>
      </c>
      <c r="DY50" s="402">
        <v>2.770355281339279E-2</v>
      </c>
      <c r="DZ50" s="406">
        <v>0.05</v>
      </c>
      <c r="EA50" s="406">
        <v>0.05</v>
      </c>
      <c r="EB50" s="406">
        <v>0.20062021948005943</v>
      </c>
      <c r="EC50" s="407">
        <v>0.77874341367325495</v>
      </c>
      <c r="ED50" s="408" t="s">
        <v>509</v>
      </c>
      <c r="EE50" s="408" t="s">
        <v>25</v>
      </c>
      <c r="EG50" s="389">
        <v>190592.87635627997</v>
      </c>
      <c r="EH50" s="389">
        <v>186871.64543654985</v>
      </c>
      <c r="EI50" s="389">
        <v>187390.48307871996</v>
      </c>
      <c r="EJ50" s="389">
        <v>142374.95114000002</v>
      </c>
      <c r="EK50" s="389">
        <v>171403.77612733998</v>
      </c>
      <c r="EL50" s="389">
        <v>171203.24640956003</v>
      </c>
      <c r="EN50" s="389">
        <v>2</v>
      </c>
      <c r="EO50" s="409">
        <v>353480.00014909403</v>
      </c>
      <c r="EP50" s="409">
        <v>320362.38963858614</v>
      </c>
      <c r="EQ50" s="410">
        <v>16558.805255253945</v>
      </c>
      <c r="ER50" s="404">
        <v>0.35</v>
      </c>
      <c r="ES50" s="404">
        <v>1.5120632176811952</v>
      </c>
      <c r="ET50" s="404">
        <v>0.22680948265217926</v>
      </c>
      <c r="EU50" s="411">
        <v>1.2787434136732549</v>
      </c>
      <c r="EV50" s="412" t="s">
        <v>520</v>
      </c>
      <c r="EW50" s="412" t="s">
        <v>29</v>
      </c>
      <c r="EX50" s="381"/>
      <c r="EY50" s="419">
        <v>0.63372164844666889</v>
      </c>
      <c r="EZ50" s="419">
        <v>0.70401636583216431</v>
      </c>
      <c r="FA50" s="419">
        <v>0.79069087552919126</v>
      </c>
      <c r="FB50" s="419">
        <v>0.76853509147464738</v>
      </c>
      <c r="FC50" s="419">
        <v>0.7319717456556909</v>
      </c>
      <c r="FD50" s="419">
        <v>0.84855662803490106</v>
      </c>
      <c r="FE50" s="419">
        <v>1.0439342781448115</v>
      </c>
      <c r="FF50" s="419">
        <v>0.99210490173220156</v>
      </c>
      <c r="FG50" s="419">
        <v>0.73432745900646146</v>
      </c>
      <c r="FH50" s="419">
        <v>0.84107202862739217</v>
      </c>
      <c r="FI50" s="419">
        <v>1.2787434136732549</v>
      </c>
      <c r="FJ50" s="419"/>
      <c r="FK50" s="407">
        <v>0.70947629660267475</v>
      </c>
      <c r="FL50" s="407">
        <v>0.78302115505507974</v>
      </c>
      <c r="FM50" s="419">
        <v>0.92345554629449145</v>
      </c>
      <c r="FN50" s="419">
        <v>1.0599077211503236</v>
      </c>
      <c r="FO50" s="407">
        <v>0.85160676692339843</v>
      </c>
    </row>
    <row r="51" spans="1:171" hidden="1" outlineLevel="1" x14ac:dyDescent="0.25">
      <c r="A51" s="390" t="s">
        <v>447</v>
      </c>
      <c r="B51" s="390" t="s">
        <v>156</v>
      </c>
      <c r="C51" s="390" t="s">
        <v>505</v>
      </c>
      <c r="D51" s="391" t="s">
        <v>156</v>
      </c>
      <c r="E51" s="390" t="s">
        <v>36</v>
      </c>
      <c r="F51" s="391" t="s">
        <v>154</v>
      </c>
      <c r="G51" s="392">
        <v>1</v>
      </c>
      <c r="H51" s="393" t="e">
        <v>#N/A</v>
      </c>
      <c r="I51" s="393" t="e">
        <v>#N/A</v>
      </c>
      <c r="J51" s="394" t="e">
        <v>#N/A</v>
      </c>
      <c r="K51" s="391">
        <v>102</v>
      </c>
      <c r="L51" s="390" t="s">
        <v>358</v>
      </c>
      <c r="M51" s="392" t="s">
        <v>355</v>
      </c>
      <c r="N51" s="395">
        <v>7</v>
      </c>
      <c r="O51" s="395">
        <v>1</v>
      </c>
      <c r="P51" s="395">
        <v>7</v>
      </c>
      <c r="Q51" s="389">
        <v>0</v>
      </c>
      <c r="R51" s="389">
        <v>0</v>
      </c>
      <c r="S51" s="389">
        <v>376383.20899999968</v>
      </c>
      <c r="T51" s="389">
        <v>278881.538</v>
      </c>
      <c r="U51" s="389">
        <v>33608.15103666998</v>
      </c>
      <c r="V51" s="389">
        <v>17731.669311190002</v>
      </c>
      <c r="W51" s="389">
        <v>0</v>
      </c>
      <c r="X51" s="389">
        <v>0</v>
      </c>
      <c r="Y51" s="389">
        <v>409083.45899999968</v>
      </c>
      <c r="Z51" s="389">
        <v>279481.538</v>
      </c>
      <c r="AA51" s="389"/>
      <c r="AB51" s="389"/>
      <c r="AC51" s="389">
        <v>32700.25</v>
      </c>
      <c r="AD51" s="389">
        <v>600</v>
      </c>
      <c r="AE51" s="389">
        <v>4074.9131944444443</v>
      </c>
      <c r="AF51" s="389">
        <v>519.74609375</v>
      </c>
      <c r="AG51" s="389">
        <v>3900</v>
      </c>
      <c r="AH51" s="396">
        <v>12</v>
      </c>
      <c r="AI51" s="389">
        <v>2334.7947395833335</v>
      </c>
      <c r="AJ51" s="397">
        <v>0.02</v>
      </c>
      <c r="AK51" s="397">
        <v>0.1</v>
      </c>
      <c r="AL51" s="389">
        <v>355605.64544948284</v>
      </c>
      <c r="AM51" s="389">
        <v>247270.53969194746</v>
      </c>
      <c r="AN51" s="398">
        <v>-20777.563550516847</v>
      </c>
      <c r="AO51" s="398">
        <v>-31610.998308052542</v>
      </c>
      <c r="AP51" s="398">
        <v>0</v>
      </c>
      <c r="AQ51" s="398">
        <v>13318.224232280001</v>
      </c>
      <c r="AR51" s="398">
        <v>0</v>
      </c>
      <c r="AS51" s="398">
        <v>0</v>
      </c>
      <c r="AT51" s="398">
        <v>150</v>
      </c>
      <c r="AU51" s="399">
        <v>84</v>
      </c>
      <c r="AV51" s="399">
        <v>19</v>
      </c>
      <c r="AW51" s="399">
        <v>10.8</v>
      </c>
      <c r="AX51" s="399">
        <v>9633.17</v>
      </c>
      <c r="AY51" s="399">
        <v>100</v>
      </c>
      <c r="AZ51" s="399">
        <v>110</v>
      </c>
      <c r="BA51" s="399">
        <v>0</v>
      </c>
      <c r="BB51" s="399">
        <v>0.5</v>
      </c>
      <c r="BC51" s="399">
        <v>1680</v>
      </c>
      <c r="BD51" s="399">
        <v>152</v>
      </c>
      <c r="BE51" s="399">
        <v>21.6</v>
      </c>
      <c r="BF51" s="399">
        <v>9.6331699999999998</v>
      </c>
      <c r="BG51" s="399">
        <v>10</v>
      </c>
      <c r="BH51" s="399">
        <v>11</v>
      </c>
      <c r="BI51" s="399">
        <v>0</v>
      </c>
      <c r="BJ51" s="399">
        <v>0.05</v>
      </c>
      <c r="BK51" s="398">
        <v>1884.2831699999999</v>
      </c>
      <c r="BL51" s="389">
        <v>24</v>
      </c>
      <c r="BM51" s="389">
        <v>0</v>
      </c>
      <c r="BN51" s="395">
        <v>23</v>
      </c>
      <c r="BO51" s="395">
        <v>0</v>
      </c>
      <c r="BP51" s="395">
        <v>0</v>
      </c>
      <c r="BQ51" s="389">
        <v>7</v>
      </c>
      <c r="BR51" s="389">
        <v>0</v>
      </c>
      <c r="BS51" s="389">
        <v>0</v>
      </c>
      <c r="BT51" s="389">
        <v>0</v>
      </c>
      <c r="BU51" s="389">
        <v>0</v>
      </c>
      <c r="BV51" s="389">
        <v>0</v>
      </c>
      <c r="BW51" s="389">
        <v>0</v>
      </c>
      <c r="BX51" s="389">
        <v>1</v>
      </c>
      <c r="BY51" s="389">
        <v>98</v>
      </c>
      <c r="BZ51" s="389">
        <v>0</v>
      </c>
      <c r="CA51" s="400">
        <v>2</v>
      </c>
      <c r="CB51" s="400">
        <v>0</v>
      </c>
      <c r="CC51" s="400">
        <v>0</v>
      </c>
      <c r="CD51" s="389">
        <v>240</v>
      </c>
      <c r="CE51" s="389">
        <v>0</v>
      </c>
      <c r="CF51" s="389">
        <v>230</v>
      </c>
      <c r="CG51" s="389">
        <v>0</v>
      </c>
      <c r="CH51" s="389">
        <v>0</v>
      </c>
      <c r="CI51" s="389">
        <v>70</v>
      </c>
      <c r="CJ51" s="389">
        <v>0</v>
      </c>
      <c r="CK51" s="389">
        <v>0</v>
      </c>
      <c r="CL51" s="389">
        <v>0</v>
      </c>
      <c r="CM51" s="389">
        <v>20</v>
      </c>
      <c r="CN51" s="389">
        <v>392</v>
      </c>
      <c r="CO51" s="389">
        <v>0</v>
      </c>
      <c r="CP51" s="389">
        <v>8</v>
      </c>
      <c r="CQ51" s="389">
        <v>0</v>
      </c>
      <c r="CR51" s="389">
        <v>0</v>
      </c>
      <c r="CS51" s="389">
        <v>960</v>
      </c>
      <c r="CT51" s="389">
        <v>2</v>
      </c>
      <c r="CU51" s="389">
        <v>0</v>
      </c>
      <c r="CV51" s="389">
        <v>6</v>
      </c>
      <c r="CW51" s="389">
        <v>8</v>
      </c>
      <c r="CX51" s="401">
        <v>97.903321769999863</v>
      </c>
      <c r="CY51" s="396">
        <v>0</v>
      </c>
      <c r="CZ51" s="396">
        <v>6040.3554322900009</v>
      </c>
      <c r="DA51" s="402">
        <v>0</v>
      </c>
      <c r="DB51" s="389">
        <v>0</v>
      </c>
      <c r="DC51" s="396">
        <v>0</v>
      </c>
      <c r="DD51" s="403">
        <v>0</v>
      </c>
      <c r="DE51" s="402">
        <v>0</v>
      </c>
      <c r="DF51" s="402">
        <v>0</v>
      </c>
      <c r="DG51" s="402">
        <v>0</v>
      </c>
      <c r="DH51" s="402">
        <v>0.28860245763030323</v>
      </c>
      <c r="DI51" s="402">
        <v>0.7293033769230769</v>
      </c>
      <c r="DJ51" s="402"/>
      <c r="DK51" s="402"/>
      <c r="DL51" s="404"/>
      <c r="DM51" s="404"/>
      <c r="DN51" s="402">
        <v>0.66666666666666663</v>
      </c>
      <c r="DO51" s="402">
        <v>4.1932303559786006E-2</v>
      </c>
      <c r="DP51" s="402">
        <v>1</v>
      </c>
      <c r="DQ51" s="402">
        <v>1</v>
      </c>
      <c r="DR51" s="405">
        <v>0</v>
      </c>
      <c r="DS51" s="405">
        <v>0</v>
      </c>
      <c r="DT51" s="402">
        <v>0</v>
      </c>
      <c r="DU51" s="402">
        <v>4.3290368644545482E-2</v>
      </c>
      <c r="DV51" s="402">
        <v>7.2930337692307695E-2</v>
      </c>
      <c r="DW51" s="402">
        <v>0.11622070633685318</v>
      </c>
      <c r="DX51" s="402">
        <v>6.6666666666666666E-2</v>
      </c>
      <c r="DY51" s="402">
        <v>8.3864607119572016E-3</v>
      </c>
      <c r="DZ51" s="406">
        <v>0.05</v>
      </c>
      <c r="EA51" s="406">
        <v>0.05</v>
      </c>
      <c r="EB51" s="406">
        <v>0.17505312737862389</v>
      </c>
      <c r="EC51" s="407">
        <v>0.29127383371547705</v>
      </c>
      <c r="ED51" s="408" t="s">
        <v>157</v>
      </c>
      <c r="EE51" s="408" t="s">
        <v>156</v>
      </c>
      <c r="EG51" s="389">
        <v>348452.23192783975</v>
      </c>
      <c r="EH51" s="389">
        <v>354966.30838224996</v>
      </c>
      <c r="EI51" s="389">
        <v>355552.55630318995</v>
      </c>
      <c r="EJ51" s="389">
        <v>248370.20499999999</v>
      </c>
      <c r="EK51" s="389">
        <v>250971.10491928991</v>
      </c>
      <c r="EL51" s="389">
        <v>250759.61361473991</v>
      </c>
      <c r="EN51" s="389">
        <v>6</v>
      </c>
      <c r="EO51" s="409">
        <v>602876.18514143024</v>
      </c>
      <c r="EP51" s="409">
        <v>599248.59585513023</v>
      </c>
      <c r="EQ51" s="410">
        <v>604.59821438333404</v>
      </c>
      <c r="ER51" s="404">
        <v>0.1</v>
      </c>
      <c r="ES51" s="404">
        <v>1.2886024576303032</v>
      </c>
      <c r="ET51" s="404">
        <v>0.19329036864454549</v>
      </c>
      <c r="EU51" s="411">
        <v>0.5412738337154771</v>
      </c>
      <c r="EV51" s="412" t="s">
        <v>157</v>
      </c>
      <c r="EW51" s="412" t="s">
        <v>156</v>
      </c>
      <c r="EX51" s="381"/>
      <c r="EY51" s="419" t="s">
        <v>156</v>
      </c>
      <c r="EZ51" s="419" t="s">
        <v>156</v>
      </c>
      <c r="FA51" s="419" t="s">
        <v>156</v>
      </c>
      <c r="FB51" s="419" t="s">
        <v>156</v>
      </c>
      <c r="FC51" s="419" t="s">
        <v>156</v>
      </c>
      <c r="FD51" s="419" t="s">
        <v>156</v>
      </c>
      <c r="FE51" s="419" t="s">
        <v>156</v>
      </c>
      <c r="FF51" s="419" t="s">
        <v>156</v>
      </c>
      <c r="FG51" s="419" t="s">
        <v>156</v>
      </c>
      <c r="FH51" s="419" t="s">
        <v>156</v>
      </c>
      <c r="FI51" s="419">
        <v>0.5412738337154771</v>
      </c>
      <c r="FJ51" s="419"/>
      <c r="FK51" s="407" t="s">
        <v>156</v>
      </c>
      <c r="FL51" s="407" t="s">
        <v>156</v>
      </c>
      <c r="FM51" s="419" t="s">
        <v>156</v>
      </c>
      <c r="FN51" s="419">
        <v>0.5412738337154771</v>
      </c>
      <c r="FO51" s="407">
        <v>0.5412738337154771</v>
      </c>
    </row>
    <row r="52" spans="1:171" hidden="1" outlineLevel="1" x14ac:dyDescent="0.25">
      <c r="A52" s="390" t="s">
        <v>447</v>
      </c>
      <c r="B52" s="390" t="s">
        <v>225</v>
      </c>
      <c r="C52" s="390" t="s">
        <v>226</v>
      </c>
      <c r="D52" s="391" t="s">
        <v>225</v>
      </c>
      <c r="E52" s="390" t="s">
        <v>36</v>
      </c>
      <c r="F52" s="391" t="s">
        <v>154</v>
      </c>
      <c r="G52" s="392">
        <v>1</v>
      </c>
      <c r="H52" s="393">
        <v>34883</v>
      </c>
      <c r="I52" s="393">
        <v>44531</v>
      </c>
      <c r="J52" s="394">
        <v>329</v>
      </c>
      <c r="K52" s="391">
        <v>131</v>
      </c>
      <c r="L52" s="390" t="s">
        <v>228</v>
      </c>
      <c r="M52" s="392" t="s">
        <v>355</v>
      </c>
      <c r="N52" s="395">
        <v>8</v>
      </c>
      <c r="O52" s="395">
        <v>1</v>
      </c>
      <c r="P52" s="395">
        <v>8</v>
      </c>
      <c r="Q52" s="389">
        <v>0</v>
      </c>
      <c r="R52" s="389">
        <v>0</v>
      </c>
      <c r="S52" s="389">
        <v>373865.62999999989</v>
      </c>
      <c r="T52" s="389">
        <v>164292.88800000001</v>
      </c>
      <c r="U52" s="389">
        <v>44547.933085740005</v>
      </c>
      <c r="V52" s="389">
        <v>24641.476708629998</v>
      </c>
      <c r="W52" s="389">
        <v>0</v>
      </c>
      <c r="X52" s="389">
        <v>0</v>
      </c>
      <c r="Y52" s="389">
        <v>413270.37999999989</v>
      </c>
      <c r="Z52" s="389">
        <v>165192.88800000001</v>
      </c>
      <c r="AA52" s="389"/>
      <c r="AB52" s="389"/>
      <c r="AC52" s="389">
        <v>39404.75</v>
      </c>
      <c r="AD52" s="389">
        <v>900</v>
      </c>
      <c r="AE52" s="389">
        <v>4401.9444444444443</v>
      </c>
      <c r="AF52" s="389">
        <v>635.24522569444446</v>
      </c>
      <c r="AG52" s="389">
        <v>4500</v>
      </c>
      <c r="AH52" s="396">
        <v>13.600000000000001</v>
      </c>
      <c r="AI52" s="389">
        <v>2341.8109895833336</v>
      </c>
      <c r="AJ52" s="397">
        <v>0.02</v>
      </c>
      <c r="AK52" s="397">
        <v>0.1</v>
      </c>
      <c r="AL52" s="389">
        <v>346422.43189362169</v>
      </c>
      <c r="AM52" s="389">
        <v>151265.25873701891</v>
      </c>
      <c r="AN52" s="398">
        <v>-27443.1981063782</v>
      </c>
      <c r="AO52" s="398">
        <v>-13027.629262981092</v>
      </c>
      <c r="AP52" s="398">
        <v>0</v>
      </c>
      <c r="AQ52" s="398">
        <v>35458.451041970002</v>
      </c>
      <c r="AR52" s="398">
        <v>0</v>
      </c>
      <c r="AS52" s="398">
        <v>28.875</v>
      </c>
      <c r="AT52" s="398">
        <v>165</v>
      </c>
      <c r="AU52" s="399">
        <v>191</v>
      </c>
      <c r="AV52" s="399">
        <v>15</v>
      </c>
      <c r="AW52" s="399">
        <v>10.8</v>
      </c>
      <c r="AX52" s="399">
        <v>26986.86</v>
      </c>
      <c r="AY52" s="399">
        <v>1560</v>
      </c>
      <c r="AZ52" s="399">
        <v>0</v>
      </c>
      <c r="BA52" s="399">
        <v>0</v>
      </c>
      <c r="BB52" s="399">
        <v>500</v>
      </c>
      <c r="BC52" s="399">
        <v>3820</v>
      </c>
      <c r="BD52" s="399">
        <v>120</v>
      </c>
      <c r="BE52" s="399">
        <v>21.6</v>
      </c>
      <c r="BF52" s="399">
        <v>26.98686</v>
      </c>
      <c r="BG52" s="399">
        <v>156</v>
      </c>
      <c r="BH52" s="399">
        <v>0</v>
      </c>
      <c r="BI52" s="399">
        <v>0</v>
      </c>
      <c r="BJ52" s="399">
        <v>50</v>
      </c>
      <c r="BK52" s="398">
        <v>4194.5868599999994</v>
      </c>
      <c r="BL52" s="389">
        <v>71</v>
      </c>
      <c r="BM52" s="389">
        <v>0</v>
      </c>
      <c r="BN52" s="395">
        <v>103</v>
      </c>
      <c r="BO52" s="395">
        <v>2</v>
      </c>
      <c r="BP52" s="395">
        <v>0</v>
      </c>
      <c r="BQ52" s="389">
        <v>2</v>
      </c>
      <c r="BR52" s="389">
        <v>0</v>
      </c>
      <c r="BS52" s="389">
        <v>28.875</v>
      </c>
      <c r="BT52" s="389">
        <v>0</v>
      </c>
      <c r="BU52" s="389">
        <v>20</v>
      </c>
      <c r="BV52" s="389">
        <v>0</v>
      </c>
      <c r="BW52" s="389">
        <v>5</v>
      </c>
      <c r="BX52" s="389">
        <v>9</v>
      </c>
      <c r="BY52" s="389">
        <v>149</v>
      </c>
      <c r="BZ52" s="389">
        <v>4</v>
      </c>
      <c r="CA52" s="400">
        <v>1</v>
      </c>
      <c r="CB52" s="400">
        <v>0</v>
      </c>
      <c r="CC52" s="400">
        <v>0</v>
      </c>
      <c r="CD52" s="389">
        <v>710</v>
      </c>
      <c r="CE52" s="389">
        <v>0</v>
      </c>
      <c r="CF52" s="389">
        <v>1030</v>
      </c>
      <c r="CG52" s="389">
        <v>20</v>
      </c>
      <c r="CH52" s="389">
        <v>0</v>
      </c>
      <c r="CI52" s="389">
        <v>20</v>
      </c>
      <c r="CJ52" s="389">
        <v>8.6624999999999996</v>
      </c>
      <c r="CK52" s="389">
        <v>16</v>
      </c>
      <c r="CL52" s="389">
        <v>250</v>
      </c>
      <c r="CM52" s="389">
        <v>180</v>
      </c>
      <c r="CN52" s="389">
        <v>596</v>
      </c>
      <c r="CO52" s="389">
        <v>80</v>
      </c>
      <c r="CP52" s="389">
        <v>4</v>
      </c>
      <c r="CQ52" s="389">
        <v>0</v>
      </c>
      <c r="CR52" s="389">
        <v>0</v>
      </c>
      <c r="CS52" s="389">
        <v>2914.6624999999999</v>
      </c>
      <c r="CT52" s="389">
        <v>7</v>
      </c>
      <c r="CU52" s="389">
        <v>0</v>
      </c>
      <c r="CV52" s="389">
        <v>7</v>
      </c>
      <c r="CW52" s="389">
        <v>14</v>
      </c>
      <c r="CX52" s="401">
        <v>106.65829302999998</v>
      </c>
      <c r="CY52" s="396">
        <v>0</v>
      </c>
      <c r="CZ52" s="396">
        <v>23903.295646490005</v>
      </c>
      <c r="DA52" s="402">
        <v>0</v>
      </c>
      <c r="DB52" s="389">
        <v>0</v>
      </c>
      <c r="DC52" s="396">
        <v>371.73787772999998</v>
      </c>
      <c r="DD52" s="403">
        <v>0</v>
      </c>
      <c r="DE52" s="402">
        <v>0</v>
      </c>
      <c r="DF52" s="402">
        <v>0</v>
      </c>
      <c r="DG52" s="402">
        <v>6.559601186344419E-3</v>
      </c>
      <c r="DH52" s="402">
        <v>0.25974221186727292</v>
      </c>
      <c r="DI52" s="402">
        <v>1.579833191111111</v>
      </c>
      <c r="DJ52" s="402"/>
      <c r="DK52" s="402"/>
      <c r="DL52" s="404"/>
      <c r="DM52" s="404"/>
      <c r="DN52" s="402">
        <v>1.0294117647058822</v>
      </c>
      <c r="DO52" s="402">
        <v>4.5545218424727411E-2</v>
      </c>
      <c r="DP52" s="402">
        <v>1</v>
      </c>
      <c r="DQ52" s="402">
        <v>1</v>
      </c>
      <c r="DR52" s="405">
        <v>0</v>
      </c>
      <c r="DS52" s="405">
        <v>0</v>
      </c>
      <c r="DT52" s="402">
        <v>9.8394017795166273E-4</v>
      </c>
      <c r="DU52" s="402">
        <v>3.8961331780090938E-2</v>
      </c>
      <c r="DV52" s="402">
        <v>0.1579833191111111</v>
      </c>
      <c r="DW52" s="402">
        <v>0.1979285910691537</v>
      </c>
      <c r="DX52" s="402">
        <v>0.10294117647058823</v>
      </c>
      <c r="DY52" s="402">
        <v>9.109043684945483E-3</v>
      </c>
      <c r="DZ52" s="406">
        <v>0.05</v>
      </c>
      <c r="EA52" s="406">
        <v>0.05</v>
      </c>
      <c r="EB52" s="406">
        <v>0.21205022015553371</v>
      </c>
      <c r="EC52" s="407">
        <v>0.40997881122468738</v>
      </c>
      <c r="ED52" s="408" t="s">
        <v>157</v>
      </c>
      <c r="EE52" s="408" t="s">
        <v>156</v>
      </c>
      <c r="EG52" s="389">
        <v>346635.85355523013</v>
      </c>
      <c r="EH52" s="389">
        <v>349313.98036617733</v>
      </c>
      <c r="EI52" s="389">
        <v>351867.00106637698</v>
      </c>
      <c r="EJ52" s="389">
        <v>149052.93987999993</v>
      </c>
      <c r="EK52" s="389">
        <v>158218.63731729996</v>
      </c>
      <c r="EL52" s="389">
        <v>159281.28399749997</v>
      </c>
      <c r="EN52" s="389">
        <v>9</v>
      </c>
      <c r="EO52" s="409">
        <v>497687.6906306406</v>
      </c>
      <c r="EP52" s="409">
        <v>494262.17007063207</v>
      </c>
      <c r="EQ52" s="410">
        <v>380.61339555650352</v>
      </c>
      <c r="ER52" s="404">
        <v>0</v>
      </c>
      <c r="ES52" s="404">
        <v>1.259742211867273</v>
      </c>
      <c r="ET52" s="404">
        <v>0.18896133178009095</v>
      </c>
      <c r="EU52" s="411">
        <v>0.55997881122468729</v>
      </c>
      <c r="EV52" s="412" t="s">
        <v>157</v>
      </c>
      <c r="EW52" s="412" t="s">
        <v>156</v>
      </c>
      <c r="EX52" s="381"/>
      <c r="EY52" s="419">
        <v>0.64775981833328211</v>
      </c>
      <c r="EZ52" s="419">
        <v>0.56712076213260287</v>
      </c>
      <c r="FA52" s="419">
        <v>0.54933182846293638</v>
      </c>
      <c r="FB52" s="419">
        <v>1.042604908531376</v>
      </c>
      <c r="FC52" s="419">
        <v>0.79252926916631572</v>
      </c>
      <c r="FD52" s="419">
        <v>0.8199044491008245</v>
      </c>
      <c r="FE52" s="419">
        <v>0.80756065141905364</v>
      </c>
      <c r="FF52" s="419">
        <v>0.61011430905874309</v>
      </c>
      <c r="FG52" s="419">
        <v>0.58276709493785905</v>
      </c>
      <c r="FH52" s="419">
        <v>0.51940137923372487</v>
      </c>
      <c r="FI52" s="419">
        <v>0.55997881122468729</v>
      </c>
      <c r="FJ52" s="419"/>
      <c r="FK52" s="407">
        <v>0.5880708029762739</v>
      </c>
      <c r="FL52" s="407">
        <v>0.88501287559950548</v>
      </c>
      <c r="FM52" s="419">
        <v>0.66681401847188526</v>
      </c>
      <c r="FN52" s="419">
        <v>0.53969009522920608</v>
      </c>
      <c r="FO52" s="407">
        <v>0.68173393469103682</v>
      </c>
    </row>
    <row r="53" spans="1:171" hidden="1" outlineLevel="1" x14ac:dyDescent="0.25">
      <c r="A53" s="390" t="s">
        <v>447</v>
      </c>
      <c r="B53" s="390" t="s">
        <v>309</v>
      </c>
      <c r="C53" s="390" t="s">
        <v>310</v>
      </c>
      <c r="D53" s="391" t="s">
        <v>309</v>
      </c>
      <c r="E53" s="390" t="s">
        <v>36</v>
      </c>
      <c r="F53" s="391" t="s">
        <v>154</v>
      </c>
      <c r="G53" s="392">
        <v>1</v>
      </c>
      <c r="H53" s="393">
        <v>38100</v>
      </c>
      <c r="I53" s="393">
        <v>44166</v>
      </c>
      <c r="J53" s="394">
        <v>224</v>
      </c>
      <c r="K53" s="391">
        <v>161</v>
      </c>
      <c r="L53" s="390" t="s">
        <v>229</v>
      </c>
      <c r="M53" s="392" t="s">
        <v>355</v>
      </c>
      <c r="N53" s="395">
        <v>6</v>
      </c>
      <c r="O53" s="395">
        <v>1</v>
      </c>
      <c r="P53" s="395">
        <v>9</v>
      </c>
      <c r="Q53" s="389">
        <v>0</v>
      </c>
      <c r="R53" s="389">
        <v>0</v>
      </c>
      <c r="S53" s="389">
        <v>299432.3820000001</v>
      </c>
      <c r="T53" s="389">
        <v>123075.35599999999</v>
      </c>
      <c r="U53" s="389">
        <v>29573.556320370008</v>
      </c>
      <c r="V53" s="389">
        <v>32097.308499520004</v>
      </c>
      <c r="W53" s="389">
        <v>0</v>
      </c>
      <c r="X53" s="389">
        <v>0</v>
      </c>
      <c r="Y53" s="389">
        <v>322771.6320000001</v>
      </c>
      <c r="Z53" s="389">
        <v>123475.35599999999</v>
      </c>
      <c r="AA53" s="389"/>
      <c r="AB53" s="389"/>
      <c r="AC53" s="389">
        <v>23339.25</v>
      </c>
      <c r="AD53" s="389">
        <v>400</v>
      </c>
      <c r="AE53" s="389">
        <v>3747.8819444444443</v>
      </c>
      <c r="AF53" s="389">
        <v>658.34505208333337</v>
      </c>
      <c r="AG53" s="389">
        <v>3000</v>
      </c>
      <c r="AH53" s="396">
        <v>12.8</v>
      </c>
      <c r="AI53" s="389">
        <v>1549.7377083333336</v>
      </c>
      <c r="AJ53" s="397">
        <v>0.02</v>
      </c>
      <c r="AK53" s="397">
        <v>0.1</v>
      </c>
      <c r="AL53" s="389">
        <v>276390.72541355272</v>
      </c>
      <c r="AM53" s="389">
        <v>77313.841311128286</v>
      </c>
      <c r="AN53" s="398">
        <v>-23041.656586447381</v>
      </c>
      <c r="AO53" s="398">
        <v>-45761.514688871699</v>
      </c>
      <c r="AP53" s="398">
        <v>0</v>
      </c>
      <c r="AQ53" s="398">
        <v>59047.452139040011</v>
      </c>
      <c r="AR53" s="398">
        <v>0</v>
      </c>
      <c r="AS53" s="398">
        <v>1400</v>
      </c>
      <c r="AT53" s="398">
        <v>75</v>
      </c>
      <c r="AU53" s="399">
        <v>45</v>
      </c>
      <c r="AV53" s="399">
        <v>0</v>
      </c>
      <c r="AW53" s="399">
        <v>0</v>
      </c>
      <c r="AX53" s="399">
        <v>0</v>
      </c>
      <c r="AY53" s="399">
        <v>0</v>
      </c>
      <c r="AZ53" s="399">
        <v>0</v>
      </c>
      <c r="BA53" s="399">
        <v>0</v>
      </c>
      <c r="BB53" s="399">
        <v>0.3</v>
      </c>
      <c r="BC53" s="399">
        <v>900</v>
      </c>
      <c r="BD53" s="399">
        <v>0</v>
      </c>
      <c r="BE53" s="399">
        <v>0</v>
      </c>
      <c r="BF53" s="399">
        <v>0</v>
      </c>
      <c r="BG53" s="399">
        <v>0</v>
      </c>
      <c r="BH53" s="399">
        <v>0</v>
      </c>
      <c r="BI53" s="399">
        <v>0</v>
      </c>
      <c r="BJ53" s="399">
        <v>0.03</v>
      </c>
      <c r="BK53" s="398">
        <v>900.03</v>
      </c>
      <c r="BL53" s="389">
        <v>27</v>
      </c>
      <c r="BM53" s="389">
        <v>1</v>
      </c>
      <c r="BN53" s="395">
        <v>32</v>
      </c>
      <c r="BO53" s="395">
        <v>0</v>
      </c>
      <c r="BP53" s="395">
        <v>0</v>
      </c>
      <c r="BQ53" s="389">
        <v>27</v>
      </c>
      <c r="BR53" s="389">
        <v>0</v>
      </c>
      <c r="BS53" s="389">
        <v>1400</v>
      </c>
      <c r="BT53" s="389">
        <v>0</v>
      </c>
      <c r="BU53" s="389">
        <v>0</v>
      </c>
      <c r="BV53" s="389">
        <v>0</v>
      </c>
      <c r="BW53" s="389">
        <v>0</v>
      </c>
      <c r="BX53" s="389">
        <v>2</v>
      </c>
      <c r="BY53" s="389">
        <v>125</v>
      </c>
      <c r="BZ53" s="389">
        <v>0</v>
      </c>
      <c r="CA53" s="400">
        <v>0</v>
      </c>
      <c r="CB53" s="400">
        <v>0</v>
      </c>
      <c r="CC53" s="400">
        <v>0</v>
      </c>
      <c r="CD53" s="389">
        <v>270</v>
      </c>
      <c r="CE53" s="389">
        <v>2</v>
      </c>
      <c r="CF53" s="389">
        <v>320</v>
      </c>
      <c r="CG53" s="389">
        <v>0</v>
      </c>
      <c r="CH53" s="389">
        <v>0</v>
      </c>
      <c r="CI53" s="389">
        <v>270</v>
      </c>
      <c r="CJ53" s="389">
        <v>420</v>
      </c>
      <c r="CK53" s="389">
        <v>0</v>
      </c>
      <c r="CL53" s="389">
        <v>0</v>
      </c>
      <c r="CM53" s="389">
        <v>40</v>
      </c>
      <c r="CN53" s="389">
        <v>500</v>
      </c>
      <c r="CO53" s="389">
        <v>0</v>
      </c>
      <c r="CP53" s="389">
        <v>0</v>
      </c>
      <c r="CQ53" s="389">
        <v>0</v>
      </c>
      <c r="CR53" s="389">
        <v>0</v>
      </c>
      <c r="CS53" s="389">
        <v>1822</v>
      </c>
      <c r="CT53" s="389">
        <v>0</v>
      </c>
      <c r="CU53" s="389">
        <v>0</v>
      </c>
      <c r="CV53" s="389">
        <v>6</v>
      </c>
      <c r="CW53" s="389">
        <v>6</v>
      </c>
      <c r="CX53" s="401">
        <v>116.57452480000001</v>
      </c>
      <c r="CY53" s="396">
        <v>1285.6030427400001</v>
      </c>
      <c r="CZ53" s="396">
        <v>40677.187947569997</v>
      </c>
      <c r="DA53" s="402">
        <v>3.1605012725979265E-2</v>
      </c>
      <c r="DB53" s="389">
        <v>0</v>
      </c>
      <c r="DC53" s="396">
        <v>330.71410470000006</v>
      </c>
      <c r="DD53" s="403">
        <v>0</v>
      </c>
      <c r="DE53" s="402">
        <v>0</v>
      </c>
      <c r="DF53" s="402">
        <v>0</v>
      </c>
      <c r="DG53" s="402">
        <v>0.37354431669739391</v>
      </c>
      <c r="DH53" s="402">
        <v>0.11392202274880391</v>
      </c>
      <c r="DI53" s="402">
        <v>0.90734333333333328</v>
      </c>
      <c r="DJ53" s="402"/>
      <c r="DK53" s="402"/>
      <c r="DL53" s="404"/>
      <c r="DM53" s="404"/>
      <c r="DN53" s="402">
        <v>0.46875</v>
      </c>
      <c r="DO53" s="402">
        <v>7.5222099954817614E-2</v>
      </c>
      <c r="DP53" s="402">
        <v>0.63281100923462164</v>
      </c>
      <c r="DQ53" s="402">
        <v>1</v>
      </c>
      <c r="DR53" s="405">
        <v>0</v>
      </c>
      <c r="DS53" s="405">
        <v>0</v>
      </c>
      <c r="DT53" s="402">
        <v>5.6031647504609088E-2</v>
      </c>
      <c r="DU53" s="402">
        <v>1.7088303412320587E-2</v>
      </c>
      <c r="DV53" s="402">
        <v>9.0734333333333334E-2</v>
      </c>
      <c r="DW53" s="402">
        <v>0.16385428425026299</v>
      </c>
      <c r="DX53" s="402">
        <v>4.6875E-2</v>
      </c>
      <c r="DY53" s="402">
        <v>1.5044419990963523E-2</v>
      </c>
      <c r="DZ53" s="406">
        <v>3.164055046173108E-2</v>
      </c>
      <c r="EA53" s="406">
        <v>0.05</v>
      </c>
      <c r="EB53" s="406">
        <v>0.14355997045269459</v>
      </c>
      <c r="EC53" s="407">
        <v>0.30741425470295758</v>
      </c>
      <c r="ED53" s="408" t="s">
        <v>157</v>
      </c>
      <c r="EE53" s="408" t="s">
        <v>156</v>
      </c>
      <c r="EG53" s="389">
        <v>274632.10929951206</v>
      </c>
      <c r="EH53" s="389">
        <v>277940.06720178423</v>
      </c>
      <c r="EI53" s="389">
        <v>282360.83656784415</v>
      </c>
      <c r="EJ53" s="389">
        <v>76267.156849999999</v>
      </c>
      <c r="EK53" s="389">
        <v>77657.799645150022</v>
      </c>
      <c r="EL53" s="389">
        <v>77730.20434500002</v>
      </c>
      <c r="EN53" s="389">
        <v>4</v>
      </c>
      <c r="EO53" s="409">
        <v>353704.566724681</v>
      </c>
      <c r="EP53" s="409">
        <v>360726.18306363875</v>
      </c>
      <c r="EQ53" s="410">
        <v>-1755.4040847394353</v>
      </c>
      <c r="ER53" s="404">
        <v>0</v>
      </c>
      <c r="ES53" s="404">
        <v>1.1139220227488038</v>
      </c>
      <c r="ET53" s="404">
        <v>0.16708830341232056</v>
      </c>
      <c r="EU53" s="411">
        <v>0.45741425470295755</v>
      </c>
      <c r="EV53" s="412" t="s">
        <v>157</v>
      </c>
      <c r="EW53" s="412" t="s">
        <v>156</v>
      </c>
      <c r="EX53" s="381"/>
      <c r="EY53" s="419">
        <v>0.49249318214550553</v>
      </c>
      <c r="EZ53" s="419">
        <v>1.0259968535469106</v>
      </c>
      <c r="FA53" s="419">
        <v>0.50532097426050315</v>
      </c>
      <c r="FB53" s="419">
        <v>0.5279818680973456</v>
      </c>
      <c r="FC53" s="419">
        <v>0.4407617363880143</v>
      </c>
      <c r="FD53" s="419">
        <v>0.58217149911873345</v>
      </c>
      <c r="FE53" s="419">
        <v>0.60482614811030322</v>
      </c>
      <c r="FF53" s="419">
        <v>0.60921783922235817</v>
      </c>
      <c r="FG53" s="419">
        <v>0.44515659730916651</v>
      </c>
      <c r="FH53" s="419">
        <v>0.4733832144140494</v>
      </c>
      <c r="FI53" s="419">
        <v>0.45741425470295755</v>
      </c>
      <c r="FJ53" s="419"/>
      <c r="FK53" s="407">
        <v>0.67460366998430643</v>
      </c>
      <c r="FL53" s="407">
        <v>0.51697170120136449</v>
      </c>
      <c r="FM53" s="419">
        <v>0.55306686154727591</v>
      </c>
      <c r="FN53" s="419">
        <v>0.46539873455850345</v>
      </c>
      <c r="FO53" s="407">
        <v>0.56042946975598618</v>
      </c>
    </row>
    <row r="54" spans="1:171" hidden="1" outlineLevel="1" x14ac:dyDescent="0.25">
      <c r="A54" s="390" t="s">
        <v>447</v>
      </c>
      <c r="B54" s="390" t="s">
        <v>198</v>
      </c>
      <c r="C54" s="390" t="s">
        <v>199</v>
      </c>
      <c r="D54" s="391" t="s">
        <v>198</v>
      </c>
      <c r="E54" s="390" t="s">
        <v>36</v>
      </c>
      <c r="F54" s="391" t="s">
        <v>154</v>
      </c>
      <c r="G54" s="392">
        <v>1</v>
      </c>
      <c r="H54" s="393">
        <v>43822</v>
      </c>
      <c r="I54" s="393">
        <v>43822</v>
      </c>
      <c r="J54" s="394">
        <v>36</v>
      </c>
      <c r="K54" s="391">
        <v>341</v>
      </c>
      <c r="L54" s="390" t="s">
        <v>200</v>
      </c>
      <c r="M54" s="392" t="s">
        <v>355</v>
      </c>
      <c r="N54" s="395">
        <v>4</v>
      </c>
      <c r="O54" s="395">
        <v>0</v>
      </c>
      <c r="P54" s="395">
        <v>4</v>
      </c>
      <c r="Q54" s="389">
        <v>0</v>
      </c>
      <c r="R54" s="389">
        <v>0</v>
      </c>
      <c r="S54" s="389">
        <v>195982.39149999997</v>
      </c>
      <c r="T54" s="389">
        <v>48262.373</v>
      </c>
      <c r="U54" s="389">
        <v>102181.21794979999</v>
      </c>
      <c r="V54" s="389">
        <v>9283.8909531499994</v>
      </c>
      <c r="W54" s="389">
        <v>0</v>
      </c>
      <c r="X54" s="389">
        <v>0</v>
      </c>
      <c r="Y54" s="389">
        <v>212364.14149999997</v>
      </c>
      <c r="Z54" s="389">
        <v>48562.373</v>
      </c>
      <c r="AA54" s="389"/>
      <c r="AB54" s="389"/>
      <c r="AC54" s="389">
        <v>16381.75</v>
      </c>
      <c r="AD54" s="389">
        <v>300</v>
      </c>
      <c r="AE54" s="389">
        <v>887.65625</v>
      </c>
      <c r="AF54" s="389">
        <v>242.54817708333334</v>
      </c>
      <c r="AG54" s="389">
        <v>2100</v>
      </c>
      <c r="AH54" s="396">
        <v>6.4</v>
      </c>
      <c r="AI54" s="389">
        <v>534.03125</v>
      </c>
      <c r="AJ54" s="397">
        <v>0.02</v>
      </c>
      <c r="AK54" s="397">
        <v>0.1</v>
      </c>
      <c r="AL54" s="389">
        <v>246940.99557598724</v>
      </c>
      <c r="AM54" s="389">
        <v>41373.869997023379</v>
      </c>
      <c r="AN54" s="398">
        <v>50958.60407598727</v>
      </c>
      <c r="AO54" s="398">
        <v>-6888.5030029766203</v>
      </c>
      <c r="AP54" s="398">
        <v>18195.10407598727</v>
      </c>
      <c r="AQ54" s="398">
        <v>17050.24585453</v>
      </c>
      <c r="AR54" s="398">
        <v>9460</v>
      </c>
      <c r="AS54" s="398">
        <v>0</v>
      </c>
      <c r="AT54" s="398">
        <v>50</v>
      </c>
      <c r="AU54" s="399">
        <v>32</v>
      </c>
      <c r="AV54" s="399">
        <v>12</v>
      </c>
      <c r="AW54" s="399">
        <v>14.4</v>
      </c>
      <c r="AX54" s="399">
        <v>12525.15</v>
      </c>
      <c r="AY54" s="399">
        <v>0</v>
      </c>
      <c r="AZ54" s="399">
        <v>0</v>
      </c>
      <c r="BA54" s="399">
        <v>0</v>
      </c>
      <c r="BB54" s="399">
        <v>0</v>
      </c>
      <c r="BC54" s="399">
        <v>640</v>
      </c>
      <c r="BD54" s="399">
        <v>96</v>
      </c>
      <c r="BE54" s="399">
        <v>28.8</v>
      </c>
      <c r="BF54" s="399">
        <v>12.52515</v>
      </c>
      <c r="BG54" s="399">
        <v>0</v>
      </c>
      <c r="BH54" s="399">
        <v>0</v>
      </c>
      <c r="BI54" s="399">
        <v>0</v>
      </c>
      <c r="BJ54" s="399">
        <v>0</v>
      </c>
      <c r="BK54" s="398">
        <v>777.32515000000001</v>
      </c>
      <c r="BL54" s="389">
        <v>91</v>
      </c>
      <c r="BM54" s="389">
        <v>0</v>
      </c>
      <c r="BN54" s="395">
        <v>38</v>
      </c>
      <c r="BO54" s="395">
        <v>0</v>
      </c>
      <c r="BP54" s="395">
        <v>0</v>
      </c>
      <c r="BQ54" s="389">
        <v>3</v>
      </c>
      <c r="BR54" s="389">
        <v>9460</v>
      </c>
      <c r="BS54" s="389">
        <v>0</v>
      </c>
      <c r="BT54" s="389">
        <v>115.273363</v>
      </c>
      <c r="BU54" s="389">
        <v>0</v>
      </c>
      <c r="BV54" s="389">
        <v>0</v>
      </c>
      <c r="BW54" s="389">
        <v>0</v>
      </c>
      <c r="BX54" s="389">
        <v>1</v>
      </c>
      <c r="BY54" s="389">
        <v>204</v>
      </c>
      <c r="BZ54" s="389">
        <v>1</v>
      </c>
      <c r="CA54" s="400">
        <v>0</v>
      </c>
      <c r="CB54" s="400">
        <v>0</v>
      </c>
      <c r="CC54" s="400">
        <v>0</v>
      </c>
      <c r="CD54" s="389">
        <v>910</v>
      </c>
      <c r="CE54" s="389">
        <v>0</v>
      </c>
      <c r="CF54" s="389">
        <v>380</v>
      </c>
      <c r="CG54" s="389">
        <v>0</v>
      </c>
      <c r="CH54" s="389">
        <v>0</v>
      </c>
      <c r="CI54" s="389">
        <v>30</v>
      </c>
      <c r="CJ54" s="389">
        <v>2838</v>
      </c>
      <c r="CK54" s="389">
        <v>46.1093452</v>
      </c>
      <c r="CL54" s="389">
        <v>0</v>
      </c>
      <c r="CM54" s="389">
        <v>20</v>
      </c>
      <c r="CN54" s="389">
        <v>816</v>
      </c>
      <c r="CO54" s="389">
        <v>20</v>
      </c>
      <c r="CP54" s="389">
        <v>0</v>
      </c>
      <c r="CQ54" s="389">
        <v>0</v>
      </c>
      <c r="CR54" s="389">
        <v>0</v>
      </c>
      <c r="CS54" s="389">
        <v>5060.1093451999996</v>
      </c>
      <c r="CT54" s="389">
        <v>3</v>
      </c>
      <c r="CU54" s="389">
        <v>0</v>
      </c>
      <c r="CV54" s="389">
        <v>4</v>
      </c>
      <c r="CW54" s="389">
        <v>7</v>
      </c>
      <c r="CX54" s="401">
        <v>2793.1463831569145</v>
      </c>
      <c r="CY54" s="396">
        <v>0</v>
      </c>
      <c r="CZ54" s="396">
        <v>4898.6563479899996</v>
      </c>
      <c r="DA54" s="402">
        <v>0</v>
      </c>
      <c r="DB54" s="389">
        <v>0</v>
      </c>
      <c r="DC54" s="396">
        <v>0</v>
      </c>
      <c r="DD54" s="403">
        <v>0</v>
      </c>
      <c r="DE54" s="402">
        <v>2</v>
      </c>
      <c r="DF54" s="402">
        <v>1</v>
      </c>
      <c r="DG54" s="402">
        <v>2</v>
      </c>
      <c r="DH54" s="402">
        <v>0.20614461259307373</v>
      </c>
      <c r="DI54" s="402">
        <v>2</v>
      </c>
      <c r="DJ54" s="402"/>
      <c r="DK54" s="402"/>
      <c r="DL54" s="404"/>
      <c r="DM54" s="404"/>
      <c r="DN54" s="402">
        <v>1.09375</v>
      </c>
      <c r="DO54" s="402">
        <v>1.3</v>
      </c>
      <c r="DP54" s="402">
        <v>1</v>
      </c>
      <c r="DQ54" s="402">
        <v>1</v>
      </c>
      <c r="DR54" s="405">
        <v>0.3</v>
      </c>
      <c r="DS54" s="405">
        <v>0.05</v>
      </c>
      <c r="DT54" s="402">
        <v>0.3</v>
      </c>
      <c r="DU54" s="402">
        <v>3.0921691888961059E-2</v>
      </c>
      <c r="DV54" s="402">
        <v>0.2</v>
      </c>
      <c r="DW54" s="402">
        <v>0.88092169188896108</v>
      </c>
      <c r="DX54" s="402">
        <v>0.109375</v>
      </c>
      <c r="DY54" s="402">
        <v>0.26</v>
      </c>
      <c r="DZ54" s="406">
        <v>0.05</v>
      </c>
      <c r="EA54" s="406">
        <v>0.05</v>
      </c>
      <c r="EB54" s="406">
        <v>0.46937499999999999</v>
      </c>
      <c r="EC54" s="407">
        <v>1.350296691888961</v>
      </c>
      <c r="ED54" s="408" t="s">
        <v>520</v>
      </c>
      <c r="EE54" s="408" t="s">
        <v>29</v>
      </c>
      <c r="EG54" s="389">
        <v>248388.40607500999</v>
      </c>
      <c r="EH54" s="389">
        <v>252022.90332009018</v>
      </c>
      <c r="EI54" s="389">
        <v>257315.60065025007</v>
      </c>
      <c r="EJ54" s="389">
        <v>43153.651479999993</v>
      </c>
      <c r="EK54" s="389">
        <v>39996.633832259999</v>
      </c>
      <c r="EL54" s="389">
        <v>39606.637315900007</v>
      </c>
      <c r="EN54" s="389">
        <v>3</v>
      </c>
      <c r="EO54" s="409">
        <v>288314.86557301064</v>
      </c>
      <c r="EP54" s="409">
        <v>271886.30747790152</v>
      </c>
      <c r="EQ54" s="410">
        <v>5476.1860317030414</v>
      </c>
      <c r="ER54" s="404">
        <v>0.35</v>
      </c>
      <c r="ES54" s="404">
        <v>1.2061446125930737</v>
      </c>
      <c r="ET54" s="404">
        <v>0.18092169188896104</v>
      </c>
      <c r="EU54" s="411">
        <v>1.8502966918889612</v>
      </c>
      <c r="EV54" s="412" t="s">
        <v>521</v>
      </c>
      <c r="EW54" s="412" t="s">
        <v>30</v>
      </c>
      <c r="EX54" s="381"/>
      <c r="EY54" s="419">
        <v>1.1599253378928513</v>
      </c>
      <c r="EZ54" s="419">
        <v>1.1620719752483308</v>
      </c>
      <c r="FA54" s="419">
        <v>1.0867653057289046</v>
      </c>
      <c r="FB54" s="419">
        <v>1.1129411508130365</v>
      </c>
      <c r="FC54" s="419">
        <v>1.0874962488659361</v>
      </c>
      <c r="FD54" s="419">
        <v>1.1325828832309628</v>
      </c>
      <c r="FE54" s="419">
        <v>1.36841104809695</v>
      </c>
      <c r="FF54" s="419">
        <v>1.3703659972782467</v>
      </c>
      <c r="FG54" s="419">
        <v>1.0498881539632827</v>
      </c>
      <c r="FH54" s="419">
        <v>1.0307046663765154</v>
      </c>
      <c r="FI54" s="419">
        <v>1.8502966918889612</v>
      </c>
      <c r="FJ54" s="419"/>
      <c r="FK54" s="407">
        <v>1.1362542062900289</v>
      </c>
      <c r="FL54" s="407">
        <v>1.1110067609699785</v>
      </c>
      <c r="FM54" s="419">
        <v>1.2628883997794931</v>
      </c>
      <c r="FN54" s="419">
        <v>1.4405006791327382</v>
      </c>
      <c r="FO54" s="407">
        <v>1.2192226781258162</v>
      </c>
    </row>
    <row r="55" spans="1:171" hidden="1" outlineLevel="1" x14ac:dyDescent="0.25">
      <c r="A55" s="390" t="s">
        <v>251</v>
      </c>
      <c r="B55" s="390" t="s">
        <v>265</v>
      </c>
      <c r="C55" s="390" t="s">
        <v>266</v>
      </c>
      <c r="D55" s="391" t="s">
        <v>265</v>
      </c>
      <c r="E55" s="390" t="s">
        <v>36</v>
      </c>
      <c r="F55" s="391" t="s">
        <v>154</v>
      </c>
      <c r="G55" s="392">
        <v>1</v>
      </c>
      <c r="H55" s="393">
        <v>43363</v>
      </c>
      <c r="I55" s="393">
        <v>44348</v>
      </c>
      <c r="J55" s="394">
        <v>51</v>
      </c>
      <c r="K55" s="391">
        <v>811</v>
      </c>
      <c r="L55" s="390" t="s">
        <v>255</v>
      </c>
      <c r="M55" s="392" t="s">
        <v>355</v>
      </c>
      <c r="N55" s="395">
        <v>3</v>
      </c>
      <c r="O55" s="395">
        <v>0</v>
      </c>
      <c r="P55" s="395">
        <v>7</v>
      </c>
      <c r="Q55" s="389">
        <v>0</v>
      </c>
      <c r="R55" s="389">
        <v>0</v>
      </c>
      <c r="S55" s="389">
        <v>188950.03949999993</v>
      </c>
      <c r="T55" s="389">
        <v>72845.914000000004</v>
      </c>
      <c r="U55" s="389">
        <v>71908.262380119995</v>
      </c>
      <c r="V55" s="389">
        <v>43375.553732319997</v>
      </c>
      <c r="W55" s="389">
        <v>0</v>
      </c>
      <c r="X55" s="389">
        <v>0</v>
      </c>
      <c r="Y55" s="389">
        <v>209316.53949999993</v>
      </c>
      <c r="Z55" s="389">
        <v>73245.914000000004</v>
      </c>
      <c r="AA55" s="389"/>
      <c r="AB55" s="389"/>
      <c r="AC55" s="389">
        <v>20366.5</v>
      </c>
      <c r="AD55" s="389">
        <v>400</v>
      </c>
      <c r="AE55" s="389">
        <v>0</v>
      </c>
      <c r="AF55" s="389">
        <v>554.39583333333337</v>
      </c>
      <c r="AG55" s="389">
        <v>1800</v>
      </c>
      <c r="AH55" s="396">
        <v>8</v>
      </c>
      <c r="AI55" s="389">
        <v>1044.3998437499999</v>
      </c>
      <c r="AJ55" s="397">
        <v>0.02</v>
      </c>
      <c r="AK55" s="397">
        <v>0.1</v>
      </c>
      <c r="AL55" s="389">
        <v>195988.31643469303</v>
      </c>
      <c r="AM55" s="389">
        <v>78273.747808195971</v>
      </c>
      <c r="AN55" s="398">
        <v>7038.2769346931018</v>
      </c>
      <c r="AO55" s="398">
        <v>5427.8338081959664</v>
      </c>
      <c r="AP55" s="398">
        <v>0</v>
      </c>
      <c r="AQ55" s="398">
        <v>64226.378649669998</v>
      </c>
      <c r="AR55" s="398">
        <v>0</v>
      </c>
      <c r="AS55" s="398">
        <v>0</v>
      </c>
      <c r="AT55" s="398">
        <v>45</v>
      </c>
      <c r="AU55" s="399">
        <v>217</v>
      </c>
      <c r="AV55" s="399">
        <v>12</v>
      </c>
      <c r="AW55" s="399">
        <v>4.2</v>
      </c>
      <c r="AX55" s="399">
        <v>0</v>
      </c>
      <c r="AY55" s="399">
        <v>20</v>
      </c>
      <c r="AZ55" s="399">
        <v>0</v>
      </c>
      <c r="BA55" s="399">
        <v>0</v>
      </c>
      <c r="BB55" s="399">
        <v>0</v>
      </c>
      <c r="BC55" s="399">
        <v>4340</v>
      </c>
      <c r="BD55" s="399">
        <v>96</v>
      </c>
      <c r="BE55" s="399">
        <v>8.4</v>
      </c>
      <c r="BF55" s="399">
        <v>0</v>
      </c>
      <c r="BG55" s="399">
        <v>2</v>
      </c>
      <c r="BH55" s="399">
        <v>0</v>
      </c>
      <c r="BI55" s="399">
        <v>0</v>
      </c>
      <c r="BJ55" s="399">
        <v>0</v>
      </c>
      <c r="BK55" s="398">
        <v>4446.3999999999996</v>
      </c>
      <c r="BL55" s="389">
        <v>49</v>
      </c>
      <c r="BM55" s="389">
        <v>21</v>
      </c>
      <c r="BN55" s="395">
        <v>54</v>
      </c>
      <c r="BO55" s="395">
        <v>0</v>
      </c>
      <c r="BP55" s="395">
        <v>0</v>
      </c>
      <c r="BQ55" s="389">
        <v>47</v>
      </c>
      <c r="BR55" s="389">
        <v>0</v>
      </c>
      <c r="BS55" s="389">
        <v>0</v>
      </c>
      <c r="BT55" s="389">
        <v>0</v>
      </c>
      <c r="BU55" s="389">
        <v>0</v>
      </c>
      <c r="BV55" s="389">
        <v>0</v>
      </c>
      <c r="BW55" s="389">
        <v>0</v>
      </c>
      <c r="BX55" s="389">
        <v>1</v>
      </c>
      <c r="BY55" s="389">
        <v>157</v>
      </c>
      <c r="BZ55" s="389">
        <v>1</v>
      </c>
      <c r="CA55" s="400">
        <v>0</v>
      </c>
      <c r="CB55" s="400">
        <v>0</v>
      </c>
      <c r="CC55" s="400">
        <v>0</v>
      </c>
      <c r="CD55" s="389">
        <v>490</v>
      </c>
      <c r="CE55" s="389">
        <v>42</v>
      </c>
      <c r="CF55" s="389">
        <v>540</v>
      </c>
      <c r="CG55" s="389">
        <v>0</v>
      </c>
      <c r="CH55" s="389">
        <v>0</v>
      </c>
      <c r="CI55" s="389">
        <v>470</v>
      </c>
      <c r="CJ55" s="389">
        <v>0</v>
      </c>
      <c r="CK55" s="389">
        <v>0</v>
      </c>
      <c r="CL55" s="389">
        <v>0</v>
      </c>
      <c r="CM55" s="389">
        <v>20</v>
      </c>
      <c r="CN55" s="389">
        <v>628</v>
      </c>
      <c r="CO55" s="389">
        <v>20</v>
      </c>
      <c r="CP55" s="389">
        <v>0</v>
      </c>
      <c r="CQ55" s="389">
        <v>0</v>
      </c>
      <c r="CR55" s="389">
        <v>0</v>
      </c>
      <c r="CS55" s="389">
        <v>2210</v>
      </c>
      <c r="CT55" s="389">
        <v>4</v>
      </c>
      <c r="CU55" s="389">
        <v>0</v>
      </c>
      <c r="CV55" s="389">
        <v>3</v>
      </c>
      <c r="CW55" s="389">
        <v>7</v>
      </c>
      <c r="CX55" s="401">
        <v>86.910889900000001</v>
      </c>
      <c r="CY55" s="396">
        <v>0</v>
      </c>
      <c r="CZ55" s="396">
        <v>33200.026540229999</v>
      </c>
      <c r="DA55" s="402">
        <v>0</v>
      </c>
      <c r="DB55" s="389">
        <v>0</v>
      </c>
      <c r="DC55" s="396">
        <v>274.37760112000001</v>
      </c>
      <c r="DD55" s="403">
        <v>0</v>
      </c>
      <c r="DE55" s="402">
        <v>0.34558107356163809</v>
      </c>
      <c r="DF55" s="402">
        <v>1</v>
      </c>
      <c r="DG55" s="402">
        <v>0</v>
      </c>
      <c r="DH55" s="402">
        <v>8.1169441208522791E-2</v>
      </c>
      <c r="DI55" s="402">
        <v>2</v>
      </c>
      <c r="DJ55" s="402"/>
      <c r="DK55" s="402"/>
      <c r="DL55" s="404"/>
      <c r="DM55" s="404"/>
      <c r="DN55" s="402">
        <v>0.875</v>
      </c>
      <c r="DO55" s="402">
        <v>8.3216107719759513E-2</v>
      </c>
      <c r="DP55" s="402">
        <v>1</v>
      </c>
      <c r="DQ55" s="402">
        <v>1</v>
      </c>
      <c r="DR55" s="402">
        <v>5.183716103424571E-2</v>
      </c>
      <c r="DS55" s="405">
        <v>0.05</v>
      </c>
      <c r="DT55" s="402">
        <v>0</v>
      </c>
      <c r="DU55" s="402">
        <v>2.4350832362556838E-2</v>
      </c>
      <c r="DV55" s="402">
        <v>0.2</v>
      </c>
      <c r="DW55" s="402">
        <v>0.3261879933968026</v>
      </c>
      <c r="DX55" s="402">
        <v>8.7500000000000008E-2</v>
      </c>
      <c r="DY55" s="402">
        <v>1.6643221543951904E-2</v>
      </c>
      <c r="DZ55" s="406">
        <v>0.05</v>
      </c>
      <c r="EA55" s="406">
        <v>0.05</v>
      </c>
      <c r="EB55" s="406">
        <v>0.20414322154395192</v>
      </c>
      <c r="EC55" s="407">
        <v>0.53033121494075453</v>
      </c>
      <c r="ED55" s="408" t="s">
        <v>157</v>
      </c>
      <c r="EE55" s="408" t="s">
        <v>156</v>
      </c>
      <c r="EG55" s="389">
        <v>192955.33758356006</v>
      </c>
      <c r="EH55" s="389">
        <v>197163.94952097992</v>
      </c>
      <c r="EI55" s="389">
        <v>196103.53378916997</v>
      </c>
      <c r="EJ55" s="389">
        <v>78647.550089999975</v>
      </c>
      <c r="EK55" s="389">
        <v>88020.973632789988</v>
      </c>
      <c r="EL55" s="389">
        <v>88049.469329559986</v>
      </c>
      <c r="EN55" s="389">
        <v>4</v>
      </c>
      <c r="EO55" s="409">
        <v>274262.064242889</v>
      </c>
      <c r="EP55" s="409">
        <v>275522.34079152311</v>
      </c>
      <c r="EQ55" s="410">
        <v>-315.06913715852716</v>
      </c>
      <c r="ER55" s="404">
        <v>0</v>
      </c>
      <c r="ES55" s="404">
        <v>1.0811694412085229</v>
      </c>
      <c r="ET55" s="404">
        <v>0.32435083236255685</v>
      </c>
      <c r="EU55" s="411">
        <v>0.83033121494075457</v>
      </c>
      <c r="EV55" s="412" t="s">
        <v>509</v>
      </c>
      <c r="EW55" s="412" t="s">
        <v>25</v>
      </c>
      <c r="EX55" s="381"/>
      <c r="EY55" s="419">
        <v>1.5683939516207701</v>
      </c>
      <c r="EZ55" s="419">
        <v>1.2540271030317101</v>
      </c>
      <c r="FA55" s="419">
        <v>0.99926819564265801</v>
      </c>
      <c r="FB55" s="419">
        <v>1.2025073277967757</v>
      </c>
      <c r="FC55" s="419">
        <v>0.90915258147162104</v>
      </c>
      <c r="FD55" s="419">
        <v>1.1015969239743237</v>
      </c>
      <c r="FE55" s="419">
        <v>1.0668361805656681</v>
      </c>
      <c r="FF55" s="419">
        <v>1.2052621600335474</v>
      </c>
      <c r="FG55" s="419">
        <v>0.85474511540758358</v>
      </c>
      <c r="FH55" s="419">
        <v>0.82197474901255752</v>
      </c>
      <c r="FI55" s="419">
        <v>0.83033121494075457</v>
      </c>
      <c r="FJ55" s="419"/>
      <c r="FK55" s="407">
        <v>1.2738964167650459</v>
      </c>
      <c r="FL55" s="407">
        <v>1.0710856110809068</v>
      </c>
      <c r="FM55" s="419">
        <v>1.0422811520022661</v>
      </c>
      <c r="FN55" s="419">
        <v>0.82615298197665599</v>
      </c>
      <c r="FO55" s="407">
        <v>1.0740086821361789</v>
      </c>
    </row>
    <row r="56" spans="1:171" hidden="1" outlineLevel="1" x14ac:dyDescent="0.25">
      <c r="A56" s="390" t="s">
        <v>251</v>
      </c>
      <c r="B56" s="390" t="s">
        <v>259</v>
      </c>
      <c r="C56" s="390" t="s">
        <v>260</v>
      </c>
      <c r="D56" s="391" t="s">
        <v>259</v>
      </c>
      <c r="E56" s="390" t="s">
        <v>36</v>
      </c>
      <c r="F56" s="391" t="s">
        <v>154</v>
      </c>
      <c r="G56" s="392">
        <v>1</v>
      </c>
      <c r="H56" s="393">
        <v>37993</v>
      </c>
      <c r="I56" s="393">
        <v>42646</v>
      </c>
      <c r="J56" s="394">
        <v>227</v>
      </c>
      <c r="K56" s="391">
        <v>821</v>
      </c>
      <c r="L56" s="390" t="s">
        <v>261</v>
      </c>
      <c r="M56" s="392" t="s">
        <v>355</v>
      </c>
      <c r="N56" s="395">
        <v>10</v>
      </c>
      <c r="O56" s="395">
        <v>1</v>
      </c>
      <c r="P56" s="395">
        <v>12</v>
      </c>
      <c r="Q56" s="389">
        <v>0</v>
      </c>
      <c r="R56" s="389">
        <v>0</v>
      </c>
      <c r="S56" s="389">
        <v>576455.57447440608</v>
      </c>
      <c r="T56" s="389">
        <v>294024.36499999987</v>
      </c>
      <c r="U56" s="389">
        <v>109177.98024559999</v>
      </c>
      <c r="V56" s="389">
        <v>63749.235708199987</v>
      </c>
      <c r="W56" s="389">
        <v>0</v>
      </c>
      <c r="X56" s="389">
        <v>0</v>
      </c>
      <c r="Y56" s="389">
        <v>629395.82447440608</v>
      </c>
      <c r="Z56" s="389">
        <v>294974.36499999987</v>
      </c>
      <c r="AA56" s="389"/>
      <c r="AB56" s="389"/>
      <c r="AC56" s="389">
        <v>52940.25</v>
      </c>
      <c r="AD56" s="389">
        <v>950</v>
      </c>
      <c r="AE56" s="389">
        <v>2766.7881944444443</v>
      </c>
      <c r="AF56" s="389">
        <v>1351.33984375</v>
      </c>
      <c r="AG56" s="389">
        <v>5700</v>
      </c>
      <c r="AH56" s="396">
        <v>18.400000000000002</v>
      </c>
      <c r="AI56" s="389">
        <v>2922.2500520833337</v>
      </c>
      <c r="AJ56" s="397">
        <v>0.02</v>
      </c>
      <c r="AK56" s="397">
        <v>0.1</v>
      </c>
      <c r="AL56" s="389">
        <v>602546.10120120796</v>
      </c>
      <c r="AM56" s="389">
        <v>174033.30670662163</v>
      </c>
      <c r="AN56" s="398">
        <v>26090.52672680188</v>
      </c>
      <c r="AO56" s="398">
        <v>-119991.05829337824</v>
      </c>
      <c r="AP56" s="398">
        <v>0</v>
      </c>
      <c r="AQ56" s="398">
        <v>64858.046955909995</v>
      </c>
      <c r="AR56" s="398">
        <v>0</v>
      </c>
      <c r="AS56" s="398">
        <v>224.5</v>
      </c>
      <c r="AT56" s="398">
        <v>660.6</v>
      </c>
      <c r="AU56" s="399">
        <v>333</v>
      </c>
      <c r="AV56" s="399">
        <v>12</v>
      </c>
      <c r="AW56" s="399">
        <v>16.8</v>
      </c>
      <c r="AX56" s="399">
        <v>0</v>
      </c>
      <c r="AY56" s="399">
        <v>0</v>
      </c>
      <c r="AZ56" s="399">
        <v>0</v>
      </c>
      <c r="BA56" s="399">
        <v>0</v>
      </c>
      <c r="BB56" s="399">
        <v>0</v>
      </c>
      <c r="BC56" s="399">
        <v>6660</v>
      </c>
      <c r="BD56" s="399">
        <v>96</v>
      </c>
      <c r="BE56" s="399">
        <v>33.6</v>
      </c>
      <c r="BF56" s="399">
        <v>0</v>
      </c>
      <c r="BG56" s="399">
        <v>0</v>
      </c>
      <c r="BH56" s="399">
        <v>0</v>
      </c>
      <c r="BI56" s="399">
        <v>0</v>
      </c>
      <c r="BJ56" s="399">
        <v>0</v>
      </c>
      <c r="BK56" s="398">
        <v>6789.6</v>
      </c>
      <c r="BL56" s="389">
        <v>134</v>
      </c>
      <c r="BM56" s="389">
        <v>0</v>
      </c>
      <c r="BN56" s="395">
        <v>147</v>
      </c>
      <c r="BO56" s="395">
        <v>0</v>
      </c>
      <c r="BP56" s="395">
        <v>0</v>
      </c>
      <c r="BQ56" s="389">
        <v>33</v>
      </c>
      <c r="BR56" s="389">
        <v>0</v>
      </c>
      <c r="BS56" s="389">
        <v>224.5</v>
      </c>
      <c r="BT56" s="389">
        <v>0</v>
      </c>
      <c r="BU56" s="389">
        <v>0</v>
      </c>
      <c r="BV56" s="389">
        <v>0</v>
      </c>
      <c r="BW56" s="389">
        <v>0</v>
      </c>
      <c r="BX56" s="389">
        <v>11</v>
      </c>
      <c r="BY56" s="389">
        <v>291</v>
      </c>
      <c r="BZ56" s="389">
        <v>3</v>
      </c>
      <c r="CA56" s="400">
        <v>0</v>
      </c>
      <c r="CB56" s="400">
        <v>0</v>
      </c>
      <c r="CC56" s="400">
        <v>0</v>
      </c>
      <c r="CD56" s="389">
        <v>1340</v>
      </c>
      <c r="CE56" s="389">
        <v>0</v>
      </c>
      <c r="CF56" s="389">
        <v>1470</v>
      </c>
      <c r="CG56" s="389">
        <v>0</v>
      </c>
      <c r="CH56" s="389">
        <v>0</v>
      </c>
      <c r="CI56" s="389">
        <v>330</v>
      </c>
      <c r="CJ56" s="389">
        <v>67.350000000000009</v>
      </c>
      <c r="CK56" s="389">
        <v>0</v>
      </c>
      <c r="CL56" s="389">
        <v>0</v>
      </c>
      <c r="CM56" s="389">
        <v>220</v>
      </c>
      <c r="CN56" s="389">
        <v>1164</v>
      </c>
      <c r="CO56" s="389">
        <v>60</v>
      </c>
      <c r="CP56" s="389">
        <v>0</v>
      </c>
      <c r="CQ56" s="389">
        <v>0</v>
      </c>
      <c r="CR56" s="389">
        <v>0</v>
      </c>
      <c r="CS56" s="389">
        <v>4651.3500000000004</v>
      </c>
      <c r="CT56" s="389">
        <v>9</v>
      </c>
      <c r="CU56" s="389">
        <v>0</v>
      </c>
      <c r="CV56" s="389">
        <v>9</v>
      </c>
      <c r="CW56" s="389">
        <v>18</v>
      </c>
      <c r="CX56" s="401">
        <v>1253.3692752979591</v>
      </c>
      <c r="CY56" s="396">
        <v>877.88800174999994</v>
      </c>
      <c r="CZ56" s="396">
        <v>37863.701441029996</v>
      </c>
      <c r="DA56" s="402">
        <v>2.3185477603589487E-2</v>
      </c>
      <c r="DB56" s="389">
        <v>225.76626216999998</v>
      </c>
      <c r="DC56" s="396">
        <v>325.33072429999999</v>
      </c>
      <c r="DD56" s="403">
        <v>0.69395923995734332</v>
      </c>
      <c r="DE56" s="402">
        <v>0.49282968491463264</v>
      </c>
      <c r="DF56" s="402">
        <v>0</v>
      </c>
      <c r="DG56" s="402">
        <v>8.1141014137180223E-2</v>
      </c>
      <c r="DH56" s="402">
        <v>0.48884816284763677</v>
      </c>
      <c r="DI56" s="402">
        <v>2</v>
      </c>
      <c r="DJ56" s="402"/>
      <c r="DK56" s="402"/>
      <c r="DL56" s="404"/>
      <c r="DM56" s="404"/>
      <c r="DN56" s="402">
        <v>0.97826086956521729</v>
      </c>
      <c r="DO56" s="402">
        <v>0.42890555324121071</v>
      </c>
      <c r="DP56" s="402">
        <v>0.86260892882809004</v>
      </c>
      <c r="DQ56" s="402">
        <v>0.14410068234864465</v>
      </c>
      <c r="DR56" s="402">
        <v>7.392445273719489E-2</v>
      </c>
      <c r="DS56" s="405">
        <v>0</v>
      </c>
      <c r="DT56" s="402">
        <v>1.2171152120577034E-2</v>
      </c>
      <c r="DU56" s="402">
        <v>7.332722442714551E-2</v>
      </c>
      <c r="DV56" s="402">
        <v>0.2</v>
      </c>
      <c r="DW56" s="402">
        <v>0.35942282928491742</v>
      </c>
      <c r="DX56" s="402">
        <v>9.7826086956521729E-2</v>
      </c>
      <c r="DY56" s="402">
        <v>8.5781110648242148E-2</v>
      </c>
      <c r="DZ56" s="406">
        <v>4.3130446441404506E-2</v>
      </c>
      <c r="EA56" s="406">
        <v>7.2050341174322331E-3</v>
      </c>
      <c r="EB56" s="406">
        <v>0.23394267816360062</v>
      </c>
      <c r="EC56" s="407">
        <v>0.59336550744851801</v>
      </c>
      <c r="ED56" s="408" t="s">
        <v>157</v>
      </c>
      <c r="EE56" s="408" t="s">
        <v>156</v>
      </c>
      <c r="EG56" s="389">
        <v>604271.4472964108</v>
      </c>
      <c r="EH56" s="389">
        <v>597886.53566273022</v>
      </c>
      <c r="EI56" s="389">
        <v>596000.54603340081</v>
      </c>
      <c r="EJ56" s="389">
        <v>178698.27838999999</v>
      </c>
      <c r="EK56" s="389">
        <v>167840.43597998004</v>
      </c>
      <c r="EL56" s="389">
        <v>170190.69759378003</v>
      </c>
      <c r="EN56" s="389">
        <v>10</v>
      </c>
      <c r="EO56" s="409">
        <v>776579.40790782962</v>
      </c>
      <c r="EP56" s="409">
        <v>824541.08148558938</v>
      </c>
      <c r="EQ56" s="410">
        <v>-4796.1673577759766</v>
      </c>
      <c r="ER56" s="404">
        <v>0</v>
      </c>
      <c r="ES56" s="404">
        <v>1.4888481628476367</v>
      </c>
      <c r="ET56" s="404">
        <v>0.2233272244271455</v>
      </c>
      <c r="EU56" s="411">
        <v>0.74336550744851793</v>
      </c>
      <c r="EV56" s="412" t="s">
        <v>509</v>
      </c>
      <c r="EW56" s="412" t="s">
        <v>25</v>
      </c>
      <c r="EX56" s="381"/>
      <c r="EY56" s="419">
        <v>0.82607041836174577</v>
      </c>
      <c r="EZ56" s="419">
        <v>0.69582553352241994</v>
      </c>
      <c r="FA56" s="419">
        <v>0.77184624170484073</v>
      </c>
      <c r="FB56" s="419">
        <v>0.57405008270381808</v>
      </c>
      <c r="FC56" s="419">
        <v>1.0101099308096213</v>
      </c>
      <c r="FD56" s="419">
        <v>0.7932532686632815</v>
      </c>
      <c r="FE56" s="419">
        <v>1.036694062874679</v>
      </c>
      <c r="FF56" s="419">
        <v>0.83692332633953459</v>
      </c>
      <c r="FG56" s="419">
        <v>1.0809662467680332</v>
      </c>
      <c r="FH56" s="419">
        <v>0.91316577442189895</v>
      </c>
      <c r="FI56" s="419">
        <v>0.74336550744851793</v>
      </c>
      <c r="FJ56" s="419"/>
      <c r="FK56" s="407">
        <v>0.76458073119633552</v>
      </c>
      <c r="FL56" s="407">
        <v>0.79247109405890692</v>
      </c>
      <c r="FM56" s="419">
        <v>0.98486121199408228</v>
      </c>
      <c r="FN56" s="419">
        <v>0.82826564093520849</v>
      </c>
      <c r="FO56" s="407">
        <v>0.8438427630562173</v>
      </c>
    </row>
    <row r="57" spans="1:171" hidden="1" outlineLevel="1" x14ac:dyDescent="0.25">
      <c r="A57" s="390" t="s">
        <v>251</v>
      </c>
      <c r="B57" s="390" t="s">
        <v>270</v>
      </c>
      <c r="C57" s="390" t="s">
        <v>271</v>
      </c>
      <c r="D57" s="391" t="s">
        <v>270</v>
      </c>
      <c r="E57" s="390" t="s">
        <v>36</v>
      </c>
      <c r="F57" s="391" t="s">
        <v>154</v>
      </c>
      <c r="G57" s="392">
        <v>1</v>
      </c>
      <c r="H57" s="393">
        <v>38961</v>
      </c>
      <c r="I57" s="393">
        <v>43832</v>
      </c>
      <c r="J57" s="394">
        <v>195</v>
      </c>
      <c r="K57" s="391">
        <v>841</v>
      </c>
      <c r="L57" s="390" t="s">
        <v>272</v>
      </c>
      <c r="M57" s="392" t="s">
        <v>355</v>
      </c>
      <c r="N57" s="395">
        <v>4</v>
      </c>
      <c r="O57" s="395">
        <v>0</v>
      </c>
      <c r="P57" s="395">
        <v>4</v>
      </c>
      <c r="Q57" s="389">
        <v>0</v>
      </c>
      <c r="R57" s="389">
        <v>0</v>
      </c>
      <c r="S57" s="389">
        <v>279263.82732244022</v>
      </c>
      <c r="T57" s="389">
        <v>106206.54100000001</v>
      </c>
      <c r="U57" s="389">
        <v>9029.2910300599997</v>
      </c>
      <c r="V57" s="389">
        <v>8039.4170578999992</v>
      </c>
      <c r="W57" s="389">
        <v>0</v>
      </c>
      <c r="X57" s="389">
        <v>0</v>
      </c>
      <c r="Y57" s="389">
        <v>298491.82732244022</v>
      </c>
      <c r="Z57" s="389">
        <v>106606.54100000001</v>
      </c>
      <c r="AA57" s="389"/>
      <c r="AB57" s="389"/>
      <c r="AC57" s="389">
        <v>19228</v>
      </c>
      <c r="AD57" s="389">
        <v>400</v>
      </c>
      <c r="AE57" s="389">
        <v>0</v>
      </c>
      <c r="AF57" s="389">
        <v>461.99652777777783</v>
      </c>
      <c r="AG57" s="389">
        <v>2400</v>
      </c>
      <c r="AH57" s="396">
        <v>6.4</v>
      </c>
      <c r="AI57" s="389">
        <v>972.73687500000005</v>
      </c>
      <c r="AJ57" s="397">
        <v>0.02</v>
      </c>
      <c r="AK57" s="397">
        <v>0.1</v>
      </c>
      <c r="AL57" s="389">
        <v>264624.72918789939</v>
      </c>
      <c r="AM57" s="389">
        <v>82932.027891136051</v>
      </c>
      <c r="AN57" s="398">
        <v>-14639.098134540836</v>
      </c>
      <c r="AO57" s="398">
        <v>-23274.513108863961</v>
      </c>
      <c r="AP57" s="398">
        <v>0</v>
      </c>
      <c r="AQ57" s="398">
        <v>10629.359587189998</v>
      </c>
      <c r="AR57" s="398">
        <v>0</v>
      </c>
      <c r="AS57" s="398">
        <v>1250</v>
      </c>
      <c r="AT57" s="398">
        <v>275</v>
      </c>
      <c r="AU57" s="399">
        <v>217</v>
      </c>
      <c r="AV57" s="399">
        <v>36</v>
      </c>
      <c r="AW57" s="399">
        <v>3.6</v>
      </c>
      <c r="AX57" s="399">
        <v>0</v>
      </c>
      <c r="AY57" s="399">
        <v>200</v>
      </c>
      <c r="AZ57" s="399">
        <v>0</v>
      </c>
      <c r="BA57" s="399">
        <v>0</v>
      </c>
      <c r="BB57" s="399">
        <v>0</v>
      </c>
      <c r="BC57" s="399">
        <v>4340</v>
      </c>
      <c r="BD57" s="399">
        <v>288</v>
      </c>
      <c r="BE57" s="399">
        <v>7.2</v>
      </c>
      <c r="BF57" s="399">
        <v>0</v>
      </c>
      <c r="BG57" s="399">
        <v>20</v>
      </c>
      <c r="BH57" s="399">
        <v>0</v>
      </c>
      <c r="BI57" s="399">
        <v>0</v>
      </c>
      <c r="BJ57" s="399">
        <v>0</v>
      </c>
      <c r="BK57" s="398">
        <v>4655.2</v>
      </c>
      <c r="BL57" s="389">
        <v>49</v>
      </c>
      <c r="BM57" s="389">
        <v>0</v>
      </c>
      <c r="BN57" s="395">
        <v>28</v>
      </c>
      <c r="BO57" s="395">
        <v>0</v>
      </c>
      <c r="BP57" s="395">
        <v>0</v>
      </c>
      <c r="BQ57" s="389">
        <v>7</v>
      </c>
      <c r="BR57" s="389">
        <v>0</v>
      </c>
      <c r="BS57" s="389">
        <v>1250</v>
      </c>
      <c r="BT57" s="389">
        <v>0</v>
      </c>
      <c r="BU57" s="389">
        <v>0</v>
      </c>
      <c r="BV57" s="389">
        <v>0</v>
      </c>
      <c r="BW57" s="389">
        <v>0</v>
      </c>
      <c r="BX57" s="389">
        <v>1</v>
      </c>
      <c r="BY57" s="389">
        <v>67</v>
      </c>
      <c r="BZ57" s="389">
        <v>1</v>
      </c>
      <c r="CA57" s="400">
        <v>0</v>
      </c>
      <c r="CB57" s="400">
        <v>0</v>
      </c>
      <c r="CC57" s="400">
        <v>0</v>
      </c>
      <c r="CD57" s="389">
        <v>490</v>
      </c>
      <c r="CE57" s="389">
        <v>0</v>
      </c>
      <c r="CF57" s="389">
        <v>280</v>
      </c>
      <c r="CG57" s="389">
        <v>0</v>
      </c>
      <c r="CH57" s="389">
        <v>0</v>
      </c>
      <c r="CI57" s="389">
        <v>70</v>
      </c>
      <c r="CJ57" s="389">
        <v>375</v>
      </c>
      <c r="CK57" s="389">
        <v>0</v>
      </c>
      <c r="CL57" s="389">
        <v>0</v>
      </c>
      <c r="CM57" s="389">
        <v>20</v>
      </c>
      <c r="CN57" s="389">
        <v>268</v>
      </c>
      <c r="CO57" s="389">
        <v>20</v>
      </c>
      <c r="CP57" s="389">
        <v>0</v>
      </c>
      <c r="CQ57" s="389">
        <v>0</v>
      </c>
      <c r="CR57" s="389">
        <v>0</v>
      </c>
      <c r="CS57" s="389">
        <v>1523</v>
      </c>
      <c r="CT57" s="389">
        <v>4</v>
      </c>
      <c r="CU57" s="389">
        <v>0</v>
      </c>
      <c r="CV57" s="389">
        <v>4</v>
      </c>
      <c r="CW57" s="389">
        <v>8</v>
      </c>
      <c r="CX57" s="401">
        <v>309.63745727296669</v>
      </c>
      <c r="CY57" s="396">
        <v>0</v>
      </c>
      <c r="CZ57" s="396">
        <v>2004.2389180599998</v>
      </c>
      <c r="DA57" s="402">
        <v>0</v>
      </c>
      <c r="DB57" s="389">
        <v>0</v>
      </c>
      <c r="DC57" s="396">
        <v>29.560353289999998</v>
      </c>
      <c r="DD57" s="403">
        <v>0</v>
      </c>
      <c r="DE57" s="402">
        <v>0</v>
      </c>
      <c r="DF57" s="402">
        <v>0</v>
      </c>
      <c r="DG57" s="402">
        <v>0</v>
      </c>
      <c r="DH57" s="402">
        <v>0.59524256886250038</v>
      </c>
      <c r="DI57" s="402">
        <v>2</v>
      </c>
      <c r="DJ57" s="402"/>
      <c r="DK57" s="402"/>
      <c r="DL57" s="404"/>
      <c r="DM57" s="404"/>
      <c r="DN57" s="402">
        <v>1.25</v>
      </c>
      <c r="DO57" s="402">
        <v>0.31831573905632671</v>
      </c>
      <c r="DP57" s="402">
        <v>1</v>
      </c>
      <c r="DQ57" s="402">
        <v>1</v>
      </c>
      <c r="DR57" s="405">
        <v>0</v>
      </c>
      <c r="DS57" s="405">
        <v>0</v>
      </c>
      <c r="DT57" s="402">
        <v>0</v>
      </c>
      <c r="DU57" s="402">
        <v>0.1785727706587501</v>
      </c>
      <c r="DV57" s="402">
        <v>0.2</v>
      </c>
      <c r="DW57" s="402">
        <v>0.37857277065875011</v>
      </c>
      <c r="DX57" s="402">
        <v>0.125</v>
      </c>
      <c r="DY57" s="402">
        <v>6.366314781126535E-2</v>
      </c>
      <c r="DZ57" s="406">
        <v>0.05</v>
      </c>
      <c r="EA57" s="406">
        <v>0.05</v>
      </c>
      <c r="EB57" s="406">
        <v>0.28866314781126534</v>
      </c>
      <c r="EC57" s="407">
        <v>0.6672359184700154</v>
      </c>
      <c r="ED57" s="408" t="s">
        <v>157</v>
      </c>
      <c r="EE57" s="408" t="s">
        <v>156</v>
      </c>
      <c r="EG57" s="389">
        <v>261093.53953234028</v>
      </c>
      <c r="EH57" s="389">
        <v>272211.8233109201</v>
      </c>
      <c r="EI57" s="389">
        <v>272191.00433773024</v>
      </c>
      <c r="EJ57" s="389">
        <v>84850.744489999983</v>
      </c>
      <c r="EK57" s="389">
        <v>80956.862606389972</v>
      </c>
      <c r="EL57" s="389">
        <v>81257.319864449993</v>
      </c>
      <c r="EN57" s="389">
        <v>4</v>
      </c>
      <c r="EO57" s="409">
        <v>347556.75707903545</v>
      </c>
      <c r="EP57" s="409">
        <v>341917.24026560778</v>
      </c>
      <c r="EQ57" s="410">
        <v>1409.8792033569189</v>
      </c>
      <c r="ER57" s="404">
        <v>0.2</v>
      </c>
      <c r="ES57" s="404">
        <v>1.5952425688625005</v>
      </c>
      <c r="ET57" s="404">
        <v>0.47857277065875015</v>
      </c>
      <c r="EU57" s="411">
        <v>1.1672359184700154</v>
      </c>
      <c r="EV57" s="412" t="s">
        <v>510</v>
      </c>
      <c r="EW57" s="412" t="s">
        <v>28</v>
      </c>
      <c r="EX57" s="381"/>
      <c r="EY57" s="419">
        <v>0.83254467671020471</v>
      </c>
      <c r="EZ57" s="419">
        <v>0.80999648334568408</v>
      </c>
      <c r="FA57" s="419">
        <v>0.80335062272951863</v>
      </c>
      <c r="FB57" s="419">
        <v>0.77475498470786097</v>
      </c>
      <c r="FC57" s="419">
        <v>0.9925134294155552</v>
      </c>
      <c r="FD57" s="419">
        <v>0.79825218795231279</v>
      </c>
      <c r="FE57" s="419">
        <v>0.75388790077315271</v>
      </c>
      <c r="FF57" s="419">
        <v>0.75568668068058775</v>
      </c>
      <c r="FG57" s="419">
        <v>0.77709239147700881</v>
      </c>
      <c r="FH57" s="419">
        <v>0.86164012963075343</v>
      </c>
      <c r="FI57" s="419">
        <v>1.1672359184700154</v>
      </c>
      <c r="FJ57" s="419"/>
      <c r="FK57" s="407">
        <v>0.81529726092846921</v>
      </c>
      <c r="FL57" s="407">
        <v>0.85517353402524299</v>
      </c>
      <c r="FM57" s="419">
        <v>0.76222232431024972</v>
      </c>
      <c r="FN57" s="419">
        <v>1.0144380240503845</v>
      </c>
      <c r="FO57" s="407">
        <v>0.84790503689933228</v>
      </c>
    </row>
    <row r="58" spans="1:171" hidden="1" outlineLevel="1" x14ac:dyDescent="0.25">
      <c r="A58" s="390" t="s">
        <v>251</v>
      </c>
      <c r="B58" s="390" t="s">
        <v>448</v>
      </c>
      <c r="C58" s="390" t="s">
        <v>449</v>
      </c>
      <c r="D58" s="391" t="s">
        <v>448</v>
      </c>
      <c r="E58" s="390" t="s">
        <v>36</v>
      </c>
      <c r="F58" s="391" t="s">
        <v>154</v>
      </c>
      <c r="G58" s="392">
        <v>1</v>
      </c>
      <c r="H58" s="393">
        <v>42989</v>
      </c>
      <c r="I58" s="393">
        <v>44621</v>
      </c>
      <c r="J58" s="394">
        <v>63</v>
      </c>
      <c r="K58" s="391">
        <v>851</v>
      </c>
      <c r="L58" s="390" t="s">
        <v>269</v>
      </c>
      <c r="M58" s="392" t="s">
        <v>355</v>
      </c>
      <c r="N58" s="395">
        <v>5</v>
      </c>
      <c r="O58" s="395">
        <v>1</v>
      </c>
      <c r="P58" s="395">
        <v>4</v>
      </c>
      <c r="Q58" s="389">
        <v>0</v>
      </c>
      <c r="R58" s="389">
        <v>0</v>
      </c>
      <c r="S58" s="389">
        <v>274832.24029517913</v>
      </c>
      <c r="T58" s="389">
        <v>103435.363</v>
      </c>
      <c r="U58" s="389">
        <v>16190.858504109996</v>
      </c>
      <c r="V58" s="389">
        <v>19905.994392619999</v>
      </c>
      <c r="W58" s="389">
        <v>0</v>
      </c>
      <c r="X58" s="389">
        <v>0</v>
      </c>
      <c r="Y58" s="389">
        <v>296906.49029517913</v>
      </c>
      <c r="Z58" s="389">
        <v>103835.363</v>
      </c>
      <c r="AA58" s="389"/>
      <c r="AB58" s="389"/>
      <c r="AC58" s="389">
        <v>22074.25</v>
      </c>
      <c r="AD58" s="389">
        <v>400</v>
      </c>
      <c r="AE58" s="389">
        <v>3093.8194444444443</v>
      </c>
      <c r="AF58" s="389">
        <v>485.09635416666669</v>
      </c>
      <c r="AG58" s="389">
        <v>3000</v>
      </c>
      <c r="AH58" s="396">
        <v>8</v>
      </c>
      <c r="AI58" s="389">
        <v>1387.5263020833336</v>
      </c>
      <c r="AJ58" s="397">
        <v>0.02</v>
      </c>
      <c r="AK58" s="397">
        <v>0.1</v>
      </c>
      <c r="AL58" s="389">
        <v>259980.37581613226</v>
      </c>
      <c r="AM58" s="389">
        <v>60643.06227954194</v>
      </c>
      <c r="AN58" s="398">
        <v>-14851.864479046868</v>
      </c>
      <c r="AO58" s="398">
        <v>-42792.300720458057</v>
      </c>
      <c r="AP58" s="398">
        <v>0</v>
      </c>
      <c r="AQ58" s="398">
        <v>24237.321713819994</v>
      </c>
      <c r="AR58" s="398">
        <v>433.33333299999998</v>
      </c>
      <c r="AS58" s="398">
        <v>0</v>
      </c>
      <c r="AT58" s="398">
        <v>50</v>
      </c>
      <c r="AU58" s="399">
        <v>115.2</v>
      </c>
      <c r="AV58" s="399">
        <v>15</v>
      </c>
      <c r="AW58" s="399">
        <v>3.6</v>
      </c>
      <c r="AX58" s="399">
        <v>0</v>
      </c>
      <c r="AY58" s="399">
        <v>0</v>
      </c>
      <c r="AZ58" s="399">
        <v>0</v>
      </c>
      <c r="BA58" s="399">
        <v>0</v>
      </c>
      <c r="BB58" s="399">
        <v>0</v>
      </c>
      <c r="BC58" s="399">
        <v>2304</v>
      </c>
      <c r="BD58" s="399">
        <v>120</v>
      </c>
      <c r="BE58" s="399">
        <v>7.2</v>
      </c>
      <c r="BF58" s="399">
        <v>0</v>
      </c>
      <c r="BG58" s="399">
        <v>0</v>
      </c>
      <c r="BH58" s="399">
        <v>0</v>
      </c>
      <c r="BI58" s="399">
        <v>0</v>
      </c>
      <c r="BJ58" s="399">
        <v>0</v>
      </c>
      <c r="BK58" s="398">
        <v>2431.1999999999998</v>
      </c>
      <c r="BL58" s="389">
        <v>27</v>
      </c>
      <c r="BM58" s="389">
        <v>0</v>
      </c>
      <c r="BN58" s="395">
        <v>41</v>
      </c>
      <c r="BO58" s="395">
        <v>0</v>
      </c>
      <c r="BP58" s="395">
        <v>0</v>
      </c>
      <c r="BQ58" s="389">
        <v>36</v>
      </c>
      <c r="BR58" s="389">
        <v>433.33333299999998</v>
      </c>
      <c r="BS58" s="389">
        <v>0</v>
      </c>
      <c r="BT58" s="389">
        <v>0</v>
      </c>
      <c r="BU58" s="389">
        <v>0</v>
      </c>
      <c r="BV58" s="389">
        <v>0</v>
      </c>
      <c r="BW58" s="389">
        <v>0</v>
      </c>
      <c r="BX58" s="389">
        <v>0</v>
      </c>
      <c r="BY58" s="389">
        <v>71</v>
      </c>
      <c r="BZ58" s="389">
        <v>1</v>
      </c>
      <c r="CA58" s="400">
        <v>0</v>
      </c>
      <c r="CB58" s="400">
        <v>0</v>
      </c>
      <c r="CC58" s="400">
        <v>0</v>
      </c>
      <c r="CD58" s="389">
        <v>270</v>
      </c>
      <c r="CE58" s="389">
        <v>0</v>
      </c>
      <c r="CF58" s="389">
        <v>410</v>
      </c>
      <c r="CG58" s="389">
        <v>0</v>
      </c>
      <c r="CH58" s="389">
        <v>0</v>
      </c>
      <c r="CI58" s="389">
        <v>360</v>
      </c>
      <c r="CJ58" s="389">
        <v>129.99999989999998</v>
      </c>
      <c r="CK58" s="389">
        <v>0</v>
      </c>
      <c r="CL58" s="389">
        <v>0</v>
      </c>
      <c r="CM58" s="389">
        <v>0</v>
      </c>
      <c r="CN58" s="389">
        <v>284</v>
      </c>
      <c r="CO58" s="389">
        <v>20</v>
      </c>
      <c r="CP58" s="389">
        <v>0</v>
      </c>
      <c r="CQ58" s="389">
        <v>0</v>
      </c>
      <c r="CR58" s="389">
        <v>0</v>
      </c>
      <c r="CS58" s="389">
        <v>1473.9999998999999</v>
      </c>
      <c r="CT58" s="389">
        <v>2</v>
      </c>
      <c r="CU58" s="389">
        <v>0</v>
      </c>
      <c r="CV58" s="389">
        <v>3</v>
      </c>
      <c r="CW58" s="389">
        <v>5</v>
      </c>
      <c r="CX58" s="401">
        <v>91.368666629999893</v>
      </c>
      <c r="CY58" s="396">
        <v>0</v>
      </c>
      <c r="CZ58" s="396">
        <v>16982.198301929999</v>
      </c>
      <c r="DA58" s="402">
        <v>0</v>
      </c>
      <c r="DB58" s="389">
        <v>0</v>
      </c>
      <c r="DC58" s="396">
        <v>112.03940158</v>
      </c>
      <c r="DD58" s="403">
        <v>0</v>
      </c>
      <c r="DE58" s="402">
        <v>0</v>
      </c>
      <c r="DF58" s="402">
        <v>0</v>
      </c>
      <c r="DG58" s="402">
        <v>0.14006419598213282</v>
      </c>
      <c r="DH58" s="402">
        <v>0.10307230629653687</v>
      </c>
      <c r="DI58" s="402">
        <v>1.3017333333000001</v>
      </c>
      <c r="DJ58" s="402"/>
      <c r="DK58" s="402"/>
      <c r="DL58" s="404"/>
      <c r="DM58" s="404"/>
      <c r="DN58" s="402">
        <v>0.625</v>
      </c>
      <c r="DO58" s="402">
        <v>6.585004298139234E-2</v>
      </c>
      <c r="DP58" s="402">
        <v>1</v>
      </c>
      <c r="DQ58" s="402">
        <v>1</v>
      </c>
      <c r="DR58" s="405">
        <v>0</v>
      </c>
      <c r="DS58" s="405">
        <v>0</v>
      </c>
      <c r="DT58" s="402">
        <v>2.1009629397319922E-2</v>
      </c>
      <c r="DU58" s="402">
        <v>1.5460845944480529E-2</v>
      </c>
      <c r="DV58" s="402">
        <v>0.13017333333</v>
      </c>
      <c r="DW58" s="402">
        <v>0.16664380867180045</v>
      </c>
      <c r="DX58" s="402">
        <v>6.25E-2</v>
      </c>
      <c r="DY58" s="402">
        <v>1.3170008596278468E-2</v>
      </c>
      <c r="DZ58" s="406">
        <v>0.05</v>
      </c>
      <c r="EA58" s="406">
        <v>0.05</v>
      </c>
      <c r="EB58" s="406">
        <v>0.17567000859627846</v>
      </c>
      <c r="EC58" s="407">
        <v>0.34231381726807891</v>
      </c>
      <c r="ED58" s="408" t="s">
        <v>157</v>
      </c>
      <c r="EE58" s="408" t="s">
        <v>156</v>
      </c>
      <c r="EG58" s="389">
        <v>258830.0911583603</v>
      </c>
      <c r="EH58" s="389">
        <v>266624.12174419046</v>
      </c>
      <c r="EI58" s="389">
        <v>271791.24415985018</v>
      </c>
      <c r="EJ58" s="389">
        <v>62617.292359999999</v>
      </c>
      <c r="EK58" s="389">
        <v>56544.2770552</v>
      </c>
      <c r="EL58" s="389">
        <v>54586.7770552</v>
      </c>
      <c r="EN58" s="389">
        <v>4</v>
      </c>
      <c r="EO58" s="409">
        <v>320623.43809567421</v>
      </c>
      <c r="EP58" s="409">
        <v>326206.60685212689</v>
      </c>
      <c r="EQ58" s="410">
        <v>-1395.79218911317</v>
      </c>
      <c r="ER58" s="404">
        <v>0</v>
      </c>
      <c r="ES58" s="404">
        <v>1.1030723062965369</v>
      </c>
      <c r="ET58" s="404">
        <v>0.16546084594448052</v>
      </c>
      <c r="EU58" s="411">
        <v>0.49231381726807893</v>
      </c>
      <c r="EV58" s="412" t="s">
        <v>157</v>
      </c>
      <c r="EW58" s="412" t="s">
        <v>156</v>
      </c>
      <c r="EX58" s="381"/>
      <c r="EY58" s="419">
        <v>0.69973908792854922</v>
      </c>
      <c r="EZ58" s="419">
        <v>0.61238853324939957</v>
      </c>
      <c r="FA58" s="419">
        <v>0.75160381726179215</v>
      </c>
      <c r="FB58" s="419">
        <v>0.56904144254732736</v>
      </c>
      <c r="FC58" s="419">
        <v>0.38025020003217497</v>
      </c>
      <c r="FD58" s="419">
        <v>0.27693037358722289</v>
      </c>
      <c r="FE58" s="419">
        <v>0.50777889425445788</v>
      </c>
      <c r="FF58" s="419">
        <v>0.46066198373066336</v>
      </c>
      <c r="FG58" s="419">
        <v>0.51262899976466469</v>
      </c>
      <c r="FH58" s="419">
        <v>0.57957108628077425</v>
      </c>
      <c r="FI58" s="419">
        <v>0.49231381726807893</v>
      </c>
      <c r="FJ58" s="419"/>
      <c r="FK58" s="407">
        <v>0.68791047947991368</v>
      </c>
      <c r="FL58" s="407">
        <v>0.40874067205557507</v>
      </c>
      <c r="FM58" s="419">
        <v>0.49368995924992864</v>
      </c>
      <c r="FN58" s="419">
        <v>0.53594245177442656</v>
      </c>
      <c r="FO58" s="407">
        <v>0.53117347599137321</v>
      </c>
    </row>
    <row r="59" spans="1:171" hidden="1" outlineLevel="1" x14ac:dyDescent="0.25">
      <c r="A59" s="390" t="s">
        <v>251</v>
      </c>
      <c r="B59" s="390" t="s">
        <v>253</v>
      </c>
      <c r="C59" s="390" t="s">
        <v>254</v>
      </c>
      <c r="D59" s="391" t="s">
        <v>253</v>
      </c>
      <c r="E59" s="390" t="s">
        <v>36</v>
      </c>
      <c r="F59" s="391" t="s">
        <v>154</v>
      </c>
      <c r="G59" s="392">
        <v>1</v>
      </c>
      <c r="H59" s="393">
        <v>38352</v>
      </c>
      <c r="I59" s="393">
        <v>44287</v>
      </c>
      <c r="J59" s="394">
        <v>216</v>
      </c>
      <c r="K59" s="391">
        <v>871</v>
      </c>
      <c r="L59" s="390" t="s">
        <v>252</v>
      </c>
      <c r="M59" s="392" t="s">
        <v>355</v>
      </c>
      <c r="N59" s="395">
        <v>4</v>
      </c>
      <c r="O59" s="395">
        <v>0</v>
      </c>
      <c r="P59" s="395">
        <v>2</v>
      </c>
      <c r="Q59" s="389">
        <v>0</v>
      </c>
      <c r="R59" s="389">
        <v>0</v>
      </c>
      <c r="S59" s="389">
        <v>200064.43</v>
      </c>
      <c r="T59" s="389">
        <v>75655.336999999985</v>
      </c>
      <c r="U59" s="389">
        <v>4994.3184108799987</v>
      </c>
      <c r="V59" s="389">
        <v>3043.8439216499996</v>
      </c>
      <c r="W59" s="389">
        <v>0</v>
      </c>
      <c r="X59" s="389">
        <v>0</v>
      </c>
      <c r="Y59" s="389">
        <v>212524.68</v>
      </c>
      <c r="Z59" s="389">
        <v>75855.336999999985</v>
      </c>
      <c r="AA59" s="389"/>
      <c r="AB59" s="389"/>
      <c r="AC59" s="389">
        <v>12460.25</v>
      </c>
      <c r="AD59" s="389">
        <v>200</v>
      </c>
      <c r="AE59" s="389">
        <v>0</v>
      </c>
      <c r="AF59" s="389">
        <v>392.69704861111109</v>
      </c>
      <c r="AG59" s="389">
        <v>2100</v>
      </c>
      <c r="AH59" s="396">
        <v>4.8000000000000007</v>
      </c>
      <c r="AI59" s="389">
        <v>635.34234375000005</v>
      </c>
      <c r="AJ59" s="397">
        <v>0.02</v>
      </c>
      <c r="AK59" s="397">
        <v>0.1</v>
      </c>
      <c r="AL59" s="389">
        <v>209500.85245839431</v>
      </c>
      <c r="AM59" s="389">
        <v>81370.933944879987</v>
      </c>
      <c r="AN59" s="398">
        <v>9436.4224583943142</v>
      </c>
      <c r="AO59" s="398">
        <v>5715.5969448800024</v>
      </c>
      <c r="AP59" s="398">
        <v>0</v>
      </c>
      <c r="AQ59" s="398">
        <v>6814.2504691299991</v>
      </c>
      <c r="AR59" s="398">
        <v>0</v>
      </c>
      <c r="AS59" s="398">
        <v>0</v>
      </c>
      <c r="AT59" s="398">
        <v>25</v>
      </c>
      <c r="AU59" s="399">
        <v>35</v>
      </c>
      <c r="AV59" s="399">
        <v>0</v>
      </c>
      <c r="AW59" s="399">
        <v>7.2</v>
      </c>
      <c r="AX59" s="399">
        <v>0</v>
      </c>
      <c r="AY59" s="399">
        <v>0</v>
      </c>
      <c r="AZ59" s="399">
        <v>0</v>
      </c>
      <c r="BA59" s="399">
        <v>0</v>
      </c>
      <c r="BB59" s="399">
        <v>0</v>
      </c>
      <c r="BC59" s="399">
        <v>700</v>
      </c>
      <c r="BD59" s="399">
        <v>0</v>
      </c>
      <c r="BE59" s="399">
        <v>14.4</v>
      </c>
      <c r="BF59" s="399">
        <v>0</v>
      </c>
      <c r="BG59" s="399">
        <v>0</v>
      </c>
      <c r="BH59" s="399">
        <v>0</v>
      </c>
      <c r="BI59" s="399">
        <v>0</v>
      </c>
      <c r="BJ59" s="399">
        <v>0</v>
      </c>
      <c r="BK59" s="398">
        <v>714.4</v>
      </c>
      <c r="BL59" s="389">
        <v>16</v>
      </c>
      <c r="BM59" s="389">
        <v>0</v>
      </c>
      <c r="BN59" s="395">
        <v>17</v>
      </c>
      <c r="BO59" s="395">
        <v>0</v>
      </c>
      <c r="BP59" s="395">
        <v>0</v>
      </c>
      <c r="BQ59" s="389">
        <v>4</v>
      </c>
      <c r="BR59" s="389">
        <v>0</v>
      </c>
      <c r="BS59" s="389">
        <v>0</v>
      </c>
      <c r="BT59" s="389">
        <v>0</v>
      </c>
      <c r="BU59" s="389">
        <v>0</v>
      </c>
      <c r="BV59" s="389">
        <v>0</v>
      </c>
      <c r="BW59" s="389">
        <v>0</v>
      </c>
      <c r="BX59" s="389">
        <v>0</v>
      </c>
      <c r="BY59" s="389">
        <v>49</v>
      </c>
      <c r="BZ59" s="389">
        <v>0</v>
      </c>
      <c r="CA59" s="400">
        <v>0</v>
      </c>
      <c r="CB59" s="400">
        <v>0</v>
      </c>
      <c r="CC59" s="400">
        <v>0</v>
      </c>
      <c r="CD59" s="389">
        <v>160</v>
      </c>
      <c r="CE59" s="389">
        <v>0</v>
      </c>
      <c r="CF59" s="389">
        <v>170</v>
      </c>
      <c r="CG59" s="389">
        <v>0</v>
      </c>
      <c r="CH59" s="389">
        <v>0</v>
      </c>
      <c r="CI59" s="389">
        <v>40</v>
      </c>
      <c r="CJ59" s="389">
        <v>0</v>
      </c>
      <c r="CK59" s="389">
        <v>0</v>
      </c>
      <c r="CL59" s="389">
        <v>0</v>
      </c>
      <c r="CM59" s="389">
        <v>0</v>
      </c>
      <c r="CN59" s="389">
        <v>196</v>
      </c>
      <c r="CO59" s="389">
        <v>0</v>
      </c>
      <c r="CP59" s="389">
        <v>0</v>
      </c>
      <c r="CQ59" s="389">
        <v>0</v>
      </c>
      <c r="CR59" s="389">
        <v>0</v>
      </c>
      <c r="CS59" s="389">
        <v>566</v>
      </c>
      <c r="CT59" s="389">
        <v>2</v>
      </c>
      <c r="CU59" s="389">
        <v>0</v>
      </c>
      <c r="CV59" s="389">
        <v>1</v>
      </c>
      <c r="CW59" s="389">
        <v>3</v>
      </c>
      <c r="CX59" s="401">
        <v>452.26522848555692</v>
      </c>
      <c r="CY59" s="396">
        <v>0</v>
      </c>
      <c r="CZ59" s="396">
        <v>5401.5299819699994</v>
      </c>
      <c r="DA59" s="402">
        <v>0</v>
      </c>
      <c r="DB59" s="389">
        <v>0</v>
      </c>
      <c r="DC59" s="396">
        <v>256.69796266999998</v>
      </c>
      <c r="DD59" s="403">
        <v>0</v>
      </c>
      <c r="DE59" s="402">
        <v>0.7573220808887714</v>
      </c>
      <c r="DF59" s="402">
        <v>1</v>
      </c>
      <c r="DG59" s="402">
        <v>0</v>
      </c>
      <c r="DH59" s="402">
        <v>6.3662306830213955E-2</v>
      </c>
      <c r="DI59" s="402">
        <v>0.60971428571428576</v>
      </c>
      <c r="DJ59" s="402"/>
      <c r="DK59" s="402"/>
      <c r="DL59" s="404"/>
      <c r="DM59" s="404"/>
      <c r="DN59" s="402">
        <v>0.62499999999999989</v>
      </c>
      <c r="DO59" s="402">
        <v>0.7118449335772874</v>
      </c>
      <c r="DP59" s="402">
        <v>1</v>
      </c>
      <c r="DQ59" s="402">
        <v>1</v>
      </c>
      <c r="DR59" s="405">
        <v>0.1135983121333157</v>
      </c>
      <c r="DS59" s="405">
        <v>0.05</v>
      </c>
      <c r="DT59" s="402">
        <v>0</v>
      </c>
      <c r="DU59" s="402">
        <v>1.9098692049064187E-2</v>
      </c>
      <c r="DV59" s="402">
        <v>6.0971428571428579E-2</v>
      </c>
      <c r="DW59" s="402">
        <v>0.24366843275380851</v>
      </c>
      <c r="DX59" s="402">
        <v>6.2499999999999993E-2</v>
      </c>
      <c r="DY59" s="402">
        <v>0.14236898671545747</v>
      </c>
      <c r="DZ59" s="406">
        <v>0.05</v>
      </c>
      <c r="EA59" s="406">
        <v>0.05</v>
      </c>
      <c r="EB59" s="406">
        <v>0.30486898671545748</v>
      </c>
      <c r="EC59" s="407">
        <v>0.54853741946926604</v>
      </c>
      <c r="ED59" s="408" t="s">
        <v>157</v>
      </c>
      <c r="EE59" s="408" t="s">
        <v>156</v>
      </c>
      <c r="EG59" s="389">
        <v>208782.2343751108</v>
      </c>
      <c r="EH59" s="389">
        <v>209860.11256677029</v>
      </c>
      <c r="EI59" s="389">
        <v>210102.57150688057</v>
      </c>
      <c r="EJ59" s="389">
        <v>81696.2745</v>
      </c>
      <c r="EK59" s="389">
        <v>80853.276543480024</v>
      </c>
      <c r="EL59" s="389">
        <v>80538.327055260015</v>
      </c>
      <c r="EN59" s="389">
        <v>2</v>
      </c>
      <c r="EO59" s="409">
        <v>290871.78640327428</v>
      </c>
      <c r="EP59" s="409">
        <v>293493.81575008016</v>
      </c>
      <c r="EQ59" s="410">
        <v>-1311.0146734029404</v>
      </c>
      <c r="ER59" s="404">
        <v>0</v>
      </c>
      <c r="ES59" s="404">
        <v>1.063662306830214</v>
      </c>
      <c r="ET59" s="404">
        <v>0.31909869204906421</v>
      </c>
      <c r="EU59" s="411">
        <v>0.84853741946926597</v>
      </c>
      <c r="EV59" s="412" t="s">
        <v>509</v>
      </c>
      <c r="EW59" s="412" t="s">
        <v>25</v>
      </c>
      <c r="EX59" s="381"/>
      <c r="EY59" s="419">
        <v>1.5280175997551373</v>
      </c>
      <c r="EZ59" s="419">
        <v>0.97348727836734827</v>
      </c>
      <c r="FA59" s="419">
        <v>0.55962298674376232</v>
      </c>
      <c r="FB59" s="419">
        <v>0.32253507801234549</v>
      </c>
      <c r="FC59" s="419">
        <v>0.34267228982709108</v>
      </c>
      <c r="FD59" s="419">
        <v>0.63768058412004502</v>
      </c>
      <c r="FE59" s="419">
        <v>0.50853431337020338</v>
      </c>
      <c r="FF59" s="419">
        <v>0.87741909763079384</v>
      </c>
      <c r="FG59" s="419">
        <v>0.74253882221361989</v>
      </c>
      <c r="FH59" s="419">
        <v>1.0126067572231074</v>
      </c>
      <c r="FI59" s="419">
        <v>0.84853741946926597</v>
      </c>
      <c r="FJ59" s="419"/>
      <c r="FK59" s="407">
        <v>1.0203759549554159</v>
      </c>
      <c r="FL59" s="407">
        <v>0.43429598398649388</v>
      </c>
      <c r="FM59" s="419">
        <v>0.70949741107153896</v>
      </c>
      <c r="FN59" s="419">
        <v>0.93057208834618677</v>
      </c>
      <c r="FO59" s="407">
        <v>0.75942292970297454</v>
      </c>
    </row>
    <row r="60" spans="1:171" hidden="1" outlineLevel="1" x14ac:dyDescent="0.25">
      <c r="A60" s="390" t="s">
        <v>251</v>
      </c>
      <c r="B60" s="390" t="s">
        <v>256</v>
      </c>
      <c r="C60" s="390" t="s">
        <v>257</v>
      </c>
      <c r="D60" s="391" t="s">
        <v>256</v>
      </c>
      <c r="E60" s="390" t="s">
        <v>36</v>
      </c>
      <c r="F60" s="391" t="s">
        <v>154</v>
      </c>
      <c r="G60" s="392">
        <v>1</v>
      </c>
      <c r="H60" s="393">
        <v>38961</v>
      </c>
      <c r="I60" s="393">
        <v>43222</v>
      </c>
      <c r="J60" s="394">
        <v>195</v>
      </c>
      <c r="K60" s="391">
        <v>881</v>
      </c>
      <c r="L60" s="390" t="s">
        <v>258</v>
      </c>
      <c r="M60" s="392" t="s">
        <v>355</v>
      </c>
      <c r="N60" s="395">
        <v>4</v>
      </c>
      <c r="O60" s="395">
        <v>0</v>
      </c>
      <c r="P60" s="395">
        <v>5</v>
      </c>
      <c r="Q60" s="389">
        <v>0</v>
      </c>
      <c r="R60" s="389">
        <v>0</v>
      </c>
      <c r="S60" s="389">
        <v>299114.9219999999</v>
      </c>
      <c r="T60" s="389">
        <v>140018.99700000003</v>
      </c>
      <c r="U60" s="389">
        <v>36312.662146579991</v>
      </c>
      <c r="V60" s="389">
        <v>11592.1419988</v>
      </c>
      <c r="W60" s="389">
        <v>0</v>
      </c>
      <c r="X60" s="389">
        <v>0</v>
      </c>
      <c r="Y60" s="389">
        <v>318406.1719999999</v>
      </c>
      <c r="Z60" s="389">
        <v>140368.99700000003</v>
      </c>
      <c r="AA60" s="389"/>
      <c r="AB60" s="389"/>
      <c r="AC60" s="389">
        <v>19291.25</v>
      </c>
      <c r="AD60" s="389">
        <v>350</v>
      </c>
      <c r="AE60" s="389">
        <v>0</v>
      </c>
      <c r="AF60" s="389">
        <v>485.09635416666669</v>
      </c>
      <c r="AG60" s="389">
        <v>2400</v>
      </c>
      <c r="AH60" s="396">
        <v>7.2</v>
      </c>
      <c r="AI60" s="389">
        <v>981.02406250000013</v>
      </c>
      <c r="AJ60" s="397">
        <v>0.02</v>
      </c>
      <c r="AK60" s="397">
        <v>0.1</v>
      </c>
      <c r="AL60" s="389">
        <v>307624.96653778607</v>
      </c>
      <c r="AM60" s="389">
        <v>132868.5435925358</v>
      </c>
      <c r="AN60" s="398">
        <v>8510.0445377861615</v>
      </c>
      <c r="AO60" s="398">
        <v>-7150.4534074642288</v>
      </c>
      <c r="AP60" s="398">
        <v>0</v>
      </c>
      <c r="AQ60" s="398">
        <v>13888.017409640002</v>
      </c>
      <c r="AR60" s="398">
        <v>0</v>
      </c>
      <c r="AS60" s="398">
        <v>0</v>
      </c>
      <c r="AT60" s="398">
        <v>174.6</v>
      </c>
      <c r="AU60" s="399">
        <v>170</v>
      </c>
      <c r="AV60" s="399">
        <v>20</v>
      </c>
      <c r="AW60" s="399">
        <v>9.6</v>
      </c>
      <c r="AX60" s="399">
        <v>0</v>
      </c>
      <c r="AY60" s="399">
        <v>13</v>
      </c>
      <c r="AZ60" s="399">
        <v>0</v>
      </c>
      <c r="BA60" s="399">
        <v>0</v>
      </c>
      <c r="BB60" s="399">
        <v>0</v>
      </c>
      <c r="BC60" s="399">
        <v>3400</v>
      </c>
      <c r="BD60" s="399">
        <v>160</v>
      </c>
      <c r="BE60" s="399">
        <v>19.2</v>
      </c>
      <c r="BF60" s="399">
        <v>0</v>
      </c>
      <c r="BG60" s="399">
        <v>1.3</v>
      </c>
      <c r="BH60" s="399">
        <v>0</v>
      </c>
      <c r="BI60" s="399">
        <v>0</v>
      </c>
      <c r="BJ60" s="399">
        <v>0</v>
      </c>
      <c r="BK60" s="398">
        <v>3580.5</v>
      </c>
      <c r="BL60" s="389">
        <v>47</v>
      </c>
      <c r="BM60" s="389">
        <v>1</v>
      </c>
      <c r="BN60" s="395">
        <v>40</v>
      </c>
      <c r="BO60" s="395">
        <v>0</v>
      </c>
      <c r="BP60" s="395">
        <v>0</v>
      </c>
      <c r="BQ60" s="389">
        <v>10</v>
      </c>
      <c r="BR60" s="389">
        <v>0</v>
      </c>
      <c r="BS60" s="389">
        <v>0</v>
      </c>
      <c r="BT60" s="389">
        <v>0</v>
      </c>
      <c r="BU60" s="389">
        <v>0</v>
      </c>
      <c r="BV60" s="389">
        <v>0</v>
      </c>
      <c r="BW60" s="389">
        <v>0</v>
      </c>
      <c r="BX60" s="389">
        <v>0</v>
      </c>
      <c r="BY60" s="389">
        <v>83</v>
      </c>
      <c r="BZ60" s="389">
        <v>1</v>
      </c>
      <c r="CA60" s="400">
        <v>0</v>
      </c>
      <c r="CB60" s="400">
        <v>0</v>
      </c>
      <c r="CC60" s="400">
        <v>0</v>
      </c>
      <c r="CD60" s="389">
        <v>470</v>
      </c>
      <c r="CE60" s="389">
        <v>2</v>
      </c>
      <c r="CF60" s="389">
        <v>400</v>
      </c>
      <c r="CG60" s="389">
        <v>0</v>
      </c>
      <c r="CH60" s="389">
        <v>0</v>
      </c>
      <c r="CI60" s="389">
        <v>100</v>
      </c>
      <c r="CJ60" s="389">
        <v>0</v>
      </c>
      <c r="CK60" s="389">
        <v>0</v>
      </c>
      <c r="CL60" s="389">
        <v>0</v>
      </c>
      <c r="CM60" s="389">
        <v>0</v>
      </c>
      <c r="CN60" s="389">
        <v>332</v>
      </c>
      <c r="CO60" s="389">
        <v>20</v>
      </c>
      <c r="CP60" s="389">
        <v>0</v>
      </c>
      <c r="CQ60" s="389">
        <v>0</v>
      </c>
      <c r="CR60" s="389">
        <v>0</v>
      </c>
      <c r="CS60" s="389">
        <v>1324</v>
      </c>
      <c r="CT60" s="389">
        <v>2</v>
      </c>
      <c r="CU60" s="389">
        <v>0</v>
      </c>
      <c r="CV60" s="389">
        <v>4</v>
      </c>
      <c r="CW60" s="389">
        <v>6</v>
      </c>
      <c r="CX60" s="401">
        <v>631.08568638240649</v>
      </c>
      <c r="CY60" s="396">
        <v>623.77355832000001</v>
      </c>
      <c r="CZ60" s="396">
        <v>6324.6413114199995</v>
      </c>
      <c r="DA60" s="402">
        <v>9.862591846808641E-2</v>
      </c>
      <c r="DB60" s="389">
        <v>28.950334609999999</v>
      </c>
      <c r="DC60" s="396">
        <v>28.950334609999999</v>
      </c>
      <c r="DD60" s="403">
        <v>1</v>
      </c>
      <c r="DE60" s="402">
        <v>0.44113494655795565</v>
      </c>
      <c r="DF60" s="402">
        <v>0</v>
      </c>
      <c r="DG60" s="402">
        <v>0</v>
      </c>
      <c r="DH60" s="402">
        <v>0.35992849358750673</v>
      </c>
      <c r="DI60" s="402">
        <v>2</v>
      </c>
      <c r="DJ60" s="402"/>
      <c r="DK60" s="402"/>
      <c r="DL60" s="404"/>
      <c r="DM60" s="404"/>
      <c r="DN60" s="402">
        <v>0.83333333333333326</v>
      </c>
      <c r="DO60" s="402">
        <v>0.64329276977587535</v>
      </c>
      <c r="DP60" s="402">
        <v>0.20278645117481611</v>
      </c>
      <c r="DQ60" s="402">
        <v>0.1</v>
      </c>
      <c r="DR60" s="405">
        <v>6.617024198369334E-2</v>
      </c>
      <c r="DS60" s="405">
        <v>0</v>
      </c>
      <c r="DT60" s="402">
        <v>0</v>
      </c>
      <c r="DU60" s="402">
        <v>0.10797854807625201</v>
      </c>
      <c r="DV60" s="402">
        <v>0.2</v>
      </c>
      <c r="DW60" s="402">
        <v>0.37414879005994539</v>
      </c>
      <c r="DX60" s="402">
        <v>8.3333333333333329E-2</v>
      </c>
      <c r="DY60" s="402">
        <v>0.12865855395517509</v>
      </c>
      <c r="DZ60" s="406">
        <v>1.0139322558740806E-2</v>
      </c>
      <c r="EA60" s="406">
        <v>5.000000000000001E-3</v>
      </c>
      <c r="EB60" s="406">
        <v>0.22713120984724924</v>
      </c>
      <c r="EC60" s="407">
        <v>0.60127999990719461</v>
      </c>
      <c r="ED60" s="408" t="s">
        <v>157</v>
      </c>
      <c r="EE60" s="408" t="s">
        <v>156</v>
      </c>
      <c r="EG60" s="389">
        <v>311809.67199397017</v>
      </c>
      <c r="EH60" s="389">
        <v>305515.56824566994</v>
      </c>
      <c r="EI60" s="389">
        <v>305876.32303439005</v>
      </c>
      <c r="EJ60" s="389">
        <v>137087.36519000004</v>
      </c>
      <c r="EK60" s="389">
        <v>131902.30172990003</v>
      </c>
      <c r="EL60" s="389">
        <v>131251.31104311006</v>
      </c>
      <c r="EN60" s="389">
        <v>4</v>
      </c>
      <c r="EO60" s="409">
        <v>440493.51013032184</v>
      </c>
      <c r="EP60" s="409">
        <v>452550.92425208457</v>
      </c>
      <c r="EQ60" s="410">
        <v>-3014.3535304406832</v>
      </c>
      <c r="ER60" s="404">
        <v>0</v>
      </c>
      <c r="ES60" s="404">
        <v>1.3599284935875067</v>
      </c>
      <c r="ET60" s="404">
        <v>0.407978548076252</v>
      </c>
      <c r="EU60" s="411">
        <v>0.90127999990719454</v>
      </c>
      <c r="EV60" s="412" t="s">
        <v>511</v>
      </c>
      <c r="EW60" s="412" t="s">
        <v>27</v>
      </c>
      <c r="EX60" s="381"/>
      <c r="EY60" s="419">
        <v>1.3589564674591543</v>
      </c>
      <c r="EZ60" s="419">
        <v>1.5421522398244432</v>
      </c>
      <c r="FA60" s="419">
        <v>1.3691830502321116</v>
      </c>
      <c r="FB60" s="419">
        <v>1.3858172234610024</v>
      </c>
      <c r="FC60" s="419">
        <v>1.4259534665519031</v>
      </c>
      <c r="FD60" s="419">
        <v>1.4605814864030147</v>
      </c>
      <c r="FE60" s="419">
        <v>0.96002960151639061</v>
      </c>
      <c r="FF60" s="419">
        <v>1.1331266650313689</v>
      </c>
      <c r="FG60" s="419">
        <v>1.1115128794721232</v>
      </c>
      <c r="FH60" s="419">
        <v>1.1591605469050812</v>
      </c>
      <c r="FI60" s="419">
        <v>0.90127999990719454</v>
      </c>
      <c r="FJ60" s="419"/>
      <c r="FK60" s="407">
        <v>1.4234305858385696</v>
      </c>
      <c r="FL60" s="407">
        <v>1.4241173921386399</v>
      </c>
      <c r="FM60" s="419">
        <v>1.0682230486732942</v>
      </c>
      <c r="FN60" s="419">
        <v>1.0302202734061379</v>
      </c>
      <c r="FO60" s="407">
        <v>1.2552503297057989</v>
      </c>
    </row>
    <row r="61" spans="1:171" outlineLevel="1" x14ac:dyDescent="0.25">
      <c r="A61" s="390" t="s">
        <v>450</v>
      </c>
      <c r="B61" s="390" t="s">
        <v>472</v>
      </c>
      <c r="C61" s="390" t="s">
        <v>473</v>
      </c>
      <c r="D61" s="391" t="s">
        <v>472</v>
      </c>
      <c r="E61" s="390" t="s">
        <v>36</v>
      </c>
      <c r="F61" s="391" t="s">
        <v>154</v>
      </c>
      <c r="G61" s="392">
        <v>1</v>
      </c>
      <c r="H61" s="393">
        <v>41730</v>
      </c>
      <c r="I61" s="393">
        <v>44743</v>
      </c>
      <c r="J61" s="394">
        <v>104</v>
      </c>
      <c r="K61" s="391">
        <v>351</v>
      </c>
      <c r="L61" s="390" t="s">
        <v>280</v>
      </c>
      <c r="M61" s="392" t="s">
        <v>355</v>
      </c>
      <c r="N61" s="395">
        <v>8</v>
      </c>
      <c r="O61" s="395">
        <v>1</v>
      </c>
      <c r="P61" s="395">
        <v>10</v>
      </c>
      <c r="Q61" s="389">
        <v>0</v>
      </c>
      <c r="R61" s="389">
        <v>0</v>
      </c>
      <c r="S61" s="389">
        <v>359962.14600000001</v>
      </c>
      <c r="T61" s="389">
        <v>207094.09099999999</v>
      </c>
      <c r="U61" s="389">
        <v>65064.043357219998</v>
      </c>
      <c r="V61" s="389">
        <v>44321.004430469999</v>
      </c>
      <c r="W61" s="389">
        <v>0</v>
      </c>
      <c r="X61" s="389">
        <v>0</v>
      </c>
      <c r="Y61" s="389">
        <v>404237.14600000001</v>
      </c>
      <c r="Z61" s="389">
        <v>207694.09099999999</v>
      </c>
      <c r="AA61" s="389"/>
      <c r="AB61" s="389"/>
      <c r="AC61" s="389">
        <v>44275</v>
      </c>
      <c r="AD61" s="389">
        <v>600</v>
      </c>
      <c r="AE61" s="389">
        <v>5056.0069444444443</v>
      </c>
      <c r="AF61" s="389">
        <v>866.24348958333337</v>
      </c>
      <c r="AG61" s="389">
        <v>4200</v>
      </c>
      <c r="AH61" s="396">
        <v>15.200000000000001</v>
      </c>
      <c r="AI61" s="389">
        <v>2665.7008333333333</v>
      </c>
      <c r="AJ61" s="397">
        <v>0.02</v>
      </c>
      <c r="AK61" s="397">
        <v>0.1</v>
      </c>
      <c r="AL61" s="389">
        <v>344831.94157956436</v>
      </c>
      <c r="AM61" s="389">
        <v>148299.03822078297</v>
      </c>
      <c r="AN61" s="398">
        <v>-15130.20442043565</v>
      </c>
      <c r="AO61" s="398">
        <v>-58795.052779217018</v>
      </c>
      <c r="AP61" s="398">
        <v>0</v>
      </c>
      <c r="AQ61" s="398">
        <v>84763.382932799985</v>
      </c>
      <c r="AR61" s="398">
        <v>0</v>
      </c>
      <c r="AS61" s="398">
        <v>250</v>
      </c>
      <c r="AT61" s="398">
        <v>420</v>
      </c>
      <c r="AU61" s="399">
        <v>444</v>
      </c>
      <c r="AV61" s="399">
        <v>0</v>
      </c>
      <c r="AW61" s="399">
        <v>22.21095</v>
      </c>
      <c r="AX61" s="399">
        <v>24725</v>
      </c>
      <c r="AY61" s="399">
        <v>2000</v>
      </c>
      <c r="AZ61" s="399">
        <v>0</v>
      </c>
      <c r="BA61" s="399">
        <v>0</v>
      </c>
      <c r="BB61" s="399">
        <v>0</v>
      </c>
      <c r="BC61" s="399">
        <v>8880</v>
      </c>
      <c r="BD61" s="399">
        <v>0</v>
      </c>
      <c r="BE61" s="399">
        <v>44.421900000000001</v>
      </c>
      <c r="BF61" s="399">
        <v>24.725000000000001</v>
      </c>
      <c r="BG61" s="399">
        <v>200</v>
      </c>
      <c r="BH61" s="399">
        <v>0</v>
      </c>
      <c r="BI61" s="399">
        <v>0</v>
      </c>
      <c r="BJ61" s="399">
        <v>0</v>
      </c>
      <c r="BK61" s="398">
        <v>9149.1468999999997</v>
      </c>
      <c r="BL61" s="389">
        <v>67</v>
      </c>
      <c r="BM61" s="389">
        <v>1</v>
      </c>
      <c r="BN61" s="395">
        <v>179</v>
      </c>
      <c r="BO61" s="395">
        <v>0</v>
      </c>
      <c r="BP61" s="395">
        <v>0</v>
      </c>
      <c r="BQ61" s="389">
        <v>1</v>
      </c>
      <c r="BR61" s="389">
        <v>0</v>
      </c>
      <c r="BS61" s="389">
        <v>250</v>
      </c>
      <c r="BT61" s="389">
        <v>287.8</v>
      </c>
      <c r="BU61" s="389">
        <v>0</v>
      </c>
      <c r="BV61" s="389">
        <v>0</v>
      </c>
      <c r="BW61" s="389">
        <v>0</v>
      </c>
      <c r="BX61" s="389">
        <v>3</v>
      </c>
      <c r="BY61" s="389">
        <v>124</v>
      </c>
      <c r="BZ61" s="389">
        <v>1</v>
      </c>
      <c r="CA61" s="400">
        <v>0</v>
      </c>
      <c r="CB61" s="400">
        <v>0</v>
      </c>
      <c r="CC61" s="400">
        <v>0</v>
      </c>
      <c r="CD61" s="389">
        <v>670</v>
      </c>
      <c r="CE61" s="389">
        <v>2</v>
      </c>
      <c r="CF61" s="389">
        <v>1790</v>
      </c>
      <c r="CG61" s="389">
        <v>0</v>
      </c>
      <c r="CH61" s="389">
        <v>0</v>
      </c>
      <c r="CI61" s="389">
        <v>10</v>
      </c>
      <c r="CJ61" s="389">
        <v>75</v>
      </c>
      <c r="CK61" s="389">
        <v>115.12</v>
      </c>
      <c r="CL61" s="389">
        <v>0</v>
      </c>
      <c r="CM61" s="389">
        <v>60</v>
      </c>
      <c r="CN61" s="389">
        <v>496</v>
      </c>
      <c r="CO61" s="389">
        <v>20</v>
      </c>
      <c r="CP61" s="389">
        <v>0</v>
      </c>
      <c r="CQ61" s="389">
        <v>0</v>
      </c>
      <c r="CR61" s="389">
        <v>0</v>
      </c>
      <c r="CS61" s="389">
        <v>3238.12</v>
      </c>
      <c r="CT61" s="389">
        <v>5</v>
      </c>
      <c r="CU61" s="389">
        <v>0</v>
      </c>
      <c r="CV61" s="389">
        <v>8</v>
      </c>
      <c r="CW61" s="389">
        <v>13</v>
      </c>
      <c r="CX61" s="401">
        <v>240.25943953999985</v>
      </c>
      <c r="CY61" s="396">
        <v>0</v>
      </c>
      <c r="CZ61" s="396">
        <v>75059.96923083</v>
      </c>
      <c r="DA61" s="402">
        <v>0</v>
      </c>
      <c r="DB61" s="389">
        <v>0</v>
      </c>
      <c r="DC61" s="396">
        <v>0</v>
      </c>
      <c r="DD61" s="403">
        <v>0</v>
      </c>
      <c r="DE61" s="402">
        <v>0</v>
      </c>
      <c r="DF61" s="402">
        <v>0</v>
      </c>
      <c r="DG61" s="402">
        <v>4.9446134617101498E-2</v>
      </c>
      <c r="DH61" s="402">
        <v>0.48485212881890943</v>
      </c>
      <c r="DI61" s="402">
        <v>2</v>
      </c>
      <c r="DJ61" s="402"/>
      <c r="DK61" s="402"/>
      <c r="DL61" s="404"/>
      <c r="DM61" s="404"/>
      <c r="DN61" s="402">
        <v>0.85526315789473684</v>
      </c>
      <c r="DO61" s="402">
        <v>9.0129933762884681E-2</v>
      </c>
      <c r="DP61" s="402">
        <v>1</v>
      </c>
      <c r="DQ61" s="402">
        <v>1</v>
      </c>
      <c r="DR61" s="405">
        <v>0</v>
      </c>
      <c r="DS61" s="405">
        <v>0</v>
      </c>
      <c r="DT61" s="402">
        <v>7.4169201925652246E-3</v>
      </c>
      <c r="DU61" s="402">
        <v>7.2727819322836409E-2</v>
      </c>
      <c r="DV61" s="402">
        <v>0.2</v>
      </c>
      <c r="DW61" s="402">
        <v>0.28014473951540164</v>
      </c>
      <c r="DX61" s="402">
        <v>8.5526315789473686E-2</v>
      </c>
      <c r="DY61" s="402">
        <v>1.8025986752576936E-2</v>
      </c>
      <c r="DZ61" s="406">
        <v>0.05</v>
      </c>
      <c r="EA61" s="406">
        <v>0.05</v>
      </c>
      <c r="EB61" s="406">
        <v>0.20355230254205064</v>
      </c>
      <c r="EC61" s="407">
        <v>0.48369704205745229</v>
      </c>
      <c r="ED61" s="408" t="s">
        <v>157</v>
      </c>
      <c r="EE61" s="408" t="s">
        <v>156</v>
      </c>
      <c r="EG61" s="389">
        <v>347743.22561837989</v>
      </c>
      <c r="EH61" s="389">
        <v>354909.62493993068</v>
      </c>
      <c r="EI61" s="389">
        <v>365790.98536997999</v>
      </c>
      <c r="EJ61" s="389">
        <v>152841.99961</v>
      </c>
      <c r="EK61" s="389">
        <v>147305.62273659999</v>
      </c>
      <c r="EL61" s="389">
        <v>147154.98028468</v>
      </c>
      <c r="EN61" s="389">
        <v>6</v>
      </c>
      <c r="EO61" s="409">
        <v>493130.97980034736</v>
      </c>
      <c r="EP61" s="409">
        <v>499752.93759295903</v>
      </c>
      <c r="EQ61" s="410">
        <v>-1103.659632101946</v>
      </c>
      <c r="ER61" s="404">
        <v>0</v>
      </c>
      <c r="ES61" s="404">
        <v>1.4848521288189094</v>
      </c>
      <c r="ET61" s="404">
        <v>0.22272781932283639</v>
      </c>
      <c r="EU61" s="411">
        <v>0.63369704205745225</v>
      </c>
      <c r="EV61" s="412" t="s">
        <v>157</v>
      </c>
      <c r="EW61" s="412" t="s">
        <v>156</v>
      </c>
      <c r="EX61" s="381"/>
      <c r="EY61" s="419">
        <v>0.72467318759258159</v>
      </c>
      <c r="EZ61" s="419">
        <v>0.59634493466625593</v>
      </c>
      <c r="FA61" s="419">
        <v>0.68143751500859107</v>
      </c>
      <c r="FB61" s="419">
        <v>0.94360528629830576</v>
      </c>
      <c r="FC61" s="419">
        <v>1.0599750854909624</v>
      </c>
      <c r="FD61" s="419">
        <v>0.86457376250514106</v>
      </c>
      <c r="FE61" s="419">
        <v>0.71447331443412976</v>
      </c>
      <c r="FF61" s="419">
        <v>0.57507876118481749</v>
      </c>
      <c r="FG61" s="419">
        <v>0.66531329008694751</v>
      </c>
      <c r="FH61" s="419">
        <v>0.4523299982134471</v>
      </c>
      <c r="FI61" s="419">
        <v>0.63369704205745225</v>
      </c>
      <c r="FJ61" s="419"/>
      <c r="FK61" s="407">
        <v>0.66748521242247616</v>
      </c>
      <c r="FL61" s="407">
        <v>0.95605137809813634</v>
      </c>
      <c r="FM61" s="419">
        <v>0.65162178856863162</v>
      </c>
      <c r="FN61" s="419">
        <v>0.54301352013544968</v>
      </c>
      <c r="FO61" s="407">
        <v>0.71922747068533011</v>
      </c>
    </row>
    <row r="62" spans="1:171" outlineLevel="1" x14ac:dyDescent="0.25">
      <c r="A62" s="390" t="s">
        <v>450</v>
      </c>
      <c r="B62" s="390" t="s">
        <v>273</v>
      </c>
      <c r="C62" s="390" t="s">
        <v>274</v>
      </c>
      <c r="D62" s="391" t="s">
        <v>273</v>
      </c>
      <c r="E62" s="390" t="s">
        <v>36</v>
      </c>
      <c r="F62" s="391" t="s">
        <v>154</v>
      </c>
      <c r="G62" s="392">
        <v>1</v>
      </c>
      <c r="H62" s="393">
        <v>38376</v>
      </c>
      <c r="I62" s="393">
        <v>44166</v>
      </c>
      <c r="J62" s="394">
        <v>215</v>
      </c>
      <c r="K62" s="391">
        <v>361</v>
      </c>
      <c r="L62" s="390" t="s">
        <v>284</v>
      </c>
      <c r="M62" s="392" t="s">
        <v>355</v>
      </c>
      <c r="N62" s="395">
        <v>8</v>
      </c>
      <c r="O62" s="395">
        <v>2</v>
      </c>
      <c r="P62" s="395">
        <v>10</v>
      </c>
      <c r="Q62" s="389">
        <v>0</v>
      </c>
      <c r="R62" s="389">
        <v>0</v>
      </c>
      <c r="S62" s="389">
        <v>334171.95900000003</v>
      </c>
      <c r="T62" s="389">
        <v>224084.12400000016</v>
      </c>
      <c r="U62" s="389">
        <v>105475.00987393007</v>
      </c>
      <c r="V62" s="389">
        <v>113381.19365364999</v>
      </c>
      <c r="W62" s="389">
        <v>0</v>
      </c>
      <c r="X62" s="389">
        <v>0</v>
      </c>
      <c r="Y62" s="389">
        <v>377498.20900000003</v>
      </c>
      <c r="Z62" s="389">
        <v>224784.12400000016</v>
      </c>
      <c r="AA62" s="389"/>
      <c r="AB62" s="389"/>
      <c r="AC62" s="389">
        <v>43326.25</v>
      </c>
      <c r="AD62" s="389">
        <v>700</v>
      </c>
      <c r="AE62" s="389">
        <v>5627.0138888888887</v>
      </c>
      <c r="AF62" s="389">
        <v>872.01844618055554</v>
      </c>
      <c r="AG62" s="389">
        <v>5700</v>
      </c>
      <c r="AH62" s="396">
        <v>16</v>
      </c>
      <c r="AI62" s="389">
        <v>2674.4701041666672</v>
      </c>
      <c r="AJ62" s="397">
        <v>0.02</v>
      </c>
      <c r="AK62" s="397">
        <v>0.1</v>
      </c>
      <c r="AL62" s="389">
        <v>328158.80393231317</v>
      </c>
      <c r="AM62" s="389">
        <v>134317.10549522805</v>
      </c>
      <c r="AN62" s="398">
        <v>-6013.1550676868646</v>
      </c>
      <c r="AO62" s="398">
        <v>-89767.018504772102</v>
      </c>
      <c r="AP62" s="398">
        <v>0</v>
      </c>
      <c r="AQ62" s="398">
        <v>109201.74040059997</v>
      </c>
      <c r="AR62" s="398">
        <v>0</v>
      </c>
      <c r="AS62" s="398">
        <v>25</v>
      </c>
      <c r="AT62" s="398">
        <v>163</v>
      </c>
      <c r="AU62" s="399">
        <v>142.5</v>
      </c>
      <c r="AV62" s="399">
        <v>0</v>
      </c>
      <c r="AW62" s="399">
        <v>10.8</v>
      </c>
      <c r="AX62" s="399">
        <v>30222.510000000002</v>
      </c>
      <c r="AY62" s="399">
        <v>0</v>
      </c>
      <c r="AZ62" s="399">
        <v>500</v>
      </c>
      <c r="BA62" s="399">
        <v>0</v>
      </c>
      <c r="BB62" s="399">
        <v>0.2</v>
      </c>
      <c r="BC62" s="399">
        <v>2850</v>
      </c>
      <c r="BD62" s="399">
        <v>0</v>
      </c>
      <c r="BE62" s="399">
        <v>21.6</v>
      </c>
      <c r="BF62" s="399">
        <v>30.222510000000003</v>
      </c>
      <c r="BG62" s="399">
        <v>0</v>
      </c>
      <c r="BH62" s="399">
        <v>50</v>
      </c>
      <c r="BI62" s="399">
        <v>0</v>
      </c>
      <c r="BJ62" s="399">
        <v>0.02</v>
      </c>
      <c r="BK62" s="398">
        <v>2951.8425099999999</v>
      </c>
      <c r="BL62" s="389">
        <v>28</v>
      </c>
      <c r="BM62" s="389">
        <v>0</v>
      </c>
      <c r="BN62" s="395">
        <v>51</v>
      </c>
      <c r="BO62" s="395">
        <v>0</v>
      </c>
      <c r="BP62" s="395">
        <v>0</v>
      </c>
      <c r="BQ62" s="389">
        <v>10</v>
      </c>
      <c r="BR62" s="389">
        <v>0</v>
      </c>
      <c r="BS62" s="389">
        <v>0</v>
      </c>
      <c r="BT62" s="389">
        <v>0</v>
      </c>
      <c r="BU62" s="389">
        <v>0</v>
      </c>
      <c r="BV62" s="389">
        <v>0</v>
      </c>
      <c r="BW62" s="389">
        <v>0</v>
      </c>
      <c r="BX62" s="389">
        <v>0</v>
      </c>
      <c r="BY62" s="389">
        <v>78</v>
      </c>
      <c r="BZ62" s="389">
        <v>1</v>
      </c>
      <c r="CA62" s="400">
        <v>0</v>
      </c>
      <c r="CB62" s="400">
        <v>0</v>
      </c>
      <c r="CC62" s="400">
        <v>0</v>
      </c>
      <c r="CD62" s="389">
        <v>280</v>
      </c>
      <c r="CE62" s="389">
        <v>0</v>
      </c>
      <c r="CF62" s="389">
        <v>510</v>
      </c>
      <c r="CG62" s="389">
        <v>0</v>
      </c>
      <c r="CH62" s="389">
        <v>0</v>
      </c>
      <c r="CI62" s="389">
        <v>100</v>
      </c>
      <c r="CJ62" s="389">
        <v>0</v>
      </c>
      <c r="CK62" s="389">
        <v>0</v>
      </c>
      <c r="CL62" s="389">
        <v>0</v>
      </c>
      <c r="CM62" s="389">
        <v>0</v>
      </c>
      <c r="CN62" s="389">
        <v>312</v>
      </c>
      <c r="CO62" s="389">
        <v>20</v>
      </c>
      <c r="CP62" s="389">
        <v>0</v>
      </c>
      <c r="CQ62" s="389">
        <v>0</v>
      </c>
      <c r="CR62" s="389">
        <v>0</v>
      </c>
      <c r="CS62" s="389">
        <v>1222</v>
      </c>
      <c r="CT62" s="389">
        <v>4</v>
      </c>
      <c r="CU62" s="389">
        <v>0</v>
      </c>
      <c r="CV62" s="389">
        <v>5</v>
      </c>
      <c r="CW62" s="389">
        <v>9</v>
      </c>
      <c r="CX62" s="401">
        <v>80.770963420000001</v>
      </c>
      <c r="CY62" s="396">
        <v>58.189213250000002</v>
      </c>
      <c r="CZ62" s="396">
        <v>23362.498397780004</v>
      </c>
      <c r="DA62" s="402">
        <v>2.4907102082681949E-3</v>
      </c>
      <c r="DB62" s="389">
        <v>0</v>
      </c>
      <c r="DC62" s="396">
        <v>51.069287559999999</v>
      </c>
      <c r="DD62" s="403">
        <v>0</v>
      </c>
      <c r="DE62" s="402">
        <v>0</v>
      </c>
      <c r="DF62" s="402">
        <v>0</v>
      </c>
      <c r="DG62" s="402">
        <v>4.4428537930864256E-3</v>
      </c>
      <c r="DH62" s="402">
        <v>0.18692265136585204</v>
      </c>
      <c r="DI62" s="402">
        <v>0.73225307192982458</v>
      </c>
      <c r="DJ62" s="402"/>
      <c r="DK62" s="402"/>
      <c r="DL62" s="404"/>
      <c r="DM62" s="404"/>
      <c r="DN62" s="402">
        <v>0.5625</v>
      </c>
      <c r="DO62" s="402">
        <v>3.0200735201400677E-2</v>
      </c>
      <c r="DP62" s="402">
        <v>1</v>
      </c>
      <c r="DQ62" s="402">
        <v>1</v>
      </c>
      <c r="DR62" s="405">
        <v>0</v>
      </c>
      <c r="DS62" s="405">
        <v>0</v>
      </c>
      <c r="DT62" s="402">
        <v>6.6642806896296386E-4</v>
      </c>
      <c r="DU62" s="402">
        <v>2.8038397704877805E-2</v>
      </c>
      <c r="DV62" s="402">
        <v>7.3225307192982467E-2</v>
      </c>
      <c r="DW62" s="402">
        <v>0.10193013296682324</v>
      </c>
      <c r="DX62" s="402">
        <v>5.6250000000000001E-2</v>
      </c>
      <c r="DY62" s="402">
        <v>6.040147040280136E-3</v>
      </c>
      <c r="DZ62" s="406">
        <v>0.05</v>
      </c>
      <c r="EA62" s="406">
        <v>0.05</v>
      </c>
      <c r="EB62" s="406">
        <v>0.16229014704028016</v>
      </c>
      <c r="EC62" s="407">
        <v>0.2642202800071034</v>
      </c>
      <c r="ED62" s="408" t="s">
        <v>157</v>
      </c>
      <c r="EE62" s="408" t="s">
        <v>156</v>
      </c>
      <c r="EG62" s="389">
        <v>325863.64420813037</v>
      </c>
      <c r="EH62" s="389">
        <v>321472.11009662051</v>
      </c>
      <c r="EI62" s="389">
        <v>320662.16157409002</v>
      </c>
      <c r="EJ62" s="389">
        <v>134971.97776000001</v>
      </c>
      <c r="EK62" s="389">
        <v>132487.37813679001</v>
      </c>
      <c r="EL62" s="389">
        <v>132401.04345188002</v>
      </c>
      <c r="EN62" s="389">
        <v>7</v>
      </c>
      <c r="EO62" s="409">
        <v>462475.90942754119</v>
      </c>
      <c r="EP62" s="409">
        <v>469678.817195668</v>
      </c>
      <c r="EQ62" s="410">
        <v>-1028.9868240181156</v>
      </c>
      <c r="ER62" s="404">
        <v>0</v>
      </c>
      <c r="ES62" s="404">
        <v>1.186922651365852</v>
      </c>
      <c r="ET62" s="404">
        <v>0.17803839770487778</v>
      </c>
      <c r="EU62" s="411">
        <v>0.41422028000710337</v>
      </c>
      <c r="EV62" s="412" t="s">
        <v>157</v>
      </c>
      <c r="EW62" s="412" t="s">
        <v>156</v>
      </c>
      <c r="EX62" s="381"/>
      <c r="EY62" s="419">
        <v>0.45839892178439134</v>
      </c>
      <c r="EZ62" s="419">
        <v>0.26556561656089872</v>
      </c>
      <c r="FA62" s="419">
        <v>0.54888412831719158</v>
      </c>
      <c r="FB62" s="419">
        <v>0.34047045445329266</v>
      </c>
      <c r="FC62" s="419">
        <v>0.33393832470238388</v>
      </c>
      <c r="FD62" s="419">
        <v>0.45479589329397274</v>
      </c>
      <c r="FE62" s="419">
        <v>0.42771246349025183</v>
      </c>
      <c r="FF62" s="419">
        <v>0.40987346440561867</v>
      </c>
      <c r="FG62" s="419">
        <v>0.37737635867078656</v>
      </c>
      <c r="FH62" s="419">
        <v>0.30801714372097894</v>
      </c>
      <c r="FI62" s="419">
        <v>0.41422028000710337</v>
      </c>
      <c r="FJ62" s="419"/>
      <c r="FK62" s="407">
        <v>0.42428288888749388</v>
      </c>
      <c r="FL62" s="407">
        <v>0.37640155748321646</v>
      </c>
      <c r="FM62" s="419">
        <v>0.40498742885555233</v>
      </c>
      <c r="FN62" s="419">
        <v>0.36111871186404115</v>
      </c>
      <c r="FO62" s="407">
        <v>0.39447754994607914</v>
      </c>
    </row>
    <row r="63" spans="1:171" outlineLevel="1" x14ac:dyDescent="0.25">
      <c r="A63" s="390" t="s">
        <v>450</v>
      </c>
      <c r="B63" s="390" t="s">
        <v>363</v>
      </c>
      <c r="C63" s="390" t="s">
        <v>364</v>
      </c>
      <c r="D63" s="391" t="s">
        <v>363</v>
      </c>
      <c r="E63" s="390" t="s">
        <v>36</v>
      </c>
      <c r="F63" s="391" t="s">
        <v>154</v>
      </c>
      <c r="G63" s="392">
        <v>1</v>
      </c>
      <c r="H63" s="393">
        <v>39566</v>
      </c>
      <c r="I63" s="393">
        <v>44440</v>
      </c>
      <c r="J63" s="394">
        <v>176</v>
      </c>
      <c r="K63" s="391">
        <v>371</v>
      </c>
      <c r="L63" s="390" t="s">
        <v>287</v>
      </c>
      <c r="M63" s="392" t="s">
        <v>355</v>
      </c>
      <c r="N63" s="395">
        <v>4</v>
      </c>
      <c r="O63" s="395">
        <v>0</v>
      </c>
      <c r="P63" s="395">
        <v>5</v>
      </c>
      <c r="Q63" s="389">
        <v>0</v>
      </c>
      <c r="R63" s="389">
        <v>0</v>
      </c>
      <c r="S63" s="389">
        <v>255659.30199999997</v>
      </c>
      <c r="T63" s="389">
        <v>214182.372</v>
      </c>
      <c r="U63" s="389">
        <v>32572.220728910001</v>
      </c>
      <c r="V63" s="389">
        <v>2626.5527322299999</v>
      </c>
      <c r="W63" s="389">
        <v>0</v>
      </c>
      <c r="X63" s="389">
        <v>0</v>
      </c>
      <c r="Y63" s="389">
        <v>278745.55199999997</v>
      </c>
      <c r="Z63" s="389">
        <v>214682.372</v>
      </c>
      <c r="AA63" s="389"/>
      <c r="AB63" s="389"/>
      <c r="AC63" s="389">
        <v>23086.25</v>
      </c>
      <c r="AD63" s="389">
        <v>500</v>
      </c>
      <c r="AE63" s="389">
        <v>0</v>
      </c>
      <c r="AF63" s="389">
        <v>554.39583333333337</v>
      </c>
      <c r="AG63" s="389">
        <v>2400</v>
      </c>
      <c r="AH63" s="396">
        <v>7.2</v>
      </c>
      <c r="AI63" s="389">
        <v>1165.3696875000001</v>
      </c>
      <c r="AJ63" s="397">
        <v>0.02</v>
      </c>
      <c r="AK63" s="397">
        <v>0.1</v>
      </c>
      <c r="AL63" s="389">
        <v>329670.44502829551</v>
      </c>
      <c r="AM63" s="389">
        <v>195649.13288157235</v>
      </c>
      <c r="AN63" s="398">
        <v>74011.143028295541</v>
      </c>
      <c r="AO63" s="398">
        <v>-18533.239118427649</v>
      </c>
      <c r="AP63" s="398">
        <v>27838.643028295541</v>
      </c>
      <c r="AQ63" s="398">
        <v>3328.2678232899993</v>
      </c>
      <c r="AR63" s="398">
        <v>0</v>
      </c>
      <c r="AS63" s="398">
        <v>0</v>
      </c>
      <c r="AT63" s="398">
        <v>100</v>
      </c>
      <c r="AU63" s="399">
        <v>250.2</v>
      </c>
      <c r="AV63" s="399">
        <v>12</v>
      </c>
      <c r="AW63" s="399">
        <v>43.2</v>
      </c>
      <c r="AX63" s="399">
        <v>5834.22</v>
      </c>
      <c r="AY63" s="399">
        <v>100</v>
      </c>
      <c r="AZ63" s="399">
        <v>0</v>
      </c>
      <c r="BA63" s="399">
        <v>0</v>
      </c>
      <c r="BB63" s="399">
        <v>0.3</v>
      </c>
      <c r="BC63" s="399">
        <v>5004</v>
      </c>
      <c r="BD63" s="399">
        <v>96</v>
      </c>
      <c r="BE63" s="399">
        <v>86.4</v>
      </c>
      <c r="BF63" s="399">
        <v>5.8342200000000002</v>
      </c>
      <c r="BG63" s="399">
        <v>10</v>
      </c>
      <c r="BH63" s="399">
        <v>0</v>
      </c>
      <c r="BI63" s="399">
        <v>0</v>
      </c>
      <c r="BJ63" s="399">
        <v>0.03</v>
      </c>
      <c r="BK63" s="398">
        <v>5202.2642199999991</v>
      </c>
      <c r="BL63" s="389">
        <v>46</v>
      </c>
      <c r="BM63" s="389">
        <v>0</v>
      </c>
      <c r="BN63" s="395">
        <v>75</v>
      </c>
      <c r="BO63" s="395">
        <v>0</v>
      </c>
      <c r="BP63" s="395">
        <v>0</v>
      </c>
      <c r="BQ63" s="389">
        <v>10</v>
      </c>
      <c r="BR63" s="389">
        <v>0</v>
      </c>
      <c r="BS63" s="389">
        <v>0</v>
      </c>
      <c r="BT63" s="389">
        <v>0</v>
      </c>
      <c r="BU63" s="389">
        <v>0</v>
      </c>
      <c r="BV63" s="389">
        <v>0</v>
      </c>
      <c r="BW63" s="389">
        <v>0</v>
      </c>
      <c r="BX63" s="389">
        <v>3</v>
      </c>
      <c r="BY63" s="389">
        <v>98</v>
      </c>
      <c r="BZ63" s="389">
        <v>0</v>
      </c>
      <c r="CA63" s="400">
        <v>1</v>
      </c>
      <c r="CB63" s="400">
        <v>0</v>
      </c>
      <c r="CC63" s="400">
        <v>0</v>
      </c>
      <c r="CD63" s="389">
        <v>460</v>
      </c>
      <c r="CE63" s="389">
        <v>0</v>
      </c>
      <c r="CF63" s="389">
        <v>750</v>
      </c>
      <c r="CG63" s="389">
        <v>0</v>
      </c>
      <c r="CH63" s="389">
        <v>0</v>
      </c>
      <c r="CI63" s="389">
        <v>100</v>
      </c>
      <c r="CJ63" s="389">
        <v>0</v>
      </c>
      <c r="CK63" s="389">
        <v>0</v>
      </c>
      <c r="CL63" s="389">
        <v>0</v>
      </c>
      <c r="CM63" s="389">
        <v>60</v>
      </c>
      <c r="CN63" s="389">
        <v>392</v>
      </c>
      <c r="CO63" s="389">
        <v>0</v>
      </c>
      <c r="CP63" s="389">
        <v>4</v>
      </c>
      <c r="CQ63" s="389">
        <v>0</v>
      </c>
      <c r="CR63" s="389">
        <v>0</v>
      </c>
      <c r="CS63" s="389">
        <v>1766</v>
      </c>
      <c r="CT63" s="389">
        <v>4</v>
      </c>
      <c r="CU63" s="389">
        <v>0</v>
      </c>
      <c r="CV63" s="389">
        <v>5</v>
      </c>
      <c r="CW63" s="389">
        <v>9</v>
      </c>
      <c r="CX63" s="401">
        <v>2604.5467967072404</v>
      </c>
      <c r="CY63" s="396">
        <v>0</v>
      </c>
      <c r="CZ63" s="396">
        <v>2485.6275126199998</v>
      </c>
      <c r="DA63" s="402">
        <v>0</v>
      </c>
      <c r="DB63" s="389">
        <v>0</v>
      </c>
      <c r="DC63" s="396">
        <v>21.343686640000001</v>
      </c>
      <c r="DD63" s="403">
        <v>0</v>
      </c>
      <c r="DE63" s="402">
        <v>2</v>
      </c>
      <c r="DF63" s="402">
        <v>1</v>
      </c>
      <c r="DG63" s="402">
        <v>0</v>
      </c>
      <c r="DH63" s="402">
        <v>0.18037653601893952</v>
      </c>
      <c r="DI63" s="402">
        <v>2</v>
      </c>
      <c r="DJ63" s="402"/>
      <c r="DK63" s="402"/>
      <c r="DL63" s="404"/>
      <c r="DM63" s="404"/>
      <c r="DN63" s="402">
        <v>1.25</v>
      </c>
      <c r="DO63" s="402">
        <v>1.3</v>
      </c>
      <c r="DP63" s="402">
        <v>1</v>
      </c>
      <c r="DQ63" s="402">
        <v>1</v>
      </c>
      <c r="DR63" s="405">
        <v>0.3</v>
      </c>
      <c r="DS63" s="405">
        <v>0.05</v>
      </c>
      <c r="DT63" s="402">
        <v>0</v>
      </c>
      <c r="DU63" s="402">
        <v>5.4112960805681856E-2</v>
      </c>
      <c r="DV63" s="402">
        <v>0.2</v>
      </c>
      <c r="DW63" s="402">
        <v>0.60411296080568189</v>
      </c>
      <c r="DX63" s="402">
        <v>0.125</v>
      </c>
      <c r="DY63" s="402">
        <v>0.26</v>
      </c>
      <c r="DZ63" s="406">
        <v>0.05</v>
      </c>
      <c r="EA63" s="406">
        <v>0.05</v>
      </c>
      <c r="EB63" s="406">
        <v>0.48499999999999999</v>
      </c>
      <c r="EC63" s="407">
        <v>1.0891129608056818</v>
      </c>
      <c r="ED63" s="408" t="s">
        <v>510</v>
      </c>
      <c r="EE63" s="408" t="s">
        <v>28</v>
      </c>
      <c r="EG63" s="389">
        <v>320515.78887855069</v>
      </c>
      <c r="EH63" s="389">
        <v>328627.54441150144</v>
      </c>
      <c r="EI63" s="389">
        <v>329535.99720321083</v>
      </c>
      <c r="EJ63" s="389">
        <v>205598.77329999994</v>
      </c>
      <c r="EK63" s="389">
        <v>195501.25486749</v>
      </c>
      <c r="EL63" s="389">
        <v>195518.59845849004</v>
      </c>
      <c r="EN63" s="389">
        <v>5</v>
      </c>
      <c r="EO63" s="409">
        <v>525319.57790986786</v>
      </c>
      <c r="EP63" s="409">
        <v>527632.53420879482</v>
      </c>
      <c r="EQ63" s="410">
        <v>-462.59125978539231</v>
      </c>
      <c r="ER63" s="404">
        <v>0</v>
      </c>
      <c r="ES63" s="404">
        <v>1.1803765360189395</v>
      </c>
      <c r="ET63" s="404">
        <v>0.35411296080568183</v>
      </c>
      <c r="EU63" s="411">
        <v>1.3891129608056818</v>
      </c>
      <c r="EV63" s="412" t="s">
        <v>520</v>
      </c>
      <c r="EW63" s="412" t="s">
        <v>29</v>
      </c>
      <c r="EX63" s="381"/>
      <c r="EY63" s="419">
        <v>1.4657718612603809</v>
      </c>
      <c r="EZ63" s="419">
        <v>1.3164025751572932</v>
      </c>
      <c r="FA63" s="419">
        <v>1.5089789936492426</v>
      </c>
      <c r="FB63" s="419">
        <v>1.1692004559517994</v>
      </c>
      <c r="FC63" s="419">
        <v>1.2944718558323833</v>
      </c>
      <c r="FD63" s="419">
        <v>1.4900901047603536</v>
      </c>
      <c r="FE63" s="419">
        <v>1.2714917807590009</v>
      </c>
      <c r="FF63" s="419">
        <v>1.2646490704613131</v>
      </c>
      <c r="FG63" s="419">
        <v>1.4572434331667354</v>
      </c>
      <c r="FH63" s="419">
        <v>1.4362928028927051</v>
      </c>
      <c r="FI63" s="419">
        <v>1.3891129608056818</v>
      </c>
      <c r="FJ63" s="419"/>
      <c r="FK63" s="407">
        <v>1.4303844766889722</v>
      </c>
      <c r="FL63" s="407">
        <v>1.3179208055148455</v>
      </c>
      <c r="FM63" s="419">
        <v>1.3311280947956832</v>
      </c>
      <c r="FN63" s="419">
        <v>1.4127028818491936</v>
      </c>
      <c r="FO63" s="407">
        <v>1.3694278086088081</v>
      </c>
    </row>
    <row r="64" spans="1:171" outlineLevel="1" x14ac:dyDescent="0.25">
      <c r="A64" s="390" t="s">
        <v>450</v>
      </c>
      <c r="B64" s="390" t="s">
        <v>451</v>
      </c>
      <c r="C64" s="390" t="s">
        <v>452</v>
      </c>
      <c r="D64" s="391" t="s">
        <v>451</v>
      </c>
      <c r="E64" s="390" t="s">
        <v>36</v>
      </c>
      <c r="F64" s="391" t="s">
        <v>154</v>
      </c>
      <c r="G64" s="392">
        <v>1</v>
      </c>
      <c r="H64" s="393">
        <v>40636</v>
      </c>
      <c r="I64" s="393">
        <v>44621</v>
      </c>
      <c r="J64" s="394">
        <v>140</v>
      </c>
      <c r="K64" s="391">
        <v>421</v>
      </c>
      <c r="L64" s="390" t="s">
        <v>281</v>
      </c>
      <c r="M64" s="392" t="s">
        <v>355</v>
      </c>
      <c r="N64" s="395">
        <v>5</v>
      </c>
      <c r="O64" s="395">
        <v>1</v>
      </c>
      <c r="P64" s="395">
        <v>6</v>
      </c>
      <c r="Q64" s="389">
        <v>0</v>
      </c>
      <c r="R64" s="389">
        <v>0</v>
      </c>
      <c r="S64" s="389">
        <v>265585.13000000006</v>
      </c>
      <c r="T64" s="389">
        <v>238718.95099999994</v>
      </c>
      <c r="U64" s="389">
        <v>60044.813936280021</v>
      </c>
      <c r="V64" s="389">
        <v>28616.346803290002</v>
      </c>
      <c r="W64" s="389">
        <v>0</v>
      </c>
      <c r="X64" s="389">
        <v>0</v>
      </c>
      <c r="Y64" s="389">
        <v>291580.88000000006</v>
      </c>
      <c r="Z64" s="389">
        <v>239118.95099999994</v>
      </c>
      <c r="AA64" s="389"/>
      <c r="AB64" s="389"/>
      <c r="AC64" s="389">
        <v>25995.75</v>
      </c>
      <c r="AD64" s="389">
        <v>400</v>
      </c>
      <c r="AE64" s="389">
        <v>3747.8819444444443</v>
      </c>
      <c r="AF64" s="389">
        <v>519.74609375</v>
      </c>
      <c r="AG64" s="389">
        <v>3000</v>
      </c>
      <c r="AH64" s="396">
        <v>9.6000000000000014</v>
      </c>
      <c r="AI64" s="389">
        <v>1639.8878645833333</v>
      </c>
      <c r="AJ64" s="397">
        <v>0.02</v>
      </c>
      <c r="AK64" s="397">
        <v>0.1</v>
      </c>
      <c r="AL64" s="389">
        <v>244829.28269900352</v>
      </c>
      <c r="AM64" s="389">
        <v>193635.04507171502</v>
      </c>
      <c r="AN64" s="398">
        <v>-20755.847300996538</v>
      </c>
      <c r="AO64" s="398">
        <v>-45083.905928284919</v>
      </c>
      <c r="AP64" s="398">
        <v>0</v>
      </c>
      <c r="AQ64" s="398">
        <v>27366.855344759999</v>
      </c>
      <c r="AR64" s="398">
        <v>0</v>
      </c>
      <c r="AS64" s="398">
        <v>13.0625</v>
      </c>
      <c r="AT64" s="398">
        <v>125</v>
      </c>
      <c r="AU64" s="399">
        <v>57</v>
      </c>
      <c r="AV64" s="399">
        <v>24</v>
      </c>
      <c r="AW64" s="399">
        <v>10.8</v>
      </c>
      <c r="AX64" s="399">
        <v>0</v>
      </c>
      <c r="AY64" s="399">
        <v>9</v>
      </c>
      <c r="AZ64" s="399">
        <v>0</v>
      </c>
      <c r="BA64" s="399">
        <v>0</v>
      </c>
      <c r="BB64" s="399">
        <v>0.11</v>
      </c>
      <c r="BC64" s="399">
        <v>1140</v>
      </c>
      <c r="BD64" s="399">
        <v>192</v>
      </c>
      <c r="BE64" s="399">
        <v>21.6</v>
      </c>
      <c r="BF64" s="399">
        <v>0</v>
      </c>
      <c r="BG64" s="399">
        <v>0.89999999999999991</v>
      </c>
      <c r="BH64" s="399">
        <v>0</v>
      </c>
      <c r="BI64" s="399">
        <v>0</v>
      </c>
      <c r="BJ64" s="399">
        <v>1.1000000000000001E-2</v>
      </c>
      <c r="BK64" s="398">
        <v>1354.511</v>
      </c>
      <c r="BL64" s="389">
        <v>19</v>
      </c>
      <c r="BM64" s="389">
        <v>0</v>
      </c>
      <c r="BN64" s="395">
        <v>22</v>
      </c>
      <c r="BO64" s="395">
        <v>5</v>
      </c>
      <c r="BP64" s="395">
        <v>0</v>
      </c>
      <c r="BQ64" s="389">
        <v>5</v>
      </c>
      <c r="BR64" s="389">
        <v>0</v>
      </c>
      <c r="BS64" s="389">
        <v>13.0625</v>
      </c>
      <c r="BT64" s="389">
        <v>0</v>
      </c>
      <c r="BU64" s="389">
        <v>0</v>
      </c>
      <c r="BV64" s="389">
        <v>0</v>
      </c>
      <c r="BW64" s="389">
        <v>0</v>
      </c>
      <c r="BX64" s="389">
        <v>0</v>
      </c>
      <c r="BY64" s="389">
        <v>62</v>
      </c>
      <c r="BZ64" s="389">
        <v>0</v>
      </c>
      <c r="CA64" s="400">
        <v>19</v>
      </c>
      <c r="CB64" s="400">
        <v>0</v>
      </c>
      <c r="CC64" s="400">
        <v>0</v>
      </c>
      <c r="CD64" s="389">
        <v>190</v>
      </c>
      <c r="CE64" s="389">
        <v>0</v>
      </c>
      <c r="CF64" s="389">
        <v>220</v>
      </c>
      <c r="CG64" s="389">
        <v>50</v>
      </c>
      <c r="CH64" s="389">
        <v>0</v>
      </c>
      <c r="CI64" s="389">
        <v>50</v>
      </c>
      <c r="CJ64" s="389">
        <v>3.9187499999999997</v>
      </c>
      <c r="CK64" s="389">
        <v>0</v>
      </c>
      <c r="CL64" s="389">
        <v>0</v>
      </c>
      <c r="CM64" s="389">
        <v>0</v>
      </c>
      <c r="CN64" s="389">
        <v>248</v>
      </c>
      <c r="CO64" s="389">
        <v>0</v>
      </c>
      <c r="CP64" s="389">
        <v>76</v>
      </c>
      <c r="CQ64" s="389">
        <v>0</v>
      </c>
      <c r="CR64" s="389">
        <v>0</v>
      </c>
      <c r="CS64" s="389">
        <v>837.91875000000005</v>
      </c>
      <c r="CT64" s="389">
        <v>1</v>
      </c>
      <c r="CU64" s="389">
        <v>0</v>
      </c>
      <c r="CV64" s="389">
        <v>6</v>
      </c>
      <c r="CW64" s="389">
        <v>7</v>
      </c>
      <c r="CX64" s="401">
        <v>47.911207489999995</v>
      </c>
      <c r="CY64" s="396">
        <v>0</v>
      </c>
      <c r="CZ64" s="396">
        <v>15656.022132189999</v>
      </c>
      <c r="DA64" s="402">
        <v>0</v>
      </c>
      <c r="DB64" s="389">
        <v>0</v>
      </c>
      <c r="DC64" s="396">
        <v>110.51649875</v>
      </c>
      <c r="DD64" s="403">
        <v>0</v>
      </c>
      <c r="DE64" s="402">
        <v>0</v>
      </c>
      <c r="DF64" s="402">
        <v>0</v>
      </c>
      <c r="DG64" s="402">
        <v>3.4853018834712199E-3</v>
      </c>
      <c r="DH64" s="402">
        <v>0.24050204802525271</v>
      </c>
      <c r="DI64" s="402">
        <v>0.73080991666666673</v>
      </c>
      <c r="DJ64" s="402"/>
      <c r="DK64" s="402"/>
      <c r="DL64" s="404"/>
      <c r="DM64" s="404"/>
      <c r="DN64" s="402">
        <v>0.72916666666666652</v>
      </c>
      <c r="DO64" s="402">
        <v>2.9216148570117867E-2</v>
      </c>
      <c r="DP64" s="402">
        <v>1</v>
      </c>
      <c r="DQ64" s="402">
        <v>1</v>
      </c>
      <c r="DR64" s="405">
        <v>0</v>
      </c>
      <c r="DS64" s="405">
        <v>0</v>
      </c>
      <c r="DT64" s="402">
        <v>5.2279528252068301E-4</v>
      </c>
      <c r="DU64" s="402">
        <v>3.6075307203787904E-2</v>
      </c>
      <c r="DV64" s="402">
        <v>7.3080991666666678E-2</v>
      </c>
      <c r="DW64" s="402">
        <v>0.10967909415297526</v>
      </c>
      <c r="DX64" s="402">
        <v>7.2916666666666657E-2</v>
      </c>
      <c r="DY64" s="402">
        <v>5.8432297140235739E-3</v>
      </c>
      <c r="DZ64" s="406">
        <v>0.05</v>
      </c>
      <c r="EA64" s="406">
        <v>0.05</v>
      </c>
      <c r="EB64" s="406">
        <v>0.17875989638069023</v>
      </c>
      <c r="EC64" s="407">
        <v>0.28843899053366551</v>
      </c>
      <c r="ED64" s="408" t="s">
        <v>157</v>
      </c>
      <c r="EE64" s="408" t="s">
        <v>156</v>
      </c>
      <c r="EG64" s="389">
        <v>244026.10800890008</v>
      </c>
      <c r="EH64" s="389">
        <v>243923.62756653017</v>
      </c>
      <c r="EI64" s="389">
        <v>243652.98134738978</v>
      </c>
      <c r="EJ64" s="389">
        <v>203021.22953999994</v>
      </c>
      <c r="EK64" s="389">
        <v>188998.08134593995</v>
      </c>
      <c r="EL64" s="389">
        <v>189471.51317818993</v>
      </c>
      <c r="EN64" s="389">
        <v>4</v>
      </c>
      <c r="EO64" s="409">
        <v>438464.32777071855</v>
      </c>
      <c r="EP64" s="409">
        <v>454417.15966655314</v>
      </c>
      <c r="EQ64" s="410">
        <v>-3988.2079739586479</v>
      </c>
      <c r="ER64" s="404">
        <v>0</v>
      </c>
      <c r="ES64" s="404">
        <v>1.2405020480252527</v>
      </c>
      <c r="ET64" s="404">
        <v>0.1860753072037879</v>
      </c>
      <c r="EU64" s="411">
        <v>0.43843899053366553</v>
      </c>
      <c r="EV64" s="412" t="s">
        <v>157</v>
      </c>
      <c r="EW64" s="412" t="s">
        <v>156</v>
      </c>
      <c r="EX64" s="381"/>
      <c r="EY64" s="419">
        <v>0.38974572987836908</v>
      </c>
      <c r="EZ64" s="419">
        <v>0.25267257576650226</v>
      </c>
      <c r="FA64" s="419">
        <v>0.5565719213392426</v>
      </c>
      <c r="FB64" s="419">
        <v>0.6661386107286561</v>
      </c>
      <c r="FC64" s="419">
        <v>0.66606941575732159</v>
      </c>
      <c r="FD64" s="419">
        <v>0.47742591182858252</v>
      </c>
      <c r="FE64" s="419">
        <v>0.5896700636341301</v>
      </c>
      <c r="FF64" s="419">
        <v>0.54537364316129833</v>
      </c>
      <c r="FG64" s="419">
        <v>0.37960780782228909</v>
      </c>
      <c r="FH64" s="419">
        <v>0.4467806542821971</v>
      </c>
      <c r="FI64" s="419">
        <v>0.43843899053366553</v>
      </c>
      <c r="FJ64" s="419"/>
      <c r="FK64" s="407">
        <v>0.39966340899470465</v>
      </c>
      <c r="FL64" s="407">
        <v>0.60321131277152007</v>
      </c>
      <c r="FM64" s="419">
        <v>0.50488383820590588</v>
      </c>
      <c r="FN64" s="419">
        <v>0.44260982240793134</v>
      </c>
      <c r="FO64" s="407">
        <v>0.49168139315747761</v>
      </c>
    </row>
    <row r="65" spans="1:171" outlineLevel="1" x14ac:dyDescent="0.25">
      <c r="A65" s="390" t="s">
        <v>450</v>
      </c>
      <c r="B65" s="390" t="s">
        <v>276</v>
      </c>
      <c r="C65" s="390" t="s">
        <v>277</v>
      </c>
      <c r="D65" s="391" t="s">
        <v>276</v>
      </c>
      <c r="E65" s="390" t="s">
        <v>36</v>
      </c>
      <c r="F65" s="391" t="s">
        <v>154</v>
      </c>
      <c r="G65" s="392">
        <v>1</v>
      </c>
      <c r="H65" s="393">
        <v>39069</v>
      </c>
      <c r="I65" s="393">
        <v>44166</v>
      </c>
      <c r="J65" s="394">
        <v>192</v>
      </c>
      <c r="K65" s="391">
        <v>431</v>
      </c>
      <c r="L65" s="390" t="s">
        <v>275</v>
      </c>
      <c r="M65" s="392" t="s">
        <v>355</v>
      </c>
      <c r="N65" s="395">
        <v>3</v>
      </c>
      <c r="O65" s="395">
        <v>0</v>
      </c>
      <c r="P65" s="395">
        <v>6</v>
      </c>
      <c r="Q65" s="389">
        <v>0</v>
      </c>
      <c r="R65" s="389">
        <v>0</v>
      </c>
      <c r="S65" s="389">
        <v>212985.37549999994</v>
      </c>
      <c r="T65" s="389">
        <v>110384.72600000001</v>
      </c>
      <c r="U65" s="389">
        <v>19732.869633860002</v>
      </c>
      <c r="V65" s="389">
        <v>10566.669258209999</v>
      </c>
      <c r="W65" s="389">
        <v>0</v>
      </c>
      <c r="X65" s="389">
        <v>0</v>
      </c>
      <c r="Y65" s="389">
        <v>233288.62549999994</v>
      </c>
      <c r="Z65" s="389">
        <v>110984.72600000001</v>
      </c>
      <c r="AA65" s="389"/>
      <c r="AB65" s="389"/>
      <c r="AC65" s="389">
        <v>20303.25</v>
      </c>
      <c r="AD65" s="389">
        <v>600</v>
      </c>
      <c r="AE65" s="389">
        <v>0</v>
      </c>
      <c r="AF65" s="389">
        <v>531.29600694444446</v>
      </c>
      <c r="AG65" s="389">
        <v>1800</v>
      </c>
      <c r="AH65" s="396">
        <v>7.2</v>
      </c>
      <c r="AI65" s="389">
        <v>1036.1126562500001</v>
      </c>
      <c r="AJ65" s="397">
        <v>0.02</v>
      </c>
      <c r="AK65" s="397">
        <v>0.1</v>
      </c>
      <c r="AL65" s="389">
        <v>223357.79061919026</v>
      </c>
      <c r="AM65" s="389">
        <v>88282.489919696309</v>
      </c>
      <c r="AN65" s="398">
        <v>10372.415119190322</v>
      </c>
      <c r="AO65" s="398">
        <v>-22102.236080303701</v>
      </c>
      <c r="AP65" s="398">
        <v>0</v>
      </c>
      <c r="AQ65" s="398">
        <v>9627.7353189900005</v>
      </c>
      <c r="AR65" s="398">
        <v>0</v>
      </c>
      <c r="AS65" s="398">
        <v>118.75</v>
      </c>
      <c r="AT65" s="398">
        <v>148</v>
      </c>
      <c r="AU65" s="399">
        <v>153</v>
      </c>
      <c r="AV65" s="399">
        <v>0</v>
      </c>
      <c r="AW65" s="399">
        <v>10.8</v>
      </c>
      <c r="AX65" s="399">
        <v>0</v>
      </c>
      <c r="AY65" s="399">
        <v>0</v>
      </c>
      <c r="AZ65" s="399">
        <v>38</v>
      </c>
      <c r="BA65" s="399">
        <v>0</v>
      </c>
      <c r="BB65" s="399">
        <v>0</v>
      </c>
      <c r="BC65" s="399">
        <v>3060</v>
      </c>
      <c r="BD65" s="399">
        <v>0</v>
      </c>
      <c r="BE65" s="399">
        <v>21.6</v>
      </c>
      <c r="BF65" s="399">
        <v>0</v>
      </c>
      <c r="BG65" s="399">
        <v>0</v>
      </c>
      <c r="BH65" s="399">
        <v>3.8</v>
      </c>
      <c r="BI65" s="399">
        <v>0</v>
      </c>
      <c r="BJ65" s="399">
        <v>0</v>
      </c>
      <c r="BK65" s="398">
        <v>3085.4</v>
      </c>
      <c r="BL65" s="389">
        <v>24</v>
      </c>
      <c r="BM65" s="389">
        <v>0</v>
      </c>
      <c r="BN65" s="395">
        <v>85</v>
      </c>
      <c r="BO65" s="395">
        <v>0</v>
      </c>
      <c r="BP65" s="395">
        <v>0</v>
      </c>
      <c r="BQ65" s="389">
        <v>12</v>
      </c>
      <c r="BR65" s="389">
        <v>0</v>
      </c>
      <c r="BS65" s="389">
        <v>118.75</v>
      </c>
      <c r="BT65" s="389">
        <v>0</v>
      </c>
      <c r="BU65" s="389">
        <v>22.2</v>
      </c>
      <c r="BV65" s="389">
        <v>0</v>
      </c>
      <c r="BW65" s="389">
        <v>0</v>
      </c>
      <c r="BX65" s="389">
        <v>1</v>
      </c>
      <c r="BY65" s="389">
        <v>72</v>
      </c>
      <c r="BZ65" s="389">
        <v>3</v>
      </c>
      <c r="CA65" s="400">
        <v>0</v>
      </c>
      <c r="CB65" s="400">
        <v>0</v>
      </c>
      <c r="CC65" s="400">
        <v>0</v>
      </c>
      <c r="CD65" s="389">
        <v>240</v>
      </c>
      <c r="CE65" s="389">
        <v>0</v>
      </c>
      <c r="CF65" s="389">
        <v>850</v>
      </c>
      <c r="CG65" s="389">
        <v>0</v>
      </c>
      <c r="CH65" s="389">
        <v>0</v>
      </c>
      <c r="CI65" s="389">
        <v>120</v>
      </c>
      <c r="CJ65" s="389">
        <v>35.625</v>
      </c>
      <c r="CK65" s="389">
        <v>17.760000000000002</v>
      </c>
      <c r="CL65" s="389">
        <v>0</v>
      </c>
      <c r="CM65" s="389">
        <v>20</v>
      </c>
      <c r="CN65" s="389">
        <v>288</v>
      </c>
      <c r="CO65" s="389">
        <v>60</v>
      </c>
      <c r="CP65" s="389">
        <v>0</v>
      </c>
      <c r="CQ65" s="389">
        <v>0</v>
      </c>
      <c r="CR65" s="389">
        <v>0</v>
      </c>
      <c r="CS65" s="389">
        <v>1631.385</v>
      </c>
      <c r="CT65" s="389">
        <v>3</v>
      </c>
      <c r="CU65" s="389">
        <v>0</v>
      </c>
      <c r="CV65" s="389">
        <v>5</v>
      </c>
      <c r="CW65" s="389">
        <v>8</v>
      </c>
      <c r="CX65" s="401">
        <v>89.281279139999981</v>
      </c>
      <c r="CY65" s="396">
        <v>0</v>
      </c>
      <c r="CZ65" s="396">
        <v>6557.8593126100004</v>
      </c>
      <c r="DA65" s="402">
        <v>0</v>
      </c>
      <c r="DB65" s="389">
        <v>0</v>
      </c>
      <c r="DC65" s="396">
        <v>0</v>
      </c>
      <c r="DD65" s="403">
        <v>0</v>
      </c>
      <c r="DE65" s="402">
        <v>0.51087461954072977</v>
      </c>
      <c r="DF65" s="402">
        <v>0</v>
      </c>
      <c r="DG65" s="402">
        <v>0</v>
      </c>
      <c r="DH65" s="402">
        <v>0.27856411127794489</v>
      </c>
      <c r="DI65" s="402">
        <v>2</v>
      </c>
      <c r="DJ65" s="402"/>
      <c r="DK65" s="402"/>
      <c r="DL65" s="404"/>
      <c r="DM65" s="404"/>
      <c r="DN65" s="402">
        <v>1.1111111111111112</v>
      </c>
      <c r="DO65" s="402">
        <v>8.6169470666573544E-2</v>
      </c>
      <c r="DP65" s="402">
        <v>1</v>
      </c>
      <c r="DQ65" s="402">
        <v>1</v>
      </c>
      <c r="DR65" s="405">
        <v>7.6631192931109468E-2</v>
      </c>
      <c r="DS65" s="405">
        <v>0</v>
      </c>
      <c r="DT65" s="402">
        <v>0</v>
      </c>
      <c r="DU65" s="402">
        <v>8.3569233383383471E-2</v>
      </c>
      <c r="DV65" s="402">
        <v>0.2</v>
      </c>
      <c r="DW65" s="402">
        <v>0.36020042631449295</v>
      </c>
      <c r="DX65" s="402">
        <v>0.11111111111111112</v>
      </c>
      <c r="DY65" s="402">
        <v>1.723389413331471E-2</v>
      </c>
      <c r="DZ65" s="406">
        <v>0.05</v>
      </c>
      <c r="EA65" s="406">
        <v>0.05</v>
      </c>
      <c r="EB65" s="406">
        <v>0.2283450052444258</v>
      </c>
      <c r="EC65" s="407">
        <v>0.5885454315589187</v>
      </c>
      <c r="ED65" s="408" t="s">
        <v>157</v>
      </c>
      <c r="EE65" s="408" t="s">
        <v>156</v>
      </c>
      <c r="EG65" s="389">
        <v>223895.77655908055</v>
      </c>
      <c r="EH65" s="389">
        <v>226875.81286999039</v>
      </c>
      <c r="EI65" s="389">
        <v>224195.39596936031</v>
      </c>
      <c r="EJ65" s="389">
        <v>88004.879890000026</v>
      </c>
      <c r="EK65" s="389">
        <v>87912.230188890011</v>
      </c>
      <c r="EL65" s="389">
        <v>90037.612721209996</v>
      </c>
      <c r="EN65" s="389">
        <v>6</v>
      </c>
      <c r="EO65" s="409">
        <v>311640.28053888655</v>
      </c>
      <c r="EP65" s="409">
        <v>317863.3715393251</v>
      </c>
      <c r="EQ65" s="410">
        <v>-1037.1818334064253</v>
      </c>
      <c r="ER65" s="404">
        <v>0</v>
      </c>
      <c r="ES65" s="404">
        <v>1.2785641112779449</v>
      </c>
      <c r="ET65" s="404">
        <v>0.38356923338338345</v>
      </c>
      <c r="EU65" s="411">
        <v>0.88854543155891863</v>
      </c>
      <c r="EV65" s="412" t="s">
        <v>511</v>
      </c>
      <c r="EW65" s="412" t="s">
        <v>27</v>
      </c>
      <c r="EX65" s="381"/>
      <c r="EY65" s="419">
        <v>1.1819132051956167</v>
      </c>
      <c r="EZ65" s="419">
        <v>0.99221279616111979</v>
      </c>
      <c r="FA65" s="419">
        <v>1.124376944605888</v>
      </c>
      <c r="FB65" s="419">
        <v>1.1748551342438369</v>
      </c>
      <c r="FC65" s="419">
        <v>1.358281204942769</v>
      </c>
      <c r="FD65" s="419">
        <v>0.84186838028744226</v>
      </c>
      <c r="FE65" s="419">
        <v>1.0998284842766961</v>
      </c>
      <c r="FF65" s="419">
        <v>0.97981106227542469</v>
      </c>
      <c r="FG65" s="419">
        <v>0.75107387859257269</v>
      </c>
      <c r="FH65" s="419">
        <v>0.78788014292028996</v>
      </c>
      <c r="FI65" s="419">
        <v>0.88854543155891863</v>
      </c>
      <c r="FJ65" s="419"/>
      <c r="FK65" s="407">
        <v>1.0995009819875414</v>
      </c>
      <c r="FL65" s="407">
        <v>1.1250015731580161</v>
      </c>
      <c r="FM65" s="419">
        <v>0.94357114171489787</v>
      </c>
      <c r="FN65" s="419">
        <v>0.83821278723960435</v>
      </c>
      <c r="FO65" s="407">
        <v>1.0164224240964161</v>
      </c>
    </row>
    <row r="66" spans="1:171" outlineLevel="1" x14ac:dyDescent="0.25">
      <c r="A66" s="390" t="s">
        <v>450</v>
      </c>
      <c r="B66" s="390" t="s">
        <v>282</v>
      </c>
      <c r="C66" s="390" t="s">
        <v>283</v>
      </c>
      <c r="D66" s="391" t="s">
        <v>282</v>
      </c>
      <c r="E66" s="390" t="s">
        <v>36</v>
      </c>
      <c r="F66" s="391" t="s">
        <v>154</v>
      </c>
      <c r="G66" s="392">
        <v>1</v>
      </c>
      <c r="H66" s="393">
        <v>41197</v>
      </c>
      <c r="I66" s="393">
        <v>44621</v>
      </c>
      <c r="J66" s="394">
        <v>122</v>
      </c>
      <c r="K66" s="391">
        <v>211</v>
      </c>
      <c r="L66" s="390" t="s">
        <v>292</v>
      </c>
      <c r="M66" s="392" t="s">
        <v>355</v>
      </c>
      <c r="N66" s="395">
        <v>6</v>
      </c>
      <c r="O66" s="395">
        <v>2</v>
      </c>
      <c r="P66" s="395">
        <v>8</v>
      </c>
      <c r="Q66" s="389">
        <v>0</v>
      </c>
      <c r="R66" s="389">
        <v>0</v>
      </c>
      <c r="S66" s="389">
        <v>338404.55999999988</v>
      </c>
      <c r="T66" s="389">
        <v>358370.97099999996</v>
      </c>
      <c r="U66" s="389">
        <v>125882.31676970996</v>
      </c>
      <c r="V66" s="389">
        <v>48143.02440580001</v>
      </c>
      <c r="W66" s="389">
        <v>0</v>
      </c>
      <c r="X66" s="389">
        <v>0</v>
      </c>
      <c r="Y66" s="389">
        <v>371168.05999999988</v>
      </c>
      <c r="Z66" s="389">
        <v>358770.97099999996</v>
      </c>
      <c r="AA66" s="389"/>
      <c r="AB66" s="389"/>
      <c r="AC66" s="389">
        <v>32763.5</v>
      </c>
      <c r="AD66" s="389">
        <v>400</v>
      </c>
      <c r="AE66" s="389">
        <v>6281.0763888888887</v>
      </c>
      <c r="AF66" s="389">
        <v>606.37044270833337</v>
      </c>
      <c r="AG66" s="389">
        <v>3600</v>
      </c>
      <c r="AH66" s="396">
        <v>12.8</v>
      </c>
      <c r="AI66" s="389">
        <v>2202.2915104166668</v>
      </c>
      <c r="AJ66" s="397">
        <v>0.02</v>
      </c>
      <c r="AK66" s="397">
        <v>0.1</v>
      </c>
      <c r="AL66" s="389">
        <v>311338.38378795376</v>
      </c>
      <c r="AM66" s="389">
        <v>180090.60121267225</v>
      </c>
      <c r="AN66" s="398">
        <v>-27066.176212046121</v>
      </c>
      <c r="AO66" s="398">
        <v>-178280.36978732771</v>
      </c>
      <c r="AP66" s="398">
        <v>0</v>
      </c>
      <c r="AQ66" s="398">
        <v>50288.013493700004</v>
      </c>
      <c r="AR66" s="398">
        <v>3000</v>
      </c>
      <c r="AS66" s="398">
        <v>0</v>
      </c>
      <c r="AT66" s="398">
        <v>125</v>
      </c>
      <c r="AU66" s="399">
        <v>106.2</v>
      </c>
      <c r="AV66" s="399">
        <v>0</v>
      </c>
      <c r="AW66" s="399">
        <v>7.2</v>
      </c>
      <c r="AX66" s="399">
        <v>5125</v>
      </c>
      <c r="AY66" s="399">
        <v>3013</v>
      </c>
      <c r="AZ66" s="399">
        <v>0</v>
      </c>
      <c r="BA66" s="399">
        <v>0</v>
      </c>
      <c r="BB66" s="399">
        <v>0</v>
      </c>
      <c r="BC66" s="399">
        <v>2124</v>
      </c>
      <c r="BD66" s="399">
        <v>0</v>
      </c>
      <c r="BE66" s="399">
        <v>14.4</v>
      </c>
      <c r="BF66" s="399">
        <v>5.125</v>
      </c>
      <c r="BG66" s="399">
        <v>301.3</v>
      </c>
      <c r="BH66" s="399">
        <v>0</v>
      </c>
      <c r="BI66" s="399">
        <v>0</v>
      </c>
      <c r="BJ66" s="399">
        <v>0</v>
      </c>
      <c r="BK66" s="398">
        <v>2444.8250000000003</v>
      </c>
      <c r="BL66" s="389">
        <v>26</v>
      </c>
      <c r="BM66" s="389">
        <v>0</v>
      </c>
      <c r="BN66" s="395">
        <v>36</v>
      </c>
      <c r="BO66" s="395">
        <v>1</v>
      </c>
      <c r="BP66" s="395">
        <v>0</v>
      </c>
      <c r="BQ66" s="389">
        <v>6</v>
      </c>
      <c r="BR66" s="389">
        <v>0</v>
      </c>
      <c r="BS66" s="389">
        <v>0</v>
      </c>
      <c r="BT66" s="389">
        <v>0</v>
      </c>
      <c r="BU66" s="389">
        <v>89.48</v>
      </c>
      <c r="BV66" s="389">
        <v>0</v>
      </c>
      <c r="BW66" s="389">
        <v>0</v>
      </c>
      <c r="BX66" s="389">
        <v>3</v>
      </c>
      <c r="BY66" s="389">
        <v>81</v>
      </c>
      <c r="BZ66" s="389">
        <v>2</v>
      </c>
      <c r="CA66" s="400">
        <v>2</v>
      </c>
      <c r="CB66" s="400">
        <v>0</v>
      </c>
      <c r="CC66" s="400">
        <v>0</v>
      </c>
      <c r="CD66" s="389">
        <v>260</v>
      </c>
      <c r="CE66" s="389">
        <v>0</v>
      </c>
      <c r="CF66" s="389">
        <v>360</v>
      </c>
      <c r="CG66" s="389">
        <v>10</v>
      </c>
      <c r="CH66" s="389">
        <v>0</v>
      </c>
      <c r="CI66" s="389">
        <v>60</v>
      </c>
      <c r="CJ66" s="389">
        <v>0</v>
      </c>
      <c r="CK66" s="389">
        <v>71.584000000000003</v>
      </c>
      <c r="CL66" s="389">
        <v>0</v>
      </c>
      <c r="CM66" s="389">
        <v>60</v>
      </c>
      <c r="CN66" s="389">
        <v>324</v>
      </c>
      <c r="CO66" s="389">
        <v>40</v>
      </c>
      <c r="CP66" s="389">
        <v>8</v>
      </c>
      <c r="CQ66" s="389">
        <v>0</v>
      </c>
      <c r="CR66" s="389">
        <v>0</v>
      </c>
      <c r="CS66" s="389">
        <v>1193.5840000000001</v>
      </c>
      <c r="CT66" s="389">
        <v>2</v>
      </c>
      <c r="CU66" s="389">
        <v>1</v>
      </c>
      <c r="CV66" s="389">
        <v>6</v>
      </c>
      <c r="CW66" s="389">
        <v>9</v>
      </c>
      <c r="CX66" s="401">
        <v>386.16636109000007</v>
      </c>
      <c r="CY66" s="396">
        <v>400.51536753999994</v>
      </c>
      <c r="CZ66" s="396">
        <v>24371.910841839996</v>
      </c>
      <c r="DA66" s="402">
        <v>1.6433482386306087E-2</v>
      </c>
      <c r="DB66" s="389">
        <v>0</v>
      </c>
      <c r="DC66" s="396">
        <v>485.51574264999999</v>
      </c>
      <c r="DD66" s="403">
        <v>0</v>
      </c>
      <c r="DE66" s="402">
        <v>0</v>
      </c>
      <c r="DF66" s="402">
        <v>0</v>
      </c>
      <c r="DG66" s="402">
        <v>0.47762514165676223</v>
      </c>
      <c r="DH66" s="402">
        <v>0.20614461259307373</v>
      </c>
      <c r="DI66" s="402">
        <v>1.0106691666666667</v>
      </c>
      <c r="DJ66" s="402"/>
      <c r="DK66" s="402"/>
      <c r="DL66" s="404"/>
      <c r="DM66" s="404"/>
      <c r="DN66" s="402">
        <v>0.703125</v>
      </c>
      <c r="DO66" s="402">
        <v>0.17534752291577357</v>
      </c>
      <c r="DP66" s="402">
        <v>1</v>
      </c>
      <c r="DQ66" s="402">
        <v>1</v>
      </c>
      <c r="DR66" s="405">
        <v>0</v>
      </c>
      <c r="DS66" s="405">
        <v>0</v>
      </c>
      <c r="DT66" s="402">
        <v>7.1643771248514329E-2</v>
      </c>
      <c r="DU66" s="402">
        <v>3.0921691888961059E-2</v>
      </c>
      <c r="DV66" s="402">
        <v>0.10106691666666667</v>
      </c>
      <c r="DW66" s="402">
        <v>0.20363237980414206</v>
      </c>
      <c r="DX66" s="402">
        <v>7.03125E-2</v>
      </c>
      <c r="DY66" s="402">
        <v>3.5069504583154713E-2</v>
      </c>
      <c r="DZ66" s="406">
        <v>0.05</v>
      </c>
      <c r="EA66" s="406">
        <v>0.05</v>
      </c>
      <c r="EB66" s="406">
        <v>0.2053820045831547</v>
      </c>
      <c r="EC66" s="407">
        <v>0.40901438438729676</v>
      </c>
      <c r="ED66" s="408" t="s">
        <v>157</v>
      </c>
      <c r="EE66" s="408" t="s">
        <v>156</v>
      </c>
      <c r="EG66" s="389">
        <v>312858.43519712263</v>
      </c>
      <c r="EH66" s="389">
        <v>309885.93128978316</v>
      </c>
      <c r="EI66" s="389">
        <v>307504.46446406253</v>
      </c>
      <c r="EJ66" s="389">
        <v>180353.44711999991</v>
      </c>
      <c r="EK66" s="389">
        <v>178812.87448925001</v>
      </c>
      <c r="EL66" s="389">
        <v>178609.22978515</v>
      </c>
      <c r="EN66" s="389">
        <v>4</v>
      </c>
      <c r="EO66" s="409">
        <v>491428.98500062601</v>
      </c>
      <c r="EP66" s="409">
        <v>497923.38026874786</v>
      </c>
      <c r="EQ66" s="410">
        <v>-1623.5988170304627</v>
      </c>
      <c r="ER66" s="404">
        <v>0</v>
      </c>
      <c r="ES66" s="404">
        <v>1.2061446125930737</v>
      </c>
      <c r="ET66" s="404">
        <v>0.18092169188896104</v>
      </c>
      <c r="EU66" s="411">
        <v>0.55901438438729667</v>
      </c>
      <c r="EV66" s="412" t="s">
        <v>157</v>
      </c>
      <c r="EW66" s="412" t="s">
        <v>156</v>
      </c>
      <c r="EX66" s="381"/>
      <c r="EY66" s="419">
        <v>0.59681901973768126</v>
      </c>
      <c r="EZ66" s="419">
        <v>0.66547901773852247</v>
      </c>
      <c r="FA66" s="419">
        <v>0.69729297112133259</v>
      </c>
      <c r="FB66" s="419">
        <v>0.43966422751054113</v>
      </c>
      <c r="FC66" s="419">
        <v>0.72678447524390322</v>
      </c>
      <c r="FD66" s="419">
        <v>0.63313046067783385</v>
      </c>
      <c r="FE66" s="419">
        <v>0.46441273920418102</v>
      </c>
      <c r="FF66" s="419">
        <v>0.62029700236498486</v>
      </c>
      <c r="FG66" s="419">
        <v>0.51187613530562426</v>
      </c>
      <c r="FH66" s="419">
        <v>0.46674836084573962</v>
      </c>
      <c r="FI66" s="419">
        <v>0.55901438438729667</v>
      </c>
      <c r="FJ66" s="419"/>
      <c r="FK66" s="407">
        <v>0.65319700286584548</v>
      </c>
      <c r="FL66" s="407">
        <v>0.59985972114409269</v>
      </c>
      <c r="FM66" s="419">
        <v>0.53219529229159668</v>
      </c>
      <c r="FN66" s="419">
        <v>0.51288137261651812</v>
      </c>
      <c r="FO66" s="407">
        <v>0.580138072194331</v>
      </c>
    </row>
    <row r="67" spans="1:171" outlineLevel="1" x14ac:dyDescent="0.25">
      <c r="A67" s="390" t="s">
        <v>450</v>
      </c>
      <c r="B67" s="390" t="s">
        <v>296</v>
      </c>
      <c r="C67" s="390" t="s">
        <v>297</v>
      </c>
      <c r="D67" s="391" t="s">
        <v>296</v>
      </c>
      <c r="E67" s="390" t="s">
        <v>36</v>
      </c>
      <c r="F67" s="391" t="s">
        <v>154</v>
      </c>
      <c r="G67" s="392">
        <v>1</v>
      </c>
      <c r="H67" s="393">
        <v>38460</v>
      </c>
      <c r="I67" s="393">
        <v>43800</v>
      </c>
      <c r="J67" s="394">
        <v>212</v>
      </c>
      <c r="K67" s="391">
        <v>221</v>
      </c>
      <c r="L67" s="390" t="s">
        <v>298</v>
      </c>
      <c r="M67" s="392" t="s">
        <v>355</v>
      </c>
      <c r="N67" s="395">
        <v>4</v>
      </c>
      <c r="O67" s="395">
        <v>1</v>
      </c>
      <c r="P67" s="395">
        <v>3</v>
      </c>
      <c r="Q67" s="389">
        <v>0</v>
      </c>
      <c r="R67" s="389">
        <v>0</v>
      </c>
      <c r="S67" s="389">
        <v>248589.13450000001</v>
      </c>
      <c r="T67" s="389">
        <v>241899.20429728529</v>
      </c>
      <c r="U67" s="389">
        <v>88803.104115089998</v>
      </c>
      <c r="V67" s="389">
        <v>93535.471722270013</v>
      </c>
      <c r="W67" s="389">
        <v>0</v>
      </c>
      <c r="X67" s="389">
        <v>0</v>
      </c>
      <c r="Y67" s="389">
        <v>263958.88450000004</v>
      </c>
      <c r="Z67" s="389">
        <v>242199.20429728529</v>
      </c>
      <c r="AA67" s="389"/>
      <c r="AB67" s="389"/>
      <c r="AC67" s="389">
        <v>15369.75</v>
      </c>
      <c r="AD67" s="389">
        <v>300</v>
      </c>
      <c r="AE67" s="389">
        <v>3093.8194444444443</v>
      </c>
      <c r="AF67" s="389">
        <v>265.64800347222223</v>
      </c>
      <c r="AG67" s="389">
        <v>2400</v>
      </c>
      <c r="AH67" s="396">
        <v>6.4</v>
      </c>
      <c r="AI67" s="389">
        <v>1050.9958333333334</v>
      </c>
      <c r="AJ67" s="397">
        <v>0.02</v>
      </c>
      <c r="AK67" s="397">
        <v>0.1</v>
      </c>
      <c r="AL67" s="389">
        <v>273251.40646215266</v>
      </c>
      <c r="AM67" s="389">
        <v>286151.12856133538</v>
      </c>
      <c r="AN67" s="398">
        <v>24662.271962152648</v>
      </c>
      <c r="AO67" s="398">
        <v>44251.924264050089</v>
      </c>
      <c r="AP67" s="398">
        <v>0</v>
      </c>
      <c r="AQ67" s="398">
        <v>117797.08543600995</v>
      </c>
      <c r="AR67" s="398">
        <v>0</v>
      </c>
      <c r="AS67" s="398">
        <v>0</v>
      </c>
      <c r="AT67" s="398">
        <v>0</v>
      </c>
      <c r="AU67" s="399">
        <v>76</v>
      </c>
      <c r="AV67" s="399">
        <v>15</v>
      </c>
      <c r="AW67" s="399">
        <v>0</v>
      </c>
      <c r="AX67" s="399">
        <v>88000</v>
      </c>
      <c r="AY67" s="399">
        <v>1310</v>
      </c>
      <c r="AZ67" s="399">
        <v>0</v>
      </c>
      <c r="BA67" s="399">
        <v>0</v>
      </c>
      <c r="BB67" s="399">
        <v>0.4</v>
      </c>
      <c r="BC67" s="399">
        <v>1520</v>
      </c>
      <c r="BD67" s="399">
        <v>120</v>
      </c>
      <c r="BE67" s="399">
        <v>0</v>
      </c>
      <c r="BF67" s="399">
        <v>88</v>
      </c>
      <c r="BG67" s="399">
        <v>131</v>
      </c>
      <c r="BH67" s="399">
        <v>0</v>
      </c>
      <c r="BI67" s="399">
        <v>0</v>
      </c>
      <c r="BJ67" s="399">
        <v>0.04</v>
      </c>
      <c r="BK67" s="398">
        <v>1859.04</v>
      </c>
      <c r="BL67" s="389">
        <v>21</v>
      </c>
      <c r="BM67" s="389">
        <v>3</v>
      </c>
      <c r="BN67" s="395">
        <v>23</v>
      </c>
      <c r="BO67" s="395">
        <v>17</v>
      </c>
      <c r="BP67" s="395">
        <v>0</v>
      </c>
      <c r="BQ67" s="389">
        <v>0</v>
      </c>
      <c r="BR67" s="389">
        <v>0</v>
      </c>
      <c r="BS67" s="389">
        <v>0</v>
      </c>
      <c r="BT67" s="389">
        <v>0</v>
      </c>
      <c r="BU67" s="389">
        <v>0</v>
      </c>
      <c r="BV67" s="389">
        <v>0</v>
      </c>
      <c r="BW67" s="389">
        <v>0</v>
      </c>
      <c r="BX67" s="389">
        <v>2</v>
      </c>
      <c r="BY67" s="389">
        <v>70</v>
      </c>
      <c r="BZ67" s="389">
        <v>0</v>
      </c>
      <c r="CA67" s="400">
        <v>4</v>
      </c>
      <c r="CB67" s="400">
        <v>0</v>
      </c>
      <c r="CC67" s="400">
        <v>0</v>
      </c>
      <c r="CD67" s="389">
        <v>210</v>
      </c>
      <c r="CE67" s="389">
        <v>6</v>
      </c>
      <c r="CF67" s="389">
        <v>230</v>
      </c>
      <c r="CG67" s="389">
        <v>170</v>
      </c>
      <c r="CH67" s="389">
        <v>0</v>
      </c>
      <c r="CI67" s="389">
        <v>0</v>
      </c>
      <c r="CJ67" s="389">
        <v>0</v>
      </c>
      <c r="CK67" s="389">
        <v>0</v>
      </c>
      <c r="CL67" s="389">
        <v>0</v>
      </c>
      <c r="CM67" s="389">
        <v>40</v>
      </c>
      <c r="CN67" s="389">
        <v>280</v>
      </c>
      <c r="CO67" s="389">
        <v>0</v>
      </c>
      <c r="CP67" s="389">
        <v>16</v>
      </c>
      <c r="CQ67" s="389">
        <v>0</v>
      </c>
      <c r="CR67" s="389">
        <v>0</v>
      </c>
      <c r="CS67" s="389">
        <v>952</v>
      </c>
      <c r="CT67" s="389">
        <v>1</v>
      </c>
      <c r="CU67" s="389">
        <v>0</v>
      </c>
      <c r="CV67" s="389">
        <v>2</v>
      </c>
      <c r="CW67" s="389">
        <v>3</v>
      </c>
      <c r="CX67" s="401">
        <v>101.03834866337347</v>
      </c>
      <c r="CY67" s="396">
        <v>0</v>
      </c>
      <c r="CZ67" s="396">
        <v>77864.966059279992</v>
      </c>
      <c r="DA67" s="402">
        <v>0</v>
      </c>
      <c r="DB67" s="389">
        <v>0</v>
      </c>
      <c r="DC67" s="396">
        <v>192.23982799999999</v>
      </c>
      <c r="DD67" s="403">
        <v>0</v>
      </c>
      <c r="DE67" s="402">
        <v>1.3</v>
      </c>
      <c r="DF67" s="402">
        <v>1</v>
      </c>
      <c r="DG67" s="402">
        <v>0</v>
      </c>
      <c r="DH67" s="402">
        <v>0</v>
      </c>
      <c r="DI67" s="402">
        <v>1.1712666666666667</v>
      </c>
      <c r="DJ67" s="402"/>
      <c r="DK67" s="402"/>
      <c r="DL67" s="404"/>
      <c r="DM67" s="404"/>
      <c r="DN67" s="402">
        <v>0.46875</v>
      </c>
      <c r="DO67" s="402">
        <v>9.6135822292387901E-2</v>
      </c>
      <c r="DP67" s="402">
        <v>1</v>
      </c>
      <c r="DQ67" s="402">
        <v>1</v>
      </c>
      <c r="DR67" s="405">
        <v>0.19500000000000001</v>
      </c>
      <c r="DS67" s="405">
        <v>0.05</v>
      </c>
      <c r="DT67" s="402">
        <v>0</v>
      </c>
      <c r="DU67" s="402">
        <v>0</v>
      </c>
      <c r="DV67" s="402">
        <v>0.11712666666666667</v>
      </c>
      <c r="DW67" s="402">
        <v>0.36212666666666665</v>
      </c>
      <c r="DX67" s="402">
        <v>4.6875E-2</v>
      </c>
      <c r="DY67" s="402">
        <v>1.922716445847758E-2</v>
      </c>
      <c r="DZ67" s="406">
        <v>0.05</v>
      </c>
      <c r="EA67" s="406">
        <v>0.05</v>
      </c>
      <c r="EB67" s="406">
        <v>0.16610216445847759</v>
      </c>
      <c r="EC67" s="407">
        <v>0.52822883112514418</v>
      </c>
      <c r="ED67" s="408" t="s">
        <v>157</v>
      </c>
      <c r="EE67" s="408" t="s">
        <v>156</v>
      </c>
      <c r="EG67" s="389">
        <v>276509.3063306702</v>
      </c>
      <c r="EH67" s="389">
        <v>277575.95584293996</v>
      </c>
      <c r="EI67" s="389">
        <v>278259.38755872997</v>
      </c>
      <c r="EJ67" s="389">
        <v>291133.5203400001</v>
      </c>
      <c r="EK67" s="389">
        <v>284885.5663684099</v>
      </c>
      <c r="EL67" s="389">
        <v>284727.66389506991</v>
      </c>
      <c r="EN67" s="389">
        <v>3</v>
      </c>
      <c r="EO67" s="409">
        <v>559402.5350234881</v>
      </c>
      <c r="EP67" s="409">
        <v>569341.3664136033</v>
      </c>
      <c r="EQ67" s="410">
        <v>-3312.9437967050667</v>
      </c>
      <c r="ER67" s="404">
        <v>0</v>
      </c>
      <c r="ES67" s="404">
        <v>1</v>
      </c>
      <c r="ET67" s="404">
        <v>0.15</v>
      </c>
      <c r="EU67" s="411">
        <v>0.6782288311251442</v>
      </c>
      <c r="EV67" s="412" t="s">
        <v>157</v>
      </c>
      <c r="EW67" s="412" t="s">
        <v>156</v>
      </c>
      <c r="EX67" s="381"/>
      <c r="EY67" s="419">
        <v>0.87784985438662</v>
      </c>
      <c r="EZ67" s="419">
        <v>1.3349337151350333</v>
      </c>
      <c r="FA67" s="419">
        <v>1.1173874565644715</v>
      </c>
      <c r="FB67" s="419">
        <v>1.4311632577543774</v>
      </c>
      <c r="FC67" s="419">
        <v>1.0378467124141069</v>
      </c>
      <c r="FD67" s="419">
        <v>1.2041771991175598</v>
      </c>
      <c r="FE67" s="419">
        <v>1.4860761957851056</v>
      </c>
      <c r="FF67" s="419">
        <v>1.2093267056946126</v>
      </c>
      <c r="FG67" s="419">
        <v>1.262805597258795</v>
      </c>
      <c r="FH67" s="419">
        <v>0.90992701978919044</v>
      </c>
      <c r="FI67" s="419">
        <v>0.6782288311251442</v>
      </c>
      <c r="FJ67" s="419"/>
      <c r="FK67" s="407">
        <v>1.1100570086953749</v>
      </c>
      <c r="FL67" s="407">
        <v>1.2243957230953479</v>
      </c>
      <c r="FM67" s="419">
        <v>1.3194028329128378</v>
      </c>
      <c r="FN67" s="419">
        <v>0.79407792545716727</v>
      </c>
      <c r="FO67" s="407">
        <v>1.1408838677295472</v>
      </c>
    </row>
    <row r="68" spans="1:171" outlineLevel="1" x14ac:dyDescent="0.25">
      <c r="A68" s="390" t="s">
        <v>450</v>
      </c>
      <c r="B68" s="390" t="s">
        <v>290</v>
      </c>
      <c r="C68" s="390" t="s">
        <v>291</v>
      </c>
      <c r="D68" s="391" t="s">
        <v>290</v>
      </c>
      <c r="E68" s="390" t="s">
        <v>36</v>
      </c>
      <c r="F68" s="391" t="s">
        <v>154</v>
      </c>
      <c r="G68" s="392">
        <v>1</v>
      </c>
      <c r="H68" s="393">
        <v>42709</v>
      </c>
      <c r="I68" s="393">
        <v>44228</v>
      </c>
      <c r="J68" s="394">
        <v>72</v>
      </c>
      <c r="K68" s="391">
        <v>241</v>
      </c>
      <c r="L68" s="390" t="s">
        <v>288</v>
      </c>
      <c r="M68" s="392" t="s">
        <v>355</v>
      </c>
      <c r="N68" s="395">
        <v>5</v>
      </c>
      <c r="O68" s="395">
        <v>0</v>
      </c>
      <c r="P68" s="395">
        <v>7</v>
      </c>
      <c r="Q68" s="389">
        <v>0</v>
      </c>
      <c r="R68" s="389">
        <v>0</v>
      </c>
      <c r="S68" s="389">
        <v>205131.84800000006</v>
      </c>
      <c r="T68" s="389">
        <v>210994.09100000001</v>
      </c>
      <c r="U68" s="389">
        <v>56925.236651740008</v>
      </c>
      <c r="V68" s="389">
        <v>16795.734743410001</v>
      </c>
      <c r="W68" s="389">
        <v>0</v>
      </c>
      <c r="X68" s="389">
        <v>0</v>
      </c>
      <c r="Y68" s="389">
        <v>227395.84800000006</v>
      </c>
      <c r="Z68" s="389">
        <v>211494.09100000001</v>
      </c>
      <c r="AA68" s="389"/>
      <c r="AB68" s="389"/>
      <c r="AC68" s="389">
        <v>22264</v>
      </c>
      <c r="AD68" s="389">
        <v>500</v>
      </c>
      <c r="AE68" s="389">
        <v>0</v>
      </c>
      <c r="AF68" s="389">
        <v>600.5954861111112</v>
      </c>
      <c r="AG68" s="389">
        <v>3000</v>
      </c>
      <c r="AH68" s="396">
        <v>9.6000000000000014</v>
      </c>
      <c r="AI68" s="389">
        <v>1134.4807812500001</v>
      </c>
      <c r="AJ68" s="397">
        <v>0.02</v>
      </c>
      <c r="AK68" s="397">
        <v>0.1</v>
      </c>
      <c r="AL68" s="389">
        <v>164560.72074506062</v>
      </c>
      <c r="AM68" s="389">
        <v>138945.16476172599</v>
      </c>
      <c r="AN68" s="398">
        <v>-40571.127254939434</v>
      </c>
      <c r="AO68" s="398">
        <v>-72048.926238274027</v>
      </c>
      <c r="AP68" s="398">
        <v>0</v>
      </c>
      <c r="AQ68" s="398">
        <v>18645.300320689999</v>
      </c>
      <c r="AR68" s="398">
        <v>0</v>
      </c>
      <c r="AS68" s="398">
        <v>50</v>
      </c>
      <c r="AT68" s="398">
        <v>150</v>
      </c>
      <c r="AU68" s="399">
        <v>71</v>
      </c>
      <c r="AV68" s="399">
        <v>0</v>
      </c>
      <c r="AW68" s="399">
        <v>18.734337</v>
      </c>
      <c r="AX68" s="399">
        <v>6206.7636291938315</v>
      </c>
      <c r="AY68" s="399">
        <v>600</v>
      </c>
      <c r="AZ68" s="399">
        <v>0</v>
      </c>
      <c r="BA68" s="399">
        <v>0</v>
      </c>
      <c r="BB68" s="399">
        <v>0</v>
      </c>
      <c r="BC68" s="399">
        <v>1420</v>
      </c>
      <c r="BD68" s="399">
        <v>0</v>
      </c>
      <c r="BE68" s="399">
        <v>37.468674</v>
      </c>
      <c r="BF68" s="399">
        <v>6.2067636291938308</v>
      </c>
      <c r="BG68" s="399">
        <v>60</v>
      </c>
      <c r="BH68" s="399">
        <v>0</v>
      </c>
      <c r="BI68" s="399">
        <v>0</v>
      </c>
      <c r="BJ68" s="399">
        <v>0</v>
      </c>
      <c r="BK68" s="398">
        <v>1523.6754376291938</v>
      </c>
      <c r="BL68" s="389">
        <v>30</v>
      </c>
      <c r="BM68" s="389">
        <v>0</v>
      </c>
      <c r="BN68" s="395">
        <v>38</v>
      </c>
      <c r="BO68" s="395">
        <v>0</v>
      </c>
      <c r="BP68" s="395">
        <v>0</v>
      </c>
      <c r="BQ68" s="389">
        <v>10</v>
      </c>
      <c r="BR68" s="389">
        <v>0</v>
      </c>
      <c r="BS68" s="389">
        <v>50</v>
      </c>
      <c r="BT68" s="389">
        <v>0</v>
      </c>
      <c r="BU68" s="389">
        <v>0</v>
      </c>
      <c r="BV68" s="389">
        <v>0</v>
      </c>
      <c r="BW68" s="389">
        <v>0</v>
      </c>
      <c r="BX68" s="389">
        <v>1</v>
      </c>
      <c r="BY68" s="389">
        <v>81</v>
      </c>
      <c r="BZ68" s="389">
        <v>0</v>
      </c>
      <c r="CA68" s="400">
        <v>5</v>
      </c>
      <c r="CB68" s="400">
        <v>0</v>
      </c>
      <c r="CC68" s="400">
        <v>0</v>
      </c>
      <c r="CD68" s="389">
        <v>300</v>
      </c>
      <c r="CE68" s="389">
        <v>0</v>
      </c>
      <c r="CF68" s="389">
        <v>380</v>
      </c>
      <c r="CG68" s="389">
        <v>0</v>
      </c>
      <c r="CH68" s="389">
        <v>0</v>
      </c>
      <c r="CI68" s="389">
        <v>100</v>
      </c>
      <c r="CJ68" s="389">
        <v>15</v>
      </c>
      <c r="CK68" s="389">
        <v>0</v>
      </c>
      <c r="CL68" s="389">
        <v>0</v>
      </c>
      <c r="CM68" s="389">
        <v>20</v>
      </c>
      <c r="CN68" s="389">
        <v>324</v>
      </c>
      <c r="CO68" s="389">
        <v>0</v>
      </c>
      <c r="CP68" s="389">
        <v>20</v>
      </c>
      <c r="CQ68" s="389">
        <v>0</v>
      </c>
      <c r="CR68" s="389">
        <v>0</v>
      </c>
      <c r="CS68" s="389">
        <v>1159</v>
      </c>
      <c r="CT68" s="389">
        <v>1</v>
      </c>
      <c r="CU68" s="389">
        <v>0</v>
      </c>
      <c r="CV68" s="389">
        <v>5</v>
      </c>
      <c r="CW68" s="389">
        <v>6</v>
      </c>
      <c r="CX68" s="401">
        <v>57.405970469999978</v>
      </c>
      <c r="CY68" s="396">
        <v>219.39982169000001</v>
      </c>
      <c r="CZ68" s="396">
        <v>10581.722125230002</v>
      </c>
      <c r="DA68" s="402">
        <v>2.0733848337113763E-2</v>
      </c>
      <c r="DB68" s="389">
        <v>31.496904570000002</v>
      </c>
      <c r="DC68" s="396">
        <v>644.87500797000007</v>
      </c>
      <c r="DD68" s="403">
        <v>4.8841875062190739E-2</v>
      </c>
      <c r="DE68" s="402">
        <v>0</v>
      </c>
      <c r="DF68" s="402">
        <v>0</v>
      </c>
      <c r="DG68" s="402">
        <v>0</v>
      </c>
      <c r="DH68" s="402">
        <v>0.24975212679545469</v>
      </c>
      <c r="DI68" s="402">
        <v>0.8942251458763979</v>
      </c>
      <c r="DJ68" s="402"/>
      <c r="DK68" s="402"/>
      <c r="DL68" s="404"/>
      <c r="DM68" s="404"/>
      <c r="DN68" s="402">
        <v>0.62499999999999989</v>
      </c>
      <c r="DO68" s="402">
        <v>5.0601095601415659E-2</v>
      </c>
      <c r="DP68" s="402">
        <v>0.96460626482927592</v>
      </c>
      <c r="DQ68" s="402">
        <v>1</v>
      </c>
      <c r="DR68" s="405">
        <v>0</v>
      </c>
      <c r="DS68" s="405">
        <v>0</v>
      </c>
      <c r="DT68" s="402">
        <v>0</v>
      </c>
      <c r="DU68" s="402">
        <v>7.4925638038636402E-2</v>
      </c>
      <c r="DV68" s="402">
        <v>8.9422514587639793E-2</v>
      </c>
      <c r="DW68" s="402">
        <v>0.16434815262627619</v>
      </c>
      <c r="DX68" s="402">
        <v>6.2499999999999993E-2</v>
      </c>
      <c r="DY68" s="402">
        <v>1.0120219120283132E-2</v>
      </c>
      <c r="DZ68" s="406">
        <v>4.8230313241463797E-2</v>
      </c>
      <c r="EA68" s="406">
        <v>0.05</v>
      </c>
      <c r="EB68" s="406">
        <v>0.17085053236174691</v>
      </c>
      <c r="EC68" s="407">
        <v>0.33519868498802308</v>
      </c>
      <c r="ED68" s="408" t="s">
        <v>157</v>
      </c>
      <c r="EE68" s="408" t="s">
        <v>156</v>
      </c>
      <c r="EG68" s="389">
        <v>165750.51170576</v>
      </c>
      <c r="EH68" s="389">
        <v>163919.60014485006</v>
      </c>
      <c r="EI68" s="389">
        <v>163862.6352826301</v>
      </c>
      <c r="EJ68" s="389">
        <v>140784.23892</v>
      </c>
      <c r="EK68" s="389">
        <v>138235.51707741001</v>
      </c>
      <c r="EL68" s="389">
        <v>141051.8467733</v>
      </c>
      <c r="EN68" s="389">
        <v>5</v>
      </c>
      <c r="EO68" s="409">
        <v>303505.88550678664</v>
      </c>
      <c r="EP68" s="409">
        <v>309841.70797120396</v>
      </c>
      <c r="EQ68" s="410">
        <v>-1267.1644928834635</v>
      </c>
      <c r="ER68" s="404">
        <v>0</v>
      </c>
      <c r="ES68" s="404">
        <v>1.2497521267954548</v>
      </c>
      <c r="ET68" s="404">
        <v>0.37492563803863643</v>
      </c>
      <c r="EU68" s="411">
        <v>0.63519868498802312</v>
      </c>
      <c r="EV68" s="412" t="s">
        <v>157</v>
      </c>
      <c r="EW68" s="412" t="s">
        <v>156</v>
      </c>
      <c r="EX68" s="381"/>
      <c r="EY68" s="419">
        <v>0.38643095476249639</v>
      </c>
      <c r="EZ68" s="419">
        <v>0.49451561500607821</v>
      </c>
      <c r="FA68" s="419">
        <v>0.62893209721705579</v>
      </c>
      <c r="FB68" s="419">
        <v>0.46323964014569702</v>
      </c>
      <c r="FC68" s="419">
        <v>0.30622755359564541</v>
      </c>
      <c r="FD68" s="419">
        <v>0.26931771250092307</v>
      </c>
      <c r="FE68" s="419">
        <v>0.66009348259659784</v>
      </c>
      <c r="FF68" s="419">
        <v>0.61513305112335437</v>
      </c>
      <c r="FG68" s="419">
        <v>0.41059061811658171</v>
      </c>
      <c r="FH68" s="419">
        <v>0.46099760856271466</v>
      </c>
      <c r="FI68" s="419">
        <v>0.63519868498802312</v>
      </c>
      <c r="FJ68" s="419"/>
      <c r="FK68" s="407">
        <v>0.50329288899521007</v>
      </c>
      <c r="FL68" s="407">
        <v>0.34626163541408844</v>
      </c>
      <c r="FM68" s="419">
        <v>0.56193905061217797</v>
      </c>
      <c r="FN68" s="419">
        <v>0.54809814677536894</v>
      </c>
      <c r="FO68" s="407">
        <v>0.48460700169228799</v>
      </c>
    </row>
    <row r="69" spans="1:171" outlineLevel="1" x14ac:dyDescent="0.25">
      <c r="A69" s="390" t="s">
        <v>450</v>
      </c>
      <c r="B69" s="390" t="s">
        <v>305</v>
      </c>
      <c r="C69" s="390" t="s">
        <v>306</v>
      </c>
      <c r="D69" s="391" t="s">
        <v>305</v>
      </c>
      <c r="E69" s="390" t="s">
        <v>36</v>
      </c>
      <c r="F69" s="391" t="s">
        <v>154</v>
      </c>
      <c r="G69" s="392">
        <v>1</v>
      </c>
      <c r="H69" s="393">
        <v>40658</v>
      </c>
      <c r="I69" s="393">
        <v>44287</v>
      </c>
      <c r="J69" s="394">
        <v>140</v>
      </c>
      <c r="K69" s="391">
        <v>411</v>
      </c>
      <c r="L69" s="390" t="s">
        <v>289</v>
      </c>
      <c r="M69" s="392" t="s">
        <v>355</v>
      </c>
      <c r="N69" s="395">
        <v>4</v>
      </c>
      <c r="O69" s="395">
        <v>0</v>
      </c>
      <c r="P69" s="395">
        <v>4</v>
      </c>
      <c r="Q69" s="389">
        <v>0</v>
      </c>
      <c r="R69" s="389">
        <v>0</v>
      </c>
      <c r="S69" s="389">
        <v>171068.67900000012</v>
      </c>
      <c r="T69" s="389">
        <v>126553.692</v>
      </c>
      <c r="U69" s="389">
        <v>140268.96755222001</v>
      </c>
      <c r="V69" s="389">
        <v>7333.1546635200002</v>
      </c>
      <c r="W69" s="389">
        <v>0</v>
      </c>
      <c r="X69" s="389">
        <v>0</v>
      </c>
      <c r="Y69" s="389">
        <v>186501.67900000012</v>
      </c>
      <c r="Z69" s="389">
        <v>126953.692</v>
      </c>
      <c r="AA69" s="389"/>
      <c r="AB69" s="389"/>
      <c r="AC69" s="389">
        <v>15433</v>
      </c>
      <c r="AD69" s="389">
        <v>400</v>
      </c>
      <c r="AE69" s="389">
        <v>0</v>
      </c>
      <c r="AF69" s="389">
        <v>415.796875</v>
      </c>
      <c r="AG69" s="389">
        <v>2400</v>
      </c>
      <c r="AH69" s="396">
        <v>6.4</v>
      </c>
      <c r="AI69" s="389">
        <v>787.729375</v>
      </c>
      <c r="AJ69" s="397">
        <v>0.02</v>
      </c>
      <c r="AK69" s="397">
        <v>0.1</v>
      </c>
      <c r="AL69" s="389">
        <v>165540.23337132228</v>
      </c>
      <c r="AM69" s="389">
        <v>110525.96669940262</v>
      </c>
      <c r="AN69" s="398">
        <v>-5528.4456286778441</v>
      </c>
      <c r="AO69" s="398">
        <v>-16027.725300597376</v>
      </c>
      <c r="AP69" s="398">
        <v>0</v>
      </c>
      <c r="AQ69" s="398">
        <v>27054.363054629997</v>
      </c>
      <c r="AR69" s="398">
        <v>0</v>
      </c>
      <c r="AS69" s="398">
        <v>0</v>
      </c>
      <c r="AT69" s="398">
        <v>50</v>
      </c>
      <c r="AU69" s="399">
        <v>173.2</v>
      </c>
      <c r="AV69" s="399">
        <v>6</v>
      </c>
      <c r="AW69" s="399">
        <v>0</v>
      </c>
      <c r="AX69" s="399">
        <v>66016.055243681098</v>
      </c>
      <c r="AY69" s="399">
        <v>0</v>
      </c>
      <c r="AZ69" s="399">
        <v>0</v>
      </c>
      <c r="BA69" s="399">
        <v>0</v>
      </c>
      <c r="BB69" s="399">
        <v>0</v>
      </c>
      <c r="BC69" s="399">
        <v>3464</v>
      </c>
      <c r="BD69" s="399">
        <v>48</v>
      </c>
      <c r="BE69" s="399">
        <v>0</v>
      </c>
      <c r="BF69" s="399">
        <v>66.016055243681095</v>
      </c>
      <c r="BG69" s="399">
        <v>0</v>
      </c>
      <c r="BH69" s="399">
        <v>0</v>
      </c>
      <c r="BI69" s="399">
        <v>0</v>
      </c>
      <c r="BJ69" s="399">
        <v>0</v>
      </c>
      <c r="BK69" s="398">
        <v>3578.016055243681</v>
      </c>
      <c r="BL69" s="389">
        <v>9</v>
      </c>
      <c r="BM69" s="389">
        <v>0</v>
      </c>
      <c r="BN69" s="395">
        <v>27</v>
      </c>
      <c r="BO69" s="395">
        <v>0</v>
      </c>
      <c r="BP69" s="395">
        <v>0</v>
      </c>
      <c r="BQ69" s="389">
        <v>16</v>
      </c>
      <c r="BR69" s="389">
        <v>0</v>
      </c>
      <c r="BS69" s="389">
        <v>0</v>
      </c>
      <c r="BT69" s="389">
        <v>0</v>
      </c>
      <c r="BU69" s="389">
        <v>0</v>
      </c>
      <c r="BV69" s="389">
        <v>0</v>
      </c>
      <c r="BW69" s="389">
        <v>0</v>
      </c>
      <c r="BX69" s="389">
        <v>1</v>
      </c>
      <c r="BY69" s="389">
        <v>73</v>
      </c>
      <c r="BZ69" s="389">
        <v>1</v>
      </c>
      <c r="CA69" s="400">
        <v>0</v>
      </c>
      <c r="CB69" s="400">
        <v>0</v>
      </c>
      <c r="CC69" s="400">
        <v>0</v>
      </c>
      <c r="CD69" s="389">
        <v>90</v>
      </c>
      <c r="CE69" s="389">
        <v>0</v>
      </c>
      <c r="CF69" s="389">
        <v>270</v>
      </c>
      <c r="CG69" s="389">
        <v>0</v>
      </c>
      <c r="CH69" s="389">
        <v>0</v>
      </c>
      <c r="CI69" s="389">
        <v>160</v>
      </c>
      <c r="CJ69" s="389">
        <v>0</v>
      </c>
      <c r="CK69" s="389">
        <v>0</v>
      </c>
      <c r="CL69" s="389">
        <v>0</v>
      </c>
      <c r="CM69" s="389">
        <v>20</v>
      </c>
      <c r="CN69" s="389">
        <v>292</v>
      </c>
      <c r="CO69" s="389">
        <v>20</v>
      </c>
      <c r="CP69" s="389">
        <v>0</v>
      </c>
      <c r="CQ69" s="389">
        <v>0</v>
      </c>
      <c r="CR69" s="389">
        <v>0</v>
      </c>
      <c r="CS69" s="389">
        <v>852</v>
      </c>
      <c r="CT69" s="389">
        <v>4</v>
      </c>
      <c r="CU69" s="389">
        <v>0</v>
      </c>
      <c r="CV69" s="389">
        <v>2</v>
      </c>
      <c r="CW69" s="389">
        <v>6</v>
      </c>
      <c r="CX69" s="401">
        <v>70.557861809999991</v>
      </c>
      <c r="CY69" s="396">
        <v>0</v>
      </c>
      <c r="CZ69" s="396">
        <v>26143.481380950001</v>
      </c>
      <c r="DA69" s="402">
        <v>0</v>
      </c>
      <c r="DB69" s="389">
        <v>0</v>
      </c>
      <c r="DC69" s="396">
        <v>0</v>
      </c>
      <c r="DD69" s="403">
        <v>0</v>
      </c>
      <c r="DE69" s="402">
        <v>0</v>
      </c>
      <c r="DF69" s="402">
        <v>0</v>
      </c>
      <c r="DG69" s="402">
        <v>0</v>
      </c>
      <c r="DH69" s="402">
        <v>0.12025102401262636</v>
      </c>
      <c r="DI69" s="402">
        <v>1.8458400230182004</v>
      </c>
      <c r="DJ69" s="402"/>
      <c r="DK69" s="402"/>
      <c r="DL69" s="404"/>
      <c r="DM69" s="404"/>
      <c r="DN69" s="402">
        <v>0.9375</v>
      </c>
      <c r="DO69" s="402">
        <v>8.9571195450214094E-2</v>
      </c>
      <c r="DP69" s="402">
        <v>1</v>
      </c>
      <c r="DQ69" s="402">
        <v>1</v>
      </c>
      <c r="DR69" s="402">
        <v>0</v>
      </c>
      <c r="DS69" s="405">
        <v>0</v>
      </c>
      <c r="DT69" s="402">
        <v>0</v>
      </c>
      <c r="DU69" s="402">
        <v>3.6075307203787904E-2</v>
      </c>
      <c r="DV69" s="402">
        <v>0.18458400230182004</v>
      </c>
      <c r="DW69" s="402">
        <v>0.22065930950560794</v>
      </c>
      <c r="DX69" s="402">
        <v>9.375E-2</v>
      </c>
      <c r="DY69" s="402">
        <v>1.7914239090042819E-2</v>
      </c>
      <c r="DZ69" s="406">
        <v>0.05</v>
      </c>
      <c r="EA69" s="406">
        <v>0.05</v>
      </c>
      <c r="EB69" s="406">
        <v>0.21166423909004284</v>
      </c>
      <c r="EC69" s="407">
        <v>0.43232354859565081</v>
      </c>
      <c r="ED69" s="408" t="s">
        <v>157</v>
      </c>
      <c r="EE69" s="408" t="s">
        <v>156</v>
      </c>
      <c r="EG69" s="389">
        <v>165734.04187310996</v>
      </c>
      <c r="EH69" s="389">
        <v>163223.85472331991</v>
      </c>
      <c r="EI69" s="389">
        <v>163291.26865973993</v>
      </c>
      <c r="EJ69" s="389">
        <v>112423.42611000001</v>
      </c>
      <c r="EK69" s="389">
        <v>97192.332756920019</v>
      </c>
      <c r="EL69" s="389">
        <v>97499.713275870003</v>
      </c>
      <c r="EN69" s="389">
        <v>4</v>
      </c>
      <c r="EO69" s="409">
        <v>276066.20007072488</v>
      </c>
      <c r="EP69" s="409">
        <v>276327.6214521816</v>
      </c>
      <c r="EQ69" s="410">
        <v>-65.355345364179811</v>
      </c>
      <c r="ER69" s="404">
        <v>0</v>
      </c>
      <c r="ES69" s="404">
        <v>1.1202510240126264</v>
      </c>
      <c r="ET69" s="404">
        <v>0.33607530720378792</v>
      </c>
      <c r="EU69" s="411">
        <v>0.73232354859565085</v>
      </c>
      <c r="EV69" s="412" t="s">
        <v>509</v>
      </c>
      <c r="EW69" s="412" t="s">
        <v>25</v>
      </c>
      <c r="EX69" s="381"/>
      <c r="EY69" s="419">
        <v>0.87429350151659024</v>
      </c>
      <c r="EZ69" s="419">
        <v>0.90708908327888094</v>
      </c>
      <c r="FA69" s="419">
        <v>1.1449097342792802</v>
      </c>
      <c r="FB69" s="419">
        <v>0.82071723899776461</v>
      </c>
      <c r="FC69" s="419">
        <v>0.74942015607713997</v>
      </c>
      <c r="FD69" s="419">
        <v>0.54959345889394329</v>
      </c>
      <c r="FE69" s="419">
        <v>0.64259988567860771</v>
      </c>
      <c r="FF69" s="419">
        <v>0.66170955607288873</v>
      </c>
      <c r="FG69" s="419">
        <v>0.55618336444119754</v>
      </c>
      <c r="FH69" s="419">
        <v>0.68300201443616726</v>
      </c>
      <c r="FI69" s="419">
        <v>0.73232354859565085</v>
      </c>
      <c r="FJ69" s="419"/>
      <c r="FK69" s="407">
        <v>0.97543077302491721</v>
      </c>
      <c r="FL69" s="407">
        <v>0.7065769513229494</v>
      </c>
      <c r="FM69" s="419">
        <v>0.62016426873089803</v>
      </c>
      <c r="FN69" s="419">
        <v>0.70766278151590911</v>
      </c>
      <c r="FO69" s="407">
        <v>0.75653104929710113</v>
      </c>
    </row>
    <row r="70" spans="1:171" outlineLevel="1" x14ac:dyDescent="0.25">
      <c r="A70" s="390" t="s">
        <v>450</v>
      </c>
      <c r="B70" s="390" t="s">
        <v>293</v>
      </c>
      <c r="C70" s="390" t="s">
        <v>294</v>
      </c>
      <c r="D70" s="391" t="s">
        <v>293</v>
      </c>
      <c r="E70" s="390" t="s">
        <v>36</v>
      </c>
      <c r="F70" s="391" t="s">
        <v>154</v>
      </c>
      <c r="G70" s="392">
        <v>1</v>
      </c>
      <c r="H70" s="393">
        <v>42607</v>
      </c>
      <c r="I70" s="393">
        <v>42607</v>
      </c>
      <c r="J70" s="394">
        <v>76</v>
      </c>
      <c r="K70" s="391">
        <v>482</v>
      </c>
      <c r="L70" s="390" t="s">
        <v>295</v>
      </c>
      <c r="M70" s="392" t="s">
        <v>355</v>
      </c>
      <c r="N70" s="395">
        <v>4</v>
      </c>
      <c r="O70" s="395">
        <v>1</v>
      </c>
      <c r="P70" s="395">
        <v>8</v>
      </c>
      <c r="Q70" s="389">
        <v>0</v>
      </c>
      <c r="R70" s="389">
        <v>0</v>
      </c>
      <c r="S70" s="389">
        <v>251599.71500000011</v>
      </c>
      <c r="T70" s="389">
        <v>180005.35800000007</v>
      </c>
      <c r="U70" s="389">
        <v>31588.06794076</v>
      </c>
      <c r="V70" s="389">
        <v>23235.9923074</v>
      </c>
      <c r="W70" s="389">
        <v>0</v>
      </c>
      <c r="X70" s="389">
        <v>0</v>
      </c>
      <c r="Y70" s="389">
        <v>290055.71500000008</v>
      </c>
      <c r="Z70" s="389">
        <v>180505.35800000007</v>
      </c>
      <c r="AA70" s="389"/>
      <c r="AB70" s="389"/>
      <c r="AC70" s="389">
        <v>38456</v>
      </c>
      <c r="AD70" s="389">
        <v>500</v>
      </c>
      <c r="AE70" s="389">
        <v>3420.8506944444443</v>
      </c>
      <c r="AF70" s="389">
        <v>646.79513888888891</v>
      </c>
      <c r="AG70" s="389">
        <v>4800</v>
      </c>
      <c r="AH70" s="396">
        <v>10.4</v>
      </c>
      <c r="AI70" s="389">
        <v>2217.6164583333334</v>
      </c>
      <c r="AJ70" s="397">
        <v>0.02</v>
      </c>
      <c r="AK70" s="397">
        <v>0.1</v>
      </c>
      <c r="AL70" s="389">
        <v>236475.25934178324</v>
      </c>
      <c r="AM70" s="389">
        <v>101048.83120169764</v>
      </c>
      <c r="AN70" s="398">
        <v>-15124.455658216873</v>
      </c>
      <c r="AO70" s="398">
        <v>-78956.526798302424</v>
      </c>
      <c r="AP70" s="398">
        <v>0</v>
      </c>
      <c r="AQ70" s="398">
        <v>30171.297920730001</v>
      </c>
      <c r="AR70" s="398">
        <v>292</v>
      </c>
      <c r="AS70" s="398">
        <v>0</v>
      </c>
      <c r="AT70" s="398">
        <v>352</v>
      </c>
      <c r="AU70" s="399">
        <v>101</v>
      </c>
      <c r="AV70" s="399">
        <v>12</v>
      </c>
      <c r="AW70" s="399">
        <v>24</v>
      </c>
      <c r="AX70" s="399">
        <v>66214.405323251995</v>
      </c>
      <c r="AY70" s="399">
        <v>900</v>
      </c>
      <c r="AZ70" s="399">
        <v>0</v>
      </c>
      <c r="BA70" s="399">
        <v>0</v>
      </c>
      <c r="BB70" s="399">
        <v>13.98</v>
      </c>
      <c r="BC70" s="399">
        <v>2020</v>
      </c>
      <c r="BD70" s="399">
        <v>96</v>
      </c>
      <c r="BE70" s="399">
        <v>48</v>
      </c>
      <c r="BF70" s="399">
        <v>66.214405323251995</v>
      </c>
      <c r="BG70" s="399">
        <v>90</v>
      </c>
      <c r="BH70" s="399">
        <v>0</v>
      </c>
      <c r="BI70" s="399">
        <v>0</v>
      </c>
      <c r="BJ70" s="399">
        <v>1.3980000000000001</v>
      </c>
      <c r="BK70" s="398">
        <v>2321.612405323252</v>
      </c>
      <c r="BL70" s="389">
        <v>38</v>
      </c>
      <c r="BM70" s="389">
        <v>0</v>
      </c>
      <c r="BN70" s="395">
        <v>41</v>
      </c>
      <c r="BO70" s="395">
        <v>0</v>
      </c>
      <c r="BP70" s="395">
        <v>0</v>
      </c>
      <c r="BQ70" s="389">
        <v>18</v>
      </c>
      <c r="BR70" s="389">
        <v>292</v>
      </c>
      <c r="BS70" s="389">
        <v>0</v>
      </c>
      <c r="BT70" s="389">
        <v>0</v>
      </c>
      <c r="BU70" s="389">
        <v>0</v>
      </c>
      <c r="BV70" s="389">
        <v>0</v>
      </c>
      <c r="BW70" s="389">
        <v>0</v>
      </c>
      <c r="BX70" s="389">
        <v>4</v>
      </c>
      <c r="BY70" s="389">
        <v>92</v>
      </c>
      <c r="BZ70" s="389">
        <v>1</v>
      </c>
      <c r="CA70" s="400">
        <v>1</v>
      </c>
      <c r="CB70" s="400">
        <v>0</v>
      </c>
      <c r="CC70" s="400">
        <v>0</v>
      </c>
      <c r="CD70" s="389">
        <v>380</v>
      </c>
      <c r="CE70" s="389">
        <v>0</v>
      </c>
      <c r="CF70" s="389">
        <v>410</v>
      </c>
      <c r="CG70" s="389">
        <v>0</v>
      </c>
      <c r="CH70" s="389">
        <v>0</v>
      </c>
      <c r="CI70" s="389">
        <v>180</v>
      </c>
      <c r="CJ70" s="389">
        <v>87.6</v>
      </c>
      <c r="CK70" s="389">
        <v>0</v>
      </c>
      <c r="CL70" s="389">
        <v>0</v>
      </c>
      <c r="CM70" s="389">
        <v>80</v>
      </c>
      <c r="CN70" s="389">
        <v>368</v>
      </c>
      <c r="CO70" s="389">
        <v>20</v>
      </c>
      <c r="CP70" s="389">
        <v>4</v>
      </c>
      <c r="CQ70" s="389">
        <v>0</v>
      </c>
      <c r="CR70" s="389">
        <v>0</v>
      </c>
      <c r="CS70" s="389">
        <v>1529.6</v>
      </c>
      <c r="CT70" s="389">
        <v>2</v>
      </c>
      <c r="CU70" s="389">
        <v>0</v>
      </c>
      <c r="CV70" s="389">
        <v>5</v>
      </c>
      <c r="CW70" s="389">
        <v>7</v>
      </c>
      <c r="CX70" s="401">
        <v>122.43629616999996</v>
      </c>
      <c r="CY70" s="396">
        <v>1784.17700483</v>
      </c>
      <c r="CZ70" s="396">
        <v>18286.145133350001</v>
      </c>
      <c r="DA70" s="402">
        <v>9.7569881012047985E-2</v>
      </c>
      <c r="DB70" s="389">
        <v>0</v>
      </c>
      <c r="DC70" s="396">
        <v>88.681712059999995</v>
      </c>
      <c r="DD70" s="403">
        <v>0</v>
      </c>
      <c r="DE70" s="402">
        <v>0</v>
      </c>
      <c r="DF70" s="402">
        <v>0</v>
      </c>
      <c r="DG70" s="402">
        <v>8.5358884699123533E-2</v>
      </c>
      <c r="DH70" s="402">
        <v>0.54422177724571474</v>
      </c>
      <c r="DI70" s="402">
        <v>0.80233591777567748</v>
      </c>
      <c r="DJ70" s="402"/>
      <c r="DK70" s="402"/>
      <c r="DL70" s="404"/>
      <c r="DM70" s="404"/>
      <c r="DN70" s="402">
        <v>0.67307692307692302</v>
      </c>
      <c r="DO70" s="402">
        <v>5.5210762758325621E-2</v>
      </c>
      <c r="DP70" s="402">
        <v>0.20498128923136014</v>
      </c>
      <c r="DQ70" s="402">
        <v>1</v>
      </c>
      <c r="DR70" s="405">
        <v>0</v>
      </c>
      <c r="DS70" s="405">
        <v>0</v>
      </c>
      <c r="DT70" s="402">
        <v>1.2803832704868529E-2</v>
      </c>
      <c r="DU70" s="402">
        <v>8.1633266586857212E-2</v>
      </c>
      <c r="DV70" s="402">
        <v>8.0233591777567753E-2</v>
      </c>
      <c r="DW70" s="402">
        <v>0.1746706910692935</v>
      </c>
      <c r="DX70" s="402">
        <v>6.7307692307692304E-2</v>
      </c>
      <c r="DY70" s="402">
        <v>1.1042152551665125E-2</v>
      </c>
      <c r="DZ70" s="406">
        <v>1.0249064461568008E-2</v>
      </c>
      <c r="EA70" s="406">
        <v>0.05</v>
      </c>
      <c r="EB70" s="406">
        <v>0.13859890932092545</v>
      </c>
      <c r="EC70" s="407">
        <v>0.31326960039021895</v>
      </c>
      <c r="ED70" s="408" t="s">
        <v>157</v>
      </c>
      <c r="EE70" s="408" t="s">
        <v>156</v>
      </c>
      <c r="EG70" s="389">
        <v>236725.62480349795</v>
      </c>
      <c r="EH70" s="389">
        <v>236912.40865859279</v>
      </c>
      <c r="EI70" s="389">
        <v>236749.56814408326</v>
      </c>
      <c r="EJ70" s="389">
        <v>105901.40142000004</v>
      </c>
      <c r="EK70" s="389">
        <v>96117.029391130025</v>
      </c>
      <c r="EL70" s="389">
        <v>96085.110046010028</v>
      </c>
      <c r="EN70" s="389">
        <v>5</v>
      </c>
      <c r="EO70" s="409">
        <v>337524.09054348088</v>
      </c>
      <c r="EP70" s="409">
        <v>363836.63219499559</v>
      </c>
      <c r="EQ70" s="410">
        <v>-5262.5083303029414</v>
      </c>
      <c r="ER70" s="404">
        <v>0</v>
      </c>
      <c r="ES70" s="404">
        <v>1.5442217772457147</v>
      </c>
      <c r="ET70" s="404">
        <v>0.23163326658685721</v>
      </c>
      <c r="EU70" s="411">
        <v>0.46326960039021892</v>
      </c>
      <c r="EV70" s="412" t="s">
        <v>157</v>
      </c>
      <c r="EW70" s="412" t="s">
        <v>156</v>
      </c>
      <c r="EX70" s="381"/>
      <c r="EY70" s="419">
        <v>0.54646856442034775</v>
      </c>
      <c r="EZ70" s="419">
        <v>0.43562078290425077</v>
      </c>
      <c r="FA70" s="419">
        <v>0.56956015650896619</v>
      </c>
      <c r="FB70" s="419">
        <v>0.55516814662563108</v>
      </c>
      <c r="FC70" s="419">
        <v>0.5052656686678898</v>
      </c>
      <c r="FD70" s="419">
        <v>0.81962974385097942</v>
      </c>
      <c r="FE70" s="419">
        <v>0.61357817185215202</v>
      </c>
      <c r="FF70" s="419">
        <v>0.60381965075148436</v>
      </c>
      <c r="FG70" s="419">
        <v>0.46689498791593304</v>
      </c>
      <c r="FH70" s="419">
        <v>0.67827130982162187</v>
      </c>
      <c r="FI70" s="419">
        <v>0.46326960039021892</v>
      </c>
      <c r="FJ70" s="419"/>
      <c r="FK70" s="407">
        <v>0.5172165012778549</v>
      </c>
      <c r="FL70" s="407">
        <v>0.62668785304816677</v>
      </c>
      <c r="FM70" s="419">
        <v>0.56143093683985645</v>
      </c>
      <c r="FN70" s="419">
        <v>0.57077045510592039</v>
      </c>
      <c r="FO70" s="407">
        <v>0.56886788942813415</v>
      </c>
    </row>
  </sheetData>
  <autoFilter ref="A10:FO70" xr:uid="{00000000-0001-0000-0300-000000000000}">
    <filterColumn colId="0">
      <filters>
        <filter val="SUMATERA"/>
      </filters>
    </filterColumn>
  </autoFilter>
  <mergeCells count="28">
    <mergeCell ref="K8:K10"/>
    <mergeCell ref="P8:P10"/>
    <mergeCell ref="W9:Z9"/>
    <mergeCell ref="AL9:AM9"/>
    <mergeCell ref="AN9:AO9"/>
    <mergeCell ref="AA9:AD9"/>
    <mergeCell ref="M8:M10"/>
    <mergeCell ref="N8:N10"/>
    <mergeCell ref="O8:O10"/>
    <mergeCell ref="L8:L10"/>
    <mergeCell ref="F8:F10"/>
    <mergeCell ref="G8:G10"/>
    <mergeCell ref="H8:H10"/>
    <mergeCell ref="I8:I10"/>
    <mergeCell ref="J8:J10"/>
    <mergeCell ref="A8:A10"/>
    <mergeCell ref="B8:B10"/>
    <mergeCell ref="C8:C10"/>
    <mergeCell ref="D8:D10"/>
    <mergeCell ref="E8:E10"/>
    <mergeCell ref="EO8:ER8"/>
    <mergeCell ref="EN8:EN10"/>
    <mergeCell ref="AQ9:AR9"/>
    <mergeCell ref="DJ9:DL9"/>
    <mergeCell ref="AU8:BA8"/>
    <mergeCell ref="BC8:BI8"/>
    <mergeCell ref="BL8:CA8"/>
    <mergeCell ref="CD8:CP8"/>
  </mergeCells>
  <conditionalFormatting sqref="EC11:EC70">
    <cfRule type="cellIs" dxfId="23" priority="11" operator="lessThan">
      <formula>0.7</formula>
    </cfRule>
    <cfRule type="cellIs" dxfId="22" priority="12" operator="greaterThanOrEqual">
      <formula>0.7</formula>
    </cfRule>
  </conditionalFormatting>
  <conditionalFormatting sqref="EU11:EU70">
    <cfRule type="cellIs" dxfId="21" priority="9" operator="lessThan">
      <formula>0.7</formula>
    </cfRule>
    <cfRule type="cellIs" dxfId="20" priority="10" operator="greaterThanOrEqual">
      <formula>0.7</formula>
    </cfRule>
  </conditionalFormatting>
  <conditionalFormatting sqref="FO11:FO70">
    <cfRule type="cellIs" dxfId="19" priority="7" operator="lessThan">
      <formula>0.8</formula>
    </cfRule>
    <cfRule type="cellIs" dxfId="18" priority="8" operator="greaterThanOrEqual">
      <formula>0.8</formula>
    </cfRule>
  </conditionalFormatting>
  <conditionalFormatting sqref="FK11">
    <cfRule type="cellIs" dxfId="17" priority="5" operator="lessThan">
      <formula>0.8</formula>
    </cfRule>
    <cfRule type="cellIs" dxfId="16" priority="6" operator="greaterThanOrEqual">
      <formula>0.8</formula>
    </cfRule>
  </conditionalFormatting>
  <conditionalFormatting sqref="FK12:FK70">
    <cfRule type="cellIs" dxfId="15" priority="3" operator="lessThan">
      <formula>0.8</formula>
    </cfRule>
    <cfRule type="cellIs" dxfId="14" priority="4" operator="greaterThanOrEqual">
      <formula>0.8</formula>
    </cfRule>
  </conditionalFormatting>
  <conditionalFormatting sqref="FL11:FL70">
    <cfRule type="cellIs" dxfId="13" priority="1" operator="lessThan">
      <formula>0.8</formula>
    </cfRule>
    <cfRule type="cellIs" dxfId="12" priority="2" operator="greaterThanOrEqual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EK69"/>
  <sheetViews>
    <sheetView showGridLines="0" zoomScale="71" zoomScaleNormal="71" workbookViewId="0">
      <pane xSplit="1" ySplit="11" topLeftCell="DO12" activePane="bottomRight" state="frozen"/>
      <selection activeCell="A5" sqref="A5"/>
      <selection pane="topRight" activeCell="A5" sqref="A5"/>
      <selection pane="bottomLeft" activeCell="A5" sqref="A5"/>
      <selection pane="bottomRight" activeCell="DY12" sqref="DO12:DY12"/>
    </sheetView>
  </sheetViews>
  <sheetFormatPr baseColWidth="10" defaultColWidth="8.83203125" defaultRowHeight="19" outlineLevelCol="1" x14ac:dyDescent="0.25"/>
  <cols>
    <col min="1" max="1" width="24.83203125" style="30" customWidth="1"/>
    <col min="2" max="2" width="15.5" style="30" customWidth="1"/>
    <col min="3" max="3" width="34.5" style="30" customWidth="1"/>
    <col min="4" max="59" width="22.5" style="30" customWidth="1"/>
    <col min="60" max="60" width="22.5" style="30" hidden="1" customWidth="1"/>
    <col min="61" max="83" width="22.5" style="30" customWidth="1"/>
    <col min="84" max="85" width="22.5" style="30" customWidth="1" outlineLevel="1"/>
    <col min="86" max="100" width="22.5" style="30" customWidth="1"/>
    <col min="101" max="101" width="16.1640625" style="30" customWidth="1"/>
    <col min="102" max="102" width="5.1640625" style="30" customWidth="1"/>
    <col min="103" max="103" width="22.5" style="30" customWidth="1"/>
    <col min="104" max="104" width="16.5" style="30" customWidth="1"/>
    <col min="105" max="105" width="15.33203125" style="30" customWidth="1"/>
    <col min="106" max="106" width="16.33203125" style="30" customWidth="1"/>
    <col min="107" max="107" width="12.6640625" style="30" customWidth="1"/>
    <col min="108" max="108" width="13.5" style="30" customWidth="1"/>
    <col min="110" max="110" width="15.6640625" customWidth="1"/>
    <col min="111" max="112" width="13.1640625" bestFit="1" customWidth="1"/>
    <col min="113" max="113" width="14.83203125" bestFit="1" customWidth="1"/>
    <col min="114" max="114" width="14.83203125" customWidth="1"/>
    <col min="115" max="115" width="12" customWidth="1"/>
    <col min="119" max="119" width="13.33203125" customWidth="1"/>
    <col min="120" max="120" width="15.33203125" customWidth="1"/>
    <col min="121" max="129" width="13.33203125" customWidth="1"/>
    <col min="130" max="130" width="13.33203125" customWidth="1" outlineLevel="1"/>
    <col min="131" max="131" width="16.83203125" customWidth="1"/>
    <col min="132" max="132" width="15.33203125" customWidth="1"/>
    <col min="133" max="134" width="13.33203125" customWidth="1"/>
    <col min="135" max="138" width="13.33203125" hidden="1" customWidth="1" outlineLevel="1"/>
    <col min="139" max="139" width="13.33203125" customWidth="1" collapsed="1"/>
    <col min="140" max="141" width="13.33203125" customWidth="1"/>
  </cols>
  <sheetData>
    <row r="1" spans="1:141" x14ac:dyDescent="0.25">
      <c r="B1" s="2"/>
      <c r="D1" s="53"/>
      <c r="CY1" s="30" t="s">
        <v>34</v>
      </c>
      <c r="DG1" s="30"/>
      <c r="DH1" s="30"/>
      <c r="DI1" s="30"/>
      <c r="DJ1" s="30"/>
      <c r="DK1" s="30"/>
      <c r="DL1" s="30"/>
      <c r="DM1" s="30"/>
    </row>
    <row r="2" spans="1:141" x14ac:dyDescent="0.25">
      <c r="B2" s="2"/>
      <c r="P2" s="31"/>
      <c r="Q2" s="31"/>
      <c r="R2" s="31"/>
      <c r="S2" s="31"/>
      <c r="AA2" s="31"/>
      <c r="AE2" s="31"/>
      <c r="AF2" s="31"/>
      <c r="AG2" s="31"/>
      <c r="AH2" s="31"/>
      <c r="DG2" s="30"/>
      <c r="DH2" s="30"/>
      <c r="DI2" s="30"/>
      <c r="DJ2" s="30"/>
      <c r="DK2" s="30"/>
      <c r="DL2" s="30"/>
      <c r="DM2" s="30"/>
    </row>
    <row r="3" spans="1:141" x14ac:dyDescent="0.25">
      <c r="B3" s="2"/>
      <c r="P3" s="31"/>
      <c r="Q3" s="31"/>
      <c r="AA3" s="31"/>
      <c r="DG3" s="30"/>
      <c r="DH3" s="30"/>
      <c r="DI3" s="30"/>
      <c r="DJ3" s="30"/>
      <c r="DK3" s="30"/>
      <c r="DL3" s="30"/>
      <c r="DM3" s="30"/>
    </row>
    <row r="4" spans="1:141" x14ac:dyDescent="0.25">
      <c r="A4" s="2" t="s">
        <v>548</v>
      </c>
      <c r="B4" s="2"/>
      <c r="P4" s="31"/>
      <c r="Q4" s="31"/>
      <c r="AA4" s="31"/>
      <c r="DG4" s="30"/>
      <c r="DH4" s="30"/>
      <c r="DI4" s="30"/>
      <c r="DJ4" s="30"/>
      <c r="DK4" s="30"/>
      <c r="DL4" s="30"/>
      <c r="DM4" s="30"/>
    </row>
    <row r="5" spans="1:141" x14ac:dyDescent="0.25">
      <c r="A5" s="2" t="s">
        <v>35</v>
      </c>
      <c r="B5" s="2" t="s">
        <v>97</v>
      </c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CL5" s="30" t="s">
        <v>436</v>
      </c>
      <c r="DG5" s="30"/>
      <c r="DH5" s="30"/>
      <c r="DI5" s="30"/>
      <c r="DJ5" s="30"/>
      <c r="DK5" s="30"/>
      <c r="DL5" s="30"/>
      <c r="DM5" s="30"/>
    </row>
    <row r="6" spans="1:141" x14ac:dyDescent="0.25">
      <c r="A6" s="2" t="s">
        <v>37</v>
      </c>
      <c r="B6" s="54">
        <v>44895</v>
      </c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116">
        <v>10</v>
      </c>
      <c r="BP6" s="116">
        <v>10</v>
      </c>
      <c r="BQ6" s="116">
        <v>10</v>
      </c>
      <c r="BR6" s="116">
        <v>20</v>
      </c>
      <c r="BS6" s="116">
        <v>30</v>
      </c>
      <c r="BT6" s="116">
        <v>10</v>
      </c>
      <c r="BU6" s="116">
        <v>20</v>
      </c>
      <c r="BV6" s="116">
        <v>4</v>
      </c>
      <c r="BW6" s="116">
        <v>20</v>
      </c>
      <c r="BX6" s="116">
        <v>4</v>
      </c>
      <c r="BY6" s="116">
        <v>1</v>
      </c>
      <c r="BZ6" s="116">
        <v>5</v>
      </c>
      <c r="CA6" s="38"/>
      <c r="CB6" s="38"/>
      <c r="CC6" s="32"/>
      <c r="CD6" s="32"/>
      <c r="CL6" s="111">
        <v>0.2</v>
      </c>
      <c r="CM6" s="111">
        <v>0.05</v>
      </c>
      <c r="CN6" s="111">
        <v>0.2</v>
      </c>
      <c r="CO6" s="111">
        <v>0.15</v>
      </c>
      <c r="CP6" s="111">
        <v>0.15</v>
      </c>
      <c r="CQ6" s="111"/>
      <c r="CR6" s="111">
        <v>0.1</v>
      </c>
      <c r="CS6" s="111">
        <v>0.1</v>
      </c>
      <c r="DG6" s="30"/>
      <c r="DH6" s="30"/>
      <c r="DI6" s="30"/>
      <c r="DJ6" s="30"/>
      <c r="DK6" s="32"/>
      <c r="DL6" s="32"/>
      <c r="DM6" s="30"/>
      <c r="DQ6" t="s">
        <v>522</v>
      </c>
    </row>
    <row r="7" spans="1:141" ht="15" customHeight="1" x14ac:dyDescent="0.25">
      <c r="BO7"/>
      <c r="BP7"/>
      <c r="BQ7"/>
      <c r="BR7"/>
      <c r="BS7" t="s">
        <v>439</v>
      </c>
      <c r="BT7" t="s">
        <v>440</v>
      </c>
      <c r="BU7"/>
      <c r="BV7"/>
      <c r="BW7"/>
      <c r="BX7"/>
      <c r="BY7"/>
      <c r="BZ7"/>
      <c r="DG7" s="30"/>
      <c r="DH7" s="30"/>
      <c r="DI7" s="30"/>
      <c r="DJ7" s="30"/>
      <c r="DK7" s="30"/>
      <c r="DL7" s="30"/>
      <c r="DM7" s="30"/>
    </row>
    <row r="8" spans="1:141" ht="15" customHeight="1" x14ac:dyDescent="0.25">
      <c r="A8" s="631" t="s">
        <v>38</v>
      </c>
      <c r="B8" s="631" t="s">
        <v>39</v>
      </c>
      <c r="C8" s="631" t="s">
        <v>98</v>
      </c>
      <c r="D8" s="631" t="s">
        <v>41</v>
      </c>
      <c r="E8" s="631" t="s">
        <v>42</v>
      </c>
      <c r="F8" s="631" t="s">
        <v>43</v>
      </c>
      <c r="G8" s="631" t="s">
        <v>44</v>
      </c>
      <c r="H8" s="631" t="s">
        <v>45</v>
      </c>
      <c r="I8" s="631" t="s">
        <v>46</v>
      </c>
      <c r="J8" s="631" t="s">
        <v>47</v>
      </c>
      <c r="K8" s="631" t="s">
        <v>99</v>
      </c>
      <c r="L8" s="631" t="s">
        <v>100</v>
      </c>
      <c r="M8" s="631" t="s">
        <v>48</v>
      </c>
      <c r="N8" s="631" t="s">
        <v>49</v>
      </c>
      <c r="O8" s="631" t="s">
        <v>101</v>
      </c>
      <c r="P8" s="39" t="s">
        <v>53</v>
      </c>
      <c r="Q8" s="55"/>
      <c r="R8" s="41" t="s">
        <v>102</v>
      </c>
      <c r="S8" s="42" t="s">
        <v>9</v>
      </c>
      <c r="T8" s="43"/>
      <c r="U8" s="43"/>
      <c r="V8" s="43"/>
      <c r="W8" s="43"/>
      <c r="X8" s="43"/>
      <c r="Y8" s="43"/>
      <c r="Z8" s="646" t="s">
        <v>9</v>
      </c>
      <c r="AA8" s="647"/>
      <c r="AB8" s="44" t="s">
        <v>54</v>
      </c>
      <c r="AC8" s="65"/>
      <c r="AD8" s="65"/>
      <c r="AE8" s="65"/>
      <c r="AF8" s="65"/>
      <c r="AG8" s="63"/>
      <c r="AH8" s="63"/>
      <c r="AI8" s="624" t="s">
        <v>55</v>
      </c>
      <c r="AJ8" s="625"/>
      <c r="AK8" s="625"/>
      <c r="AL8" s="625"/>
      <c r="AM8" s="625"/>
      <c r="AN8" s="63"/>
      <c r="AO8" s="63"/>
      <c r="AP8" s="66"/>
      <c r="AQ8" s="626" t="s">
        <v>80</v>
      </c>
      <c r="AR8" s="627"/>
      <c r="AS8" s="627"/>
      <c r="AT8" s="627"/>
      <c r="AU8" s="627"/>
      <c r="AV8" s="627"/>
      <c r="AW8" s="64"/>
      <c r="AX8" s="63"/>
      <c r="AY8" s="340" t="s">
        <v>56</v>
      </c>
      <c r="AZ8" s="624" t="s">
        <v>103</v>
      </c>
      <c r="BA8" s="625"/>
      <c r="BB8" s="625"/>
      <c r="BC8" s="625"/>
      <c r="BD8" s="625"/>
      <c r="BE8" s="625"/>
      <c r="BF8" s="625"/>
      <c r="BG8" s="625"/>
      <c r="BH8" s="625"/>
      <c r="BI8" s="625"/>
      <c r="BJ8" s="625"/>
      <c r="BK8" s="63"/>
      <c r="BL8" s="63"/>
      <c r="BM8" s="63"/>
      <c r="BN8" s="63"/>
      <c r="BO8" s="640" t="s">
        <v>349</v>
      </c>
      <c r="BP8" s="625"/>
      <c r="BQ8" s="625"/>
      <c r="BR8" s="625"/>
      <c r="BS8" s="625"/>
      <c r="BT8" s="625"/>
      <c r="BU8" s="625"/>
      <c r="BV8" s="625"/>
      <c r="BW8" s="63"/>
      <c r="BX8" s="63"/>
      <c r="BY8" s="63"/>
      <c r="BZ8" s="63"/>
      <c r="CA8" s="63" t="s">
        <v>56</v>
      </c>
      <c r="CB8" s="254"/>
      <c r="CC8" s="63"/>
      <c r="CD8" s="63"/>
      <c r="CE8" s="56" t="s">
        <v>104</v>
      </c>
      <c r="CF8" s="46"/>
      <c r="CG8" s="46"/>
      <c r="CH8" s="46"/>
      <c r="CI8" s="46"/>
      <c r="CJ8" s="46"/>
      <c r="CK8" s="46"/>
      <c r="CL8" s="57" t="s">
        <v>57</v>
      </c>
      <c r="CM8" s="60"/>
      <c r="CN8" s="60"/>
      <c r="CO8" s="60"/>
      <c r="CP8" s="60"/>
      <c r="CQ8" s="60"/>
      <c r="CR8" s="60"/>
      <c r="CS8" s="60"/>
      <c r="CT8" s="60"/>
      <c r="CU8" s="97"/>
      <c r="CV8" s="97"/>
      <c r="CW8" s="97"/>
      <c r="CY8" s="620" t="s">
        <v>58</v>
      </c>
      <c r="CZ8" s="620"/>
      <c r="DA8" s="620"/>
      <c r="DB8" s="638" t="s">
        <v>59</v>
      </c>
      <c r="DC8" s="638"/>
      <c r="DD8" s="639"/>
      <c r="DF8" s="616" t="s">
        <v>474</v>
      </c>
      <c r="DG8" s="645" t="s">
        <v>475</v>
      </c>
      <c r="DH8" s="645"/>
      <c r="DI8" s="645"/>
      <c r="DJ8" s="388"/>
      <c r="DK8" s="343"/>
      <c r="DL8" s="343"/>
      <c r="DM8" s="343"/>
      <c r="DO8" s="413" t="s">
        <v>523</v>
      </c>
      <c r="DP8" s="414"/>
      <c r="DQ8" s="414"/>
      <c r="DR8" s="414"/>
      <c r="DS8" s="414"/>
      <c r="DT8" s="414"/>
      <c r="DU8" s="414"/>
      <c r="DV8" s="414"/>
      <c r="DW8" s="414"/>
      <c r="DX8" s="414"/>
      <c r="DY8" s="414"/>
      <c r="DZ8" s="414"/>
      <c r="EA8" s="414"/>
      <c r="EB8" s="414"/>
      <c r="EC8" s="414"/>
      <c r="ED8" s="414"/>
      <c r="EE8" s="414"/>
      <c r="EF8" s="414"/>
      <c r="EG8" s="414"/>
      <c r="EH8" s="414"/>
      <c r="EI8" s="414"/>
      <c r="EJ8" s="414"/>
      <c r="EK8" s="427"/>
    </row>
    <row r="9" spans="1:141" ht="56.25" customHeight="1" x14ac:dyDescent="0.25">
      <c r="A9" s="632"/>
      <c r="B9" s="632"/>
      <c r="C9" s="632"/>
      <c r="D9" s="632"/>
      <c r="E9" s="632"/>
      <c r="F9" s="632"/>
      <c r="G9" s="632"/>
      <c r="H9" s="632"/>
      <c r="I9" s="632"/>
      <c r="J9" s="632"/>
      <c r="K9" s="632"/>
      <c r="L9" s="632"/>
      <c r="M9" s="632"/>
      <c r="N9" s="632"/>
      <c r="O9" s="632"/>
      <c r="P9" s="68"/>
      <c r="Q9" s="68"/>
      <c r="R9" s="69"/>
      <c r="S9" s="81" t="s">
        <v>60</v>
      </c>
      <c r="T9" s="83"/>
      <c r="U9" s="81" t="s">
        <v>61</v>
      </c>
      <c r="V9" s="83"/>
      <c r="W9" s="105"/>
      <c r="X9" s="105"/>
      <c r="Y9" s="68"/>
      <c r="Z9" s="75"/>
      <c r="AA9" s="76"/>
      <c r="AB9" s="106" t="s">
        <v>62</v>
      </c>
      <c r="AC9" s="104"/>
      <c r="AD9" s="106" t="s">
        <v>61</v>
      </c>
      <c r="AE9" s="82"/>
      <c r="AF9" s="83"/>
      <c r="AG9" s="92"/>
      <c r="AH9" s="76"/>
      <c r="AI9" s="70"/>
      <c r="AJ9" s="92"/>
      <c r="AK9" s="92"/>
      <c r="AL9" s="92"/>
      <c r="AM9" s="92"/>
      <c r="AN9" s="92"/>
      <c r="AO9" s="338"/>
      <c r="AP9" s="104"/>
      <c r="AQ9" s="75"/>
      <c r="AR9" s="76"/>
      <c r="AS9" s="76"/>
      <c r="AT9" s="76"/>
      <c r="AU9" s="76"/>
      <c r="AV9" s="77"/>
      <c r="AW9" s="77"/>
      <c r="AX9" s="77"/>
      <c r="AY9" s="341" t="s">
        <v>63</v>
      </c>
      <c r="AZ9" s="619" t="s">
        <v>14</v>
      </c>
      <c r="BA9" s="620"/>
      <c r="BB9" s="642"/>
      <c r="BC9" s="108"/>
      <c r="BD9" s="225" t="s">
        <v>378</v>
      </c>
      <c r="BE9" s="72"/>
      <c r="BF9" s="225" t="s">
        <v>421</v>
      </c>
      <c r="BG9" s="225" t="s">
        <v>503</v>
      </c>
      <c r="BH9" s="72"/>
      <c r="BI9" s="85"/>
      <c r="BJ9" s="74"/>
      <c r="BK9" s="74"/>
      <c r="BL9" s="74"/>
      <c r="BM9" s="74"/>
      <c r="BN9" s="74"/>
      <c r="BO9" s="303"/>
      <c r="BP9" s="109"/>
      <c r="BQ9" s="109"/>
      <c r="BR9" s="109"/>
      <c r="BS9" s="109"/>
      <c r="BT9" s="109"/>
      <c r="BU9" s="109"/>
      <c r="BV9" s="109"/>
      <c r="BW9" s="109"/>
      <c r="BX9" s="77"/>
      <c r="BY9" s="77"/>
      <c r="BZ9" s="77"/>
      <c r="CA9" s="253" t="s">
        <v>393</v>
      </c>
      <c r="CB9" s="641" t="s">
        <v>105</v>
      </c>
      <c r="CC9" s="620"/>
      <c r="CD9" s="642"/>
      <c r="CE9" s="68"/>
      <c r="CF9" s="68"/>
      <c r="CG9" s="68"/>
      <c r="CH9" s="68"/>
      <c r="CI9" s="68"/>
      <c r="CJ9" s="620" t="s">
        <v>106</v>
      </c>
      <c r="CK9" s="620"/>
      <c r="CL9" s="90" t="s">
        <v>65</v>
      </c>
      <c r="CM9" s="82"/>
      <c r="CN9" s="82"/>
      <c r="CO9" s="82"/>
      <c r="CP9" s="82"/>
      <c r="CQ9" s="82"/>
      <c r="CR9" s="636" t="s">
        <v>107</v>
      </c>
      <c r="CS9" s="637"/>
      <c r="CT9" s="107"/>
      <c r="CU9" s="99"/>
      <c r="CV9" s="99"/>
      <c r="CW9" s="99"/>
      <c r="CY9" s="98" t="s">
        <v>67</v>
      </c>
      <c r="CZ9" s="98" t="s">
        <v>68</v>
      </c>
      <c r="DA9" s="98" t="s">
        <v>69</v>
      </c>
      <c r="DB9" s="99" t="s">
        <v>67</v>
      </c>
      <c r="DC9" s="99" t="s">
        <v>68</v>
      </c>
      <c r="DD9" s="99" t="s">
        <v>69</v>
      </c>
      <c r="DF9" s="617"/>
      <c r="DG9" s="344" t="s">
        <v>476</v>
      </c>
      <c r="DH9" s="344" t="s">
        <v>476</v>
      </c>
      <c r="DI9" s="344" t="s">
        <v>61</v>
      </c>
      <c r="DJ9" s="344" t="s">
        <v>477</v>
      </c>
      <c r="DK9" s="345"/>
      <c r="DL9" s="345"/>
      <c r="DM9" s="345"/>
      <c r="DO9" s="415"/>
      <c r="DP9" s="344"/>
      <c r="DQ9" s="344"/>
      <c r="DR9" s="344"/>
      <c r="DS9" s="344"/>
      <c r="DT9" s="344"/>
      <c r="DU9" s="344"/>
      <c r="DV9" s="344"/>
      <c r="DW9" s="344"/>
      <c r="DX9" s="344"/>
      <c r="DY9" s="344"/>
      <c r="DZ9" s="344"/>
      <c r="EA9" s="345"/>
      <c r="EB9" s="345"/>
      <c r="EC9" s="345"/>
      <c r="ED9" s="345"/>
      <c r="EE9" s="345"/>
      <c r="EF9" s="345"/>
      <c r="EG9" s="345"/>
      <c r="EH9" s="345"/>
      <c r="EI9" s="345"/>
      <c r="EJ9" s="345"/>
      <c r="EK9" s="643" t="s">
        <v>542</v>
      </c>
    </row>
    <row r="10" spans="1:141" ht="30" customHeight="1" x14ac:dyDescent="0.25">
      <c r="A10" s="632"/>
      <c r="B10" s="632"/>
      <c r="C10" s="632"/>
      <c r="D10" s="632"/>
      <c r="E10" s="632"/>
      <c r="F10" s="632"/>
      <c r="G10" s="632"/>
      <c r="H10" s="632"/>
      <c r="I10" s="632"/>
      <c r="J10" s="632"/>
      <c r="K10" s="632"/>
      <c r="L10" s="632"/>
      <c r="M10" s="632"/>
      <c r="N10" s="632"/>
      <c r="O10" s="632"/>
      <c r="P10" s="78" t="s">
        <v>72</v>
      </c>
      <c r="Q10" s="78" t="s">
        <v>73</v>
      </c>
      <c r="R10" s="78" t="s">
        <v>108</v>
      </c>
      <c r="S10" s="78" t="s">
        <v>72</v>
      </c>
      <c r="T10" s="78" t="s">
        <v>73</v>
      </c>
      <c r="U10" s="78" t="s">
        <v>72</v>
      </c>
      <c r="V10" s="78" t="s">
        <v>73</v>
      </c>
      <c r="W10" s="78" t="s">
        <v>395</v>
      </c>
      <c r="X10" s="78" t="s">
        <v>109</v>
      </c>
      <c r="Y10" s="78" t="s">
        <v>110</v>
      </c>
      <c r="Z10" s="78" t="s">
        <v>111</v>
      </c>
      <c r="AA10" s="78" t="s">
        <v>112</v>
      </c>
      <c r="AB10" s="78" t="s">
        <v>72</v>
      </c>
      <c r="AC10" s="78" t="s">
        <v>73</v>
      </c>
      <c r="AD10" s="78" t="s">
        <v>72</v>
      </c>
      <c r="AE10" s="78" t="s">
        <v>73</v>
      </c>
      <c r="AF10" s="78" t="s">
        <v>77</v>
      </c>
      <c r="AG10" s="92" t="s">
        <v>435</v>
      </c>
      <c r="AH10" s="92" t="s">
        <v>113</v>
      </c>
      <c r="AI10" s="107" t="s">
        <v>350</v>
      </c>
      <c r="AJ10" s="107" t="s">
        <v>313</v>
      </c>
      <c r="AK10" s="107" t="s">
        <v>314</v>
      </c>
      <c r="AL10" s="107" t="s">
        <v>351</v>
      </c>
      <c r="AM10" s="107" t="s">
        <v>138</v>
      </c>
      <c r="AN10" s="107" t="s">
        <v>139</v>
      </c>
      <c r="AO10" s="107" t="s">
        <v>315</v>
      </c>
      <c r="AP10" s="81" t="s">
        <v>470</v>
      </c>
      <c r="AQ10" s="81" t="s">
        <v>350</v>
      </c>
      <c r="AR10" s="82" t="s">
        <v>313</v>
      </c>
      <c r="AS10" s="82" t="s">
        <v>314</v>
      </c>
      <c r="AT10" s="83" t="s">
        <v>79</v>
      </c>
      <c r="AU10" s="82" t="s">
        <v>138</v>
      </c>
      <c r="AV10" s="82" t="s">
        <v>139</v>
      </c>
      <c r="AW10" s="82" t="s">
        <v>315</v>
      </c>
      <c r="AX10" s="82" t="s">
        <v>470</v>
      </c>
      <c r="AY10" s="342" t="s">
        <v>114</v>
      </c>
      <c r="AZ10" s="80" t="s">
        <v>82</v>
      </c>
      <c r="BA10" s="94" t="s">
        <v>83</v>
      </c>
      <c r="BB10" s="79" t="s">
        <v>15</v>
      </c>
      <c r="BC10" s="93" t="s">
        <v>377</v>
      </c>
      <c r="BD10" s="80" t="s">
        <v>422</v>
      </c>
      <c r="BE10" s="110" t="s">
        <v>423</v>
      </c>
      <c r="BF10" s="80" t="s">
        <v>424</v>
      </c>
      <c r="BG10" s="226" t="s">
        <v>425</v>
      </c>
      <c r="BH10" s="110" t="s">
        <v>426</v>
      </c>
      <c r="BI10" s="110" t="s">
        <v>438</v>
      </c>
      <c r="BJ10" s="110" t="s">
        <v>381</v>
      </c>
      <c r="BK10" s="78" t="s">
        <v>382</v>
      </c>
      <c r="BL10" s="78" t="s">
        <v>319</v>
      </c>
      <c r="BM10" s="78" t="s">
        <v>506</v>
      </c>
      <c r="BN10" s="80" t="s">
        <v>384</v>
      </c>
      <c r="BO10" s="304" t="s">
        <v>316</v>
      </c>
      <c r="BP10" s="79" t="s">
        <v>317</v>
      </c>
      <c r="BQ10" s="79" t="s">
        <v>320</v>
      </c>
      <c r="BR10" s="226" t="s">
        <v>377</v>
      </c>
      <c r="BS10" s="93" t="s">
        <v>378</v>
      </c>
      <c r="BT10" s="94" t="s">
        <v>504</v>
      </c>
      <c r="BU10" s="110" t="s">
        <v>438</v>
      </c>
      <c r="BV10" s="110" t="s">
        <v>396</v>
      </c>
      <c r="BW10" s="226" t="s">
        <v>382</v>
      </c>
      <c r="BX10" s="302" t="s">
        <v>319</v>
      </c>
      <c r="BY10" s="302" t="s">
        <v>507</v>
      </c>
      <c r="BZ10" s="302" t="s">
        <v>384</v>
      </c>
      <c r="CA10" s="301" t="s">
        <v>114</v>
      </c>
      <c r="CB10" s="207" t="s">
        <v>115</v>
      </c>
      <c r="CC10" s="78" t="s">
        <v>116</v>
      </c>
      <c r="CD10" s="78" t="s">
        <v>75</v>
      </c>
      <c r="CE10" s="78" t="s">
        <v>58</v>
      </c>
      <c r="CF10" s="78" t="s">
        <v>59</v>
      </c>
      <c r="CG10" s="78" t="s">
        <v>395</v>
      </c>
      <c r="CH10" s="78" t="s">
        <v>117</v>
      </c>
      <c r="CI10" s="78" t="s">
        <v>80</v>
      </c>
      <c r="CJ10" s="78" t="s">
        <v>118</v>
      </c>
      <c r="CK10" s="78" t="s">
        <v>75</v>
      </c>
      <c r="CL10" s="78" t="s">
        <v>58</v>
      </c>
      <c r="CM10" s="78" t="s">
        <v>59</v>
      </c>
      <c r="CN10" s="78" t="s">
        <v>395</v>
      </c>
      <c r="CO10" s="78" t="s">
        <v>109</v>
      </c>
      <c r="CP10" s="80" t="s">
        <v>80</v>
      </c>
      <c r="CQ10" s="80" t="s">
        <v>91</v>
      </c>
      <c r="CR10" s="78" t="s">
        <v>96</v>
      </c>
      <c r="CS10" s="78" t="s">
        <v>75</v>
      </c>
      <c r="CT10" s="80" t="s">
        <v>91</v>
      </c>
      <c r="CU10" s="100" t="s">
        <v>93</v>
      </c>
      <c r="CV10" s="100" t="s">
        <v>94</v>
      </c>
      <c r="CW10" s="100" t="s">
        <v>95</v>
      </c>
      <c r="CY10" s="102" t="s">
        <v>140</v>
      </c>
      <c r="CZ10" s="78"/>
      <c r="DA10" s="78"/>
      <c r="DB10" s="103" t="s">
        <v>141</v>
      </c>
      <c r="DC10" s="100"/>
      <c r="DD10" s="100"/>
      <c r="DF10" s="618"/>
      <c r="DG10" s="346" t="s">
        <v>478</v>
      </c>
      <c r="DH10" s="344" t="s">
        <v>140</v>
      </c>
      <c r="DI10" s="346" t="s">
        <v>498</v>
      </c>
      <c r="DJ10" s="346"/>
      <c r="DK10" s="343" t="s">
        <v>93</v>
      </c>
      <c r="DL10" s="343" t="s">
        <v>94</v>
      </c>
      <c r="DM10" s="343" t="s">
        <v>95</v>
      </c>
      <c r="DO10" s="416" t="s">
        <v>524</v>
      </c>
      <c r="DP10" s="417" t="s">
        <v>525</v>
      </c>
      <c r="DQ10" s="417" t="s">
        <v>526</v>
      </c>
      <c r="DR10" s="417" t="s">
        <v>527</v>
      </c>
      <c r="DS10" s="417" t="s">
        <v>528</v>
      </c>
      <c r="DT10" s="417" t="s">
        <v>529</v>
      </c>
      <c r="DU10" s="417" t="s">
        <v>530</v>
      </c>
      <c r="DV10" s="417" t="s">
        <v>531</v>
      </c>
      <c r="DW10" s="417" t="s">
        <v>532</v>
      </c>
      <c r="DX10" s="417" t="s">
        <v>533</v>
      </c>
      <c r="DY10" s="417" t="s">
        <v>534</v>
      </c>
      <c r="DZ10" s="417" t="s">
        <v>535</v>
      </c>
      <c r="EA10" s="418" t="s">
        <v>536</v>
      </c>
      <c r="EB10" s="418" t="s">
        <v>543</v>
      </c>
      <c r="EC10" s="418" t="s">
        <v>537</v>
      </c>
      <c r="ED10" s="418" t="s">
        <v>544</v>
      </c>
      <c r="EE10" s="418" t="s">
        <v>538</v>
      </c>
      <c r="EF10" s="418" t="s">
        <v>545</v>
      </c>
      <c r="EG10" s="418" t="s">
        <v>539</v>
      </c>
      <c r="EH10" s="418" t="s">
        <v>546</v>
      </c>
      <c r="EI10" s="418" t="s">
        <v>540</v>
      </c>
      <c r="EJ10" s="418" t="s">
        <v>547</v>
      </c>
      <c r="EK10" s="644"/>
    </row>
    <row r="11" spans="1:141" x14ac:dyDescent="0.25">
      <c r="A11" s="391" t="s">
        <v>447</v>
      </c>
      <c r="B11" s="391" t="s">
        <v>455</v>
      </c>
      <c r="C11" s="390" t="s">
        <v>456</v>
      </c>
      <c r="D11" s="391" t="s">
        <v>455</v>
      </c>
      <c r="E11" s="390" t="s">
        <v>457</v>
      </c>
      <c r="F11" s="391" t="s">
        <v>154</v>
      </c>
      <c r="G11" s="392">
        <v>1</v>
      </c>
      <c r="H11" s="393">
        <v>43948</v>
      </c>
      <c r="I11" s="393">
        <v>43948</v>
      </c>
      <c r="J11" s="394">
        <v>32</v>
      </c>
      <c r="K11" s="394" t="s">
        <v>458</v>
      </c>
      <c r="L11" s="394" t="s">
        <v>227</v>
      </c>
      <c r="M11" s="394" t="s">
        <v>458</v>
      </c>
      <c r="N11" s="394" t="s">
        <v>227</v>
      </c>
      <c r="O11" s="394" t="s">
        <v>459</v>
      </c>
      <c r="P11" s="389">
        <v>95033.056360790011</v>
      </c>
      <c r="Q11" s="389">
        <v>120560.5935625</v>
      </c>
      <c r="R11" s="389">
        <v>1157161.89796258</v>
      </c>
      <c r="S11" s="398">
        <v>117033.05636079001</v>
      </c>
      <c r="T11" s="398">
        <v>120960.5935625</v>
      </c>
      <c r="U11" s="389">
        <v>22000</v>
      </c>
      <c r="V11" s="389">
        <v>400</v>
      </c>
      <c r="W11" s="389">
        <v>120</v>
      </c>
      <c r="X11" s="389">
        <v>6</v>
      </c>
      <c r="Y11" s="389">
        <v>2000</v>
      </c>
      <c r="Z11" s="420">
        <v>1215019.9928607089</v>
      </c>
      <c r="AA11" s="389">
        <v>2050</v>
      </c>
      <c r="AB11" s="389">
        <v>163405.05423854868</v>
      </c>
      <c r="AC11" s="389">
        <v>109298.61837296431</v>
      </c>
      <c r="AD11" s="398">
        <v>68371.997877758666</v>
      </c>
      <c r="AE11" s="398">
        <v>-11261.975189535689</v>
      </c>
      <c r="AF11" s="398">
        <v>24371.997877758666</v>
      </c>
      <c r="AG11" s="398">
        <v>29.905000000000001</v>
      </c>
      <c r="AH11" s="389">
        <v>1</v>
      </c>
      <c r="AI11" s="421">
        <v>36</v>
      </c>
      <c r="AJ11" s="421">
        <v>0</v>
      </c>
      <c r="AK11" s="421">
        <v>0</v>
      </c>
      <c r="AL11" s="421">
        <v>18735</v>
      </c>
      <c r="AM11" s="421">
        <v>600</v>
      </c>
      <c r="AN11" s="421">
        <v>0</v>
      </c>
      <c r="AO11" s="421">
        <v>0</v>
      </c>
      <c r="AP11" s="421">
        <v>0</v>
      </c>
      <c r="AQ11" s="399">
        <v>720</v>
      </c>
      <c r="AR11" s="399">
        <v>0</v>
      </c>
      <c r="AS11" s="399">
        <v>0</v>
      </c>
      <c r="AT11" s="399">
        <v>18.734999999999999</v>
      </c>
      <c r="AU11" s="399">
        <v>60</v>
      </c>
      <c r="AV11" s="399">
        <v>0</v>
      </c>
      <c r="AW11" s="399">
        <v>0</v>
      </c>
      <c r="AX11" s="399"/>
      <c r="AY11" s="398">
        <v>798.73500000000001</v>
      </c>
      <c r="AZ11" s="422">
        <v>0</v>
      </c>
      <c r="BA11" s="422">
        <v>2</v>
      </c>
      <c r="BB11" s="422">
        <v>0</v>
      </c>
      <c r="BC11" s="422">
        <v>1</v>
      </c>
      <c r="BD11" s="422">
        <v>0</v>
      </c>
      <c r="BE11" s="422">
        <v>0</v>
      </c>
      <c r="BF11" s="422">
        <v>0</v>
      </c>
      <c r="BG11" s="422">
        <v>0</v>
      </c>
      <c r="BH11" s="422">
        <v>0</v>
      </c>
      <c r="BI11" s="422">
        <v>1</v>
      </c>
      <c r="BJ11" s="422">
        <v>15</v>
      </c>
      <c r="BK11" s="422">
        <v>1</v>
      </c>
      <c r="BL11" s="422">
        <v>0</v>
      </c>
      <c r="BM11" s="422">
        <v>0</v>
      </c>
      <c r="BN11" s="422">
        <v>0</v>
      </c>
      <c r="BO11" s="389">
        <v>0</v>
      </c>
      <c r="BP11" s="389">
        <v>20</v>
      </c>
      <c r="BQ11" s="389">
        <v>0</v>
      </c>
      <c r="BR11" s="389">
        <v>20</v>
      </c>
      <c r="BS11" s="389">
        <v>0</v>
      </c>
      <c r="BT11" s="389">
        <v>0</v>
      </c>
      <c r="BU11" s="389">
        <v>20</v>
      </c>
      <c r="BV11" s="389">
        <v>60</v>
      </c>
      <c r="BW11" s="389">
        <v>20</v>
      </c>
      <c r="BX11" s="423">
        <v>0</v>
      </c>
      <c r="BY11" s="423">
        <v>0</v>
      </c>
      <c r="BZ11" s="423">
        <v>0</v>
      </c>
      <c r="CA11" s="389">
        <v>140</v>
      </c>
      <c r="CB11" s="389">
        <v>1138364.2536002998</v>
      </c>
      <c r="CC11" s="389">
        <v>20</v>
      </c>
      <c r="CD11" s="389">
        <v>550</v>
      </c>
      <c r="CE11" s="402">
        <v>1.3</v>
      </c>
      <c r="CF11" s="402">
        <v>1</v>
      </c>
      <c r="CG11" s="402">
        <v>0.24920833333333334</v>
      </c>
      <c r="CH11" s="402">
        <v>0.16666666666666666</v>
      </c>
      <c r="CI11" s="402">
        <v>0.46936749999999999</v>
      </c>
      <c r="CJ11" s="403">
        <v>0.93690989472533159</v>
      </c>
      <c r="CK11" s="402">
        <v>0.26829268292682928</v>
      </c>
      <c r="CL11" s="402">
        <v>0.26</v>
      </c>
      <c r="CM11" s="402">
        <v>0.05</v>
      </c>
      <c r="CN11" s="402">
        <v>4.9841666666666673E-2</v>
      </c>
      <c r="CO11" s="402">
        <v>2.4999999999999998E-2</v>
      </c>
      <c r="CP11" s="402">
        <v>9.3873499999999999E-2</v>
      </c>
      <c r="CQ11" s="402">
        <v>0.47871516666666669</v>
      </c>
      <c r="CR11" s="402">
        <v>9.3690989472533168E-2</v>
      </c>
      <c r="CS11" s="402">
        <v>2.682926829268293E-2</v>
      </c>
      <c r="CT11" s="406">
        <v>0.1205202577652161</v>
      </c>
      <c r="CU11" s="424">
        <v>0.59923542443188282</v>
      </c>
      <c r="CV11" s="425" t="s">
        <v>157</v>
      </c>
      <c r="CW11" s="408" t="s">
        <v>156</v>
      </c>
      <c r="CY11" s="389">
        <v>162800.55376277998</v>
      </c>
      <c r="CZ11" s="389">
        <v>164810.40096161998</v>
      </c>
      <c r="DA11" s="389">
        <v>166661.77210292005</v>
      </c>
      <c r="DB11" s="389">
        <v>111123.9268</v>
      </c>
      <c r="DC11" s="389">
        <v>112159.99618919002</v>
      </c>
      <c r="DD11" s="389">
        <v>113258.77531785</v>
      </c>
      <c r="DF11" s="389">
        <v>2</v>
      </c>
      <c r="DG11" s="409">
        <v>272703.67261151294</v>
      </c>
      <c r="DH11" s="409">
        <v>276798.94752076059</v>
      </c>
      <c r="DI11" s="426">
        <v>-2047.6374546238221</v>
      </c>
      <c r="DJ11" s="404">
        <v>0</v>
      </c>
      <c r="DK11" s="411">
        <v>0.59923542443188282</v>
      </c>
      <c r="DL11" s="412" t="s">
        <v>157</v>
      </c>
      <c r="DM11" s="412" t="s">
        <v>156</v>
      </c>
      <c r="DO11" s="419">
        <v>0.49980935854128083</v>
      </c>
      <c r="DP11" s="419">
        <v>0.34452533948009506</v>
      </c>
      <c r="DQ11" s="419">
        <v>0.47950994704629335</v>
      </c>
      <c r="DR11" s="419">
        <v>0.65507505917980713</v>
      </c>
      <c r="DS11" s="419">
        <v>0.33490175017723328</v>
      </c>
      <c r="DT11" s="419">
        <v>0.37221751823422794</v>
      </c>
      <c r="DU11" s="419">
        <v>0.61447833510407845</v>
      </c>
      <c r="DV11" s="419">
        <v>0.71474691430565496</v>
      </c>
      <c r="DW11" s="419">
        <v>0.40982428060234399</v>
      </c>
      <c r="DX11" s="419">
        <v>0.47533836950377406</v>
      </c>
      <c r="DY11" s="419">
        <v>0.59923542443188282</v>
      </c>
      <c r="DZ11" s="419"/>
      <c r="EA11" s="407">
        <v>0.44128154835588979</v>
      </c>
      <c r="EB11" s="428" t="s">
        <v>157</v>
      </c>
      <c r="EC11" s="407">
        <v>0.45406477586375615</v>
      </c>
      <c r="ED11" s="428" t="s">
        <v>157</v>
      </c>
      <c r="EE11" s="419">
        <v>0.57968317667069247</v>
      </c>
      <c r="EF11" s="428" t="s">
        <v>157</v>
      </c>
      <c r="EG11" s="419">
        <v>0.53728689696782839</v>
      </c>
      <c r="EH11" s="428" t="s">
        <v>157</v>
      </c>
      <c r="EI11" s="407">
        <v>0.4999692996915156</v>
      </c>
      <c r="EJ11" s="428" t="s">
        <v>157</v>
      </c>
      <c r="EK11" s="428" t="s">
        <v>156</v>
      </c>
    </row>
    <row r="12" spans="1:141" x14ac:dyDescent="0.25">
      <c r="A12" s="391" t="s">
        <v>299</v>
      </c>
      <c r="B12" s="391" t="s">
        <v>460</v>
      </c>
      <c r="C12" s="390" t="s">
        <v>461</v>
      </c>
      <c r="D12" s="391" t="s">
        <v>460</v>
      </c>
      <c r="E12" s="390" t="s">
        <v>457</v>
      </c>
      <c r="F12" s="391" t="s">
        <v>154</v>
      </c>
      <c r="G12" s="392">
        <v>1</v>
      </c>
      <c r="H12" s="393">
        <v>42857</v>
      </c>
      <c r="I12" s="393">
        <v>43759</v>
      </c>
      <c r="J12" s="394">
        <v>67</v>
      </c>
      <c r="K12" s="394" t="s">
        <v>462</v>
      </c>
      <c r="L12" s="394" t="s">
        <v>181</v>
      </c>
      <c r="M12" s="394" t="s">
        <v>462</v>
      </c>
      <c r="N12" s="394" t="s">
        <v>181</v>
      </c>
      <c r="O12" s="394" t="s">
        <v>31</v>
      </c>
      <c r="P12" s="389">
        <v>174443.96480656194</v>
      </c>
      <c r="Q12" s="389">
        <v>263418.84265581501</v>
      </c>
      <c r="R12" s="389">
        <v>1853816.8715367501</v>
      </c>
      <c r="S12" s="398">
        <v>196443.96480656194</v>
      </c>
      <c r="T12" s="398">
        <v>263918.84265581501</v>
      </c>
      <c r="U12" s="389">
        <v>22000</v>
      </c>
      <c r="V12" s="389">
        <v>500</v>
      </c>
      <c r="W12" s="389">
        <v>150</v>
      </c>
      <c r="X12" s="389">
        <v>6</v>
      </c>
      <c r="Y12" s="389">
        <v>2000</v>
      </c>
      <c r="Z12" s="420">
        <v>1946507.7151135877</v>
      </c>
      <c r="AA12" s="389">
        <v>1850</v>
      </c>
      <c r="AB12" s="389">
        <v>225496.45313087065</v>
      </c>
      <c r="AC12" s="389">
        <v>270539.68924336002</v>
      </c>
      <c r="AD12" s="398">
        <v>51052.48832430871</v>
      </c>
      <c r="AE12" s="398">
        <v>7120.8465875450056</v>
      </c>
      <c r="AF12" s="398">
        <v>7052.4883243087097</v>
      </c>
      <c r="AG12" s="398">
        <v>135.10772641937737</v>
      </c>
      <c r="AH12" s="389">
        <v>1</v>
      </c>
      <c r="AI12" s="422">
        <v>50</v>
      </c>
      <c r="AJ12" s="422">
        <v>0</v>
      </c>
      <c r="AK12" s="422">
        <v>0</v>
      </c>
      <c r="AL12" s="422">
        <v>249636.17609834729</v>
      </c>
      <c r="AM12" s="422">
        <v>2000</v>
      </c>
      <c r="AN12" s="422">
        <v>0</v>
      </c>
      <c r="AO12" s="421">
        <v>0</v>
      </c>
      <c r="AP12" s="421">
        <v>0</v>
      </c>
      <c r="AQ12" s="399">
        <v>1000</v>
      </c>
      <c r="AR12" s="399">
        <v>0</v>
      </c>
      <c r="AS12" s="399">
        <v>0</v>
      </c>
      <c r="AT12" s="399">
        <v>249.63617609834728</v>
      </c>
      <c r="AU12" s="399">
        <v>200</v>
      </c>
      <c r="AV12" s="399">
        <v>0</v>
      </c>
      <c r="AW12" s="399">
        <v>0</v>
      </c>
      <c r="AX12" s="399"/>
      <c r="AY12" s="398">
        <v>1449.6361760983473</v>
      </c>
      <c r="AZ12" s="422">
        <v>1</v>
      </c>
      <c r="BA12" s="422">
        <v>0</v>
      </c>
      <c r="BB12" s="422">
        <v>0</v>
      </c>
      <c r="BC12" s="422">
        <v>0</v>
      </c>
      <c r="BD12" s="422">
        <v>0</v>
      </c>
      <c r="BE12" s="422">
        <v>0</v>
      </c>
      <c r="BF12" s="422">
        <v>2915</v>
      </c>
      <c r="BG12" s="422">
        <v>0</v>
      </c>
      <c r="BH12" s="422">
        <v>0</v>
      </c>
      <c r="BI12" s="422">
        <v>3</v>
      </c>
      <c r="BJ12" s="422">
        <v>4</v>
      </c>
      <c r="BK12" s="422">
        <v>0</v>
      </c>
      <c r="BL12" s="422">
        <v>0</v>
      </c>
      <c r="BM12" s="422">
        <v>1</v>
      </c>
      <c r="BN12" s="422">
        <v>0</v>
      </c>
      <c r="BO12" s="389">
        <v>10</v>
      </c>
      <c r="BP12" s="389">
        <v>0</v>
      </c>
      <c r="BQ12" s="389">
        <v>0</v>
      </c>
      <c r="BR12" s="389">
        <v>0</v>
      </c>
      <c r="BS12" s="389">
        <v>0</v>
      </c>
      <c r="BT12" s="389">
        <v>1166</v>
      </c>
      <c r="BU12" s="389">
        <v>60</v>
      </c>
      <c r="BV12" s="389">
        <v>16</v>
      </c>
      <c r="BW12" s="389">
        <v>0</v>
      </c>
      <c r="BX12" s="389">
        <v>0</v>
      </c>
      <c r="BY12" s="389">
        <v>100</v>
      </c>
      <c r="BZ12" s="389">
        <v>0</v>
      </c>
      <c r="CA12" s="389">
        <v>1352</v>
      </c>
      <c r="CB12" s="389">
        <v>1866291.4097103798</v>
      </c>
      <c r="CC12" s="389">
        <v>23</v>
      </c>
      <c r="CD12" s="389">
        <v>550</v>
      </c>
      <c r="CE12" s="402">
        <v>2</v>
      </c>
      <c r="CF12" s="402">
        <v>1</v>
      </c>
      <c r="CG12" s="402">
        <v>0.90071817612918248</v>
      </c>
      <c r="CH12" s="402">
        <v>0.16666666666666666</v>
      </c>
      <c r="CI12" s="402">
        <v>1.4008180880491736</v>
      </c>
      <c r="CJ12" s="403">
        <v>0.95878962884124663</v>
      </c>
      <c r="CK12" s="402">
        <v>0.29729729729729731</v>
      </c>
      <c r="CL12" s="402">
        <v>0.4</v>
      </c>
      <c r="CM12" s="402">
        <v>0.05</v>
      </c>
      <c r="CN12" s="402">
        <v>0.18014363522583651</v>
      </c>
      <c r="CO12" s="402">
        <v>2.4999999999999998E-2</v>
      </c>
      <c r="CP12" s="402">
        <v>0.28016361760983471</v>
      </c>
      <c r="CQ12" s="402">
        <v>0.93530725283567118</v>
      </c>
      <c r="CR12" s="402">
        <v>9.5878962884124674E-2</v>
      </c>
      <c r="CS12" s="402">
        <v>2.9729729729729731E-2</v>
      </c>
      <c r="CT12" s="406">
        <v>0.12560869261385441</v>
      </c>
      <c r="CU12" s="424">
        <v>1.0609159454495256</v>
      </c>
      <c r="CV12" s="425" t="s">
        <v>510</v>
      </c>
      <c r="CW12" s="408" t="s">
        <v>28</v>
      </c>
      <c r="CY12" s="389">
        <v>220364.35382067013</v>
      </c>
      <c r="CZ12" s="389">
        <v>223226.1164028699</v>
      </c>
      <c r="DA12" s="389">
        <v>224277.02373786998</v>
      </c>
      <c r="DB12" s="389">
        <v>274538.29363999999</v>
      </c>
      <c r="DC12" s="389">
        <v>268175.90018445998</v>
      </c>
      <c r="DD12" s="389">
        <v>266151.89156754001</v>
      </c>
      <c r="DF12" s="389">
        <v>5</v>
      </c>
      <c r="DG12" s="409">
        <v>407356.02012807468</v>
      </c>
      <c r="DH12" s="409">
        <v>398050.07974396821</v>
      </c>
      <c r="DI12" s="426">
        <v>1861.1880768212955</v>
      </c>
      <c r="DJ12" s="404">
        <v>0.2</v>
      </c>
      <c r="DK12" s="411">
        <v>1.2609159454495256</v>
      </c>
      <c r="DL12" s="412" t="s">
        <v>520</v>
      </c>
      <c r="DM12" s="412" t="s">
        <v>29</v>
      </c>
      <c r="DO12" s="419">
        <v>0.83819093984102988</v>
      </c>
      <c r="DP12" s="419">
        <v>1.0886634161390283</v>
      </c>
      <c r="DQ12" s="419">
        <v>1.3861201815649096</v>
      </c>
      <c r="DR12" s="419">
        <v>1.1211135623962416</v>
      </c>
      <c r="DS12" s="419">
        <v>1.3703259033035708</v>
      </c>
      <c r="DT12" s="419">
        <v>1.3605609487361854</v>
      </c>
      <c r="DU12" s="419">
        <v>1.1330173486880857</v>
      </c>
      <c r="DV12" s="419">
        <v>1.0492444731795401</v>
      </c>
      <c r="DW12" s="419">
        <v>0.94412555554524902</v>
      </c>
      <c r="DX12" s="419">
        <v>1.3615736594004246</v>
      </c>
      <c r="DY12" s="419">
        <v>1.2609159454495256</v>
      </c>
      <c r="DZ12" s="419"/>
      <c r="EA12" s="407">
        <v>1.1043248458483226</v>
      </c>
      <c r="EB12" s="428" t="s">
        <v>510</v>
      </c>
      <c r="EC12" s="407">
        <v>1.2840001381453325</v>
      </c>
      <c r="ED12" s="428" t="s">
        <v>520</v>
      </c>
      <c r="EE12" s="419">
        <v>1.0421291258042917</v>
      </c>
      <c r="EF12" s="428" t="s">
        <v>510</v>
      </c>
      <c r="EG12" s="419">
        <v>1.3112448024249752</v>
      </c>
      <c r="EH12" s="428" t="s">
        <v>520</v>
      </c>
      <c r="EI12" s="407">
        <v>1.1739865394767082</v>
      </c>
      <c r="EJ12" s="428" t="s">
        <v>510</v>
      </c>
      <c r="EK12" s="428" t="s">
        <v>28</v>
      </c>
    </row>
    <row r="13" spans="1:141" x14ac:dyDescent="0.25">
      <c r="A13" s="391" t="s">
        <v>208</v>
      </c>
      <c r="B13" s="391" t="s">
        <v>463</v>
      </c>
      <c r="C13" s="390" t="s">
        <v>464</v>
      </c>
      <c r="D13" s="391" t="s">
        <v>463</v>
      </c>
      <c r="E13" s="390" t="s">
        <v>457</v>
      </c>
      <c r="F13" s="391" t="s">
        <v>154</v>
      </c>
      <c r="G13" s="392">
        <v>1</v>
      </c>
      <c r="H13" s="393">
        <v>43105</v>
      </c>
      <c r="I13" s="393">
        <v>44531</v>
      </c>
      <c r="J13" s="394">
        <v>59</v>
      </c>
      <c r="K13" s="394" t="s">
        <v>465</v>
      </c>
      <c r="L13" s="394" t="s">
        <v>221</v>
      </c>
      <c r="M13" s="394" t="s">
        <v>465</v>
      </c>
      <c r="N13" s="394" t="s">
        <v>221</v>
      </c>
      <c r="O13" s="394" t="s">
        <v>459</v>
      </c>
      <c r="P13" s="389">
        <v>111608.03403572</v>
      </c>
      <c r="Q13" s="389">
        <v>132065.467</v>
      </c>
      <c r="R13" s="389">
        <v>1337001.98420391</v>
      </c>
      <c r="S13" s="398">
        <v>133608.03403571999</v>
      </c>
      <c r="T13" s="398">
        <v>132465.467</v>
      </c>
      <c r="U13" s="389">
        <v>22000</v>
      </c>
      <c r="V13" s="389">
        <v>400</v>
      </c>
      <c r="W13" s="389">
        <v>120</v>
      </c>
      <c r="X13" s="389">
        <v>6</v>
      </c>
      <c r="Y13" s="389">
        <v>2000</v>
      </c>
      <c r="Z13" s="420">
        <v>1403852.0834141055</v>
      </c>
      <c r="AA13" s="389">
        <v>1850</v>
      </c>
      <c r="AB13" s="389">
        <v>130176.1188549254</v>
      </c>
      <c r="AC13" s="389">
        <v>97381.885001296032</v>
      </c>
      <c r="AD13" s="398">
        <v>18568.084819205396</v>
      </c>
      <c r="AE13" s="398">
        <v>-34683.581998703972</v>
      </c>
      <c r="AF13" s="398">
        <v>0</v>
      </c>
      <c r="AG13" s="398">
        <v>141.82299999999998</v>
      </c>
      <c r="AH13" s="400">
        <v>0</v>
      </c>
      <c r="AI13" s="422">
        <v>92</v>
      </c>
      <c r="AJ13" s="422">
        <v>0</v>
      </c>
      <c r="AK13" s="422">
        <v>0</v>
      </c>
      <c r="AL13" s="422">
        <v>78000</v>
      </c>
      <c r="AM13" s="422">
        <v>0</v>
      </c>
      <c r="AN13" s="422">
        <v>0</v>
      </c>
      <c r="AO13" s="421">
        <v>0</v>
      </c>
      <c r="AP13" s="421">
        <v>0</v>
      </c>
      <c r="AQ13" s="399">
        <v>1840</v>
      </c>
      <c r="AR13" s="399">
        <v>0</v>
      </c>
      <c r="AS13" s="399">
        <v>0</v>
      </c>
      <c r="AT13" s="399">
        <v>78</v>
      </c>
      <c r="AU13" s="399">
        <v>0</v>
      </c>
      <c r="AV13" s="399">
        <v>0</v>
      </c>
      <c r="AW13" s="399">
        <v>0</v>
      </c>
      <c r="AX13" s="399"/>
      <c r="AY13" s="398">
        <v>1918</v>
      </c>
      <c r="AZ13" s="422">
        <v>0</v>
      </c>
      <c r="BA13" s="422">
        <v>17</v>
      </c>
      <c r="BB13" s="422">
        <v>0</v>
      </c>
      <c r="BC13" s="422">
        <v>1</v>
      </c>
      <c r="BD13" s="422">
        <v>3051</v>
      </c>
      <c r="BE13" s="422">
        <v>712.5</v>
      </c>
      <c r="BF13" s="422">
        <v>0</v>
      </c>
      <c r="BG13" s="422">
        <v>0</v>
      </c>
      <c r="BH13" s="422">
        <v>0</v>
      </c>
      <c r="BI13" s="422">
        <v>2</v>
      </c>
      <c r="BJ13" s="422">
        <v>4</v>
      </c>
      <c r="BK13" s="422">
        <v>0</v>
      </c>
      <c r="BL13" s="422">
        <v>0</v>
      </c>
      <c r="BM13" s="422">
        <v>0</v>
      </c>
      <c r="BN13" s="422">
        <v>0</v>
      </c>
      <c r="BO13" s="389">
        <v>0</v>
      </c>
      <c r="BP13" s="389">
        <v>170</v>
      </c>
      <c r="BQ13" s="389">
        <v>0</v>
      </c>
      <c r="BR13" s="389">
        <v>20</v>
      </c>
      <c r="BS13" s="389">
        <v>1129.05</v>
      </c>
      <c r="BT13" s="389">
        <v>0</v>
      </c>
      <c r="BU13" s="389">
        <v>40</v>
      </c>
      <c r="BV13" s="389">
        <v>16</v>
      </c>
      <c r="BW13" s="389">
        <v>0</v>
      </c>
      <c r="BX13" s="389">
        <v>0</v>
      </c>
      <c r="BY13" s="389">
        <v>0</v>
      </c>
      <c r="BZ13" s="389">
        <v>0</v>
      </c>
      <c r="CA13" s="389">
        <v>1375.05</v>
      </c>
      <c r="CB13" s="389">
        <v>1366495.6696995001</v>
      </c>
      <c r="CC13" s="389">
        <v>19</v>
      </c>
      <c r="CD13" s="389">
        <v>500</v>
      </c>
      <c r="CE13" s="402">
        <v>0.84400385541842715</v>
      </c>
      <c r="CF13" s="402">
        <v>0</v>
      </c>
      <c r="CG13" s="402">
        <v>1.1818583333333332</v>
      </c>
      <c r="CH13" s="402">
        <v>0</v>
      </c>
      <c r="CI13" s="402">
        <v>1.646525</v>
      </c>
      <c r="CJ13" s="403">
        <v>0.97339006426962282</v>
      </c>
      <c r="CK13" s="402">
        <v>0.27027027027027029</v>
      </c>
      <c r="CL13" s="402">
        <v>0.16880077108368544</v>
      </c>
      <c r="CM13" s="402">
        <v>0</v>
      </c>
      <c r="CN13" s="402">
        <v>0.23637166666666665</v>
      </c>
      <c r="CO13" s="402">
        <v>0</v>
      </c>
      <c r="CP13" s="402">
        <v>0.32930500000000001</v>
      </c>
      <c r="CQ13" s="402">
        <v>0.73447743775035201</v>
      </c>
      <c r="CR13" s="402">
        <v>9.7339006426962291E-2</v>
      </c>
      <c r="CS13" s="402">
        <v>2.7027027027027029E-2</v>
      </c>
      <c r="CT13" s="406">
        <v>0.12436603345398932</v>
      </c>
      <c r="CU13" s="424">
        <v>0.85884347120434135</v>
      </c>
      <c r="CV13" s="425" t="s">
        <v>511</v>
      </c>
      <c r="CW13" s="408" t="s">
        <v>27</v>
      </c>
      <c r="CY13" s="389">
        <v>128003.18701461001</v>
      </c>
      <c r="CZ13" s="389">
        <v>133791.48521103</v>
      </c>
      <c r="DA13" s="389">
        <v>138628.02077031002</v>
      </c>
      <c r="DB13" s="389">
        <v>98457.244479999994</v>
      </c>
      <c r="DC13" s="389">
        <v>97020.075074339999</v>
      </c>
      <c r="DD13" s="389">
        <v>97069.420216179991</v>
      </c>
      <c r="DF13" s="389">
        <v>3</v>
      </c>
      <c r="DG13" s="409">
        <v>227558.00385622142</v>
      </c>
      <c r="DH13" s="409">
        <v>230336.98111299775</v>
      </c>
      <c r="DI13" s="426">
        <v>-926.32575225877611</v>
      </c>
      <c r="DJ13" s="404">
        <v>0</v>
      </c>
      <c r="DK13" s="411">
        <v>0.85884347120434135</v>
      </c>
      <c r="DL13" s="412" t="s">
        <v>511</v>
      </c>
      <c r="DM13" s="412" t="s">
        <v>27</v>
      </c>
      <c r="DO13" s="419">
        <v>0.77096249879227108</v>
      </c>
      <c r="DP13" s="419">
        <v>0.63649934973307698</v>
      </c>
      <c r="DQ13" s="419">
        <v>0.61568738620160146</v>
      </c>
      <c r="DR13" s="419">
        <v>0.71536169967910179</v>
      </c>
      <c r="DS13" s="419">
        <v>1.128533825679559</v>
      </c>
      <c r="DT13" s="419">
        <v>1.0682031975903974</v>
      </c>
      <c r="DU13" s="419">
        <v>1.0032099442048223</v>
      </c>
      <c r="DV13" s="419">
        <v>1.5010394252830623</v>
      </c>
      <c r="DW13" s="419">
        <v>1.2424552654429573</v>
      </c>
      <c r="DX13" s="419">
        <v>0.85326100318276055</v>
      </c>
      <c r="DY13" s="419">
        <v>0.85884347120434135</v>
      </c>
      <c r="DZ13" s="419"/>
      <c r="EA13" s="407">
        <v>0.67438307824231647</v>
      </c>
      <c r="EB13" s="428" t="s">
        <v>157</v>
      </c>
      <c r="EC13" s="407">
        <v>0.97069957431635279</v>
      </c>
      <c r="ED13" s="428" t="s">
        <v>511</v>
      </c>
      <c r="EE13" s="419">
        <v>1.2489015449769472</v>
      </c>
      <c r="EF13" s="428" t="s">
        <v>520</v>
      </c>
      <c r="EG13" s="419">
        <v>0.85605223719355095</v>
      </c>
      <c r="EH13" s="428" t="s">
        <v>511</v>
      </c>
      <c r="EI13" s="407">
        <v>0.94491427881763213</v>
      </c>
      <c r="EJ13" s="428" t="s">
        <v>511</v>
      </c>
      <c r="EK13" s="428" t="s">
        <v>27</v>
      </c>
    </row>
    <row r="14" spans="1:141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41" ht="15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41" ht="3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13" ht="15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13" ht="15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I18" s="117"/>
    </row>
    <row r="19" spans="1:113" ht="1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13" ht="1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13" ht="1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13" ht="1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13" ht="1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13" ht="1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13" ht="1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13" ht="1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13" ht="1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13" ht="1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13" ht="1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13" ht="1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13" ht="1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13" ht="1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customFormat="1" ht="15" x14ac:dyDescent="0.2"/>
    <row r="34" customFormat="1" ht="15" x14ac:dyDescent="0.2"/>
    <row r="35" customFormat="1" ht="15" x14ac:dyDescent="0.2"/>
    <row r="36" customFormat="1" ht="15" x14ac:dyDescent="0.2"/>
    <row r="37" customFormat="1" ht="15" x14ac:dyDescent="0.2"/>
    <row r="38" customFormat="1" ht="15" x14ac:dyDescent="0.2"/>
    <row r="39" customFormat="1" ht="15" x14ac:dyDescent="0.2"/>
    <row r="40" customFormat="1" ht="15" x14ac:dyDescent="0.2"/>
    <row r="41" customFormat="1" ht="15" x14ac:dyDescent="0.2"/>
    <row r="42" customFormat="1" ht="15" x14ac:dyDescent="0.2"/>
    <row r="43" customFormat="1" ht="15" x14ac:dyDescent="0.2"/>
    <row r="44" customFormat="1" ht="15" x14ac:dyDescent="0.2"/>
    <row r="45" customFormat="1" ht="15" x14ac:dyDescent="0.2"/>
    <row r="46" customFormat="1" ht="15" x14ac:dyDescent="0.2"/>
    <row r="47" customFormat="1" ht="15" x14ac:dyDescent="0.2"/>
    <row r="48" customFormat="1" ht="15" x14ac:dyDescent="0.2"/>
    <row r="49" customFormat="1" ht="15" x14ac:dyDescent="0.2"/>
    <row r="50" customFormat="1" ht="15" x14ac:dyDescent="0.2"/>
    <row r="51" customFormat="1" ht="15" x14ac:dyDescent="0.2"/>
    <row r="52" customFormat="1" ht="15" x14ac:dyDescent="0.2"/>
    <row r="53" customFormat="1" ht="15" x14ac:dyDescent="0.2"/>
    <row r="54" customFormat="1" ht="15" x14ac:dyDescent="0.2"/>
    <row r="55" customFormat="1" ht="15" x14ac:dyDescent="0.2"/>
    <row r="56" customFormat="1" ht="15" x14ac:dyDescent="0.2"/>
    <row r="57" customFormat="1" ht="15" x14ac:dyDescent="0.2"/>
    <row r="58" customFormat="1" ht="15" x14ac:dyDescent="0.2"/>
    <row r="59" customFormat="1" ht="15" x14ac:dyDescent="0.2"/>
    <row r="60" customFormat="1" ht="15" x14ac:dyDescent="0.2"/>
    <row r="61" customFormat="1" ht="15" x14ac:dyDescent="0.2"/>
    <row r="62" customFormat="1" ht="15" x14ac:dyDescent="0.2"/>
    <row r="63" customFormat="1" ht="15" x14ac:dyDescent="0.2"/>
    <row r="64" customFormat="1" ht="15" x14ac:dyDescent="0.2"/>
    <row r="65" customFormat="1" ht="15" x14ac:dyDescent="0.2"/>
    <row r="66" customFormat="1" ht="15" x14ac:dyDescent="0.2"/>
    <row r="67" customFormat="1" ht="15" x14ac:dyDescent="0.2"/>
    <row r="68" customFormat="1" ht="15" x14ac:dyDescent="0.2"/>
    <row r="69" customFormat="1" ht="15" x14ac:dyDescent="0.2"/>
  </sheetData>
  <autoFilter ref="A10:DD10" xr:uid="{00000000-0009-0000-0000-000004000000}"/>
  <sortState xmlns:xlrd2="http://schemas.microsoft.com/office/spreadsheetml/2017/richdata2" ref="A11:EI12">
    <sortCondition descending="1" ref="CI11:CI12"/>
  </sortState>
  <mergeCells count="29">
    <mergeCell ref="EK9:EK10"/>
    <mergeCell ref="K8:K10"/>
    <mergeCell ref="M8:M10"/>
    <mergeCell ref="F8:F10"/>
    <mergeCell ref="G8:G10"/>
    <mergeCell ref="H8:H10"/>
    <mergeCell ref="I8:I10"/>
    <mergeCell ref="J8:J10"/>
    <mergeCell ref="L8:L10"/>
    <mergeCell ref="DG8:DI8"/>
    <mergeCell ref="DF8:DF10"/>
    <mergeCell ref="AZ9:BB9"/>
    <mergeCell ref="N8:N10"/>
    <mergeCell ref="O8:O10"/>
    <mergeCell ref="Z8:AA8"/>
    <mergeCell ref="AI8:AM8"/>
    <mergeCell ref="A8:A10"/>
    <mergeCell ref="B8:B10"/>
    <mergeCell ref="C8:C10"/>
    <mergeCell ref="D8:D10"/>
    <mergeCell ref="E8:E10"/>
    <mergeCell ref="CR9:CS9"/>
    <mergeCell ref="CY8:DA8"/>
    <mergeCell ref="DB8:DD8"/>
    <mergeCell ref="AQ8:AV8"/>
    <mergeCell ref="AZ8:BJ8"/>
    <mergeCell ref="BO8:BV8"/>
    <mergeCell ref="CB9:CD9"/>
    <mergeCell ref="CJ9:CK9"/>
  </mergeCells>
  <conditionalFormatting sqref="CU11:CU13">
    <cfRule type="cellIs" dxfId="11" priority="15" operator="lessThan">
      <formula>0.7</formula>
    </cfRule>
    <cfRule type="cellIs" dxfId="10" priority="16" operator="greaterThanOrEqual">
      <formula>0.7</formula>
    </cfRule>
  </conditionalFormatting>
  <conditionalFormatting sqref="DK11:DK13">
    <cfRule type="cellIs" dxfId="9" priority="9" operator="lessThan">
      <formula>0.7</formula>
    </cfRule>
    <cfRule type="cellIs" dxfId="8" priority="10" operator="greaterThanOrEqual">
      <formula>0.7</formula>
    </cfRule>
  </conditionalFormatting>
  <conditionalFormatting sqref="EI11">
    <cfRule type="cellIs" dxfId="7" priority="7" operator="lessThan">
      <formula>0.8</formula>
    </cfRule>
    <cfRule type="cellIs" dxfId="6" priority="8" operator="greaterThanOrEqual">
      <formula>0.8</formula>
    </cfRule>
  </conditionalFormatting>
  <conditionalFormatting sqref="EI12:EI13">
    <cfRule type="cellIs" dxfId="5" priority="5" operator="lessThan">
      <formula>0.8</formula>
    </cfRule>
    <cfRule type="cellIs" dxfId="4" priority="6" operator="greaterThanOrEqual">
      <formula>0.8</formula>
    </cfRule>
  </conditionalFormatting>
  <conditionalFormatting sqref="EA11:EA13">
    <cfRule type="cellIs" dxfId="3" priority="3" operator="lessThan">
      <formula>0.8</formula>
    </cfRule>
    <cfRule type="cellIs" dxfId="2" priority="4" operator="greaterThanOrEqual">
      <formula>0.8</formula>
    </cfRule>
  </conditionalFormatting>
  <conditionalFormatting sqref="EC11:EC13">
    <cfRule type="cellIs" dxfId="1" priority="1" operator="lessThan">
      <formula>0.8</formula>
    </cfRule>
    <cfRule type="cellIs" dxfId="0" priority="2" operator="greaterThanOrEqual">
      <formula>0.8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Calc Branch</vt:lpstr>
      <vt:lpstr>Calc PCM</vt:lpstr>
      <vt:lpstr>Branch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Chaerudin</dc:creator>
  <cp:lastModifiedBy>Microsoft Office User</cp:lastModifiedBy>
  <dcterms:created xsi:type="dcterms:W3CDTF">2020-01-16T03:16:18Z</dcterms:created>
  <dcterms:modified xsi:type="dcterms:W3CDTF">2023-01-10T15:38:15Z</dcterms:modified>
</cp:coreProperties>
</file>