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updateLinks="never" codeName="ThisWorkbook" defaultThemeVersion="124226"/>
  <mc:AlternateContent xmlns:mc="http://schemas.openxmlformats.org/markup-compatibility/2006">
    <mc:Choice Requires="x15">
      <x15ac:absPath xmlns:x15ac="http://schemas.microsoft.com/office/spreadsheetml/2010/11/ac" url="E:\Bala\KTH\LEDSafari\Spring'17\User\"/>
    </mc:Choice>
  </mc:AlternateContent>
  <bookViews>
    <workbookView xWindow="0" yWindow="0" windowWidth="19200" windowHeight="6950" tabRatio="715" activeTab="13"/>
  </bookViews>
  <sheets>
    <sheet name="Start" sheetId="10" r:id="rId1"/>
    <sheet name="Household Input" sheetId="8" r:id="rId2"/>
    <sheet name="Report Preferences" sheetId="25" state="hidden" r:id="rId3"/>
    <sheet name="Food Footprint Report" sheetId="29" state="hidden" r:id="rId4"/>
    <sheet name="Diet Calculator" sheetId="28" state="hidden" r:id="rId5"/>
    <sheet name="Database Food" sheetId="26" state="hidden" r:id="rId6"/>
    <sheet name="total footprint report" sheetId="12" state="hidden" r:id="rId7"/>
    <sheet name="explore alternative lifestyles" sheetId="13" state="hidden" r:id="rId8"/>
    <sheet name="Style Change" sheetId="33" r:id="rId9"/>
    <sheet name="Diet Input" sheetId="27" state="hidden" r:id="rId10"/>
    <sheet name="household calculator" sheetId="24" state="hidden" r:id="rId11"/>
    <sheet name="back end data" sheetId="7" state="hidden" r:id="rId12"/>
    <sheet name="GreenStyleUser" sheetId="31" state="hidden" r:id="rId13"/>
    <sheet name="Data Aggregation" sheetId="30" r:id="rId14"/>
    <sheet name="GreenUser" sheetId="34" state="hidden" r:id="rId15"/>
    <sheet name="explore alternative diets" sheetId="23" state="hidden" r:id="rId16"/>
    <sheet name="Sub_Data" sheetId="22" state="hidden" r:id="rId17"/>
    <sheet name="Transport Info" sheetId="17" state="hidden" r:id="rId18"/>
    <sheet name="Dropdown" sheetId="18" state="hidden" r:id="rId19"/>
    <sheet name="Electricity mix footprint" sheetId="9" state="hidden" r:id="rId20"/>
    <sheet name="old data sheet" sheetId="1" state="hidden" r:id="rId21"/>
    <sheet name="useful links" sheetId="5" state="hidden" r:id="rId22"/>
  </sheets>
  <externalReferences>
    <externalReference r:id="rId23"/>
  </externalReferences>
  <definedNames>
    <definedName name="_xlnm._FilterDatabase" localSheetId="5" hidden="1">'Database Food'!$B$2:$I$259</definedName>
    <definedName name="_xlnm._FilterDatabase" localSheetId="18" hidden="1">Dropdown!$B$2:$C$253</definedName>
    <definedName name="Beverages">'Database Food'!$A$3:$A$10</definedName>
    <definedName name="_xlnm.Criteria" localSheetId="18">Dropdown!$H$2:$H$3</definedName>
    <definedName name="Dairy">'Database Food'!$A$11:$A$18</definedName>
    <definedName name="_xlnm.Extract" localSheetId="18">Dropdown!$H$5:$I$5</definedName>
    <definedName name="FoodEmission" localSheetId="5">FoodEmission2[]</definedName>
    <definedName name="FoodEmission" localSheetId="4">FoodEmission2[]</definedName>
    <definedName name="FoodEmission" localSheetId="9">FoodEmission2[]</definedName>
    <definedName name="FoodEmission" localSheetId="12">#REF!</definedName>
    <definedName name="FoodEmission" localSheetId="14">#REF!</definedName>
    <definedName name="FoodEmission">#REF!</definedName>
    <definedName name="FoodEmissionsData" localSheetId="12">FoodEmission2[]</definedName>
    <definedName name="FoodEmissionsData" localSheetId="14">FoodEmission2[]</definedName>
    <definedName name="FoodEmissionsData">FoodEmission2[]</definedName>
    <definedName name="Fruits">'Database Food'!$A$19:$A$22</definedName>
    <definedName name="Grains">'Database Food'!$A$23:$A$28</definedName>
    <definedName name="Meats">'Database Food'!$A$29:$A$36</definedName>
    <definedName name="Others">'Database Food'!$A$37:$A$48</definedName>
    <definedName name="_xlnm.Print_Area" localSheetId="3">'Food Footprint Report'!$A$1:$H$29</definedName>
    <definedName name="Trnspt">'Transport Info'!$A$7:$B$10</definedName>
    <definedName name="Vegetables">'Database Food'!$A$49:$A$60</definedName>
  </definedNames>
  <calcPr calcId="171026"/>
</workbook>
</file>

<file path=xl/calcChain.xml><?xml version="1.0" encoding="utf-8"?>
<calcChain xmlns="http://schemas.openxmlformats.org/spreadsheetml/2006/main">
  <c r="F23" i="34" l="1"/>
  <c r="G37" i="30" l="1"/>
  <c r="G36" i="30"/>
  <c r="G35" i="30"/>
  <c r="G34" i="30"/>
  <c r="G33" i="30"/>
  <c r="G32" i="30"/>
  <c r="G31" i="30"/>
  <c r="G30" i="30"/>
  <c r="G29" i="30"/>
  <c r="G26" i="30"/>
  <c r="G25" i="30"/>
  <c r="G24" i="30"/>
  <c r="G23" i="30"/>
  <c r="G38" i="30"/>
  <c r="A19" i="30" l="1"/>
  <c r="G22" i="30"/>
  <c r="B33" i="31" l="1"/>
  <c r="B28" i="31"/>
  <c r="B29" i="31"/>
  <c r="B30" i="31"/>
  <c r="B27" i="31"/>
  <c r="B23" i="31"/>
  <c r="B24" i="31"/>
  <c r="B22" i="31"/>
  <c r="B19" i="31"/>
  <c r="B18" i="31"/>
  <c r="B13" i="31"/>
  <c r="B11" i="31"/>
  <c r="B12" i="31"/>
  <c r="B10" i="31"/>
  <c r="A17" i="33"/>
  <c r="A5" i="33"/>
  <c r="A6" i="33"/>
  <c r="A7" i="33"/>
  <c r="A8" i="33"/>
  <c r="A9" i="33"/>
  <c r="A10" i="33"/>
  <c r="A11" i="33"/>
  <c r="A12" i="33"/>
  <c r="A13" i="33"/>
  <c r="A14" i="33"/>
  <c r="A15" i="33"/>
  <c r="A16" i="33"/>
  <c r="A4" i="33"/>
  <c r="H49" i="30"/>
  <c r="G50" i="30"/>
  <c r="H50" i="30"/>
  <c r="I50" i="30"/>
  <c r="J50" i="30"/>
  <c r="C19" i="34" l="1"/>
  <c r="B38" i="30"/>
  <c r="C11" i="34"/>
  <c r="C12" i="34"/>
  <c r="C13" i="34"/>
  <c r="C14" i="34"/>
  <c r="C15" i="34"/>
  <c r="C18" i="34"/>
  <c r="C22" i="34"/>
  <c r="C23" i="34"/>
  <c r="C24" i="34"/>
  <c r="C27" i="34"/>
  <c r="C28" i="34"/>
  <c r="C29" i="34"/>
  <c r="C30" i="34"/>
  <c r="C33" i="34"/>
  <c r="F3" i="30"/>
  <c r="F4" i="30"/>
  <c r="F5" i="30"/>
  <c r="F6" i="30"/>
  <c r="F7" i="30"/>
  <c r="F8" i="30"/>
  <c r="F9" i="30"/>
  <c r="F10" i="30"/>
  <c r="F11" i="30"/>
  <c r="F12" i="30"/>
  <c r="F13" i="30"/>
  <c r="F14" i="30"/>
  <c r="F15" i="30"/>
  <c r="F16" i="30"/>
  <c r="F17" i="30"/>
  <c r="C10" i="34"/>
  <c r="F2" i="30"/>
  <c r="B27" i="34" l="1"/>
  <c r="B10" i="34"/>
  <c r="B11" i="34"/>
  <c r="B12" i="34"/>
  <c r="B13" i="34"/>
  <c r="B14" i="34"/>
  <c r="B15" i="34"/>
  <c r="B18" i="34"/>
  <c r="B19" i="34"/>
  <c r="B22" i="34"/>
  <c r="B23" i="34"/>
  <c r="B24" i="34"/>
  <c r="B28" i="34"/>
  <c r="B29" i="34"/>
  <c r="B30" i="34"/>
  <c r="B33" i="34"/>
  <c r="I34" i="34" l="1"/>
  <c r="G34" i="34"/>
  <c r="AJ33" i="34"/>
  <c r="Y33" i="34"/>
  <c r="S33" i="34"/>
  <c r="Q33" i="34"/>
  <c r="AH33" i="34" s="1"/>
  <c r="P33" i="34"/>
  <c r="N33" i="34"/>
  <c r="L33" i="34"/>
  <c r="K33" i="34"/>
  <c r="E33" i="34"/>
  <c r="AI32" i="34"/>
  <c r="AH32" i="34"/>
  <c r="X32" i="34"/>
  <c r="T32" i="34"/>
  <c r="S32" i="34"/>
  <c r="AJ32" i="34" s="1"/>
  <c r="R32" i="34"/>
  <c r="Q32" i="34"/>
  <c r="W32" i="34" s="1"/>
  <c r="P32" i="34"/>
  <c r="T31" i="34"/>
  <c r="AK31" i="34" s="1"/>
  <c r="S31" i="34"/>
  <c r="AJ31" i="34" s="1"/>
  <c r="R31" i="34"/>
  <c r="Q31" i="34"/>
  <c r="AH31" i="34" s="1"/>
  <c r="P31" i="34"/>
  <c r="V31" i="34" s="1"/>
  <c r="O31" i="34"/>
  <c r="N31" i="34"/>
  <c r="M31" i="34"/>
  <c r="L31" i="34"/>
  <c r="K31" i="34"/>
  <c r="AJ30" i="34"/>
  <c r="Y30" i="34"/>
  <c r="S30" i="34"/>
  <c r="Q30" i="34"/>
  <c r="P30" i="34"/>
  <c r="N30" i="34"/>
  <c r="L30" i="34"/>
  <c r="K30" i="34"/>
  <c r="E30" i="34"/>
  <c r="AJ29" i="34"/>
  <c r="AH29" i="34"/>
  <c r="W29" i="34"/>
  <c r="S29" i="34"/>
  <c r="Y29" i="34" s="1"/>
  <c r="Q29" i="34"/>
  <c r="P29" i="34"/>
  <c r="N29" i="34"/>
  <c r="L29" i="34"/>
  <c r="K29" i="34"/>
  <c r="E29" i="34"/>
  <c r="AH28" i="34"/>
  <c r="AG28" i="34"/>
  <c r="W28" i="34"/>
  <c r="V28" i="34"/>
  <c r="S28" i="34"/>
  <c r="Q28" i="34"/>
  <c r="P28" i="34"/>
  <c r="N28" i="34"/>
  <c r="L28" i="34"/>
  <c r="K28" i="34"/>
  <c r="E28" i="34"/>
  <c r="J28" i="34" s="1"/>
  <c r="AH27" i="34"/>
  <c r="AG27" i="34"/>
  <c r="W27" i="34"/>
  <c r="V27" i="34"/>
  <c r="S27" i="34"/>
  <c r="AJ27" i="34" s="1"/>
  <c r="Q27" i="34"/>
  <c r="P27" i="34"/>
  <c r="N27" i="34"/>
  <c r="L27" i="34"/>
  <c r="K27" i="34"/>
  <c r="E27" i="34"/>
  <c r="J27" i="34" s="1"/>
  <c r="AK26" i="34"/>
  <c r="AJ26" i="34"/>
  <c r="AG26" i="34"/>
  <c r="Z26" i="34"/>
  <c r="V26" i="34"/>
  <c r="T26" i="34"/>
  <c r="S26" i="34"/>
  <c r="Y26" i="34" s="1"/>
  <c r="R26" i="34"/>
  <c r="Q26" i="34"/>
  <c r="AH26" i="34" s="1"/>
  <c r="P26" i="34"/>
  <c r="AI25" i="34"/>
  <c r="X25" i="34"/>
  <c r="T25" i="34"/>
  <c r="S25" i="34"/>
  <c r="AJ25" i="34" s="1"/>
  <c r="Q25" i="34"/>
  <c r="AH25" i="34" s="1"/>
  <c r="P25" i="34"/>
  <c r="O25" i="34"/>
  <c r="N25" i="34"/>
  <c r="L25" i="34"/>
  <c r="K25" i="34"/>
  <c r="AH24" i="34"/>
  <c r="W24" i="34"/>
  <c r="S24" i="34"/>
  <c r="Q24" i="34"/>
  <c r="N24" i="34"/>
  <c r="L24" i="34"/>
  <c r="E24" i="34"/>
  <c r="AH23" i="34"/>
  <c r="W23" i="34"/>
  <c r="S23" i="34"/>
  <c r="Q23" i="34"/>
  <c r="N23" i="34"/>
  <c r="L23" i="34"/>
  <c r="E23" i="34"/>
  <c r="AH22" i="34"/>
  <c r="W22" i="34"/>
  <c r="S22" i="34"/>
  <c r="Q22" i="34"/>
  <c r="N22" i="34"/>
  <c r="L22" i="34"/>
  <c r="E22" i="34"/>
  <c r="F22" i="34"/>
  <c r="K22" i="34" s="1"/>
  <c r="AI21" i="34"/>
  <c r="AH21" i="34"/>
  <c r="X21" i="34"/>
  <c r="T21" i="34"/>
  <c r="S21" i="34"/>
  <c r="AJ21" i="34" s="1"/>
  <c r="R21" i="34"/>
  <c r="Q21" i="34"/>
  <c r="W21" i="34" s="1"/>
  <c r="P21" i="34"/>
  <c r="AK20" i="34"/>
  <c r="AG20" i="34"/>
  <c r="Z20" i="34"/>
  <c r="V20" i="34"/>
  <c r="T20" i="34"/>
  <c r="S20" i="34"/>
  <c r="AJ20" i="34" s="1"/>
  <c r="R20" i="34"/>
  <c r="Q20" i="34"/>
  <c r="AH20" i="34" s="1"/>
  <c r="P20" i="34"/>
  <c r="O20" i="34"/>
  <c r="M20" i="34"/>
  <c r="L20" i="34"/>
  <c r="K20" i="34"/>
  <c r="S19" i="34"/>
  <c r="AJ19" i="34" s="1"/>
  <c r="Q19" i="34"/>
  <c r="AH19" i="34" s="1"/>
  <c r="P19" i="34"/>
  <c r="N19" i="34"/>
  <c r="L19" i="34"/>
  <c r="K19" i="34"/>
  <c r="E19" i="34"/>
  <c r="AH18" i="34"/>
  <c r="W18" i="34"/>
  <c r="S18" i="34"/>
  <c r="Q18" i="34"/>
  <c r="N18" i="34"/>
  <c r="L18" i="34"/>
  <c r="E18" i="34"/>
  <c r="AI17" i="34"/>
  <c r="AH17" i="34"/>
  <c r="X17" i="34"/>
  <c r="T17" i="34"/>
  <c r="S17" i="34"/>
  <c r="AJ17" i="34" s="1"/>
  <c r="R17" i="34"/>
  <c r="Q17" i="34"/>
  <c r="W17" i="34" s="1"/>
  <c r="P17" i="34"/>
  <c r="AK16" i="34"/>
  <c r="Z16" i="34"/>
  <c r="T16" i="34"/>
  <c r="S16" i="34"/>
  <c r="AJ16" i="34" s="1"/>
  <c r="R16" i="34"/>
  <c r="Q16" i="34"/>
  <c r="AH16" i="34" s="1"/>
  <c r="P16" i="34"/>
  <c r="V16" i="34" s="1"/>
  <c r="O16" i="34"/>
  <c r="N16" i="34"/>
  <c r="L16" i="34"/>
  <c r="K16" i="34"/>
  <c r="AJ15" i="34"/>
  <c r="Y15" i="34"/>
  <c r="T15" i="34"/>
  <c r="S15" i="34"/>
  <c r="R15" i="34"/>
  <c r="AI15" i="34" s="1"/>
  <c r="Q15" i="34"/>
  <c r="O15" i="34"/>
  <c r="N15" i="34"/>
  <c r="M15" i="34"/>
  <c r="L15" i="34"/>
  <c r="E15" i="34"/>
  <c r="F15" i="34"/>
  <c r="K15" i="34" s="1"/>
  <c r="AI14" i="34"/>
  <c r="AH14" i="34"/>
  <c r="T14" i="34"/>
  <c r="S14" i="34"/>
  <c r="AJ14" i="34" s="1"/>
  <c r="R14" i="34"/>
  <c r="X14" i="34" s="1"/>
  <c r="Q14" i="34"/>
  <c r="W14" i="34" s="1"/>
  <c r="O14" i="34"/>
  <c r="N14" i="34"/>
  <c r="M14" i="34"/>
  <c r="L14" i="34"/>
  <c r="E14" i="34"/>
  <c r="F14" i="34"/>
  <c r="K14" i="34" s="1"/>
  <c r="AK13" i="34"/>
  <c r="AJ13" i="34"/>
  <c r="Z13" i="34"/>
  <c r="Y13" i="34"/>
  <c r="T13" i="34"/>
  <c r="S13" i="34"/>
  <c r="R13" i="34"/>
  <c r="AI13" i="34" s="1"/>
  <c r="Q13" i="34"/>
  <c r="W13" i="34" s="1"/>
  <c r="O13" i="34"/>
  <c r="N13" i="34"/>
  <c r="M13" i="34"/>
  <c r="L13" i="34"/>
  <c r="E13" i="34"/>
  <c r="F13" i="34" s="1"/>
  <c r="AH12" i="34"/>
  <c r="W12" i="34"/>
  <c r="T12" i="34"/>
  <c r="AK12" i="34" s="1"/>
  <c r="S12" i="34"/>
  <c r="Y12" i="34" s="1"/>
  <c r="R12" i="34"/>
  <c r="Q12" i="34"/>
  <c r="O12" i="34"/>
  <c r="N12" i="34"/>
  <c r="M12" i="34"/>
  <c r="L12" i="34"/>
  <c r="E12" i="34"/>
  <c r="F12" i="34" s="1"/>
  <c r="K12" i="34" s="1"/>
  <c r="AJ11" i="34"/>
  <c r="Y11" i="34"/>
  <c r="S11" i="34"/>
  <c r="Q11" i="34"/>
  <c r="AH11" i="34" s="1"/>
  <c r="N11" i="34"/>
  <c r="L11" i="34"/>
  <c r="E11" i="34"/>
  <c r="F11" i="34" s="1"/>
  <c r="K11" i="34" s="1"/>
  <c r="AJ10" i="34"/>
  <c r="Y10" i="34"/>
  <c r="S10" i="34"/>
  <c r="Q10" i="34"/>
  <c r="AH10" i="34" s="1"/>
  <c r="N10" i="34"/>
  <c r="L10" i="34"/>
  <c r="L34" i="34" s="1"/>
  <c r="E10" i="34"/>
  <c r="F10" i="34" s="1"/>
  <c r="T9" i="34"/>
  <c r="S9" i="34"/>
  <c r="R9" i="34"/>
  <c r="Q9" i="34"/>
  <c r="P9" i="34"/>
  <c r="T8" i="34"/>
  <c r="S8" i="34"/>
  <c r="R8" i="34"/>
  <c r="Q8" i="34"/>
  <c r="P8" i="34"/>
  <c r="C10" i="31"/>
  <c r="AG16" i="34" l="1"/>
  <c r="Z31" i="34"/>
  <c r="W31" i="34"/>
  <c r="AG31" i="34"/>
  <c r="J30" i="34"/>
  <c r="O30" i="34" s="1"/>
  <c r="O27" i="34"/>
  <c r="F24" i="34"/>
  <c r="J24" i="34" s="1"/>
  <c r="O24" i="34" s="1"/>
  <c r="G68" i="34"/>
  <c r="K13" i="34"/>
  <c r="G66" i="34"/>
  <c r="X12" i="34"/>
  <c r="AI12" i="34"/>
  <c r="AH15" i="34"/>
  <c r="W15" i="34"/>
  <c r="AK17" i="34"/>
  <c r="Z17" i="34"/>
  <c r="AK25" i="34"/>
  <c r="Z25" i="34"/>
  <c r="O28" i="34"/>
  <c r="AJ28" i="34"/>
  <c r="Y28" i="34"/>
  <c r="AG29" i="34"/>
  <c r="V29" i="34"/>
  <c r="AG33" i="34"/>
  <c r="V33" i="34"/>
  <c r="Y14" i="34"/>
  <c r="AG17" i="34"/>
  <c r="V17" i="34"/>
  <c r="AG21" i="34"/>
  <c r="V21" i="34"/>
  <c r="AG25" i="34"/>
  <c r="V25" i="34"/>
  <c r="N34" i="34"/>
  <c r="W11" i="34"/>
  <c r="AJ12" i="34"/>
  <c r="AH13" i="34"/>
  <c r="AK14" i="34"/>
  <c r="Z14" i="34"/>
  <c r="AI26" i="34"/>
  <c r="X26" i="34"/>
  <c r="W26" i="34"/>
  <c r="AH30" i="34"/>
  <c r="W30" i="34"/>
  <c r="V30" i="34"/>
  <c r="AG30" i="34"/>
  <c r="AG32" i="34"/>
  <c r="V32" i="34"/>
  <c r="AK32" i="34"/>
  <c r="Z32" i="34"/>
  <c r="G67" i="34"/>
  <c r="AK21" i="34"/>
  <c r="Z21" i="34"/>
  <c r="J10" i="34"/>
  <c r="W10" i="34"/>
  <c r="J11" i="34"/>
  <c r="O11" i="34" s="1"/>
  <c r="F18" i="34"/>
  <c r="AG19" i="34"/>
  <c r="V19" i="34"/>
  <c r="AJ23" i="34"/>
  <c r="Y23" i="34"/>
  <c r="K10" i="34"/>
  <c r="Z12" i="34"/>
  <c r="X13" i="34"/>
  <c r="Z15" i="34"/>
  <c r="AK15" i="34"/>
  <c r="AI16" i="34"/>
  <c r="X16" i="34"/>
  <c r="W16" i="34"/>
  <c r="Y17" i="34"/>
  <c r="AI20" i="34"/>
  <c r="X20" i="34"/>
  <c r="W20" i="34"/>
  <c r="Y21" i="34"/>
  <c r="Y25" i="34"/>
  <c r="J29" i="34"/>
  <c r="L68" i="34" s="1"/>
  <c r="J33" i="34"/>
  <c r="J18" i="34"/>
  <c r="AJ18" i="34"/>
  <c r="Y18" i="34"/>
  <c r="J19" i="34"/>
  <c r="Y19" i="34"/>
  <c r="J22" i="34"/>
  <c r="AJ22" i="34"/>
  <c r="Y22" i="34"/>
  <c r="AJ24" i="34"/>
  <c r="Y24" i="34"/>
  <c r="AI31" i="34"/>
  <c r="X31" i="34"/>
  <c r="Y32" i="34"/>
  <c r="X15" i="34"/>
  <c r="Y16" i="34"/>
  <c r="W19" i="34"/>
  <c r="Y20" i="34"/>
  <c r="W25" i="34"/>
  <c r="Y27" i="34"/>
  <c r="Y31" i="34"/>
  <c r="W33" i="34"/>
  <c r="F34" i="34" l="1"/>
  <c r="K24" i="34"/>
  <c r="O10" i="34"/>
  <c r="L67" i="34"/>
  <c r="O22" i="34"/>
  <c r="L69" i="34"/>
  <c r="O33" i="34"/>
  <c r="G70" i="34"/>
  <c r="K23" i="34"/>
  <c r="J23" i="34"/>
  <c r="O23" i="34" s="1"/>
  <c r="O18" i="34"/>
  <c r="L66" i="34"/>
  <c r="O29" i="34"/>
  <c r="G69" i="34"/>
  <c r="K18" i="34"/>
  <c r="O19" i="34"/>
  <c r="C33" i="31"/>
  <c r="C28" i="31"/>
  <c r="C29" i="31"/>
  <c r="J29" i="31" s="1"/>
  <c r="O29" i="31" s="1"/>
  <c r="C30" i="31"/>
  <c r="C27" i="31"/>
  <c r="C23" i="31"/>
  <c r="C24" i="31"/>
  <c r="C22" i="31"/>
  <c r="F22" i="31" s="1"/>
  <c r="K22" i="31" s="1"/>
  <c r="C19" i="31"/>
  <c r="C18" i="31"/>
  <c r="J18" i="31" s="1"/>
  <c r="O18" i="31" s="1"/>
  <c r="C11" i="31"/>
  <c r="C12" i="31"/>
  <c r="C13" i="31"/>
  <c r="C14" i="31"/>
  <c r="F14" i="31" s="1"/>
  <c r="K14" i="31" s="1"/>
  <c r="C15" i="31"/>
  <c r="I34" i="31"/>
  <c r="G34" i="31"/>
  <c r="S33" i="31"/>
  <c r="Q33" i="31"/>
  <c r="AH33" i="31" s="1"/>
  <c r="P33" i="31"/>
  <c r="N33" i="31"/>
  <c r="L33" i="31"/>
  <c r="K33" i="31"/>
  <c r="E33" i="31"/>
  <c r="AK32" i="31"/>
  <c r="AH32" i="31"/>
  <c r="AG32" i="31"/>
  <c r="Z32" i="31"/>
  <c r="W32" i="31"/>
  <c r="V32" i="31"/>
  <c r="T32" i="31"/>
  <c r="S32" i="31"/>
  <c r="AJ32" i="31" s="1"/>
  <c r="R32" i="31"/>
  <c r="Q32" i="31"/>
  <c r="P32" i="31"/>
  <c r="AI31" i="31"/>
  <c r="T31" i="31"/>
  <c r="S31" i="31"/>
  <c r="Y31" i="31" s="1"/>
  <c r="R31" i="31"/>
  <c r="X31" i="31" s="1"/>
  <c r="Q31" i="31"/>
  <c r="AH31" i="31" s="1"/>
  <c r="P31" i="31"/>
  <c r="O31" i="31"/>
  <c r="N31" i="31"/>
  <c r="M31" i="31"/>
  <c r="L31" i="31"/>
  <c r="K31" i="31"/>
  <c r="AH30" i="31"/>
  <c r="W30" i="31"/>
  <c r="S30" i="31"/>
  <c r="Q30" i="31"/>
  <c r="P30" i="31"/>
  <c r="N30" i="31"/>
  <c r="L30" i="31"/>
  <c r="K30" i="31"/>
  <c r="E30" i="31"/>
  <c r="AJ29" i="31"/>
  <c r="AG29" i="31"/>
  <c r="Y29" i="31"/>
  <c r="V29" i="31"/>
  <c r="S29" i="31"/>
  <c r="Q29" i="31"/>
  <c r="P29" i="31"/>
  <c r="N29" i="31"/>
  <c r="L29" i="31"/>
  <c r="K29" i="31"/>
  <c r="E29" i="31"/>
  <c r="AH28" i="31"/>
  <c r="W28" i="31"/>
  <c r="S28" i="31"/>
  <c r="Q28" i="31"/>
  <c r="P28" i="31"/>
  <c r="N28" i="31"/>
  <c r="L28" i="31"/>
  <c r="K28" i="31"/>
  <c r="E28" i="31"/>
  <c r="J28" i="31" s="1"/>
  <c r="AJ27" i="31"/>
  <c r="AG27" i="31"/>
  <c r="Y27" i="31"/>
  <c r="V27" i="31"/>
  <c r="S27" i="31"/>
  <c r="Q27" i="31"/>
  <c r="P27" i="31"/>
  <c r="N27" i="31"/>
  <c r="L27" i="31"/>
  <c r="K27" i="31"/>
  <c r="E27" i="31"/>
  <c r="AI26" i="31"/>
  <c r="Y26" i="31"/>
  <c r="X26" i="31"/>
  <c r="T26" i="31"/>
  <c r="S26" i="31"/>
  <c r="AJ26" i="31" s="1"/>
  <c r="R26" i="31"/>
  <c r="Q26" i="31"/>
  <c r="AH26" i="31" s="1"/>
  <c r="P26" i="31"/>
  <c r="AK25" i="31"/>
  <c r="AH25" i="31"/>
  <c r="Z25" i="31"/>
  <c r="W25" i="31"/>
  <c r="V25" i="31"/>
  <c r="T25" i="31"/>
  <c r="S25" i="31"/>
  <c r="AJ25" i="31" s="1"/>
  <c r="R25" i="31"/>
  <c r="Q25" i="31"/>
  <c r="P25" i="31"/>
  <c r="AG25" i="31" s="1"/>
  <c r="O25" i="31"/>
  <c r="N25" i="31"/>
  <c r="M25" i="31"/>
  <c r="L25" i="31"/>
  <c r="K25" i="31"/>
  <c r="AJ24" i="31"/>
  <c r="Y24" i="31"/>
  <c r="S24" i="31"/>
  <c r="Q24" i="31"/>
  <c r="N24" i="31"/>
  <c r="L24" i="31"/>
  <c r="E24" i="31"/>
  <c r="Y23" i="31"/>
  <c r="S23" i="31"/>
  <c r="AJ23" i="31" s="1"/>
  <c r="Q23" i="31"/>
  <c r="AH23" i="31" s="1"/>
  <c r="N23" i="31"/>
  <c r="L23" i="31"/>
  <c r="E23" i="31"/>
  <c r="AH22" i="31"/>
  <c r="W22" i="31"/>
  <c r="S22" i="31"/>
  <c r="Q22" i="31"/>
  <c r="N22" i="31"/>
  <c r="L22" i="31"/>
  <c r="E22" i="31"/>
  <c r="AH21" i="31"/>
  <c r="W21" i="31"/>
  <c r="T21" i="31"/>
  <c r="Z21" i="31" s="1"/>
  <c r="S21" i="31"/>
  <c r="AJ21" i="31" s="1"/>
  <c r="R21" i="31"/>
  <c r="AI21" i="31" s="1"/>
  <c r="Q21" i="31"/>
  <c r="P21" i="31"/>
  <c r="V21" i="31" s="1"/>
  <c r="AJ20" i="31"/>
  <c r="Y20" i="31"/>
  <c r="T20" i="31"/>
  <c r="Z20" i="31" s="1"/>
  <c r="S20" i="31"/>
  <c r="R20" i="31"/>
  <c r="Q20" i="31"/>
  <c r="W20" i="31" s="1"/>
  <c r="P20" i="31"/>
  <c r="AG20" i="31" s="1"/>
  <c r="O20" i="31"/>
  <c r="M20" i="31"/>
  <c r="L20" i="31"/>
  <c r="K20" i="31"/>
  <c r="AH19" i="31"/>
  <c r="W19" i="31"/>
  <c r="S19" i="31"/>
  <c r="AJ19" i="31" s="1"/>
  <c r="Q19" i="31"/>
  <c r="P19" i="31"/>
  <c r="N19" i="31"/>
  <c r="L19" i="31"/>
  <c r="K19" i="31"/>
  <c r="E19" i="31"/>
  <c r="J19" i="31" s="1"/>
  <c r="AJ18" i="31"/>
  <c r="AH18" i="31"/>
  <c r="Y18" i="31"/>
  <c r="S18" i="31"/>
  <c r="Q18" i="31"/>
  <c r="W18" i="31" s="1"/>
  <c r="N18" i="31"/>
  <c r="L18" i="31"/>
  <c r="E18" i="31"/>
  <c r="F18" i="31" s="1"/>
  <c r="AJ17" i="31"/>
  <c r="Y17" i="31"/>
  <c r="T17" i="31"/>
  <c r="AK17" i="31" s="1"/>
  <c r="S17" i="31"/>
  <c r="R17" i="31"/>
  <c r="X17" i="31" s="1"/>
  <c r="Q17" i="31"/>
  <c r="AH17" i="31" s="1"/>
  <c r="P17" i="31"/>
  <c r="AG17" i="31" s="1"/>
  <c r="AJ16" i="31"/>
  <c r="AH16" i="31"/>
  <c r="T16" i="31"/>
  <c r="S16" i="31"/>
  <c r="Y16" i="31" s="1"/>
  <c r="R16" i="31"/>
  <c r="AI16" i="31" s="1"/>
  <c r="Q16" i="31"/>
  <c r="W16" i="31" s="1"/>
  <c r="P16" i="31"/>
  <c r="O16" i="31"/>
  <c r="N16" i="31"/>
  <c r="M16" i="31"/>
  <c r="L16" i="31"/>
  <c r="K16" i="31"/>
  <c r="AK15" i="31"/>
  <c r="AI15" i="31"/>
  <c r="T15" i="31"/>
  <c r="S15" i="31"/>
  <c r="R15" i="31"/>
  <c r="X15" i="31" s="1"/>
  <c r="Q15" i="31"/>
  <c r="AH15" i="31" s="1"/>
  <c r="O15" i="31"/>
  <c r="N15" i="31"/>
  <c r="M15" i="31"/>
  <c r="L15" i="31"/>
  <c r="E15" i="31"/>
  <c r="AH14" i="31"/>
  <c r="W14" i="31"/>
  <c r="T14" i="31"/>
  <c r="AK14" i="31" s="1"/>
  <c r="S14" i="31"/>
  <c r="AJ14" i="31" s="1"/>
  <c r="R14" i="31"/>
  <c r="AI14" i="31" s="1"/>
  <c r="Q14" i="31"/>
  <c r="O14" i="31"/>
  <c r="N14" i="31"/>
  <c r="M14" i="31"/>
  <c r="L14" i="31"/>
  <c r="E14" i="31"/>
  <c r="AI13" i="31"/>
  <c r="X13" i="31"/>
  <c r="T13" i="31"/>
  <c r="AK13" i="31" s="1"/>
  <c r="S13" i="31"/>
  <c r="AJ13" i="31" s="1"/>
  <c r="R13" i="31"/>
  <c r="Q13" i="31"/>
  <c r="AH13" i="31" s="1"/>
  <c r="O13" i="31"/>
  <c r="N13" i="31"/>
  <c r="M13" i="31"/>
  <c r="L13" i="31"/>
  <c r="E13" i="31"/>
  <c r="F13" i="31" s="1"/>
  <c r="AJ12" i="31"/>
  <c r="Y12" i="31"/>
  <c r="W12" i="31"/>
  <c r="T12" i="31"/>
  <c r="S12" i="31"/>
  <c r="R12" i="31"/>
  <c r="AI12" i="31" s="1"/>
  <c r="Q12" i="31"/>
  <c r="AH12" i="31" s="1"/>
  <c r="O12" i="31"/>
  <c r="N12" i="31"/>
  <c r="M12" i="31"/>
  <c r="L12" i="31"/>
  <c r="E12" i="31"/>
  <c r="S11" i="31"/>
  <c r="AJ11" i="31" s="1"/>
  <c r="Q11" i="31"/>
  <c r="AH11" i="31" s="1"/>
  <c r="N11" i="31"/>
  <c r="L11" i="31"/>
  <c r="E11" i="31"/>
  <c r="AJ10" i="31"/>
  <c r="AH10" i="31"/>
  <c r="Y10" i="31"/>
  <c r="W10" i="31"/>
  <c r="S10" i="31"/>
  <c r="Q10" i="31"/>
  <c r="N10" i="31"/>
  <c r="L10" i="31"/>
  <c r="L34" i="31" s="1"/>
  <c r="E10" i="31"/>
  <c r="T9" i="31"/>
  <c r="S9" i="31"/>
  <c r="R9" i="31"/>
  <c r="Q9" i="31"/>
  <c r="P9" i="31"/>
  <c r="T8" i="31"/>
  <c r="S8" i="31"/>
  <c r="R8" i="31"/>
  <c r="Q8" i="31"/>
  <c r="P8" i="31"/>
  <c r="F11" i="31" l="1"/>
  <c r="K11" i="31" s="1"/>
  <c r="J22" i="31"/>
  <c r="F24" i="31"/>
  <c r="K24" i="31" s="1"/>
  <c r="F15" i="31"/>
  <c r="K15" i="31" s="1"/>
  <c r="AJ31" i="31"/>
  <c r="AH20" i="31"/>
  <c r="F12" i="31"/>
  <c r="G67" i="31" s="1"/>
  <c r="O34" i="34"/>
  <c r="J34" i="34"/>
  <c r="K34" i="34"/>
  <c r="F10" i="31"/>
  <c r="J27" i="31"/>
  <c r="L68" i="31" s="1"/>
  <c r="J33" i="31"/>
  <c r="O33" i="31" s="1"/>
  <c r="J30" i="31"/>
  <c r="F23" i="31"/>
  <c r="K23" i="31" s="1"/>
  <c r="J11" i="31"/>
  <c r="O11" i="31" s="1"/>
  <c r="O19" i="31"/>
  <c r="K13" i="31"/>
  <c r="AJ30" i="31"/>
  <c r="Y30" i="31"/>
  <c r="AI32" i="31"/>
  <c r="X32" i="31"/>
  <c r="W11" i="31"/>
  <c r="Z12" i="31"/>
  <c r="AK12" i="31"/>
  <c r="Y13" i="31"/>
  <c r="X14" i="31"/>
  <c r="W15" i="31"/>
  <c r="X16" i="31"/>
  <c r="Z17" i="31"/>
  <c r="Y19" i="31"/>
  <c r="V20" i="31"/>
  <c r="X21" i="31"/>
  <c r="L67" i="31"/>
  <c r="O22" i="31"/>
  <c r="AJ22" i="31"/>
  <c r="Y22" i="31"/>
  <c r="AG26" i="31"/>
  <c r="V26" i="31"/>
  <c r="AK26" i="31"/>
  <c r="Z26" i="31"/>
  <c r="AH27" i="31"/>
  <c r="W27" i="31"/>
  <c r="AJ33" i="31"/>
  <c r="Y33" i="31"/>
  <c r="AK31" i="31"/>
  <c r="Z31" i="31"/>
  <c r="Z13" i="31"/>
  <c r="Y14" i="31"/>
  <c r="AJ15" i="31"/>
  <c r="Y15" i="31"/>
  <c r="V17" i="31"/>
  <c r="AG19" i="31"/>
  <c r="V19" i="31"/>
  <c r="AI20" i="31"/>
  <c r="X20" i="31"/>
  <c r="AK20" i="31"/>
  <c r="Y21" i="31"/>
  <c r="AK21" i="31"/>
  <c r="AH24" i="31"/>
  <c r="W24" i="31"/>
  <c r="AH29" i="31"/>
  <c r="W29" i="31"/>
  <c r="L66" i="31"/>
  <c r="AG31" i="31"/>
  <c r="V31" i="31"/>
  <c r="N34" i="31"/>
  <c r="Y11" i="31"/>
  <c r="X12" i="31"/>
  <c r="W13" i="31"/>
  <c r="Z14" i="31"/>
  <c r="Z15" i="31"/>
  <c r="AG16" i="31"/>
  <c r="V16" i="31"/>
  <c r="AK16" i="31"/>
  <c r="Z16" i="31"/>
  <c r="W17" i="31"/>
  <c r="AI17" i="31"/>
  <c r="K18" i="31"/>
  <c r="G69" i="31"/>
  <c r="AG21" i="31"/>
  <c r="AI25" i="31"/>
  <c r="X25" i="31"/>
  <c r="O28" i="31"/>
  <c r="AJ28" i="31"/>
  <c r="Y28" i="31"/>
  <c r="W23" i="31"/>
  <c r="Y25" i="31"/>
  <c r="W26" i="31"/>
  <c r="V28" i="31"/>
  <c r="AG28" i="31"/>
  <c r="V30" i="31"/>
  <c r="AG30" i="31"/>
  <c r="W31" i="31"/>
  <c r="Y32" i="31"/>
  <c r="V33" i="31"/>
  <c r="AG33" i="31"/>
  <c r="W33" i="31"/>
  <c r="B6" i="30"/>
  <c r="B5" i="30"/>
  <c r="B4" i="30"/>
  <c r="B3" i="30"/>
  <c r="B2" i="30"/>
  <c r="B1" i="30"/>
  <c r="K12" i="31" l="1"/>
  <c r="J24" i="31"/>
  <c r="O24" i="31" s="1"/>
  <c r="G68" i="31"/>
  <c r="O27" i="31"/>
  <c r="F34" i="31"/>
  <c r="J10" i="31"/>
  <c r="O10" i="31" s="1"/>
  <c r="G66" i="31"/>
  <c r="K10" i="31"/>
  <c r="K34" i="31" s="1"/>
  <c r="L69" i="31"/>
  <c r="O30" i="31"/>
  <c r="G70" i="31"/>
  <c r="J23" i="31"/>
  <c r="O23" i="31" s="1"/>
  <c r="D45" i="26"/>
  <c r="D43" i="26"/>
  <c r="D35" i="26"/>
  <c r="D42" i="26"/>
  <c r="D44" i="26"/>
  <c r="D37" i="26"/>
  <c r="D48" i="26"/>
  <c r="D38" i="26"/>
  <c r="D8" i="26"/>
  <c r="D10" i="26"/>
  <c r="D4" i="26"/>
  <c r="J34" i="31" l="1"/>
  <c r="O34" i="31"/>
  <c r="C24" i="29"/>
  <c r="D24" i="29"/>
  <c r="E24" i="29"/>
  <c r="F24" i="29"/>
  <c r="B24" i="29"/>
  <c r="C20" i="29"/>
  <c r="D20" i="29"/>
  <c r="E20" i="29"/>
  <c r="F20" i="29"/>
  <c r="B20" i="29"/>
  <c r="C16" i="29"/>
  <c r="D16" i="29"/>
  <c r="E16" i="29"/>
  <c r="F16" i="29"/>
  <c r="B16" i="29"/>
  <c r="C12" i="29"/>
  <c r="D12" i="29"/>
  <c r="E12" i="29"/>
  <c r="F12" i="29"/>
  <c r="B12" i="29"/>
  <c r="C28" i="28" l="1"/>
  <c r="D28" i="28"/>
  <c r="E28" i="28"/>
  <c r="F28" i="28"/>
  <c r="F29" i="28" s="1"/>
  <c r="G28" i="28"/>
  <c r="H28" i="28"/>
  <c r="I28" i="28"/>
  <c r="J28" i="28"/>
  <c r="K28" i="28"/>
  <c r="L28" i="28"/>
  <c r="M28" i="28"/>
  <c r="N28" i="28"/>
  <c r="O28" i="28"/>
  <c r="P28" i="28"/>
  <c r="Q28" i="28"/>
  <c r="R28" i="28"/>
  <c r="R29" i="28" s="1"/>
  <c r="S28" i="28"/>
  <c r="T28" i="28"/>
  <c r="U28" i="28"/>
  <c r="V28" i="28"/>
  <c r="V29" i="28" s="1"/>
  <c r="W28" i="28"/>
  <c r="X28" i="28"/>
  <c r="Y28" i="28"/>
  <c r="Z28" i="28"/>
  <c r="Z29" i="28" s="1"/>
  <c r="B28" i="28"/>
  <c r="C27" i="28"/>
  <c r="D27" i="28"/>
  <c r="E27" i="28"/>
  <c r="F27" i="28"/>
  <c r="G27" i="28"/>
  <c r="H27" i="28"/>
  <c r="I27" i="28"/>
  <c r="J27" i="28"/>
  <c r="K27" i="28"/>
  <c r="L27" i="28"/>
  <c r="M27" i="28"/>
  <c r="N27" i="28"/>
  <c r="O27" i="28"/>
  <c r="P27" i="28"/>
  <c r="Q27" i="28"/>
  <c r="R27" i="28"/>
  <c r="S27" i="28"/>
  <c r="T27" i="28"/>
  <c r="U27" i="28"/>
  <c r="V27" i="28"/>
  <c r="W27" i="28"/>
  <c r="X27" i="28"/>
  <c r="Y27" i="28"/>
  <c r="Z27" i="28"/>
  <c r="B27" i="28"/>
  <c r="C20" i="28"/>
  <c r="D20" i="28"/>
  <c r="E20" i="28"/>
  <c r="F20" i="28"/>
  <c r="G20" i="28"/>
  <c r="H20" i="28"/>
  <c r="I20" i="28"/>
  <c r="J20" i="28"/>
  <c r="K20" i="28"/>
  <c r="L20" i="28"/>
  <c r="M20" i="28"/>
  <c r="N20" i="28"/>
  <c r="O20" i="28"/>
  <c r="P20" i="28"/>
  <c r="Q20" i="28"/>
  <c r="R20" i="28"/>
  <c r="S20" i="28"/>
  <c r="T20" i="28"/>
  <c r="U20" i="28"/>
  <c r="V20" i="28"/>
  <c r="W20" i="28"/>
  <c r="X20" i="28"/>
  <c r="Y20" i="28"/>
  <c r="Z20" i="28"/>
  <c r="B20" i="28"/>
  <c r="C19" i="28"/>
  <c r="D19" i="28"/>
  <c r="E19" i="28"/>
  <c r="F19" i="28"/>
  <c r="F21" i="28" s="1"/>
  <c r="G19" i="28"/>
  <c r="H19" i="28"/>
  <c r="I19" i="28"/>
  <c r="J19" i="28"/>
  <c r="J22" i="28" s="1"/>
  <c r="K19" i="28"/>
  <c r="L19" i="28"/>
  <c r="M19" i="28"/>
  <c r="N19" i="28"/>
  <c r="N21" i="28" s="1"/>
  <c r="O19" i="28"/>
  <c r="P19" i="28"/>
  <c r="Q19" i="28"/>
  <c r="R19" i="28"/>
  <c r="R21" i="28" s="1"/>
  <c r="S19" i="28"/>
  <c r="T19" i="28"/>
  <c r="U19" i="28"/>
  <c r="V19" i="28"/>
  <c r="V21" i="28" s="1"/>
  <c r="W19" i="28"/>
  <c r="X19" i="28"/>
  <c r="Y19" i="28"/>
  <c r="Z19" i="28"/>
  <c r="Z22" i="28" s="1"/>
  <c r="B19" i="28"/>
  <c r="C12" i="28"/>
  <c r="D12" i="28"/>
  <c r="E12" i="28"/>
  <c r="F12" i="28"/>
  <c r="G12" i="28"/>
  <c r="H12" i="28"/>
  <c r="I12" i="28"/>
  <c r="J12" i="28"/>
  <c r="K12" i="28"/>
  <c r="L12" i="28"/>
  <c r="M12" i="28"/>
  <c r="N12" i="28"/>
  <c r="O12" i="28"/>
  <c r="P12" i="28"/>
  <c r="Q12" i="28"/>
  <c r="R12" i="28"/>
  <c r="S12" i="28"/>
  <c r="T12" i="28"/>
  <c r="U12" i="28"/>
  <c r="V12" i="28"/>
  <c r="W12" i="28"/>
  <c r="X12" i="28"/>
  <c r="Y12" i="28"/>
  <c r="Z12" i="28"/>
  <c r="B12" i="28"/>
  <c r="C11" i="28"/>
  <c r="D11" i="28"/>
  <c r="E11" i="28"/>
  <c r="F11" i="28"/>
  <c r="G11" i="28"/>
  <c r="H11" i="28"/>
  <c r="I11" i="28"/>
  <c r="J11" i="28"/>
  <c r="K11" i="28"/>
  <c r="L11" i="28"/>
  <c r="M11" i="28"/>
  <c r="N11" i="28"/>
  <c r="O11" i="28"/>
  <c r="P11" i="28"/>
  <c r="Q11" i="28"/>
  <c r="R11" i="28"/>
  <c r="S11" i="28"/>
  <c r="T11" i="28"/>
  <c r="U11" i="28"/>
  <c r="V11" i="28"/>
  <c r="W11" i="28"/>
  <c r="X11" i="28"/>
  <c r="Y11" i="28"/>
  <c r="Z11" i="28"/>
  <c r="B11" i="28"/>
  <c r="C4" i="28"/>
  <c r="D4" i="28"/>
  <c r="E4" i="28"/>
  <c r="F4" i="28"/>
  <c r="G4" i="28"/>
  <c r="H4" i="28"/>
  <c r="I4" i="28"/>
  <c r="J4" i="28"/>
  <c r="K4" i="28"/>
  <c r="L4" i="28"/>
  <c r="M4" i="28"/>
  <c r="N4" i="28"/>
  <c r="O4" i="28"/>
  <c r="P4" i="28"/>
  <c r="Q4" i="28"/>
  <c r="R4" i="28"/>
  <c r="S4" i="28"/>
  <c r="T4" i="28"/>
  <c r="U4" i="28"/>
  <c r="V4" i="28"/>
  <c r="W4" i="28"/>
  <c r="X4" i="28"/>
  <c r="Y4" i="28"/>
  <c r="Z4" i="28"/>
  <c r="B4" i="28"/>
  <c r="C3" i="28"/>
  <c r="D3" i="28"/>
  <c r="E3" i="28"/>
  <c r="F3" i="28"/>
  <c r="F5" i="28" s="1"/>
  <c r="G3" i="28"/>
  <c r="H3" i="28"/>
  <c r="I3" i="28"/>
  <c r="J3" i="28"/>
  <c r="K3" i="28"/>
  <c r="L3" i="28"/>
  <c r="M3" i="28"/>
  <c r="N3" i="28"/>
  <c r="N5" i="28" s="1"/>
  <c r="O3" i="28"/>
  <c r="P3" i="28"/>
  <c r="Q3" i="28"/>
  <c r="R3" i="28"/>
  <c r="S3" i="28"/>
  <c r="T3" i="28"/>
  <c r="U3" i="28"/>
  <c r="V3" i="28"/>
  <c r="V6" i="28" s="1"/>
  <c r="W3" i="28"/>
  <c r="X3" i="28"/>
  <c r="Y3" i="28"/>
  <c r="Z3" i="28"/>
  <c r="Z6" i="28" s="1"/>
  <c r="B3" i="28"/>
  <c r="W30" i="28"/>
  <c r="V30" i="28"/>
  <c r="S30" i="28"/>
  <c r="O30" i="28"/>
  <c r="K30" i="28"/>
  <c r="G30" i="28"/>
  <c r="F30" i="28"/>
  <c r="C30" i="28"/>
  <c r="S29" i="28"/>
  <c r="O29" i="28"/>
  <c r="N29" i="28"/>
  <c r="C29" i="28"/>
  <c r="C31" i="28" s="1"/>
  <c r="C25" i="29" s="1"/>
  <c r="X29" i="28"/>
  <c r="W29" i="28"/>
  <c r="T29" i="28"/>
  <c r="P29" i="28"/>
  <c r="L29" i="28"/>
  <c r="K29" i="28"/>
  <c r="H29" i="28"/>
  <c r="G29" i="28"/>
  <c r="D29" i="28"/>
  <c r="Z30" i="28"/>
  <c r="Y30" i="28"/>
  <c r="X30" i="28"/>
  <c r="U30" i="28"/>
  <c r="T30" i="28"/>
  <c r="Q30" i="28"/>
  <c r="P30" i="28"/>
  <c r="N30" i="28"/>
  <c r="M30" i="28"/>
  <c r="L30" i="28"/>
  <c r="J30" i="28"/>
  <c r="I30" i="28"/>
  <c r="H30" i="28"/>
  <c r="E30" i="28"/>
  <c r="D30" i="28"/>
  <c r="B29" i="28"/>
  <c r="Y22" i="28"/>
  <c r="U22" i="28"/>
  <c r="Q22" i="28"/>
  <c r="O22" i="28"/>
  <c r="M22" i="28"/>
  <c r="K22" i="28"/>
  <c r="I22" i="28"/>
  <c r="G22" i="28"/>
  <c r="E22" i="28"/>
  <c r="Y21" i="28"/>
  <c r="M21" i="28"/>
  <c r="I21" i="28"/>
  <c r="B21" i="28"/>
  <c r="W21" i="28"/>
  <c r="U21" i="28"/>
  <c r="S21" i="28"/>
  <c r="Q21" i="28"/>
  <c r="O21" i="28"/>
  <c r="K21" i="28"/>
  <c r="G21" i="28"/>
  <c r="G23" i="28" s="1"/>
  <c r="E21" i="28"/>
  <c r="E23" i="28" s="1"/>
  <c r="E21" i="29" s="1"/>
  <c r="C21" i="28"/>
  <c r="X22" i="28"/>
  <c r="W22" i="28"/>
  <c r="V22" i="28"/>
  <c r="T21" i="28"/>
  <c r="S22" i="28"/>
  <c r="P21" i="28"/>
  <c r="N22" i="28"/>
  <c r="L21" i="28"/>
  <c r="H22" i="28"/>
  <c r="F22" i="28"/>
  <c r="D21" i="28"/>
  <c r="C22" i="28"/>
  <c r="B22" i="28"/>
  <c r="Z14" i="28"/>
  <c r="Y14" i="28"/>
  <c r="W14" i="28"/>
  <c r="S14" i="28"/>
  <c r="R14" i="28"/>
  <c r="O14" i="28"/>
  <c r="N14" i="28"/>
  <c r="M14" i="28"/>
  <c r="K14" i="28"/>
  <c r="J14" i="28"/>
  <c r="I14" i="28"/>
  <c r="G14" i="28"/>
  <c r="C14" i="28"/>
  <c r="V13" i="28"/>
  <c r="R13" i="28"/>
  <c r="P13" i="28"/>
  <c r="N13" i="28"/>
  <c r="K13" i="28"/>
  <c r="F13" i="28"/>
  <c r="X13" i="28"/>
  <c r="W13" i="28"/>
  <c r="T13" i="28"/>
  <c r="S13" i="28"/>
  <c r="O13" i="28"/>
  <c r="H13" i="28"/>
  <c r="G13" i="28"/>
  <c r="D13" i="28"/>
  <c r="C13" i="28"/>
  <c r="Z13" i="28"/>
  <c r="Z15" i="28" s="1"/>
  <c r="X14" i="28"/>
  <c r="V14" i="28"/>
  <c r="U14" i="28"/>
  <c r="T14" i="28"/>
  <c r="Q14" i="28"/>
  <c r="P14" i="28"/>
  <c r="L14" i="28"/>
  <c r="J13" i="28"/>
  <c r="H14" i="28"/>
  <c r="F14" i="28"/>
  <c r="E14" i="28"/>
  <c r="D14" i="28"/>
  <c r="Y6" i="28"/>
  <c r="X6" i="28"/>
  <c r="W6" i="28"/>
  <c r="U6" i="28"/>
  <c r="Q6" i="28"/>
  <c r="M6" i="28"/>
  <c r="L6" i="28"/>
  <c r="I6" i="28"/>
  <c r="H6" i="28"/>
  <c r="G6" i="28"/>
  <c r="E6" i="28"/>
  <c r="P5" i="28"/>
  <c r="L5" i="28"/>
  <c r="Y5" i="28"/>
  <c r="U5" i="28"/>
  <c r="R5" i="28"/>
  <c r="Q5" i="28"/>
  <c r="M5" i="28"/>
  <c r="I5" i="28"/>
  <c r="E5" i="28"/>
  <c r="X5" i="28"/>
  <c r="T5" i="28"/>
  <c r="S6" i="28"/>
  <c r="R6" i="28"/>
  <c r="P6" i="28"/>
  <c r="O6" i="28"/>
  <c r="K6" i="28"/>
  <c r="J6" i="28"/>
  <c r="H5" i="28"/>
  <c r="D5" i="28"/>
  <c r="C6" i="28"/>
  <c r="Z26" i="27"/>
  <c r="Y26" i="27"/>
  <c r="X26" i="27"/>
  <c r="W26" i="27"/>
  <c r="V26" i="27"/>
  <c r="U26" i="27"/>
  <c r="T26" i="27"/>
  <c r="S26" i="27"/>
  <c r="R26" i="27"/>
  <c r="Q26" i="27"/>
  <c r="P26" i="27"/>
  <c r="O26" i="27"/>
  <c r="N26" i="27"/>
  <c r="M26" i="27"/>
  <c r="L26" i="27"/>
  <c r="K26" i="27"/>
  <c r="J26" i="27"/>
  <c r="I26" i="27"/>
  <c r="H26" i="27"/>
  <c r="G26" i="27"/>
  <c r="F26" i="27"/>
  <c r="E26" i="27"/>
  <c r="D26" i="27"/>
  <c r="C26" i="27"/>
  <c r="B26" i="27"/>
  <c r="Z20" i="27"/>
  <c r="Y20" i="27"/>
  <c r="X20" i="27"/>
  <c r="W20" i="27"/>
  <c r="V20" i="27"/>
  <c r="U20" i="27"/>
  <c r="T20" i="27"/>
  <c r="S20" i="27"/>
  <c r="R20" i="27"/>
  <c r="Q20" i="27"/>
  <c r="P20" i="27"/>
  <c r="O20" i="27"/>
  <c r="N20" i="27"/>
  <c r="M20" i="27"/>
  <c r="L20" i="27"/>
  <c r="K20" i="27"/>
  <c r="J20" i="27"/>
  <c r="I20" i="27"/>
  <c r="H20" i="27"/>
  <c r="G20" i="27"/>
  <c r="F20" i="27"/>
  <c r="E20" i="27"/>
  <c r="D20" i="27"/>
  <c r="C20" i="27"/>
  <c r="B20" i="27"/>
  <c r="Z14" i="27"/>
  <c r="Y14" i="27"/>
  <c r="X14" i="27"/>
  <c r="W14" i="27"/>
  <c r="V14" i="27"/>
  <c r="U14" i="27"/>
  <c r="T14" i="27"/>
  <c r="S14" i="27"/>
  <c r="R14" i="27"/>
  <c r="Q14" i="27"/>
  <c r="P14" i="27"/>
  <c r="O14" i="27"/>
  <c r="N14" i="27"/>
  <c r="M14" i="27"/>
  <c r="L14" i="27"/>
  <c r="K14" i="27"/>
  <c r="J14" i="27"/>
  <c r="I14" i="27"/>
  <c r="H14" i="27"/>
  <c r="G14" i="27"/>
  <c r="F14" i="27"/>
  <c r="E14" i="27"/>
  <c r="D14" i="27"/>
  <c r="C14" i="27"/>
  <c r="B14" i="27"/>
  <c r="Z8" i="27"/>
  <c r="Y8" i="27"/>
  <c r="X8" i="27"/>
  <c r="W8" i="27"/>
  <c r="V8" i="27"/>
  <c r="U8" i="27"/>
  <c r="T8" i="27"/>
  <c r="S8" i="27"/>
  <c r="R8" i="27"/>
  <c r="Q8" i="27"/>
  <c r="P8" i="27"/>
  <c r="O8" i="27"/>
  <c r="N8" i="27"/>
  <c r="M8" i="27"/>
  <c r="L8" i="27"/>
  <c r="K8" i="27"/>
  <c r="J8" i="27"/>
  <c r="I8" i="27"/>
  <c r="H8" i="27"/>
  <c r="G8" i="27"/>
  <c r="F8" i="27"/>
  <c r="E8" i="27"/>
  <c r="D8" i="27"/>
  <c r="C8" i="27"/>
  <c r="B8" i="27"/>
  <c r="D9" i="26"/>
  <c r="D39" i="26"/>
  <c r="D41" i="26"/>
  <c r="D40" i="26"/>
  <c r="D30" i="26"/>
  <c r="D29" i="26"/>
  <c r="D25" i="26"/>
  <c r="D23" i="26"/>
  <c r="D24" i="26"/>
  <c r="D28" i="26"/>
  <c r="D17" i="26"/>
  <c r="D15" i="26"/>
  <c r="D14" i="26"/>
  <c r="D13" i="26"/>
  <c r="D12" i="26"/>
  <c r="D11" i="26"/>
  <c r="K31" i="28" l="1"/>
  <c r="W31" i="28"/>
  <c r="C15" i="28"/>
  <c r="C17" i="29" s="1"/>
  <c r="O23" i="28"/>
  <c r="J15" i="28"/>
  <c r="O15" i="28"/>
  <c r="G31" i="28"/>
  <c r="M23" i="28"/>
  <c r="V31" i="28"/>
  <c r="K15" i="28"/>
  <c r="U23" i="28"/>
  <c r="F31" i="28"/>
  <c r="F25" i="29" s="1"/>
  <c r="G15" i="28"/>
  <c r="Q23" i="28"/>
  <c r="O31" i="28"/>
  <c r="S15" i="28"/>
  <c r="W15" i="28"/>
  <c r="N15" i="28"/>
  <c r="S31" i="28"/>
  <c r="R22" i="28"/>
  <c r="R23" i="28" s="1"/>
  <c r="B13" i="28"/>
  <c r="B14" i="28"/>
  <c r="B5" i="28"/>
  <c r="F6" i="28"/>
  <c r="F7" i="28" s="1"/>
  <c r="F13" i="29" s="1"/>
  <c r="N6" i="28"/>
  <c r="N7" i="28" s="1"/>
  <c r="H7" i="28"/>
  <c r="V5" i="28"/>
  <c r="V7" i="28" s="1"/>
  <c r="B6" i="28"/>
  <c r="D31" i="28"/>
  <c r="D25" i="29" s="1"/>
  <c r="H31" i="28"/>
  <c r="L31" i="28"/>
  <c r="P31" i="28"/>
  <c r="T31" i="28"/>
  <c r="X31" i="28"/>
  <c r="R7" i="28"/>
  <c r="L7" i="28"/>
  <c r="F23" i="28"/>
  <c r="F21" i="29" s="1"/>
  <c r="V23" i="28"/>
  <c r="N23" i="28"/>
  <c r="P15" i="28"/>
  <c r="K23" i="28"/>
  <c r="B23" i="28"/>
  <c r="B21" i="29" s="1"/>
  <c r="P7" i="28"/>
  <c r="X7" i="28"/>
  <c r="D15" i="28"/>
  <c r="D17" i="29" s="1"/>
  <c r="H15" i="28"/>
  <c r="T15" i="28"/>
  <c r="X15" i="28"/>
  <c r="R15" i="28"/>
  <c r="C23" i="28"/>
  <c r="C21" i="29" s="1"/>
  <c r="S23" i="28"/>
  <c r="W23" i="28"/>
  <c r="V15" i="28"/>
  <c r="F15" i="28"/>
  <c r="F17" i="29" s="1"/>
  <c r="Z31" i="28"/>
  <c r="M7" i="28"/>
  <c r="L13" i="28"/>
  <c r="L15" i="28" s="1"/>
  <c r="I23" i="28"/>
  <c r="Y23" i="28"/>
  <c r="P22" i="28"/>
  <c r="P23" i="28" s="1"/>
  <c r="E29" i="28"/>
  <c r="E31" i="28" s="1"/>
  <c r="E25" i="29" s="1"/>
  <c r="I29" i="28"/>
  <c r="I31" i="28" s="1"/>
  <c r="M29" i="28"/>
  <c r="M31" i="28" s="1"/>
  <c r="Q29" i="28"/>
  <c r="Q31" i="28" s="1"/>
  <c r="U29" i="28"/>
  <c r="U31" i="28" s="1"/>
  <c r="Y29" i="28"/>
  <c r="Y31" i="28" s="1"/>
  <c r="J29" i="28"/>
  <c r="J31" i="28" s="1"/>
  <c r="C5" i="28"/>
  <c r="C7" i="28" s="1"/>
  <c r="C13" i="29" s="1"/>
  <c r="K5" i="28"/>
  <c r="K7" i="28" s="1"/>
  <c r="W5" i="28"/>
  <c r="W7" i="28" s="1"/>
  <c r="I7" i="28"/>
  <c r="T6" i="28"/>
  <c r="T7" i="28" s="1"/>
  <c r="L22" i="28"/>
  <c r="L23" i="28" s="1"/>
  <c r="J5" i="28"/>
  <c r="J7" i="28" s="1"/>
  <c r="Z5" i="28"/>
  <c r="Z7" i="28" s="1"/>
  <c r="Q7" i="28"/>
  <c r="H21" i="28"/>
  <c r="H23" i="28" s="1"/>
  <c r="X21" i="28"/>
  <c r="X23" i="28" s="1"/>
  <c r="D22" i="28"/>
  <c r="D23" i="28" s="1"/>
  <c r="D21" i="29" s="1"/>
  <c r="T22" i="28"/>
  <c r="T23" i="28" s="1"/>
  <c r="N31" i="28"/>
  <c r="B30" i="28"/>
  <c r="B31" i="28" s="1"/>
  <c r="B25" i="29" s="1"/>
  <c r="R30" i="28"/>
  <c r="R31" i="28" s="1"/>
  <c r="G5" i="28"/>
  <c r="G7" i="28" s="1"/>
  <c r="O5" i="28"/>
  <c r="O7" i="28" s="1"/>
  <c r="S5" i="28"/>
  <c r="S7" i="28" s="1"/>
  <c r="D6" i="28"/>
  <c r="D7" i="28" s="1"/>
  <c r="D13" i="29" s="1"/>
  <c r="Y7" i="28"/>
  <c r="J21" i="28"/>
  <c r="J23" i="28" s="1"/>
  <c r="Z21" i="28"/>
  <c r="Z23" i="28" s="1"/>
  <c r="E7" i="28"/>
  <c r="E13" i="29" s="1"/>
  <c r="U7" i="28"/>
  <c r="E13" i="28"/>
  <c r="E15" i="28" s="1"/>
  <c r="E17" i="29" s="1"/>
  <c r="I13" i="28"/>
  <c r="I15" i="28" s="1"/>
  <c r="M13" i="28"/>
  <c r="M15" i="28" s="1"/>
  <c r="Q13" i="28"/>
  <c r="Q15" i="28" s="1"/>
  <c r="U13" i="28"/>
  <c r="U15" i="28" s="1"/>
  <c r="Y13" i="28"/>
  <c r="Y15" i="28" s="1"/>
  <c r="B15" i="28" l="1"/>
  <c r="B7" i="28"/>
  <c r="B32" i="28"/>
  <c r="E9" i="29" s="1"/>
  <c r="B24" i="28"/>
  <c r="D9" i="29" s="1"/>
  <c r="B8" i="28" l="1"/>
  <c r="B9" i="29" s="1"/>
  <c r="B13" i="29"/>
  <c r="B16" i="28"/>
  <c r="C9" i="29" s="1"/>
  <c r="B17" i="29"/>
  <c r="N34" i="13"/>
  <c r="D5" i="29" l="1"/>
  <c r="D6" i="29" s="1"/>
  <c r="B44" i="12"/>
  <c r="B32" i="30" s="1"/>
  <c r="B1" i="28"/>
  <c r="H31" i="24"/>
  <c r="J31" i="24"/>
  <c r="C31" i="24"/>
  <c r="E31" i="24"/>
  <c r="S34" i="34" l="1"/>
  <c r="S34" i="31"/>
  <c r="Q34" i="34"/>
  <c r="Q34" i="31"/>
  <c r="B26" i="30"/>
  <c r="AH33" i="13"/>
  <c r="AJ33" i="13"/>
  <c r="AH11" i="13"/>
  <c r="AJ11" i="13"/>
  <c r="AH12" i="13"/>
  <c r="AI12" i="13"/>
  <c r="AJ12" i="13"/>
  <c r="AK12" i="13"/>
  <c r="AH13" i="13"/>
  <c r="AI13" i="13"/>
  <c r="AJ13" i="13"/>
  <c r="AK13" i="13"/>
  <c r="AH14" i="13"/>
  <c r="AI14" i="13"/>
  <c r="AJ14" i="13"/>
  <c r="AK14" i="13"/>
  <c r="AH15" i="13"/>
  <c r="AI15" i="13"/>
  <c r="AJ15" i="13"/>
  <c r="AK15" i="13"/>
  <c r="AJ16" i="13"/>
  <c r="AK16" i="13"/>
  <c r="AG17" i="13"/>
  <c r="AH17" i="13"/>
  <c r="AI17" i="13"/>
  <c r="AJ17" i="13"/>
  <c r="AK17" i="13"/>
  <c r="AH18" i="13"/>
  <c r="AJ18" i="13"/>
  <c r="AG19" i="13"/>
  <c r="AH19" i="13"/>
  <c r="AJ19" i="13"/>
  <c r="AJ20" i="13"/>
  <c r="AK20" i="13"/>
  <c r="AG21" i="13"/>
  <c r="AH21" i="13"/>
  <c r="AI21" i="13"/>
  <c r="AJ21" i="13"/>
  <c r="AK21" i="13"/>
  <c r="AH22" i="13"/>
  <c r="AJ22" i="13"/>
  <c r="AH23" i="13"/>
  <c r="AJ23" i="13"/>
  <c r="AH24" i="13"/>
  <c r="AJ24" i="13"/>
  <c r="AJ25" i="13"/>
  <c r="AK25" i="13"/>
  <c r="AG26" i="13"/>
  <c r="AH26" i="13"/>
  <c r="AI26" i="13"/>
  <c r="AJ26" i="13"/>
  <c r="AK26" i="13"/>
  <c r="AG27" i="13"/>
  <c r="AH27" i="13"/>
  <c r="AJ27" i="13"/>
  <c r="AG28" i="13"/>
  <c r="AH28" i="13"/>
  <c r="AJ28" i="13"/>
  <c r="AG29" i="13"/>
  <c r="AH29" i="13"/>
  <c r="AJ29" i="13"/>
  <c r="AG30" i="13"/>
  <c r="AH30" i="13"/>
  <c r="AJ30" i="13"/>
  <c r="AG32" i="13"/>
  <c r="AH32" i="13"/>
  <c r="AI32" i="13"/>
  <c r="AJ32" i="13"/>
  <c r="AK32" i="13"/>
  <c r="AG33" i="13"/>
  <c r="AH10" i="13"/>
  <c r="AJ10" i="13"/>
  <c r="E33" i="13"/>
  <c r="E30" i="13"/>
  <c r="E29" i="13"/>
  <c r="E28" i="13"/>
  <c r="E27" i="13"/>
  <c r="E24" i="13"/>
  <c r="E23" i="13"/>
  <c r="E22" i="13"/>
  <c r="E19" i="13"/>
  <c r="E18" i="13"/>
  <c r="E15" i="13"/>
  <c r="F15" i="13" s="1"/>
  <c r="E14" i="13"/>
  <c r="E12" i="13"/>
  <c r="E11" i="13"/>
  <c r="E13" i="13"/>
  <c r="E10" i="13"/>
  <c r="F10" i="13" s="1"/>
  <c r="L10" i="13"/>
  <c r="N10" i="13"/>
  <c r="Q10" i="13"/>
  <c r="S10" i="13"/>
  <c r="W10" i="13"/>
  <c r="Y10" i="13"/>
  <c r="AJ34" i="31" l="1"/>
  <c r="Y34" i="31"/>
  <c r="AJ34" i="34"/>
  <c r="Y34" i="34"/>
  <c r="AH34" i="31"/>
  <c r="W34" i="31"/>
  <c r="AH34" i="34"/>
  <c r="W34" i="34"/>
  <c r="K10" i="13"/>
  <c r="J10" i="13"/>
  <c r="A30" i="24"/>
  <c r="B71" i="7"/>
  <c r="A27" i="24"/>
  <c r="A26" i="24"/>
  <c r="A24" i="24"/>
  <c r="A20" i="24"/>
  <c r="A21" i="24"/>
  <c r="A9" i="24"/>
  <c r="A8" i="24"/>
  <c r="B18" i="7"/>
  <c r="A7" i="24"/>
  <c r="B10" i="7"/>
  <c r="O10" i="13" l="1"/>
  <c r="C1" i="12"/>
  <c r="J30" i="24" l="1"/>
  <c r="H30" i="24"/>
  <c r="G30" i="24"/>
  <c r="J27" i="24"/>
  <c r="H27" i="24"/>
  <c r="G27" i="24"/>
  <c r="F27" i="24"/>
  <c r="J26" i="24"/>
  <c r="H26" i="24"/>
  <c r="G26" i="24"/>
  <c r="F26" i="24"/>
  <c r="J25" i="24"/>
  <c r="H25" i="24"/>
  <c r="G25" i="24"/>
  <c r="J24" i="24"/>
  <c r="H24" i="24"/>
  <c r="G24" i="24"/>
  <c r="F24" i="24"/>
  <c r="K22" i="24"/>
  <c r="J22" i="24"/>
  <c r="J21" i="24"/>
  <c r="H21" i="24"/>
  <c r="B21" i="24"/>
  <c r="G21" i="24" s="1"/>
  <c r="J20" i="24"/>
  <c r="H20" i="24"/>
  <c r="B20" i="24"/>
  <c r="J19" i="24"/>
  <c r="H19" i="24"/>
  <c r="B19" i="24"/>
  <c r="G19" i="24" s="1"/>
  <c r="A19" i="24"/>
  <c r="F19" i="24" s="1"/>
  <c r="K17" i="24"/>
  <c r="J16" i="24"/>
  <c r="H16" i="24"/>
  <c r="G16" i="24"/>
  <c r="A16" i="24"/>
  <c r="F16" i="24" s="1"/>
  <c r="J15" i="24"/>
  <c r="H15" i="24"/>
  <c r="A15" i="24"/>
  <c r="B15" i="24" s="1"/>
  <c r="G15" i="24" s="1"/>
  <c r="K13" i="24"/>
  <c r="J13" i="24"/>
  <c r="K12" i="24"/>
  <c r="J12" i="24"/>
  <c r="I12" i="24"/>
  <c r="H12" i="24"/>
  <c r="A12" i="24"/>
  <c r="K11" i="24"/>
  <c r="J11" i="24"/>
  <c r="I11" i="24"/>
  <c r="H11" i="24"/>
  <c r="A11" i="24"/>
  <c r="B11" i="24" s="1"/>
  <c r="G11" i="24" s="1"/>
  <c r="K10" i="24"/>
  <c r="J10" i="24"/>
  <c r="I10" i="24"/>
  <c r="H10" i="24"/>
  <c r="A10" i="24"/>
  <c r="B10" i="24" s="1"/>
  <c r="G10" i="24" s="1"/>
  <c r="K9" i="24"/>
  <c r="J9" i="24"/>
  <c r="I9" i="24"/>
  <c r="H9" i="24"/>
  <c r="B9" i="24"/>
  <c r="G9" i="24" s="1"/>
  <c r="J8" i="24"/>
  <c r="H8" i="24"/>
  <c r="B8" i="24"/>
  <c r="J7" i="24"/>
  <c r="H7" i="24"/>
  <c r="B7" i="24"/>
  <c r="P18" i="31" l="1"/>
  <c r="P18" i="34"/>
  <c r="P12" i="34"/>
  <c r="P12" i="31"/>
  <c r="P24" i="34"/>
  <c r="P24" i="31"/>
  <c r="P13" i="34"/>
  <c r="P13" i="31"/>
  <c r="P14" i="34"/>
  <c r="P14" i="31"/>
  <c r="B18" i="12"/>
  <c r="B10" i="30" s="1"/>
  <c r="P22" i="34"/>
  <c r="P22" i="31"/>
  <c r="AG18" i="31"/>
  <c r="V18" i="31"/>
  <c r="B12" i="24"/>
  <c r="G12" i="24" s="1"/>
  <c r="K26" i="24"/>
  <c r="K27" i="24"/>
  <c r="G20" i="24"/>
  <c r="K24" i="24"/>
  <c r="G8" i="24"/>
  <c r="K16" i="24"/>
  <c r="G7" i="24"/>
  <c r="K19" i="24"/>
  <c r="C13" i="23"/>
  <c r="B56" i="23" s="1"/>
  <c r="C12" i="23"/>
  <c r="C11" i="23"/>
  <c r="B54" i="23" s="1"/>
  <c r="C10" i="23"/>
  <c r="B37" i="23" s="1"/>
  <c r="C9" i="23"/>
  <c r="B52" i="23" s="1"/>
  <c r="C8" i="23"/>
  <c r="C7" i="23"/>
  <c r="B50" i="23" s="1"/>
  <c r="G15" i="23"/>
  <c r="G14" i="23"/>
  <c r="F14" i="23"/>
  <c r="F15" i="23" s="1"/>
  <c r="E14" i="23"/>
  <c r="E15" i="23" s="1"/>
  <c r="B55" i="23"/>
  <c r="B51" i="23"/>
  <c r="J21" i="22"/>
  <c r="D10" i="22"/>
  <c r="D9" i="22"/>
  <c r="D8" i="22"/>
  <c r="D7" i="22"/>
  <c r="D6" i="22"/>
  <c r="D5" i="22"/>
  <c r="D4" i="22"/>
  <c r="D3" i="22"/>
  <c r="D2" i="22"/>
  <c r="T22" i="34" l="1"/>
  <c r="T22" i="31"/>
  <c r="T27" i="34"/>
  <c r="T27" i="31"/>
  <c r="P15" i="34"/>
  <c r="P15" i="31"/>
  <c r="AG22" i="34"/>
  <c r="V22" i="34"/>
  <c r="V13" i="31"/>
  <c r="AG13" i="31"/>
  <c r="V12" i="31"/>
  <c r="AG12" i="31"/>
  <c r="P23" i="34"/>
  <c r="P23" i="31"/>
  <c r="V13" i="34"/>
  <c r="AG13" i="34"/>
  <c r="V12" i="34"/>
  <c r="AG12" i="34"/>
  <c r="AG14" i="31"/>
  <c r="V14" i="31"/>
  <c r="AG24" i="31"/>
  <c r="V24" i="31"/>
  <c r="AG18" i="34"/>
  <c r="V18" i="34"/>
  <c r="P10" i="31"/>
  <c r="P10" i="34"/>
  <c r="T30" i="34"/>
  <c r="T30" i="31"/>
  <c r="P11" i="34"/>
  <c r="P11" i="31"/>
  <c r="T29" i="34"/>
  <c r="T29" i="31"/>
  <c r="AG22" i="31"/>
  <c r="V22" i="31"/>
  <c r="AG14" i="34"/>
  <c r="V14" i="34"/>
  <c r="AG24" i="34"/>
  <c r="V24" i="34"/>
  <c r="T19" i="34"/>
  <c r="T19" i="31"/>
  <c r="V10" i="31"/>
  <c r="AG10" i="31"/>
  <c r="B31" i="24"/>
  <c r="P10" i="13"/>
  <c r="V10" i="13" s="1"/>
  <c r="B16" i="12"/>
  <c r="B8" i="30" s="1"/>
  <c r="G31" i="24"/>
  <c r="P34" i="34" s="1"/>
  <c r="B22" i="23"/>
  <c r="B53" i="23"/>
  <c r="B57" i="23" s="1"/>
  <c r="C71" i="23" s="1"/>
  <c r="B19" i="23"/>
  <c r="B23" i="23"/>
  <c r="B34" i="23"/>
  <c r="B38" i="23"/>
  <c r="B20" i="23"/>
  <c r="B24" i="23"/>
  <c r="B35" i="23"/>
  <c r="B39" i="23"/>
  <c r="B21" i="23"/>
  <c r="B25" i="23"/>
  <c r="B36" i="23"/>
  <c r="B40" i="23"/>
  <c r="B10" i="17"/>
  <c r="B9" i="17"/>
  <c r="B8" i="17"/>
  <c r="B7" i="17"/>
  <c r="E4" i="17"/>
  <c r="D4" i="17"/>
  <c r="C4" i="17"/>
  <c r="B4" i="17"/>
  <c r="B109" i="23"/>
  <c r="A109" i="23"/>
  <c r="B108" i="23"/>
  <c r="A108" i="23"/>
  <c r="B107" i="23"/>
  <c r="A107" i="23"/>
  <c r="B106" i="23"/>
  <c r="A106" i="23"/>
  <c r="B105" i="23"/>
  <c r="A105" i="23"/>
  <c r="A104" i="23"/>
  <c r="A103" i="23"/>
  <c r="A102" i="23"/>
  <c r="A101" i="23"/>
  <c r="A100" i="23"/>
  <c r="A99" i="23"/>
  <c r="A98" i="23"/>
  <c r="A97" i="23"/>
  <c r="A96" i="23"/>
  <c r="A95" i="23"/>
  <c r="A94" i="23"/>
  <c r="A93" i="23"/>
  <c r="A92" i="23"/>
  <c r="A91" i="23"/>
  <c r="A90" i="23"/>
  <c r="AK29" i="31" l="1"/>
  <c r="Z29" i="31"/>
  <c r="AK30" i="31"/>
  <c r="Z30" i="31"/>
  <c r="AK27" i="31"/>
  <c r="Z27" i="31"/>
  <c r="AK29" i="34"/>
  <c r="Z29" i="34"/>
  <c r="AK30" i="34"/>
  <c r="Z30" i="34"/>
  <c r="AK27" i="34"/>
  <c r="Z27" i="34"/>
  <c r="V11" i="31"/>
  <c r="AG11" i="31"/>
  <c r="AG10" i="34"/>
  <c r="V10" i="34"/>
  <c r="AG23" i="31"/>
  <c r="V23" i="31"/>
  <c r="AG15" i="31"/>
  <c r="V15" i="31"/>
  <c r="Z22" i="31"/>
  <c r="AK22" i="31"/>
  <c r="V11" i="34"/>
  <c r="AG11" i="34"/>
  <c r="AG23" i="34"/>
  <c r="V23" i="34"/>
  <c r="AG15" i="34"/>
  <c r="V15" i="34"/>
  <c r="AK22" i="34"/>
  <c r="Z22" i="34"/>
  <c r="AK19" i="31"/>
  <c r="Z19" i="31"/>
  <c r="AK19" i="34"/>
  <c r="Z19" i="34"/>
  <c r="AB23" i="34"/>
  <c r="AB31" i="34"/>
  <c r="AB14" i="34"/>
  <c r="AB15" i="34"/>
  <c r="AB29" i="34"/>
  <c r="V34" i="34"/>
  <c r="AB10" i="34"/>
  <c r="AB33" i="34"/>
  <c r="AB28" i="34"/>
  <c r="AB19" i="34"/>
  <c r="AB20" i="34"/>
  <c r="AG34" i="34"/>
  <c r="AB18" i="34"/>
  <c r="AB16" i="34"/>
  <c r="AB34" i="34"/>
  <c r="AB22" i="34"/>
  <c r="AB30" i="34"/>
  <c r="AB11" i="34"/>
  <c r="AB24" i="34"/>
  <c r="AB27" i="34"/>
  <c r="AB12" i="34"/>
  <c r="AB25" i="34"/>
  <c r="AB13" i="34"/>
  <c r="AG10" i="13"/>
  <c r="P34" i="13"/>
  <c r="V34" i="13" s="1"/>
  <c r="P34" i="31"/>
  <c r="B41" i="23"/>
  <c r="C70" i="23" s="1"/>
  <c r="B26" i="23"/>
  <c r="C69" i="23" s="1"/>
  <c r="AB24" i="31" l="1"/>
  <c r="AB27" i="31"/>
  <c r="AB18" i="31"/>
  <c r="AB33" i="31"/>
  <c r="AB11" i="31"/>
  <c r="AB23" i="31"/>
  <c r="AB14" i="31"/>
  <c r="AB30" i="31"/>
  <c r="AB28" i="31"/>
  <c r="AG34" i="31"/>
  <c r="AB20" i="31"/>
  <c r="V34" i="31"/>
  <c r="AB25" i="31"/>
  <c r="AB22" i="31"/>
  <c r="AB13" i="31"/>
  <c r="AB34" i="31"/>
  <c r="AB19" i="31"/>
  <c r="AB16" i="31"/>
  <c r="AB12" i="31"/>
  <c r="AB31" i="31"/>
  <c r="AB15" i="31"/>
  <c r="AB29" i="31"/>
  <c r="AB10" i="31"/>
  <c r="B95" i="23"/>
  <c r="B91" i="23" l="1"/>
  <c r="B99" i="23"/>
  <c r="B93" i="23"/>
  <c r="B97" i="23"/>
  <c r="B96" i="23"/>
  <c r="B100" i="23"/>
  <c r="B101" i="23"/>
  <c r="B90" i="23"/>
  <c r="B94" i="23"/>
  <c r="B104" i="23"/>
  <c r="B92" i="23"/>
  <c r="B98" i="23"/>
  <c r="B103" i="23"/>
  <c r="B102" i="23" l="1"/>
  <c r="T32" i="13" l="1"/>
  <c r="S32" i="13"/>
  <c r="S33" i="13"/>
  <c r="Y33" i="13" s="1"/>
  <c r="S34" i="13"/>
  <c r="Q33" i="13"/>
  <c r="W33" i="13" s="1"/>
  <c r="Q34" i="13"/>
  <c r="P33" i="13"/>
  <c r="V33" i="13" s="1"/>
  <c r="Y32" i="13"/>
  <c r="Z32" i="13"/>
  <c r="P8" i="13"/>
  <c r="Q8" i="13"/>
  <c r="R8" i="13"/>
  <c r="S8" i="13"/>
  <c r="T8" i="13"/>
  <c r="P9" i="13"/>
  <c r="Q9" i="13"/>
  <c r="R9" i="13"/>
  <c r="S9" i="13"/>
  <c r="T9" i="13"/>
  <c r="Q11" i="13"/>
  <c r="W11" i="13" s="1"/>
  <c r="S11" i="13"/>
  <c r="Y11" i="13" s="1"/>
  <c r="Q12" i="13"/>
  <c r="W12" i="13" s="1"/>
  <c r="R12" i="13"/>
  <c r="X12" i="13" s="1"/>
  <c r="S12" i="13"/>
  <c r="Y12" i="13" s="1"/>
  <c r="T12" i="13"/>
  <c r="Z12" i="13" s="1"/>
  <c r="Q13" i="13"/>
  <c r="W13" i="13" s="1"/>
  <c r="R13" i="13"/>
  <c r="X13" i="13" s="1"/>
  <c r="S13" i="13"/>
  <c r="Y13" i="13" s="1"/>
  <c r="T13" i="13"/>
  <c r="Z13" i="13" s="1"/>
  <c r="Q14" i="13"/>
  <c r="W14" i="13" s="1"/>
  <c r="R14" i="13"/>
  <c r="X14" i="13" s="1"/>
  <c r="S14" i="13"/>
  <c r="Y14" i="13" s="1"/>
  <c r="T14" i="13"/>
  <c r="Z14" i="13" s="1"/>
  <c r="Q15" i="13"/>
  <c r="W15" i="13" s="1"/>
  <c r="R15" i="13"/>
  <c r="X15" i="13" s="1"/>
  <c r="S15" i="13"/>
  <c r="Y15" i="13" s="1"/>
  <c r="T15" i="13"/>
  <c r="Z15" i="13" s="1"/>
  <c r="P16" i="13"/>
  <c r="Q16" i="13"/>
  <c r="R16" i="13"/>
  <c r="S16" i="13"/>
  <c r="Y16" i="13" s="1"/>
  <c r="T16" i="13"/>
  <c r="Z16" i="13" s="1"/>
  <c r="P17" i="13"/>
  <c r="V17" i="13" s="1"/>
  <c r="Q17" i="13"/>
  <c r="W17" i="13" s="1"/>
  <c r="R17" i="13"/>
  <c r="X17" i="13" s="1"/>
  <c r="S17" i="13"/>
  <c r="Y17" i="13" s="1"/>
  <c r="T17" i="13"/>
  <c r="Z17" i="13" s="1"/>
  <c r="Q18" i="13"/>
  <c r="W18" i="13" s="1"/>
  <c r="S18" i="13"/>
  <c r="Y18" i="13" s="1"/>
  <c r="P19" i="13"/>
  <c r="V19" i="13" s="1"/>
  <c r="Q19" i="13"/>
  <c r="W19" i="13" s="1"/>
  <c r="S19" i="13"/>
  <c r="Y19" i="13" s="1"/>
  <c r="P20" i="13"/>
  <c r="Q20" i="13"/>
  <c r="R20" i="13"/>
  <c r="S20" i="13"/>
  <c r="Y20" i="13" s="1"/>
  <c r="T20" i="13"/>
  <c r="Z20" i="13" s="1"/>
  <c r="P21" i="13"/>
  <c r="V21" i="13" s="1"/>
  <c r="Q21" i="13"/>
  <c r="W21" i="13" s="1"/>
  <c r="R21" i="13"/>
  <c r="X21" i="13" s="1"/>
  <c r="S21" i="13"/>
  <c r="Y21" i="13" s="1"/>
  <c r="T21" i="13"/>
  <c r="Z21" i="13" s="1"/>
  <c r="Q22" i="13"/>
  <c r="W22" i="13" s="1"/>
  <c r="S22" i="13"/>
  <c r="Y22" i="13" s="1"/>
  <c r="Q23" i="13"/>
  <c r="W23" i="13" s="1"/>
  <c r="S23" i="13"/>
  <c r="Y23" i="13" s="1"/>
  <c r="Q24" i="13"/>
  <c r="W24" i="13" s="1"/>
  <c r="S24" i="13"/>
  <c r="Y24" i="13" s="1"/>
  <c r="P25" i="13"/>
  <c r="Q25" i="13"/>
  <c r="R25" i="13"/>
  <c r="S25" i="13"/>
  <c r="Y25" i="13" s="1"/>
  <c r="T25" i="13"/>
  <c r="Z25" i="13" s="1"/>
  <c r="P26" i="13"/>
  <c r="V26" i="13" s="1"/>
  <c r="Q26" i="13"/>
  <c r="W26" i="13" s="1"/>
  <c r="R26" i="13"/>
  <c r="X26" i="13" s="1"/>
  <c r="S26" i="13"/>
  <c r="Y26" i="13" s="1"/>
  <c r="T26" i="13"/>
  <c r="Z26" i="13" s="1"/>
  <c r="P27" i="13"/>
  <c r="V27" i="13" s="1"/>
  <c r="Q27" i="13"/>
  <c r="W27" i="13" s="1"/>
  <c r="S27" i="13"/>
  <c r="Y27" i="13" s="1"/>
  <c r="P28" i="13"/>
  <c r="V28" i="13" s="1"/>
  <c r="Q28" i="13"/>
  <c r="W28" i="13" s="1"/>
  <c r="S28" i="13"/>
  <c r="Y28" i="13" s="1"/>
  <c r="P29" i="13"/>
  <c r="V29" i="13" s="1"/>
  <c r="Q29" i="13"/>
  <c r="W29" i="13" s="1"/>
  <c r="S29" i="13"/>
  <c r="Y29" i="13" s="1"/>
  <c r="T29" i="13"/>
  <c r="AK29" i="13" s="1"/>
  <c r="P30" i="13"/>
  <c r="V30" i="13" s="1"/>
  <c r="Q30" i="13"/>
  <c r="W30" i="13" s="1"/>
  <c r="S30" i="13"/>
  <c r="Y30" i="13" s="1"/>
  <c r="P31" i="13"/>
  <c r="Q31" i="13"/>
  <c r="R31" i="13"/>
  <c r="S31" i="13"/>
  <c r="T31" i="13"/>
  <c r="P32" i="13"/>
  <c r="V32" i="13" s="1"/>
  <c r="Q32" i="13"/>
  <c r="W32" i="13" s="1"/>
  <c r="R32" i="13"/>
  <c r="X32" i="13" s="1"/>
  <c r="I34" i="13"/>
  <c r="G34" i="13"/>
  <c r="N33" i="13"/>
  <c r="L33" i="13"/>
  <c r="K33" i="13"/>
  <c r="O31" i="13"/>
  <c r="N31" i="13"/>
  <c r="M31" i="13"/>
  <c r="L31" i="13"/>
  <c r="K31" i="13"/>
  <c r="N30" i="13"/>
  <c r="L30" i="13"/>
  <c r="K30" i="13"/>
  <c r="J30" i="13"/>
  <c r="N29" i="13"/>
  <c r="L29" i="13"/>
  <c r="K29" i="13"/>
  <c r="J29" i="13"/>
  <c r="N28" i="13"/>
  <c r="L28" i="13"/>
  <c r="K28" i="13"/>
  <c r="N27" i="13"/>
  <c r="L27" i="13"/>
  <c r="K27" i="13"/>
  <c r="J27" i="13"/>
  <c r="O25" i="13"/>
  <c r="N25" i="13"/>
  <c r="M25" i="13"/>
  <c r="L25" i="13"/>
  <c r="K25" i="13"/>
  <c r="N24" i="13"/>
  <c r="L24" i="13"/>
  <c r="F24" i="13"/>
  <c r="N23" i="13"/>
  <c r="L23" i="13"/>
  <c r="F23" i="13"/>
  <c r="K23" i="13" s="1"/>
  <c r="N22" i="13"/>
  <c r="L22" i="13"/>
  <c r="F22" i="13"/>
  <c r="K22" i="13" s="1"/>
  <c r="J22" i="13"/>
  <c r="O22" i="13" s="1"/>
  <c r="O20" i="13"/>
  <c r="M20" i="13"/>
  <c r="L20" i="13"/>
  <c r="K20" i="13"/>
  <c r="N19" i="13"/>
  <c r="L19" i="13"/>
  <c r="K19" i="13"/>
  <c r="J19" i="13"/>
  <c r="N18" i="13"/>
  <c r="L18" i="13"/>
  <c r="F18" i="13"/>
  <c r="O16" i="13"/>
  <c r="N16" i="13"/>
  <c r="M16" i="13"/>
  <c r="L16" i="13"/>
  <c r="K16" i="13"/>
  <c r="O15" i="13"/>
  <c r="N15" i="13"/>
  <c r="M15" i="13"/>
  <c r="L15" i="13"/>
  <c r="K15" i="13"/>
  <c r="O14" i="13"/>
  <c r="N14" i="13"/>
  <c r="M14" i="13"/>
  <c r="L14" i="13"/>
  <c r="F14" i="13"/>
  <c r="K14" i="13" s="1"/>
  <c r="O13" i="13"/>
  <c r="N13" i="13"/>
  <c r="M13" i="13"/>
  <c r="L13" i="13"/>
  <c r="F13" i="13"/>
  <c r="O12" i="13"/>
  <c r="N12" i="13"/>
  <c r="M12" i="13"/>
  <c r="L12" i="13"/>
  <c r="F12" i="13"/>
  <c r="N11" i="13"/>
  <c r="L11" i="13"/>
  <c r="F11" i="13"/>
  <c r="W16" i="13" l="1"/>
  <c r="AH16" i="13"/>
  <c r="V16" i="13"/>
  <c r="AG16" i="13"/>
  <c r="Z31" i="13"/>
  <c r="AK31" i="13"/>
  <c r="Y31" i="13"/>
  <c r="AJ31" i="13"/>
  <c r="X31" i="13"/>
  <c r="AI31" i="13"/>
  <c r="W31" i="13"/>
  <c r="AH31" i="13"/>
  <c r="V31" i="13"/>
  <c r="AG31" i="13"/>
  <c r="W25" i="13"/>
  <c r="AH25" i="13"/>
  <c r="V25" i="13"/>
  <c r="AG25" i="13"/>
  <c r="V20" i="13"/>
  <c r="AG20" i="13"/>
  <c r="W20" i="13"/>
  <c r="AH20" i="13"/>
  <c r="X20" i="13"/>
  <c r="AI20" i="13"/>
  <c r="X25" i="13"/>
  <c r="AI25" i="13"/>
  <c r="X16" i="13"/>
  <c r="AI16" i="13"/>
  <c r="K11" i="13"/>
  <c r="F34" i="13"/>
  <c r="W34" i="13"/>
  <c r="AH34" i="13"/>
  <c r="Y34" i="13"/>
  <c r="AJ34" i="13"/>
  <c r="L34" i="13"/>
  <c r="G68" i="13"/>
  <c r="L67" i="13"/>
  <c r="G67" i="13"/>
  <c r="K12" i="13"/>
  <c r="G69" i="13"/>
  <c r="K18" i="13"/>
  <c r="K24" i="13"/>
  <c r="K13" i="13"/>
  <c r="O19" i="13"/>
  <c r="O27" i="13"/>
  <c r="O29" i="13"/>
  <c r="O30" i="13"/>
  <c r="G66" i="13"/>
  <c r="G70" i="13"/>
  <c r="K34" i="13" l="1"/>
  <c r="D44" i="12"/>
  <c r="C44" i="12"/>
  <c r="E44" i="12"/>
  <c r="Z29" i="13"/>
  <c r="B81" i="7" l="1"/>
  <c r="F81" i="7" s="1"/>
  <c r="B84" i="7"/>
  <c r="F84" i="7" s="1"/>
  <c r="B83" i="7"/>
  <c r="D83" i="7" s="1"/>
  <c r="B80" i="7"/>
  <c r="D80" i="7" s="1"/>
  <c r="H80" i="7" s="1"/>
  <c r="B77" i="7"/>
  <c r="B76" i="7"/>
  <c r="D76" i="7" s="1"/>
  <c r="B63" i="7"/>
  <c r="B68" i="7"/>
  <c r="B69" i="7"/>
  <c r="B70" i="7"/>
  <c r="B67" i="7"/>
  <c r="H28" i="34" l="1"/>
  <c r="M28" i="34" s="1"/>
  <c r="H27" i="34"/>
  <c r="M27" i="34" s="1"/>
  <c r="H30" i="34"/>
  <c r="M30" i="34" s="1"/>
  <c r="H19" i="34"/>
  <c r="M19" i="34" s="1"/>
  <c r="H22" i="34"/>
  <c r="M22" i="34" s="1"/>
  <c r="H33" i="34"/>
  <c r="M33" i="34" s="1"/>
  <c r="B34" i="30" s="1"/>
  <c r="H29" i="34"/>
  <c r="M29" i="34" s="1"/>
  <c r="H22" i="31"/>
  <c r="M22" i="31" s="1"/>
  <c r="H19" i="31"/>
  <c r="M19" i="31" s="1"/>
  <c r="H28" i="31"/>
  <c r="M28" i="31" s="1"/>
  <c r="H29" i="31"/>
  <c r="M29" i="31" s="1"/>
  <c r="H27" i="31"/>
  <c r="M27" i="31" s="1"/>
  <c r="H30" i="31"/>
  <c r="M30" i="31" s="1"/>
  <c r="H33" i="31"/>
  <c r="M33" i="31" s="1"/>
  <c r="F30" i="24"/>
  <c r="K30" i="24" s="1"/>
  <c r="J33" i="13"/>
  <c r="H33" i="13" s="1"/>
  <c r="M33" i="13" s="1"/>
  <c r="F21" i="24"/>
  <c r="K21" i="24" s="1"/>
  <c r="F20" i="24"/>
  <c r="K20" i="24" s="1"/>
  <c r="J23" i="13"/>
  <c r="O23" i="13" s="1"/>
  <c r="J24" i="13"/>
  <c r="O24" i="13" s="1"/>
  <c r="F15" i="24"/>
  <c r="K15" i="24" s="1"/>
  <c r="J18" i="13"/>
  <c r="D26" i="24"/>
  <c r="I26" i="24" s="1"/>
  <c r="D24" i="24"/>
  <c r="I24" i="24" s="1"/>
  <c r="D19" i="24"/>
  <c r="I19" i="24" s="1"/>
  <c r="D27" i="24"/>
  <c r="I27" i="24" s="1"/>
  <c r="D16" i="24"/>
  <c r="I16" i="24" s="1"/>
  <c r="D84" i="7"/>
  <c r="H19" i="13"/>
  <c r="M19" i="13" s="1"/>
  <c r="H30" i="13"/>
  <c r="M30" i="13" s="1"/>
  <c r="H29" i="13"/>
  <c r="M29" i="13" s="1"/>
  <c r="H27" i="13"/>
  <c r="M27" i="13" s="1"/>
  <c r="H22" i="13"/>
  <c r="M22" i="13" s="1"/>
  <c r="D77" i="7"/>
  <c r="G21" i="30" s="1"/>
  <c r="D81" i="7"/>
  <c r="H81" i="7" s="1"/>
  <c r="B40" i="1"/>
  <c r="B39" i="1"/>
  <c r="G40" i="30" l="1"/>
  <c r="H23" i="34"/>
  <c r="H18" i="34"/>
  <c r="M18" i="34" s="1"/>
  <c r="B37" i="30" s="1"/>
  <c r="G39" i="30"/>
  <c r="R22" i="31"/>
  <c r="X22" i="31" s="1"/>
  <c r="R22" i="34"/>
  <c r="T24" i="31"/>
  <c r="Z24" i="31" s="1"/>
  <c r="T24" i="34"/>
  <c r="H24" i="34"/>
  <c r="M24" i="34" s="1"/>
  <c r="M23" i="34"/>
  <c r="R27" i="31"/>
  <c r="AI27" i="31" s="1"/>
  <c r="R27" i="34"/>
  <c r="B29" i="30"/>
  <c r="J28" i="30" s="1"/>
  <c r="R19" i="31"/>
  <c r="X19" i="31" s="1"/>
  <c r="R19" i="34"/>
  <c r="R29" i="31"/>
  <c r="X29" i="31" s="1"/>
  <c r="R29" i="34"/>
  <c r="B35" i="30"/>
  <c r="H10" i="34"/>
  <c r="H11" i="34"/>
  <c r="M11" i="34" s="1"/>
  <c r="R30" i="31"/>
  <c r="X30" i="31" s="1"/>
  <c r="R30" i="34"/>
  <c r="T23" i="31"/>
  <c r="Z23" i="31" s="1"/>
  <c r="T23" i="34"/>
  <c r="T18" i="31"/>
  <c r="AK18" i="31" s="1"/>
  <c r="T18" i="34"/>
  <c r="T33" i="13"/>
  <c r="Z33" i="13" s="1"/>
  <c r="T33" i="34"/>
  <c r="T33" i="31"/>
  <c r="D15" i="24"/>
  <c r="I15" i="24" s="1"/>
  <c r="R18" i="34" s="1"/>
  <c r="H18" i="31"/>
  <c r="M18" i="31" s="1"/>
  <c r="B31" i="30" s="1"/>
  <c r="L28" i="30" s="1"/>
  <c r="AI29" i="31"/>
  <c r="H10" i="31"/>
  <c r="H11" i="31"/>
  <c r="M11" i="31" s="1"/>
  <c r="H10" i="13"/>
  <c r="M10" i="13" s="1"/>
  <c r="B28" i="30"/>
  <c r="I28" i="30" s="1"/>
  <c r="H24" i="31"/>
  <c r="M24" i="31" s="1"/>
  <c r="H23" i="31"/>
  <c r="M23" i="31" s="1"/>
  <c r="AI22" i="31"/>
  <c r="D30" i="24"/>
  <c r="I30" i="24" s="1"/>
  <c r="R33" i="34" s="1"/>
  <c r="L70" i="8"/>
  <c r="B28" i="12"/>
  <c r="O33" i="13"/>
  <c r="L69" i="13"/>
  <c r="L66" i="13"/>
  <c r="O18" i="13"/>
  <c r="D7" i="24"/>
  <c r="D8" i="24"/>
  <c r="I8" i="24" s="1"/>
  <c r="D21" i="24"/>
  <c r="I21" i="24" s="1"/>
  <c r="D20" i="24"/>
  <c r="I20" i="24" s="1"/>
  <c r="H18" i="13"/>
  <c r="M18" i="13" s="1"/>
  <c r="H11" i="13"/>
  <c r="H24" i="13"/>
  <c r="M24" i="13" s="1"/>
  <c r="H23" i="13"/>
  <c r="M23" i="13" s="1"/>
  <c r="F77" i="7"/>
  <c r="B36" i="1"/>
  <c r="B35" i="1"/>
  <c r="B34" i="1"/>
  <c r="F63" i="7"/>
  <c r="AI30" i="31" l="1"/>
  <c r="X18" i="34"/>
  <c r="AK33" i="13"/>
  <c r="X27" i="31"/>
  <c r="AI19" i="31"/>
  <c r="AK24" i="31"/>
  <c r="Z18" i="31"/>
  <c r="AK23" i="31"/>
  <c r="AI19" i="34"/>
  <c r="X19" i="34"/>
  <c r="AI27" i="34"/>
  <c r="X27" i="34"/>
  <c r="R11" i="31"/>
  <c r="AI11" i="31" s="1"/>
  <c r="R11" i="34"/>
  <c r="AI18" i="34"/>
  <c r="AK24" i="34"/>
  <c r="Z24" i="34"/>
  <c r="Z23" i="34"/>
  <c r="AK23" i="34"/>
  <c r="AI29" i="34"/>
  <c r="X29" i="34"/>
  <c r="R23" i="31"/>
  <c r="AI23" i="31" s="1"/>
  <c r="R23" i="34"/>
  <c r="AK18" i="34"/>
  <c r="Z18" i="34"/>
  <c r="M10" i="34"/>
  <c r="B36" i="30" s="1"/>
  <c r="H34" i="34"/>
  <c r="X22" i="34"/>
  <c r="AI22" i="34"/>
  <c r="R24" i="31"/>
  <c r="X24" i="31" s="1"/>
  <c r="R24" i="34"/>
  <c r="AI30" i="34"/>
  <c r="X30" i="34"/>
  <c r="AI33" i="34"/>
  <c r="X33" i="34"/>
  <c r="AK33" i="31"/>
  <c r="Z33" i="31"/>
  <c r="Z33" i="34"/>
  <c r="AK33" i="34"/>
  <c r="R18" i="31"/>
  <c r="B43" i="12"/>
  <c r="B25" i="30" s="1"/>
  <c r="R33" i="13"/>
  <c r="AI33" i="13" s="1"/>
  <c r="R33" i="31"/>
  <c r="M10" i="31"/>
  <c r="B30" i="30" s="1"/>
  <c r="K28" i="30" s="1"/>
  <c r="H34" i="31"/>
  <c r="C28" i="12"/>
  <c r="B15" i="30"/>
  <c r="M11" i="13"/>
  <c r="M34" i="13" s="1"/>
  <c r="H34" i="13"/>
  <c r="E28" i="12"/>
  <c r="D28" i="12"/>
  <c r="B40" i="12"/>
  <c r="F8" i="24"/>
  <c r="K8" i="24" s="1"/>
  <c r="F7" i="24"/>
  <c r="J11" i="13"/>
  <c r="I7" i="24"/>
  <c r="R10" i="34" s="1"/>
  <c r="K36" i="1"/>
  <c r="J36" i="1"/>
  <c r="X33" i="13" l="1"/>
  <c r="X11" i="31"/>
  <c r="X23" i="31"/>
  <c r="AI24" i="31"/>
  <c r="AI10" i="34"/>
  <c r="X10" i="34"/>
  <c r="AI24" i="34"/>
  <c r="X24" i="34"/>
  <c r="AI23" i="34"/>
  <c r="X23" i="34"/>
  <c r="B39" i="30"/>
  <c r="M34" i="34"/>
  <c r="AI11" i="34"/>
  <c r="X11" i="34"/>
  <c r="T11" i="31"/>
  <c r="Z11" i="31" s="1"/>
  <c r="T11" i="34"/>
  <c r="X33" i="31"/>
  <c r="AI33" i="31"/>
  <c r="B33" i="30"/>
  <c r="M34" i="31"/>
  <c r="X18" i="31"/>
  <c r="AI18" i="31"/>
  <c r="B42" i="12"/>
  <c r="B24" i="30" s="1"/>
  <c r="R10" i="31"/>
  <c r="D40" i="12"/>
  <c r="B22" i="30"/>
  <c r="O11" i="13"/>
  <c r="O34" i="13" s="1"/>
  <c r="J34" i="13"/>
  <c r="R10" i="13"/>
  <c r="AI10" i="13" s="1"/>
  <c r="E40" i="12"/>
  <c r="C40" i="12"/>
  <c r="K7" i="24"/>
  <c r="T10" i="34" s="1"/>
  <c r="T23" i="13"/>
  <c r="AK23" i="13" s="1"/>
  <c r="R23" i="13"/>
  <c r="R24" i="13"/>
  <c r="T24" i="13"/>
  <c r="AK24" i="13" s="1"/>
  <c r="P24" i="13"/>
  <c r="AG24" i="13" s="1"/>
  <c r="B55" i="7"/>
  <c r="P22" i="13"/>
  <c r="AG22" i="13" s="1"/>
  <c r="L68" i="8"/>
  <c r="R18" i="13"/>
  <c r="L67" i="8"/>
  <c r="P15" i="13"/>
  <c r="AG15" i="13" s="1"/>
  <c r="P14" i="13"/>
  <c r="AG14" i="13" s="1"/>
  <c r="AK11" i="31" l="1"/>
  <c r="G4" i="33"/>
  <c r="G5" i="33"/>
  <c r="Z11" i="34"/>
  <c r="AK11" i="34"/>
  <c r="Z10" i="34"/>
  <c r="AK10" i="34"/>
  <c r="B32" i="12"/>
  <c r="B19" i="30" s="1"/>
  <c r="T10" i="31"/>
  <c r="X10" i="31"/>
  <c r="AI10" i="31"/>
  <c r="X10" i="13"/>
  <c r="T10" i="13"/>
  <c r="Z10" i="13" s="1"/>
  <c r="X18" i="13"/>
  <c r="AI18" i="13"/>
  <c r="X24" i="13"/>
  <c r="AI24" i="13"/>
  <c r="X23" i="13"/>
  <c r="AI23" i="13"/>
  <c r="A25" i="24"/>
  <c r="F25" i="24" s="1"/>
  <c r="J28" i="13"/>
  <c r="V24" i="13"/>
  <c r="V14" i="13"/>
  <c r="V15" i="13"/>
  <c r="V22" i="13"/>
  <c r="Z24" i="13"/>
  <c r="Z23" i="13"/>
  <c r="B20" i="12"/>
  <c r="P23" i="13"/>
  <c r="AG23" i="13" s="1"/>
  <c r="T18" i="13"/>
  <c r="AK18" i="13" s="1"/>
  <c r="T30" i="13"/>
  <c r="R30" i="13"/>
  <c r="T11" i="13"/>
  <c r="AK11" i="13" s="1"/>
  <c r="R11" i="13"/>
  <c r="T22" i="13"/>
  <c r="R22" i="13"/>
  <c r="T19" i="13"/>
  <c r="R19" i="13"/>
  <c r="R29" i="13"/>
  <c r="P11" i="13"/>
  <c r="AG11" i="13" s="1"/>
  <c r="AK10" i="13" l="1"/>
  <c r="AK10" i="31"/>
  <c r="Z10" i="31"/>
  <c r="L69" i="8"/>
  <c r="F31" i="24"/>
  <c r="C20" i="12"/>
  <c r="B12" i="30"/>
  <c r="Z30" i="13"/>
  <c r="AK30" i="13"/>
  <c r="X30" i="13"/>
  <c r="AI30" i="13"/>
  <c r="X29" i="13"/>
  <c r="AI29" i="13"/>
  <c r="X22" i="13"/>
  <c r="AI22" i="13"/>
  <c r="Z22" i="13"/>
  <c r="AK22" i="13"/>
  <c r="Z19" i="13"/>
  <c r="AK19" i="13"/>
  <c r="X19" i="13"/>
  <c r="AI19" i="13"/>
  <c r="X11" i="13"/>
  <c r="AI11" i="13"/>
  <c r="K25" i="24"/>
  <c r="D25" i="24"/>
  <c r="D31" i="24" s="1"/>
  <c r="O28" i="13"/>
  <c r="L68" i="13"/>
  <c r="H28" i="13"/>
  <c r="E20" i="12"/>
  <c r="D20" i="12"/>
  <c r="V11" i="13"/>
  <c r="V23" i="13"/>
  <c r="Z11" i="13"/>
  <c r="Z18" i="13"/>
  <c r="T27" i="13"/>
  <c r="B30" i="12"/>
  <c r="B17" i="30" s="1"/>
  <c r="B31" i="12"/>
  <c r="B18" i="30" s="1"/>
  <c r="P18" i="13"/>
  <c r="AG18" i="13" s="1"/>
  <c r="B19" i="12"/>
  <c r="B11" i="30" s="1"/>
  <c r="P13" i="13"/>
  <c r="AG13" i="13" s="1"/>
  <c r="P12" i="13"/>
  <c r="AG12" i="13" s="1"/>
  <c r="B17" i="12"/>
  <c r="B9" i="30" s="1"/>
  <c r="C42" i="12"/>
  <c r="R27" i="13"/>
  <c r="AI27" i="13" s="1"/>
  <c r="K50" i="1"/>
  <c r="J50" i="1"/>
  <c r="H39" i="1"/>
  <c r="C125" i="1"/>
  <c r="C123" i="1"/>
  <c r="C119" i="1"/>
  <c r="C121" i="1"/>
  <c r="B17" i="1"/>
  <c r="B18" i="1"/>
  <c r="B19" i="1"/>
  <c r="B23" i="1"/>
  <c r="B26" i="1"/>
  <c r="B37" i="1"/>
  <c r="B38" i="1"/>
  <c r="B45" i="1"/>
  <c r="B46" i="1"/>
  <c r="B47" i="1"/>
  <c r="B48" i="1"/>
  <c r="B49" i="1"/>
  <c r="D9" i="1"/>
  <c r="D7" i="1"/>
  <c r="B15" i="1"/>
  <c r="D8" i="1"/>
  <c r="B56" i="1"/>
  <c r="B57" i="1"/>
  <c r="B58" i="1"/>
  <c r="B59" i="1"/>
  <c r="B60" i="1"/>
  <c r="B61" i="1"/>
  <c r="K31" i="24" l="1"/>
  <c r="T34" i="31" s="1"/>
  <c r="AF12" i="31" s="1"/>
  <c r="T28" i="34"/>
  <c r="T28" i="31"/>
  <c r="T28" i="13"/>
  <c r="AK28" i="13" s="1"/>
  <c r="B29" i="12"/>
  <c r="Z27" i="13"/>
  <c r="AK27" i="13"/>
  <c r="M28" i="13"/>
  <c r="I25" i="24"/>
  <c r="R28" i="34" s="1"/>
  <c r="V13" i="13"/>
  <c r="V12" i="13"/>
  <c r="V18" i="13"/>
  <c r="X27" i="13"/>
  <c r="E30" i="12"/>
  <c r="C30" i="12"/>
  <c r="D30" i="12"/>
  <c r="D42" i="12"/>
  <c r="E42" i="12"/>
  <c r="C31" i="12"/>
  <c r="E31" i="12"/>
  <c r="D31" i="12"/>
  <c r="E19" i="12"/>
  <c r="D19" i="12"/>
  <c r="C19" i="12"/>
  <c r="E18" i="12"/>
  <c r="D18" i="12"/>
  <c r="C18" i="12"/>
  <c r="E17" i="12"/>
  <c r="C17" i="12"/>
  <c r="D17" i="12"/>
  <c r="B5" i="12"/>
  <c r="E16" i="12"/>
  <c r="C16" i="12"/>
  <c r="D16" i="12"/>
  <c r="B21" i="12"/>
  <c r="B13" i="30" s="1"/>
  <c r="T34" i="13"/>
  <c r="AK34" i="13" s="1"/>
  <c r="E43" i="12"/>
  <c r="D43" i="12"/>
  <c r="C43" i="12"/>
  <c r="E32" i="12"/>
  <c r="D32" i="12"/>
  <c r="C32" i="12"/>
  <c r="B7" i="12" l="1"/>
  <c r="T34" i="34"/>
  <c r="AF22" i="34" s="1"/>
  <c r="Z28" i="13"/>
  <c r="AK28" i="31"/>
  <c r="Z28" i="31"/>
  <c r="Z28" i="34"/>
  <c r="AK28" i="34"/>
  <c r="AF23" i="31"/>
  <c r="AF15" i="31"/>
  <c r="AK34" i="31"/>
  <c r="AF10" i="31"/>
  <c r="AF20" i="31"/>
  <c r="AF33" i="31"/>
  <c r="AF34" i="31"/>
  <c r="AF28" i="31"/>
  <c r="AF18" i="31"/>
  <c r="AF25" i="31"/>
  <c r="X28" i="34"/>
  <c r="AI28" i="34"/>
  <c r="AF30" i="31"/>
  <c r="AF14" i="31"/>
  <c r="AF31" i="31"/>
  <c r="AF27" i="31"/>
  <c r="AF11" i="31"/>
  <c r="AF29" i="31"/>
  <c r="AF24" i="31"/>
  <c r="Z34" i="31"/>
  <c r="AF19" i="31"/>
  <c r="AF22" i="31"/>
  <c r="AF13" i="31"/>
  <c r="AF16" i="31"/>
  <c r="AF25" i="34"/>
  <c r="AF13" i="34"/>
  <c r="AF10" i="34"/>
  <c r="AF16" i="34"/>
  <c r="AK34" i="34"/>
  <c r="AF29" i="34"/>
  <c r="AF30" i="34"/>
  <c r="AF27" i="34"/>
  <c r="Z34" i="34"/>
  <c r="AF34" i="34"/>
  <c r="AF33" i="34"/>
  <c r="I31" i="24"/>
  <c r="R28" i="31"/>
  <c r="D29" i="12"/>
  <c r="B16" i="30"/>
  <c r="E29" i="12"/>
  <c r="B33" i="12"/>
  <c r="C29" i="12"/>
  <c r="AG34" i="13"/>
  <c r="AB10" i="13"/>
  <c r="AB13" i="13"/>
  <c r="R28" i="13"/>
  <c r="B41" i="12"/>
  <c r="B23" i="30" s="1"/>
  <c r="AB18" i="13"/>
  <c r="AB16" i="13"/>
  <c r="AB33" i="13"/>
  <c r="AB20" i="13"/>
  <c r="AB31" i="13"/>
  <c r="AB25" i="13"/>
  <c r="AB34" i="13"/>
  <c r="AB27" i="13"/>
  <c r="AB19" i="13"/>
  <c r="AB30" i="13"/>
  <c r="AB29" i="13"/>
  <c r="AB28" i="13"/>
  <c r="AB24" i="13"/>
  <c r="AB15" i="13"/>
  <c r="AB14" i="13"/>
  <c r="AB22" i="13"/>
  <c r="AB11" i="13"/>
  <c r="AB23" i="13"/>
  <c r="AB12" i="13"/>
  <c r="Z34" i="13"/>
  <c r="AF34" i="13"/>
  <c r="AF16" i="13"/>
  <c r="AF28" i="13"/>
  <c r="AF33" i="13"/>
  <c r="AF13" i="13"/>
  <c r="AF20" i="13"/>
  <c r="AF22" i="13"/>
  <c r="AF27" i="13"/>
  <c r="AF14" i="13"/>
  <c r="AF25" i="13"/>
  <c r="AF19" i="13"/>
  <c r="AF12" i="13"/>
  <c r="AF15" i="13"/>
  <c r="AF31" i="13"/>
  <c r="AF30" i="13"/>
  <c r="AF29" i="13"/>
  <c r="AF24" i="13"/>
  <c r="AF23" i="13"/>
  <c r="AF18" i="13"/>
  <c r="AF11" i="13"/>
  <c r="AF10" i="13"/>
  <c r="D21" i="12"/>
  <c r="E21" i="12"/>
  <c r="C21" i="12"/>
  <c r="AF24" i="34" l="1"/>
  <c r="AF18" i="34"/>
  <c r="AF28" i="34"/>
  <c r="AF15" i="34"/>
  <c r="AF11" i="34"/>
  <c r="AF19" i="34"/>
  <c r="AF12" i="34"/>
  <c r="AF23" i="34"/>
  <c r="AF14" i="34"/>
  <c r="AF20" i="34"/>
  <c r="AF31" i="34"/>
  <c r="B6" i="12"/>
  <c r="R34" i="34"/>
  <c r="R34" i="31"/>
  <c r="X28" i="31"/>
  <c r="AI28" i="31"/>
  <c r="D33" i="12"/>
  <c r="B20" i="30"/>
  <c r="C33" i="12"/>
  <c r="E33" i="12"/>
  <c r="X28" i="13"/>
  <c r="AI28" i="13"/>
  <c r="D41" i="12"/>
  <c r="B45" i="12"/>
  <c r="B27" i="30" s="1"/>
  <c r="E41" i="12"/>
  <c r="C41" i="12"/>
  <c r="R34" i="13"/>
  <c r="AI34" i="13" s="1"/>
  <c r="G1" i="33" l="1"/>
  <c r="G2" i="33"/>
  <c r="AD13" i="31"/>
  <c r="AD25" i="31"/>
  <c r="AD28" i="31"/>
  <c r="AD23" i="34"/>
  <c r="AD19" i="34"/>
  <c r="AD22" i="34"/>
  <c r="X34" i="34"/>
  <c r="AD14" i="34"/>
  <c r="AD15" i="34"/>
  <c r="AD27" i="34"/>
  <c r="AD24" i="34"/>
  <c r="AD16" i="34"/>
  <c r="AD11" i="34"/>
  <c r="AD13" i="34"/>
  <c r="AD29" i="34"/>
  <c r="AD10" i="34"/>
  <c r="AD25" i="34"/>
  <c r="AD34" i="34"/>
  <c r="AD31" i="34"/>
  <c r="AD20" i="34"/>
  <c r="AD18" i="34"/>
  <c r="AI34" i="34"/>
  <c r="AD12" i="34"/>
  <c r="AD30" i="34"/>
  <c r="AD28" i="34"/>
  <c r="AD33" i="34"/>
  <c r="AD12" i="31"/>
  <c r="AD16" i="31"/>
  <c r="AD24" i="31"/>
  <c r="AD19" i="31"/>
  <c r="X34" i="31"/>
  <c r="AD27" i="31"/>
  <c r="AD31" i="31"/>
  <c r="AD15" i="31"/>
  <c r="AI34" i="31"/>
  <c r="AD14" i="31"/>
  <c r="AD18" i="31"/>
  <c r="AD20" i="31"/>
  <c r="AD30" i="31"/>
  <c r="AD23" i="31"/>
  <c r="AD10" i="31"/>
  <c r="AD22" i="31"/>
  <c r="AD29" i="31"/>
  <c r="AD11" i="31"/>
  <c r="AD33" i="31"/>
  <c r="AD34" i="31"/>
  <c r="D45" i="12"/>
  <c r="E45" i="12"/>
  <c r="C45" i="12"/>
  <c r="AD27" i="13"/>
  <c r="AD20" i="13"/>
  <c r="AD25" i="13"/>
  <c r="AD23" i="13"/>
  <c r="AD30" i="13"/>
  <c r="AD28" i="13"/>
  <c r="AD31" i="13"/>
  <c r="AD13" i="13"/>
  <c r="AD24" i="13"/>
  <c r="AD22" i="13"/>
  <c r="AD12" i="13"/>
  <c r="AD15" i="13"/>
  <c r="X34" i="13"/>
  <c r="AD33" i="13"/>
  <c r="AD10" i="13"/>
  <c r="AD18" i="13"/>
  <c r="AD34" i="13"/>
  <c r="AD16" i="13"/>
  <c r="AD29" i="13"/>
  <c r="AD19" i="13"/>
  <c r="AD14" i="13"/>
  <c r="AD11" i="13"/>
</calcChain>
</file>

<file path=xl/comments1.xml><?xml version="1.0" encoding="utf-8"?>
<comments xmlns="http://schemas.openxmlformats.org/spreadsheetml/2006/main">
  <authors>
    <author>Bala</author>
  </authors>
  <commentList>
    <comment ref="B4" authorId="0" shapeId="0">
      <text>
        <r>
          <rPr>
            <b/>
            <sz val="9"/>
            <color indexed="81"/>
            <rFont val="Tahoma"/>
            <family val="2"/>
          </rPr>
          <t>Bala:</t>
        </r>
        <r>
          <rPr>
            <sz val="9"/>
            <color indexed="81"/>
            <rFont val="Tahoma"/>
            <family val="2"/>
          </rPr>
          <t xml:space="preserve">
Serving Size Guide: https://www.eatforhealth.gov.au/food-essentials/how-much-do-we-need-each-day/serve-sizes</t>
        </r>
      </text>
    </comment>
  </commentList>
</comments>
</file>

<file path=xl/comments2.xml><?xml version="1.0" encoding="utf-8"?>
<comments xmlns="http://schemas.openxmlformats.org/spreadsheetml/2006/main">
  <authors>
    <author/>
  </authors>
  <commentList>
    <comment ref="D5" authorId="0" shapeId="0">
      <text>
        <r>
          <rPr>
            <b/>
            <sz val="8"/>
            <rFont val="Tahoma"/>
            <family val="2"/>
          </rPr>
          <t>kg CO₂e of CO₂ per unit</t>
        </r>
      </text>
    </comment>
  </commentList>
</comments>
</file>

<file path=xl/sharedStrings.xml><?xml version="1.0" encoding="utf-8"?>
<sst xmlns="http://schemas.openxmlformats.org/spreadsheetml/2006/main" count="1591" uniqueCount="715">
  <si>
    <t>Data inputs and calculations CO2 journal</t>
  </si>
  <si>
    <t>Room lighting</t>
  </si>
  <si>
    <t>bedroom (energy saving)</t>
  </si>
  <si>
    <t>W</t>
  </si>
  <si>
    <t>kWh/min</t>
  </si>
  <si>
    <t>kitchen (TL)</t>
  </si>
  <si>
    <t>bathroom (classic bulb)</t>
  </si>
  <si>
    <t>for now a preliminary estimate, try to gather info via gas meter (in basement)</t>
  </si>
  <si>
    <t>Cooking stove on gas</t>
  </si>
  <si>
    <t>boiling water</t>
  </si>
  <si>
    <t>heat to boil water</t>
  </si>
  <si>
    <t>kJ/m^3</t>
  </si>
  <si>
    <t>efficiency of gas stove</t>
  </si>
  <si>
    <t>http://www.bijlibachao.com/appliances/cooktop-comparison-gas-electric-and-induction.html</t>
  </si>
  <si>
    <t>heat to be provided by gas</t>
  </si>
  <si>
    <t>kWh/L</t>
  </si>
  <si>
    <t>carbon footprint</t>
  </si>
  <si>
    <t>kgCO2/L</t>
  </si>
  <si>
    <t>perparing pasta/rice/potatoes</t>
  </si>
  <si>
    <t>stove runs double as long as for boiling water, but lower level</t>
  </si>
  <si>
    <t>rough estimate take same</t>
  </si>
  <si>
    <t>L water to start with</t>
  </si>
  <si>
    <t>perparing cooked vegetables</t>
  </si>
  <si>
    <t>Take same emergy demand for now</t>
  </si>
  <si>
    <t>Heating water with gas boiler</t>
  </si>
  <si>
    <t>Dishes</t>
  </si>
  <si>
    <t>cold water T</t>
  </si>
  <si>
    <t>ºC</t>
  </si>
  <si>
    <t>cp water</t>
  </si>
  <si>
    <t>kJ/kg K</t>
  </si>
  <si>
    <t>hot water T</t>
  </si>
  <si>
    <t>rho water</t>
  </si>
  <si>
    <t>kg/m^3</t>
  </si>
  <si>
    <t>ΔT</t>
  </si>
  <si>
    <t>carbon emission gas boiler</t>
  </si>
  <si>
    <t>kgCO2/kWh</t>
  </si>
  <si>
    <t>http://www.engineeringtoolbox.com/co2-emission-fuels-d_1085.html</t>
  </si>
  <si>
    <t>heat required per m^3</t>
  </si>
  <si>
    <t>kWh/m^3</t>
  </si>
  <si>
    <t>carbon footprint gas boiler</t>
  </si>
  <si>
    <t>kgCO2/m^3</t>
  </si>
  <si>
    <t>note: this is only about the footprint of the burning in gas boiler itself, not of the whole production and supply chain of the gas!</t>
  </si>
  <si>
    <t>https://www.eia.gov/conference/2015/pdf/presentations/skone.pdf</t>
  </si>
  <si>
    <t>Shower/bad</t>
  </si>
  <si>
    <t>Laundry (taking hot water)</t>
  </si>
  <si>
    <t>water usage per kg</t>
  </si>
  <si>
    <t>L/kg laundry</t>
  </si>
  <si>
    <t>http://forums.digitalspy.co.uk/showthread.php?t=1959685</t>
  </si>
  <si>
    <t>carbon footprint per kg laundry</t>
  </si>
  <si>
    <t>kgCO2/kg laundry</t>
  </si>
  <si>
    <t>food footprint itself</t>
  </si>
  <si>
    <t>emissions per kg [kgCO2/kg]</t>
  </si>
  <si>
    <t>source</t>
  </si>
  <si>
    <t>banana</t>
  </si>
  <si>
    <t>source: http://www.greeneatz.com/foods-carbon-footprint.html</t>
  </si>
  <si>
    <t>kiwi</t>
  </si>
  <si>
    <t>apple</t>
  </si>
  <si>
    <t>peach</t>
  </si>
  <si>
    <t>tomato</t>
  </si>
  <si>
    <t>carrot</t>
  </si>
  <si>
    <t>mushrooms</t>
  </si>
  <si>
    <t>lettuce</t>
  </si>
  <si>
    <t>eggplant</t>
  </si>
  <si>
    <t>courgette</t>
  </si>
  <si>
    <t>beans</t>
  </si>
  <si>
    <t>pepper</t>
  </si>
  <si>
    <t>onion</t>
  </si>
  <si>
    <t>potato</t>
  </si>
  <si>
    <t>rice</t>
  </si>
  <si>
    <t>pasta</t>
  </si>
  <si>
    <t>bread</t>
  </si>
  <si>
    <t>https://www.fibl.org/fileadmin/documents/de/oesterreich/arbeitsschwerpunkte/Klima/Presentation_Schader_Biofach_1002.pdf</t>
  </si>
  <si>
    <t>oat</t>
  </si>
  <si>
    <t>milk</t>
  </si>
  <si>
    <t>soy milk</t>
  </si>
  <si>
    <t>http://www.foodandnutritionresearch.net/index.php/fnr/article/view/5170/5887</t>
  </si>
  <si>
    <t>oat drink</t>
  </si>
  <si>
    <t>http://www.foodandnutritionresearch.net/index.php/fnr/article/view/5170/5888</t>
  </si>
  <si>
    <t>fruit juice</t>
  </si>
  <si>
    <t>http://www.foodandnutritionresearch.net/index.php/fnr/article/view/5170/5889</t>
  </si>
  <si>
    <t>beer</t>
  </si>
  <si>
    <t>http://www.foodandnutritionresearch.net/index.php/fnr/article/view/5170/5890</t>
  </si>
  <si>
    <t>eggs</t>
  </si>
  <si>
    <t>tuna</t>
  </si>
  <si>
    <t>lentils</t>
  </si>
  <si>
    <t>tofu/seitan</t>
  </si>
  <si>
    <t>Lamb</t>
  </si>
  <si>
    <t>http://www.greeneatz.com/foods-carbon-footprint.html</t>
  </si>
  <si>
    <t>Beef</t>
  </si>
  <si>
    <t>Cheese</t>
  </si>
  <si>
    <t>Pork</t>
  </si>
  <si>
    <t>Turkey</t>
  </si>
  <si>
    <t>Chicken</t>
  </si>
  <si>
    <t>Spain electricity mix footprint</t>
  </si>
  <si>
    <t>average 2015, in kgCO2/kWh</t>
  </si>
  <si>
    <t>Barcelona water footprint</t>
  </si>
  <si>
    <t>total water delivery BCN</t>
  </si>
  <si>
    <t>L/ year (2010)</t>
  </si>
  <si>
    <t>http://www.tandfonline.com/doi/abs/10.1080/02508060.2014.951252</t>
  </si>
  <si>
    <t>total carbon footprint water installations AMB</t>
  </si>
  <si>
    <t>kgCO2e/year(2011)</t>
  </si>
  <si>
    <t>http://www.amb.cat/es/web/medi-ambient/sostenibilitat/canvi-climatic/petjada-del-carboni</t>
  </si>
  <si>
    <t>total footprint per litre</t>
  </si>
  <si>
    <t>kgCO2e/L</t>
  </si>
  <si>
    <t>total BCN water supply (aiguës de Barcelona)</t>
  </si>
  <si>
    <t>L/year</t>
  </si>
  <si>
    <t>2015 data</t>
  </si>
  <si>
    <t>http://www.aiguesdebarcelona.cat/documents/2950762/0/Aig%C3%BCes+de+Barcelona+Informe+2015_cast.pdf/0d77fa8d-e2dc-4d5a-8472-52a16d822699</t>
  </si>
  <si>
    <t>total carbon footprint aiguës de Barcelona</t>
  </si>
  <si>
    <t>kg CO2/year</t>
  </si>
  <si>
    <t>note, the CO2 data is for all operations of Aiguës de Barcelona. They do also waste water treatment. So it's fair to state that the WHOLE water life cycle has quite a carbon footprint</t>
  </si>
  <si>
    <t>lighting</t>
  </si>
  <si>
    <t>http://link.springer.com/article/10.1007/s40518-014-0024-3</t>
  </si>
  <si>
    <t>http://www.eea.europa.eu/data-and-maps/indicators/energy-efficiency-and-energy-consumption-5/assessment</t>
  </si>
  <si>
    <t>https://www.gov.uk/government/uploads/system/uploads/attachment_data/file/376177/ECA758_Hot_water_boiler_equipment.pdf</t>
  </si>
  <si>
    <t>http://www.amb.cat/web/medi-ambient/sostenibilitat/canvi-climatic/petjada-del-carboni#box4</t>
  </si>
  <si>
    <t>http://waterfootprint.org/media/downloads/Ercin-Hoekstra-2012-Carbon-and-Water-Footprints_1.PDF</t>
  </si>
  <si>
    <t>http://oco-carbon.com/metrics/the-carbon-footprint-of-tap-water/</t>
  </si>
  <si>
    <t>http://www.energysavingtrust.org.uk/resources/tools-calculators/water-energy</t>
  </si>
  <si>
    <t>https://www.csu.edu/cerc/researchreports/documents/CarbonFootprintofWater-RiverNetwork-2009.pdf</t>
  </si>
  <si>
    <t>http://energy.gov/node/773531/residential/pdfs/cookgtsd.pdf</t>
  </si>
  <si>
    <t>http://energyusecalculator.com/electricity_refrigerator.htm</t>
  </si>
  <si>
    <t>http://www.oecd-ilibrary.org/docserver/download/6113151e.pdf?expires=1474983431&amp;id=id&amp;accname=ocid49025850&amp;checksum=4DAB90EF6F2F7A70251F16451A514C15</t>
  </si>
  <si>
    <t>http://www.consumerenergycenter.org/residential/appliances/ranges.html</t>
  </si>
  <si>
    <t>http://www.fcrn.org.uk/</t>
  </si>
  <si>
    <t>http://static.ewg.org/reports/2011/meateaters/pdf/methodology_ewg_meat_eaters_guide_to_health_and_climate_2011.pdf</t>
  </si>
  <si>
    <t>toilet</t>
  </si>
  <si>
    <t>laundry</t>
  </si>
  <si>
    <t>Shower</t>
  </si>
  <si>
    <t>Bath</t>
  </si>
  <si>
    <t>electricity [kWh]</t>
  </si>
  <si>
    <t>hidden CO2 [kgCO2e]</t>
  </si>
  <si>
    <t>direct CO2 [kgCO2e]</t>
  </si>
  <si>
    <t>hidden water [L]</t>
  </si>
  <si>
    <t>direct water [L]</t>
  </si>
  <si>
    <t>Bath tub full</t>
  </si>
  <si>
    <t>Bath tub half</t>
  </si>
  <si>
    <t>LPM</t>
  </si>
  <si>
    <t>L</t>
  </si>
  <si>
    <t>frequency</t>
  </si>
  <si>
    <t>Activity</t>
  </si>
  <si>
    <t>Lifestyle</t>
  </si>
  <si>
    <t>Impact measure</t>
  </si>
  <si>
    <t>unit</t>
  </si>
  <si>
    <t>times/week</t>
  </si>
  <si>
    <t>min/week</t>
  </si>
  <si>
    <t>Toilet</t>
  </si>
  <si>
    <t xml:space="preserve"> Toilet dual flush - small</t>
  </si>
  <si>
    <t>Toilet dual flush - large</t>
  </si>
  <si>
    <t>times/day</t>
  </si>
  <si>
    <t>Brushing teeth</t>
  </si>
  <si>
    <t>Brushing teeth closed tap</t>
  </si>
  <si>
    <t>Brushing teeth open tap</t>
  </si>
  <si>
    <t>Washing hands</t>
  </si>
  <si>
    <t>Shaving</t>
  </si>
  <si>
    <t>Data look-up table</t>
  </si>
  <si>
    <t>Laundry</t>
  </si>
  <si>
    <t>Washing</t>
  </si>
  <si>
    <t>Drying</t>
  </si>
  <si>
    <t>Washing machine standard</t>
  </si>
  <si>
    <t>L/kg</t>
  </si>
  <si>
    <t>kWh/kg</t>
  </si>
  <si>
    <t>kg/week</t>
  </si>
  <si>
    <t>Boiling water (tea/coffee)</t>
  </si>
  <si>
    <t>Kettle</t>
  </si>
  <si>
    <t>Microwave</t>
  </si>
  <si>
    <t>Stove</t>
  </si>
  <si>
    <t>L/day</t>
  </si>
  <si>
    <t>Television</t>
  </si>
  <si>
    <t>Personal computer</t>
  </si>
  <si>
    <t>Mobile phone</t>
  </si>
  <si>
    <t>hours/week</t>
  </si>
  <si>
    <t>LCD TV</t>
  </si>
  <si>
    <t>LED TV</t>
  </si>
  <si>
    <t>Plasma TV</t>
  </si>
  <si>
    <t>Desktop PC with external monitor</t>
  </si>
  <si>
    <t>Laptop</t>
  </si>
  <si>
    <t>Tablet</t>
  </si>
  <si>
    <t>hours/day</t>
  </si>
  <si>
    <t>kW</t>
  </si>
  <si>
    <t>weekly footprint</t>
  </si>
  <si>
    <t>yearly footprint</t>
  </si>
  <si>
    <t>kWh/cycle</t>
  </si>
  <si>
    <t>cycles/week</t>
  </si>
  <si>
    <t>Doing the dishes manually</t>
  </si>
  <si>
    <t>Dishwasher</t>
  </si>
  <si>
    <t>L/time</t>
  </si>
  <si>
    <t>L/cycle</t>
  </si>
  <si>
    <t>co2 footprint of electricity mix</t>
  </si>
  <si>
    <t>Country</t>
  </si>
  <si>
    <t>Unit</t>
  </si>
  <si>
    <t>Year</t>
  </si>
  <si>
    <t>kg CO2</t>
  </si>
  <si>
    <t>kWh</t>
  </si>
  <si>
    <t xml:space="preserve"> Australia</t>
  </si>
  <si>
    <t xml:space="preserve"> Austria</t>
  </si>
  <si>
    <t xml:space="preserve"> Belgium</t>
  </si>
  <si>
    <t xml:space="preserve"> Brazil</t>
  </si>
  <si>
    <t xml:space="preserve"> Bulgaria</t>
  </si>
  <si>
    <t xml:space="preserve"> Canada</t>
  </si>
  <si>
    <t xml:space="preserve"> Chinese Taipei</t>
  </si>
  <si>
    <t xml:space="preserve"> Croatia</t>
  </si>
  <si>
    <t xml:space="preserve"> Cyprus</t>
  </si>
  <si>
    <t xml:space="preserve"> Czech Republic</t>
  </si>
  <si>
    <t xml:space="preserve"> Denmark</t>
  </si>
  <si>
    <t xml:space="preserve"> Egypt</t>
  </si>
  <si>
    <t xml:space="preserve"> Estonia</t>
  </si>
  <si>
    <t xml:space="preserve"> Finland</t>
  </si>
  <si>
    <t xml:space="preserve"> France</t>
  </si>
  <si>
    <t xml:space="preserve"> Germany</t>
  </si>
  <si>
    <t xml:space="preserve"> Gibraltar</t>
  </si>
  <si>
    <t xml:space="preserve"> Greece</t>
  </si>
  <si>
    <t xml:space="preserve"> Hong Kong, China</t>
  </si>
  <si>
    <t xml:space="preserve"> Hungary</t>
  </si>
  <si>
    <t xml:space="preserve"> Iceland</t>
  </si>
  <si>
    <t xml:space="preserve"> India</t>
  </si>
  <si>
    <t xml:space="preserve"> Indonesia</t>
  </si>
  <si>
    <t xml:space="preserve"> Ireland</t>
  </si>
  <si>
    <t xml:space="preserve"> Israel</t>
  </si>
  <si>
    <t xml:space="preserve"> Italy</t>
  </si>
  <si>
    <t xml:space="preserve"> Japan</t>
  </si>
  <si>
    <t xml:space="preserve"> Latvia</t>
  </si>
  <si>
    <t xml:space="preserve"> Lithuania</t>
  </si>
  <si>
    <t xml:space="preserve"> Luxembourg</t>
  </si>
  <si>
    <t xml:space="preserve"> Malaysia</t>
  </si>
  <si>
    <t xml:space="preserve"> Malta</t>
  </si>
  <si>
    <t xml:space="preserve"> Mexico</t>
  </si>
  <si>
    <t xml:space="preserve"> Netherlands</t>
  </si>
  <si>
    <t xml:space="preserve"> New Zealand</t>
  </si>
  <si>
    <t xml:space="preserve"> Norway</t>
  </si>
  <si>
    <t xml:space="preserve"> Pakistan</t>
  </si>
  <si>
    <t xml:space="preserve"> People's Rep. of China</t>
  </si>
  <si>
    <t xml:space="preserve"> Philippines</t>
  </si>
  <si>
    <t xml:space="preserve"> Poland</t>
  </si>
  <si>
    <t xml:space="preserve"> Portugal</t>
  </si>
  <si>
    <t xml:space="preserve"> Romania</t>
  </si>
  <si>
    <t xml:space="preserve"> Russian Federation</t>
  </si>
  <si>
    <t xml:space="preserve"> Saudi Arabia</t>
  </si>
  <si>
    <t xml:space="preserve"> Singapore</t>
  </si>
  <si>
    <t xml:space="preserve"> Slovak Republic</t>
  </si>
  <si>
    <t xml:space="preserve"> Slovenia</t>
  </si>
  <si>
    <t xml:space="preserve"> South Africa</t>
  </si>
  <si>
    <t xml:space="preserve"> South Korea</t>
  </si>
  <si>
    <t xml:space="preserve"> Spain</t>
  </si>
  <si>
    <t xml:space="preserve"> Sweden</t>
  </si>
  <si>
    <t xml:space="preserve"> Switzerland</t>
  </si>
  <si>
    <t xml:space="preserve"> Thailand</t>
  </si>
  <si>
    <t xml:space="preserve"> Turkey</t>
  </si>
  <si>
    <t xml:space="preserve"> Ukraine</t>
  </si>
  <si>
    <t xml:space="preserve"> United States</t>
  </si>
  <si>
    <t xml:space="preserve"> Africa (average)</t>
  </si>
  <si>
    <t xml:space="preserve"> EU (average)</t>
  </si>
  <si>
    <t xml:space="preserve"> Latin America (average)</t>
  </si>
  <si>
    <t xml:space="preserve"> Middle East (average)</t>
  </si>
  <si>
    <t xml:space="preserve"> Non-OECD Europe and Eurasia (average)</t>
  </si>
  <si>
    <t>Natural gas boiler</t>
  </si>
  <si>
    <t>Electric boiler</t>
  </si>
  <si>
    <t>co2 footprint of CH4 boiler</t>
  </si>
  <si>
    <t>kWh primary heat/L</t>
  </si>
  <si>
    <t>natural gas boiler efficiency</t>
  </si>
  <si>
    <t>electric boiler efficiency</t>
  </si>
  <si>
    <t>degrees C</t>
  </si>
  <si>
    <t>all for 800 lumen</t>
  </si>
  <si>
    <t>Shower/bath</t>
  </si>
  <si>
    <t>kWh primary electricity/L</t>
  </si>
  <si>
    <t>kWh grid/L</t>
  </si>
  <si>
    <t>kgC02/kg</t>
  </si>
  <si>
    <t>Household inputs</t>
  </si>
  <si>
    <t>Diet inputs</t>
  </si>
  <si>
    <t>Household footprint calculator</t>
  </si>
  <si>
    <t>General information: fill in the red column</t>
  </si>
  <si>
    <t>click here</t>
  </si>
  <si>
    <t>Complete the household input sheet</t>
  </si>
  <si>
    <t>Complete the diet input sheet</t>
  </si>
  <si>
    <t xml:space="preserve">version: </t>
  </si>
  <si>
    <t>Consult your footprint report</t>
  </si>
  <si>
    <t>go back to start page</t>
  </si>
  <si>
    <t>please indicate your lifestyle and activity frequency under user input</t>
  </si>
  <si>
    <t>washing</t>
  </si>
  <si>
    <t>dishes</t>
  </si>
  <si>
    <t>shower/bath</t>
  </si>
  <si>
    <t>Footprint report</t>
  </si>
  <si>
    <t>consult here the outcome of the calculation</t>
  </si>
  <si>
    <t>Total fresh water consumption</t>
  </si>
  <si>
    <t>Total carbon footprint</t>
  </si>
  <si>
    <t>Total electricity consumption</t>
  </si>
  <si>
    <t>liters</t>
  </si>
  <si>
    <t>kgCO2</t>
  </si>
  <si>
    <t>Summary for one year</t>
  </si>
  <si>
    <t>Breakdown and intuitive quantisation</t>
  </si>
  <si>
    <t>data sources are given in report</t>
  </si>
  <si>
    <t>Total</t>
  </si>
  <si>
    <t>bath tub equivalent</t>
  </si>
  <si>
    <t>olympic swimming pool equivalent</t>
  </si>
  <si>
    <t>water to grow tomato</t>
  </si>
  <si>
    <t xml:space="preserve">number of tomatoes you can grow </t>
  </si>
  <si>
    <t>Equivalent to</t>
  </si>
  <si>
    <t>litres</t>
  </si>
  <si>
    <t>TV</t>
  </si>
  <si>
    <t>PC, tablet and mobile phone</t>
  </si>
  <si>
    <t>number of Iphone6 full charge</t>
  </si>
  <si>
    <t>kilometers with Tesla model S</t>
  </si>
  <si>
    <t>kilometer with Tesla S</t>
  </si>
  <si>
    <t>day with 80W light bulb</t>
  </si>
  <si>
    <t>Iphone6 full charge</t>
  </si>
  <si>
    <t>hot water boiler (kettle + boiler if electric)</t>
  </si>
  <si>
    <t>Carbon footprint</t>
  </si>
  <si>
    <t>TV, PC, tablet and mobile phone</t>
  </si>
  <si>
    <t>food</t>
  </si>
  <si>
    <t>kilometer by plane</t>
  </si>
  <si>
    <t>kilometer by medium car</t>
  </si>
  <si>
    <t>tree absorbing CO2</t>
  </si>
  <si>
    <t>kgCO3</t>
  </si>
  <si>
    <t>kgCO4</t>
  </si>
  <si>
    <t>kilometers by plane</t>
  </si>
  <si>
    <t>number of trees needed to absorb CO2</t>
  </si>
  <si>
    <t>new weekly footprint</t>
  </si>
  <si>
    <t>new yearly footprint</t>
  </si>
  <si>
    <t>original yearly footprint</t>
  </si>
  <si>
    <t>you can change the user inputs to observe the change in footprint with respect to the original</t>
  </si>
  <si>
    <t>Explore alternative lifestyles</t>
  </si>
  <si>
    <t>Explore the footprint changes by alternative lifestyle choices</t>
  </si>
  <si>
    <t>select a new lifestyle</t>
  </si>
  <si>
    <t>number of full bath tubs</t>
  </si>
  <si>
    <t>olympic swimming pool filling rate</t>
  </si>
  <si>
    <t>Water footprint</t>
  </si>
  <si>
    <t>Grid electricity consumption</t>
  </si>
  <si>
    <t>number of days on classic light bulb</t>
  </si>
  <si>
    <t>kilometers by average car</t>
  </si>
  <si>
    <t>* positive value: you decreased your footprint, this is the way to go! negative value: you increased your footprint, better don't do this!</t>
  </si>
  <si>
    <t>contribution in the total saving</t>
  </si>
  <si>
    <t>Weekly</t>
  </si>
  <si>
    <t>Category</t>
  </si>
  <si>
    <t>Item</t>
  </si>
  <si>
    <t>Serving Description</t>
  </si>
  <si>
    <t>Mode</t>
  </si>
  <si>
    <t>Apple</t>
  </si>
  <si>
    <t>Dairy</t>
  </si>
  <si>
    <t>Milk</t>
  </si>
  <si>
    <t>Grains</t>
  </si>
  <si>
    <t>Rice</t>
  </si>
  <si>
    <t>Potatoes</t>
  </si>
  <si>
    <t>Beetroot</t>
  </si>
  <si>
    <t>Carrot</t>
  </si>
  <si>
    <t>Yoghurt</t>
  </si>
  <si>
    <t>Others</t>
  </si>
  <si>
    <t>Pasta</t>
  </si>
  <si>
    <t>White Bread</t>
  </si>
  <si>
    <t>Beer</t>
  </si>
  <si>
    <t>Cheese (Processed)</t>
  </si>
  <si>
    <t>Road</t>
  </si>
  <si>
    <t>Rail</t>
  </si>
  <si>
    <t>Water</t>
  </si>
  <si>
    <t>Air</t>
  </si>
  <si>
    <t>Assumption: Common food in super markets are considered. Locally produced foods may or may not have higher CF.</t>
  </si>
  <si>
    <t>Distance (km)</t>
  </si>
  <si>
    <t>kgCO2e/kgfood</t>
  </si>
  <si>
    <t>http://shrinkthatfootprint.com/food-miles</t>
  </si>
  <si>
    <t>Seasonality: General trends in seasonality is considered. Food is usually transported from afar is locally not available. Greenhouse production isn't considered. However, there is an ingrained incentive to eat cheaper food as food off-season is more expensive than seasonal food.</t>
  </si>
  <si>
    <t>Land Use Change: Variations isn't considered.</t>
  </si>
  <si>
    <t>Categories</t>
  </si>
  <si>
    <t>Choice</t>
  </si>
  <si>
    <t>Daily</t>
  </si>
  <si>
    <t>Meats</t>
  </si>
  <si>
    <t>Calculator</t>
  </si>
  <si>
    <t>Production</t>
  </si>
  <si>
    <t>Transport</t>
  </si>
  <si>
    <t>NOTE: The data range for the food categories is prone to errors!</t>
  </si>
  <si>
    <t>Serving Mass (kg/#)</t>
  </si>
  <si>
    <t>Emission kgCO2e/kg</t>
  </si>
  <si>
    <t>Trsptrt Mode</t>
  </si>
  <si>
    <t>g/1000kcal</t>
  </si>
  <si>
    <t>Brown Bread</t>
  </si>
  <si>
    <t>Butter</t>
  </si>
  <si>
    <t>Eggs-Large</t>
  </si>
  <si>
    <t>Eggplant</t>
  </si>
  <si>
    <t>Banana</t>
  </si>
  <si>
    <t>Brocolli</t>
  </si>
  <si>
    <t>Garlic</t>
  </si>
  <si>
    <t>One clove is 10g</t>
  </si>
  <si>
    <t>Lemon</t>
  </si>
  <si>
    <t>Lettuce</t>
  </si>
  <si>
    <t>Onions</t>
  </si>
  <si>
    <t>Sweet Potato</t>
  </si>
  <si>
    <t>Tomato</t>
  </si>
  <si>
    <t>One cup is 250g</t>
  </si>
  <si>
    <t>Maize</t>
  </si>
  <si>
    <t>Breakfast Cereal</t>
  </si>
  <si>
    <t>Shrimp</t>
  </si>
  <si>
    <t>Mushroom</t>
  </si>
  <si>
    <t>Soft Drinks</t>
  </si>
  <si>
    <t>Coffee</t>
  </si>
  <si>
    <t>Canola Oil</t>
  </si>
  <si>
    <t>Tofu (firm)</t>
  </si>
  <si>
    <t>Whiskey</t>
  </si>
  <si>
    <t>2000kcal</t>
  </si>
  <si>
    <t>g/2000kcal</t>
  </si>
  <si>
    <t>http://www.stevenhamley.com.au/2014/07/comparing-nutrient-density-with.html</t>
  </si>
  <si>
    <t>All cuts, raw</t>
  </si>
  <si>
    <t>Raw</t>
  </si>
  <si>
    <t>Raw, white</t>
  </si>
  <si>
    <t>Cornmeal (Polenta)</t>
  </si>
  <si>
    <t>Tofu</t>
  </si>
  <si>
    <t>Firm</t>
  </si>
  <si>
    <t>Mix of grain and refined</t>
  </si>
  <si>
    <t>Chappati</t>
  </si>
  <si>
    <t>No added fat</t>
  </si>
  <si>
    <t>Potato</t>
  </si>
  <si>
    <t>Regular</t>
  </si>
  <si>
    <t>Corn flour, dry</t>
  </si>
  <si>
    <t>The food energy that remains the same is each diet is roughly 450 kcal of cereals, 80 kcal of fruit, 50 kcal of vegetables, 580 kcal of oils, 220 kcal of snacks and 180 kcal of drinks.</t>
  </si>
  <si>
    <t>Read more at http://shrinkthatfootprint.com/food-carbon-footprint-diet#quR7ZWHpyv0J26Ry.99</t>
  </si>
  <si>
    <t>Diet</t>
  </si>
  <si>
    <t>kcal</t>
  </si>
  <si>
    <t>Cereals</t>
  </si>
  <si>
    <t>Fruit</t>
  </si>
  <si>
    <t>Vegetables</t>
  </si>
  <si>
    <t>Oils</t>
  </si>
  <si>
    <t>Snacks</t>
  </si>
  <si>
    <t>Drinks</t>
  </si>
  <si>
    <t>Main</t>
  </si>
  <si>
    <t>Veg</t>
  </si>
  <si>
    <t>Non Veg</t>
  </si>
  <si>
    <t>My Case</t>
  </si>
  <si>
    <t>Options</t>
  </si>
  <si>
    <t>Classification</t>
  </si>
  <si>
    <t>gCO2/g</t>
  </si>
  <si>
    <t>Case 1</t>
  </si>
  <si>
    <t>Case 2</t>
  </si>
  <si>
    <t>Case 3</t>
  </si>
  <si>
    <t>Mixed</t>
  </si>
  <si>
    <t>Non Veg High</t>
  </si>
  <si>
    <t>Non Veg Low</t>
  </si>
  <si>
    <t>Sub Veg</t>
  </si>
  <si>
    <t>Vegetarian</t>
  </si>
  <si>
    <t>STATUS</t>
  </si>
  <si>
    <t>The sum must be equal to 100% for correct results</t>
  </si>
  <si>
    <t>Case 1 (g CO2e)</t>
  </si>
  <si>
    <t>Summary</t>
  </si>
  <si>
    <t>Key Facts</t>
  </si>
  <si>
    <t>Marker</t>
  </si>
  <si>
    <t>gCO2/day</t>
  </si>
  <si>
    <t>* Here only 1000kcal of expected 2600 kcal for health male is considered</t>
  </si>
  <si>
    <t>* The emission of food and energy of food are from different sources</t>
  </si>
  <si>
    <t>* Average of 250 miles transport is considered</t>
  </si>
  <si>
    <t>Household calculator under the hood</t>
  </si>
  <si>
    <t>fill in your data below</t>
  </si>
  <si>
    <t>Now complete the diet input sheet ==&gt;</t>
  </si>
  <si>
    <t>Food Footprint report</t>
  </si>
  <si>
    <t>Explore alternative dietary choices</t>
  </si>
  <si>
    <t>Personal Information</t>
  </si>
  <si>
    <t>(we promise anonymity)</t>
  </si>
  <si>
    <t>Select your residence country in the dropdown menu</t>
  </si>
  <si>
    <t>Which water heating technology do you have?</t>
  </si>
  <si>
    <t>Report preferences</t>
  </si>
  <si>
    <t>Indicate your preferences for this report here, as well as a bit of feedback on how we can make this calculator more user friendly. Thank you for your time!</t>
  </si>
  <si>
    <t>I want to receive recommendations to reduce my dietary carbon footprint</t>
  </si>
  <si>
    <t>I want to receive recommendations to reduce my water comsumption of household activities</t>
  </si>
  <si>
    <t>I want to recive recommendations to reduce my electricity consumption of household activities</t>
  </si>
  <si>
    <t>I want to receive recommendations to reduce my carbon footprint of household activities</t>
  </si>
  <si>
    <t>Report preferences and Feedback</t>
  </si>
  <si>
    <t>Feedback</t>
  </si>
  <si>
    <t>I want to receive a water and electricity footprint report (detailed breakdown of water and electricity consumption)</t>
  </si>
  <si>
    <t>agree</t>
  </si>
  <si>
    <t>don't agree</t>
  </si>
  <si>
    <t>The household input sheet takes too long to fill out</t>
  </si>
  <si>
    <t>The dietary input sheet takes too long to fill out</t>
  </si>
  <si>
    <t>The maximum amount of time I want to spent on filling out the sheets is…</t>
  </si>
  <si>
    <t>please select</t>
  </si>
  <si>
    <t>The lifestyle descriptions in the household input sheet are unclear</t>
  </si>
  <si>
    <t>The dietary input descriptions are unclear</t>
  </si>
  <si>
    <t>Overall, the usage of the calculator was confusing</t>
  </si>
  <si>
    <t>5 min</t>
  </si>
  <si>
    <t>10 min</t>
  </si>
  <si>
    <t>15 min</t>
  </si>
  <si>
    <t>I don't mind</t>
  </si>
  <si>
    <t>yes</t>
  </si>
  <si>
    <t>no</t>
  </si>
  <si>
    <t xml:space="preserve">Lifestyle </t>
  </si>
  <si>
    <t xml:space="preserve">Frequency </t>
  </si>
  <si>
    <t>(fill in a number according to the unit)</t>
  </si>
  <si>
    <t>(don't change this cell)</t>
  </si>
  <si>
    <t>Normal shower head</t>
  </si>
  <si>
    <t>Water saving shower head (flow reduction)</t>
  </si>
  <si>
    <t>Please select</t>
  </si>
  <si>
    <t>I am not sure</t>
  </si>
  <si>
    <t>I don't take baths</t>
  </si>
  <si>
    <t>Standard toilet</t>
  </si>
  <si>
    <t>Toilet with two flush options (urine/faeces)</t>
  </si>
  <si>
    <t>nothing to select</t>
  </si>
  <si>
    <t>(click on cell &amp; choose from dropdown list)</t>
  </si>
  <si>
    <t>Manually washing the clothes</t>
  </si>
  <si>
    <t>Washing machine eco mode</t>
  </si>
  <si>
    <t>Dry with tuble dryer</t>
  </si>
  <si>
    <t>Dry in sun and wind</t>
  </si>
  <si>
    <t>In the bathroom</t>
  </si>
  <si>
    <t>In the laundry room</t>
  </si>
  <si>
    <t>In the kitchen</t>
  </si>
  <si>
    <t>In the living room and home office</t>
  </si>
  <si>
    <t>How I light my house</t>
  </si>
  <si>
    <t>I use a dishwasher and fill it half before running</t>
  </si>
  <si>
    <t>I use a dishwasher and always fill it completely before running</t>
  </si>
  <si>
    <t>I don't have a dishwasher</t>
  </si>
  <si>
    <t>I never do the dishes manually</t>
  </si>
  <si>
    <t>I (sometimes) do the dishes manually</t>
  </si>
  <si>
    <t>I don't have a tablet</t>
  </si>
  <si>
    <t>I don't have a mobile phone</t>
  </si>
  <si>
    <t>Mobile phone, and I charge it…</t>
  </si>
  <si>
    <t>mainly incandescant light bulbs</t>
  </si>
  <si>
    <t>mainly halogen lamps</t>
  </si>
  <si>
    <t>mainly CFL (also known as energy saving lamps)</t>
  </si>
  <si>
    <t>mainly LED lighting</t>
  </si>
  <si>
    <t>Household activity input sheet</t>
  </si>
  <si>
    <t>Lighting technology around the house</t>
  </si>
  <si>
    <t>Let us known your report preferences and feedback</t>
  </si>
  <si>
    <t>Contact Email Address (to sent you the footprint report)</t>
  </si>
  <si>
    <t>Your Name and Surname</t>
  </si>
  <si>
    <t>Your Gender</t>
  </si>
  <si>
    <t>Your Profession</t>
  </si>
  <si>
    <t>Please select your country</t>
  </si>
  <si>
    <t>Let's get started!</t>
  </si>
  <si>
    <t>relative footprint reduction*</t>
  </si>
  <si>
    <t>absolute footprint reduction*</t>
  </si>
  <si>
    <t>Dry with tumble dryer</t>
  </si>
  <si>
    <t>You have the option to choose an item if it is not listed by opting Others&gt;Unlisted. Kindly indicate the food type in comments on "Unlisted" cell.</t>
  </si>
  <si>
    <t>Provide any other comments in the box below.</t>
  </si>
  <si>
    <t>Estimated Completion Time: 4 mins</t>
  </si>
  <si>
    <t>Estimated Completion Time: 6 mins</t>
  </si>
  <si>
    <t>Estimated Completion Time: 1 min</t>
  </si>
  <si>
    <t>shower/bath and washing</t>
  </si>
  <si>
    <t>tea/coffee</t>
  </si>
  <si>
    <t>kitchen and sanitary hot water</t>
  </si>
  <si>
    <t>Unemployed</t>
  </si>
  <si>
    <t>Student</t>
  </si>
  <si>
    <t>Government</t>
  </si>
  <si>
    <t>Industry</t>
  </si>
  <si>
    <t>Retail</t>
  </si>
  <si>
    <t>Health care</t>
  </si>
  <si>
    <t>Education</t>
  </si>
  <si>
    <t>male</t>
  </si>
  <si>
    <t>female</t>
  </si>
  <si>
    <t>Year of birth</t>
  </si>
  <si>
    <t xml:space="preserve">You are nearly done! Thanks for filling out the household and dietary input sheets. We will prepare a footprint report and send it to the email address you provided at the Start sheet. </t>
  </si>
  <si>
    <t>I want to receive a detailed diatery footprint report (footprint for every food item broken down in transport and production emissions)</t>
  </si>
  <si>
    <t>Transport Emissions</t>
  </si>
  <si>
    <t>One Slice (40g)</t>
  </si>
  <si>
    <t>One tbspn (15 ml)</t>
  </si>
  <si>
    <t>One cube (20g)</t>
  </si>
  <si>
    <t>One large (60g)</t>
  </si>
  <si>
    <t>Eggs-Medium</t>
  </si>
  <si>
    <t>One medium (40g)</t>
  </si>
  <si>
    <t>One Cup (250 ml)</t>
  </si>
  <si>
    <t>One cup (200ml)</t>
  </si>
  <si>
    <t>One Medium (150g)</t>
  </si>
  <si>
    <t>Half Cup (75g)</t>
  </si>
  <si>
    <t>One Medium (75g)</t>
  </si>
  <si>
    <t>Spinach</t>
  </si>
  <si>
    <t>One Cup (75g)</t>
  </si>
  <si>
    <t>One Cup (150g)</t>
  </si>
  <si>
    <t>Half Medium (75g)</t>
  </si>
  <si>
    <t>1 Medium (75g)</t>
  </si>
  <si>
    <t>Half Cup (60g)</t>
  </si>
  <si>
    <t>Rice-Cooked</t>
  </si>
  <si>
    <t>One cup (120g)</t>
  </si>
  <si>
    <t>Flat Bread</t>
  </si>
  <si>
    <t>One Medium (80g)</t>
  </si>
  <si>
    <t>Beef-Cooked</t>
  </si>
  <si>
    <t>One Serve (65g)</t>
  </si>
  <si>
    <t>Chicken-Cooked</t>
  </si>
  <si>
    <t>One Serve (80g)</t>
  </si>
  <si>
    <t>One Serve (100g)</t>
  </si>
  <si>
    <t>Lamb- Cooked</t>
  </si>
  <si>
    <t>Pork- Cooked</t>
  </si>
  <si>
    <t>One Can (330ml)</t>
  </si>
  <si>
    <t>Pasta-Cooked</t>
  </si>
  <si>
    <t>One Cup (120g)</t>
  </si>
  <si>
    <t>Two Tbsp (30g)</t>
  </si>
  <si>
    <t>One Cup (170g)</t>
  </si>
  <si>
    <t>One Peg (80 ml)</t>
  </si>
  <si>
    <t>Below you can provide information on what you eat on a typical day.From the drop down next on "Diet Input Days" choose the number of days worth data are you entering.</t>
  </si>
  <si>
    <t>Diet Input Days</t>
  </si>
  <si>
    <t>Breakfast</t>
  </si>
  <si>
    <t>Description</t>
  </si>
  <si>
    <t>Serving</t>
  </si>
  <si>
    <t>Lunch</t>
  </si>
  <si>
    <t>Dinner</t>
  </si>
  <si>
    <t>GRAND SUM</t>
  </si>
  <si>
    <t>Emissions</t>
  </si>
  <si>
    <t xml:space="preserve">Lunch </t>
  </si>
  <si>
    <t>Total kg CO2e</t>
  </si>
  <si>
    <t>NET FOOTPRINT [kgCO2e]</t>
  </si>
  <si>
    <t>Beverages</t>
  </si>
  <si>
    <t>Tea</t>
  </si>
  <si>
    <t>Wine</t>
  </si>
  <si>
    <t>Soy Milk</t>
  </si>
  <si>
    <t>One Glass (150 ml)</t>
  </si>
  <si>
    <t>Beans, dried</t>
  </si>
  <si>
    <t>Grapes</t>
  </si>
  <si>
    <t>Fruits</t>
  </si>
  <si>
    <t>Melons</t>
  </si>
  <si>
    <t>Walnuts-Dry</t>
  </si>
  <si>
    <t>Almonds-Organic</t>
  </si>
  <si>
    <t>Soybean Oil</t>
  </si>
  <si>
    <t>Peanut Butter</t>
  </si>
  <si>
    <t>Sausages</t>
  </si>
  <si>
    <t>One Unit (75g)</t>
  </si>
  <si>
    <t>Potato Chips</t>
  </si>
  <si>
    <t>One Pack (50g)</t>
  </si>
  <si>
    <t>Sugar-refined, cane</t>
  </si>
  <si>
    <t>One tbspn (15 g)</t>
  </si>
  <si>
    <t>Fish, Common- Cooked</t>
  </si>
  <si>
    <t>Salmon-Cooked</t>
  </si>
  <si>
    <t>Enter the food items by meal on each of the columns. You can add more to the right if needed! Check this cell's comment for serving size guide.</t>
  </si>
  <si>
    <t>Unlisted</t>
  </si>
  <si>
    <t>Enter Details</t>
  </si>
  <si>
    <t>Welcome to the beta version of LEDsafari's household footprint calculator. This tool allows you to calculate your personal water and carbon footprint of everyday household activities, including your dietary choices. We request you to fill the following three sheets and we will provide you with a report on your household carbon footprint along with some recommendations to reduce your footprint. If interested, we can demonstrate the effectiveness of your alternative lifestyle choices. Please note that the calculator concerns individuals and not the household as a whole. Have fun!</t>
  </si>
  <si>
    <t>8.12.2016</t>
  </si>
  <si>
    <t>name</t>
  </si>
  <si>
    <t>birthyear</t>
  </si>
  <si>
    <t>gender</t>
  </si>
  <si>
    <t>job</t>
  </si>
  <si>
    <t>country</t>
  </si>
  <si>
    <t>water heating</t>
  </si>
  <si>
    <t>daily average</t>
  </si>
  <si>
    <t>weekly average</t>
  </si>
  <si>
    <t>Boiling Water</t>
  </si>
  <si>
    <t>PC</t>
  </si>
  <si>
    <t>Lights</t>
  </si>
  <si>
    <t>Impacts</t>
  </si>
  <si>
    <t>GSU_Lighting</t>
  </si>
  <si>
    <t>GSU_TV,PC, tablet and mobile phone</t>
  </si>
  <si>
    <t>GSU_kitchen and sanitary hot water</t>
  </si>
  <si>
    <t>GSU_laundry</t>
  </si>
  <si>
    <t>GSU_Total</t>
  </si>
  <si>
    <t>Parameter</t>
  </si>
  <si>
    <t>Frequency</t>
  </si>
  <si>
    <t>S.No</t>
  </si>
  <si>
    <t>GU_lighting</t>
  </si>
  <si>
    <t>GU_TV,PC, tablet and mobile phone</t>
  </si>
  <si>
    <t>GU_laundry</t>
  </si>
  <si>
    <t>GU_Total</t>
  </si>
  <si>
    <t>Relevant Parameter: 16</t>
  </si>
  <si>
    <t>GU_kitchen and sanitary hot water</t>
  </si>
  <si>
    <t>Relavant Parameter: 7,8</t>
  </si>
  <si>
    <t>Relevant Parameter: 12,13,14,15</t>
  </si>
  <si>
    <t>Input</t>
  </si>
  <si>
    <t>Default</t>
  </si>
  <si>
    <t>Change</t>
  </si>
  <si>
    <t>Style Change Preferences</t>
  </si>
  <si>
    <t xml:space="preserve">The Input style is taken from Household Input. The Default Style is style change with least emissions. Use the Change column to input preferred style. </t>
  </si>
  <si>
    <t>Emission Change</t>
  </si>
  <si>
    <t>Emission Reduced</t>
  </si>
  <si>
    <t>kgCO2eq</t>
  </si>
  <si>
    <t>Emission Reduction Needed</t>
  </si>
  <si>
    <t>Low Target</t>
  </si>
  <si>
    <t>High Target</t>
  </si>
  <si>
    <t xml:space="preserve">Constants </t>
  </si>
  <si>
    <t>Value</t>
  </si>
  <si>
    <t>Grid Emissions</t>
  </si>
  <si>
    <t>Bathtub</t>
  </si>
  <si>
    <t>Brushing</t>
  </si>
  <si>
    <t>Hand Wash</t>
  </si>
  <si>
    <t>Dryer</t>
  </si>
  <si>
    <t>Washing Dishes</t>
  </si>
  <si>
    <t>Mobile</t>
  </si>
  <si>
    <t>P01</t>
  </si>
  <si>
    <t>P02</t>
  </si>
  <si>
    <t>P03</t>
  </si>
  <si>
    <t>P04</t>
  </si>
  <si>
    <t>P05</t>
  </si>
  <si>
    <t>P06</t>
  </si>
  <si>
    <t>P07</t>
  </si>
  <si>
    <t>P08</t>
  </si>
  <si>
    <t>P09</t>
  </si>
  <si>
    <t>P10</t>
  </si>
  <si>
    <t>P11</t>
  </si>
  <si>
    <t>P12</t>
  </si>
  <si>
    <t>P13</t>
  </si>
  <si>
    <t>P14</t>
  </si>
  <si>
    <t>P15</t>
  </si>
  <si>
    <t>P16</t>
  </si>
  <si>
    <t>S.NO</t>
  </si>
  <si>
    <t>K01</t>
  </si>
  <si>
    <t>K02</t>
  </si>
  <si>
    <t>K03</t>
  </si>
  <si>
    <t>K04</t>
  </si>
  <si>
    <t>K05</t>
  </si>
  <si>
    <t>K06</t>
  </si>
  <si>
    <t>K07</t>
  </si>
  <si>
    <t>K08</t>
  </si>
  <si>
    <t>K09</t>
  </si>
  <si>
    <t>K10</t>
  </si>
  <si>
    <t>K11</t>
  </si>
  <si>
    <t>K12</t>
  </si>
  <si>
    <t>K13</t>
  </si>
  <si>
    <t>K14</t>
  </si>
  <si>
    <t>K15</t>
  </si>
  <si>
    <t>K16</t>
  </si>
  <si>
    <t>K17</t>
  </si>
  <si>
    <t>K18</t>
  </si>
  <si>
    <t>Lighting</t>
  </si>
  <si>
    <t>Gadgets</t>
  </si>
  <si>
    <t>Hot Water</t>
  </si>
  <si>
    <t>The last section is now useless.</t>
  </si>
  <si>
    <t>Relavant Parameter: 1,2,9,10,11</t>
  </si>
  <si>
    <t>K19</t>
  </si>
  <si>
    <t>Bathroom</t>
  </si>
  <si>
    <t>Kitchen</t>
  </si>
  <si>
    <t>Living</t>
  </si>
  <si>
    <t>K20</t>
  </si>
  <si>
    <t>Dishes Emission</t>
  </si>
  <si>
    <t>Laundry Emission</t>
  </si>
  <si>
    <t>Bathing Emission</t>
  </si>
  <si>
    <t>Mina Mirzadeh</t>
  </si>
  <si>
    <t>minamirzadeh@gmail.com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</si>
</sst>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0.0%"/>
    <numFmt numFmtId="168" formatCode="#,##0.000"/>
    <numFmt numFmtId="169" formatCode="0.000000"/>
  </numFmts>
  <fonts count="50" x14ac:knownFonts="1">
    <font>
      <sz val="11"/>
      <color theme="1"/>
      <name val="Calibri"/>
      <family val="2"/>
      <scheme val="minor"/>
    </font>
    <font>
      <b/>
      <sz val="11"/>
      <color theme="1"/>
      <name val="Calibri"/>
      <family val="2"/>
      <scheme val="minor"/>
    </font>
    <font>
      <sz val="9"/>
      <color theme="1"/>
      <name val="Arial"/>
      <family val="2"/>
    </font>
    <font>
      <sz val="6"/>
      <color theme="1"/>
      <name val="Arial"/>
      <family val="2"/>
    </font>
    <font>
      <sz val="11"/>
      <color theme="1"/>
      <name val="Calibri"/>
      <family val="2"/>
    </font>
    <font>
      <sz val="11"/>
      <color rgb="FFFF0000"/>
      <name val="Calibri"/>
      <family val="2"/>
      <scheme val="minor"/>
    </font>
    <font>
      <i/>
      <sz val="11"/>
      <color theme="1"/>
      <name val="Calibri"/>
      <family val="2"/>
      <scheme val="minor"/>
    </font>
    <font>
      <i/>
      <sz val="11"/>
      <color rgb="FFFF0000"/>
      <name val="Calibri"/>
      <family val="2"/>
      <scheme val="minor"/>
    </font>
    <font>
      <sz val="18"/>
      <color theme="1"/>
      <name val="Calibri"/>
      <family val="2"/>
      <scheme val="minor"/>
    </font>
    <font>
      <u/>
      <sz val="11"/>
      <color theme="10"/>
      <name val="Calibri"/>
      <family val="2"/>
      <scheme val="minor"/>
    </font>
    <font>
      <sz val="22"/>
      <color theme="1"/>
      <name val="Calibri"/>
      <family val="2"/>
      <scheme val="minor"/>
    </font>
    <font>
      <sz val="11"/>
      <color rgb="FF9C5700"/>
      <name val="Calibri"/>
      <family val="2"/>
      <scheme val="minor"/>
    </font>
    <font>
      <sz val="11"/>
      <color rgb="FF002060"/>
      <name val="Calibri"/>
      <family val="2"/>
      <scheme val="minor"/>
    </font>
    <font>
      <b/>
      <sz val="8"/>
      <name val="Tahoma"/>
      <family val="2"/>
    </font>
    <font>
      <sz val="20"/>
      <color theme="1"/>
      <name val="Calibri"/>
      <family val="2"/>
      <scheme val="minor"/>
    </font>
    <font>
      <sz val="18"/>
      <color theme="0"/>
      <name val="Calibri"/>
      <family val="2"/>
      <scheme val="minor"/>
    </font>
    <font>
      <sz val="11"/>
      <color theme="8" tint="0.39997558519241921"/>
      <name val="Calibri"/>
      <family val="2"/>
      <scheme val="minor"/>
    </font>
    <font>
      <sz val="11"/>
      <name val="Calibri"/>
      <family val="2"/>
      <scheme val="minor"/>
    </font>
    <font>
      <u/>
      <sz val="11"/>
      <name val="Calibri"/>
      <family val="2"/>
      <scheme val="minor"/>
    </font>
    <font>
      <sz val="11"/>
      <color theme="1"/>
      <name val="Calibri"/>
      <family val="2"/>
      <scheme val="minor"/>
    </font>
    <font>
      <sz val="16"/>
      <color theme="0"/>
      <name val="Calibri"/>
      <family val="2"/>
      <scheme val="minor"/>
    </font>
    <font>
      <sz val="11"/>
      <color theme="0"/>
      <name val="Calibri"/>
      <family val="2"/>
      <scheme val="minor"/>
    </font>
    <font>
      <sz val="14"/>
      <color theme="1"/>
      <name val="Calibri"/>
      <family val="2"/>
      <scheme val="minor"/>
    </font>
    <font>
      <b/>
      <sz val="11"/>
      <color rgb="FFFF0000"/>
      <name val="Calibri"/>
      <family val="2"/>
      <scheme val="minor"/>
    </font>
    <font>
      <sz val="9"/>
      <color rgb="FF000000"/>
      <name val="Arial"/>
      <family val="2"/>
    </font>
    <font>
      <sz val="28"/>
      <color theme="5" tint="-0.249977111117893"/>
      <name val="Calibri Light"/>
      <family val="2"/>
    </font>
    <font>
      <sz val="24"/>
      <color theme="1" tint="4.9989318521683403E-2"/>
      <name val="Calibri Light"/>
      <family val="2"/>
    </font>
    <font>
      <sz val="12"/>
      <color theme="1"/>
      <name val="Calibri"/>
      <family val="2"/>
      <scheme val="minor"/>
    </font>
    <font>
      <b/>
      <sz val="12"/>
      <color theme="1"/>
      <name val="Calibri"/>
      <family val="2"/>
      <scheme val="minor"/>
    </font>
    <font>
      <sz val="16"/>
      <color theme="5" tint="-0.249977111117893"/>
      <name val="Calibri Light"/>
      <family val="2"/>
    </font>
    <font>
      <sz val="26"/>
      <color theme="1"/>
      <name val="Calibri"/>
      <family val="2"/>
      <scheme val="minor"/>
    </font>
    <font>
      <sz val="28"/>
      <color theme="1"/>
      <name val="Calibri"/>
      <family val="2"/>
      <scheme val="minor"/>
    </font>
    <font>
      <i/>
      <sz val="10"/>
      <color theme="1"/>
      <name val="Calibri"/>
      <family val="2"/>
      <scheme val="minor"/>
    </font>
    <font>
      <b/>
      <i/>
      <sz val="11"/>
      <color theme="1"/>
      <name val="Calibri"/>
      <family val="2"/>
      <scheme val="minor"/>
    </font>
    <font>
      <i/>
      <sz val="11"/>
      <color theme="9" tint="0.39997558519241921"/>
      <name val="Calibri"/>
      <family val="2"/>
      <scheme val="minor"/>
    </font>
    <font>
      <i/>
      <sz val="20"/>
      <color theme="1"/>
      <name val="Georgia"/>
      <family val="1"/>
    </font>
    <font>
      <sz val="24"/>
      <color theme="1"/>
      <name val="Calibri"/>
      <family val="2"/>
      <scheme val="minor"/>
    </font>
    <font>
      <b/>
      <sz val="16"/>
      <color theme="1"/>
      <name val="Calibri"/>
      <family val="2"/>
      <scheme val="minor"/>
    </font>
    <font>
      <i/>
      <sz val="11"/>
      <name val="Calibri"/>
      <family val="2"/>
      <scheme val="minor"/>
    </font>
    <font>
      <sz val="24"/>
      <name val="Calibri"/>
      <family val="2"/>
      <scheme val="minor"/>
    </font>
    <font>
      <b/>
      <sz val="14"/>
      <color theme="1"/>
      <name val="Calibri"/>
      <family val="2"/>
      <scheme val="minor"/>
    </font>
    <font>
      <b/>
      <i/>
      <sz val="11"/>
      <color rgb="FF002060"/>
      <name val="Calibri"/>
      <family val="2"/>
      <scheme val="minor"/>
    </font>
    <font>
      <u/>
      <sz val="12"/>
      <color theme="10"/>
      <name val="Calibri"/>
      <family val="2"/>
      <scheme val="minor"/>
    </font>
    <font>
      <sz val="22"/>
      <color rgb="FF000000"/>
      <name val="Calibri"/>
      <family val="2"/>
    </font>
    <font>
      <b/>
      <sz val="11"/>
      <color rgb="FF000000"/>
      <name val="Calibri"/>
      <family val="2"/>
    </font>
    <font>
      <i/>
      <sz val="11"/>
      <color rgb="FFFF0000"/>
      <name val="Calibri"/>
      <family val="2"/>
    </font>
    <font>
      <sz val="9"/>
      <color indexed="81"/>
      <name val="Tahoma"/>
      <family val="2"/>
    </font>
    <font>
      <b/>
      <sz val="9"/>
      <color indexed="81"/>
      <name val="Tahoma"/>
      <family val="2"/>
    </font>
    <font>
      <b/>
      <sz val="16"/>
      <color theme="0"/>
      <name val="Calibri"/>
      <family val="2"/>
      <scheme val="minor"/>
    </font>
    <font>
      <b/>
      <sz val="18"/>
      <color theme="0"/>
      <name val="Calibri"/>
      <family val="2"/>
      <scheme val="minor"/>
    </font>
  </fonts>
  <fills count="3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BFBFBF"/>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EB9C"/>
      </patternFill>
    </fill>
    <fill>
      <patternFill patternType="solid">
        <fgColor rgb="FFD9D9D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0"/>
        <bgColor indexed="64"/>
      </patternFill>
    </fill>
    <fill>
      <patternFill patternType="solid">
        <fgColor rgb="FFB7DEE8"/>
        <bgColor rgb="FF000000"/>
      </patternFill>
    </fill>
    <fill>
      <patternFill patternType="solid">
        <fgColor rgb="FF00B05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53D5F"/>
      </left>
      <right style="thin">
        <color rgb="FF053D5F"/>
      </right>
      <top style="thin">
        <color rgb="FF053D5F"/>
      </top>
      <bottom style="thin">
        <color rgb="FF053D5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xf numFmtId="0" fontId="11" fillId="14" borderId="0" applyNumberFormat="0" applyBorder="0" applyAlignment="0" applyProtection="0"/>
    <xf numFmtId="9" fontId="19" fillId="0" borderId="0" applyFont="0" applyFill="0" applyBorder="0" applyAlignment="0" applyProtection="0"/>
  </cellStyleXfs>
  <cellXfs count="425">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0" fillId="2" borderId="0" xfId="0" applyFill="1"/>
    <xf numFmtId="0" fontId="0" fillId="3" borderId="0" xfId="0" applyFill="1"/>
    <xf numFmtId="0" fontId="4" fillId="3" borderId="0" xfId="0" applyFont="1" applyFill="1"/>
    <xf numFmtId="0" fontId="0" fillId="3" borderId="0" xfId="0" applyFill="1" applyAlignment="1">
      <alignment horizontal="left"/>
    </xf>
    <xf numFmtId="164" fontId="0" fillId="3" borderId="0" xfId="0" applyNumberFormat="1" applyFill="1" applyAlignment="1">
      <alignment horizontal="right"/>
    </xf>
    <xf numFmtId="0" fontId="1" fillId="2" borderId="0" xfId="0" applyFont="1" applyFill="1"/>
    <xf numFmtId="164" fontId="0" fillId="3" borderId="0" xfId="0" applyNumberFormat="1" applyFill="1"/>
    <xf numFmtId="0" fontId="6" fillId="3" borderId="0" xfId="0" applyFont="1" applyFill="1"/>
    <xf numFmtId="0" fontId="7" fillId="0" borderId="0" xfId="0" applyFont="1"/>
    <xf numFmtId="0" fontId="0" fillId="4" borderId="0" xfId="0" applyFill="1"/>
    <xf numFmtId="0" fontId="8" fillId="4" borderId="0" xfId="0" applyFont="1" applyFill="1"/>
    <xf numFmtId="0" fontId="5" fillId="3" borderId="0" xfId="0" applyFont="1" applyFill="1"/>
    <xf numFmtId="0" fontId="9" fillId="0" borderId="0" xfId="1"/>
    <xf numFmtId="0" fontId="1" fillId="4" borderId="0" xfId="0" applyFont="1" applyFill="1"/>
    <xf numFmtId="164" fontId="0" fillId="0" borderId="0" xfId="0" applyNumberFormat="1"/>
    <xf numFmtId="2" fontId="0" fillId="0" borderId="0" xfId="0" applyNumberFormat="1"/>
    <xf numFmtId="0" fontId="1" fillId="6" borderId="0" xfId="0" applyFont="1" applyFill="1"/>
    <xf numFmtId="0" fontId="0" fillId="6" borderId="0" xfId="0" applyFill="1"/>
    <xf numFmtId="0" fontId="0" fillId="7" borderId="0" xfId="0" applyFill="1"/>
    <xf numFmtId="11" fontId="0" fillId="7" borderId="0" xfId="0" applyNumberFormat="1" applyFill="1"/>
    <xf numFmtId="165" fontId="0" fillId="3" borderId="0" xfId="0" applyNumberFormat="1" applyFill="1" applyAlignment="1">
      <alignment horizontal="right"/>
    </xf>
    <xf numFmtId="0" fontId="0" fillId="9" borderId="0" xfId="0" applyFill="1"/>
    <xf numFmtId="0" fontId="0" fillId="13" borderId="0" xfId="0" applyFill="1"/>
    <xf numFmtId="2" fontId="0" fillId="12" borderId="4" xfId="0" applyNumberFormat="1" applyFill="1" applyBorder="1"/>
    <xf numFmtId="2" fontId="0" fillId="12" borderId="0" xfId="0" applyNumberFormat="1" applyFill="1" applyBorder="1"/>
    <xf numFmtId="2" fontId="0" fillId="12" borderId="5" xfId="0" applyNumberFormat="1" applyFill="1" applyBorder="1"/>
    <xf numFmtId="0" fontId="0" fillId="11" borderId="4" xfId="0" applyFill="1" applyBorder="1"/>
    <xf numFmtId="0" fontId="0" fillId="11" borderId="0" xfId="0" applyFill="1" applyBorder="1"/>
    <xf numFmtId="0" fontId="0" fillId="11" borderId="5" xfId="0" applyFill="1" applyBorder="1"/>
    <xf numFmtId="0" fontId="0" fillId="12" borderId="4" xfId="0" applyFill="1" applyBorder="1"/>
    <xf numFmtId="0" fontId="0" fillId="12" borderId="0" xfId="0" applyFill="1" applyBorder="1"/>
    <xf numFmtId="0" fontId="0" fillId="12" borderId="5" xfId="0" applyFill="1" applyBorder="1"/>
    <xf numFmtId="0" fontId="0" fillId="11" borderId="6" xfId="0" applyFill="1" applyBorder="1"/>
    <xf numFmtId="0" fontId="0" fillId="11" borderId="7" xfId="0" applyFill="1" applyBorder="1"/>
    <xf numFmtId="0" fontId="0" fillId="11" borderId="8" xfId="0" applyFill="1" applyBorder="1"/>
    <xf numFmtId="2" fontId="0" fillId="11" borderId="4" xfId="0" applyNumberFormat="1" applyFill="1" applyBorder="1"/>
    <xf numFmtId="2" fontId="0" fillId="11" borderId="0" xfId="0" applyNumberFormat="1" applyFill="1" applyBorder="1"/>
    <xf numFmtId="2" fontId="0" fillId="11" borderId="5" xfId="0" applyNumberFormat="1" applyFill="1" applyBorder="1"/>
    <xf numFmtId="2" fontId="0" fillId="11" borderId="6" xfId="0" applyNumberFormat="1" applyFill="1" applyBorder="1"/>
    <xf numFmtId="2" fontId="0" fillId="11" borderId="7" xfId="0" applyNumberFormat="1" applyFill="1" applyBorder="1"/>
    <xf numFmtId="2" fontId="0" fillId="11" borderId="8" xfId="0" applyNumberFormat="1" applyFill="1" applyBorder="1"/>
    <xf numFmtId="0" fontId="1" fillId="9" borderId="1" xfId="0" applyFont="1" applyFill="1" applyBorder="1"/>
    <xf numFmtId="0" fontId="1" fillId="9" borderId="2" xfId="0" applyFont="1" applyFill="1" applyBorder="1"/>
    <xf numFmtId="2" fontId="1" fillId="9" borderId="1" xfId="0" applyNumberFormat="1" applyFont="1" applyFill="1" applyBorder="1"/>
    <xf numFmtId="2" fontId="1" fillId="9" borderId="2" xfId="0" applyNumberFormat="1" applyFont="1" applyFill="1" applyBorder="1"/>
    <xf numFmtId="2" fontId="1" fillId="9" borderId="3" xfId="0" applyNumberFormat="1" applyFont="1" applyFill="1" applyBorder="1"/>
    <xf numFmtId="0" fontId="1" fillId="9" borderId="3" xfId="0" applyFont="1" applyFill="1" applyBorder="1"/>
    <xf numFmtId="0" fontId="12" fillId="0" borderId="9" xfId="0" applyFont="1" applyBorder="1"/>
    <xf numFmtId="0" fontId="12" fillId="15" borderId="9" xfId="0" applyFont="1" applyFill="1" applyBorder="1"/>
    <xf numFmtId="0" fontId="11" fillId="14" borderId="9" xfId="2" applyBorder="1"/>
    <xf numFmtId="166" fontId="12" fillId="0" borderId="9" xfId="0" applyNumberFormat="1" applyFont="1" applyBorder="1"/>
    <xf numFmtId="0" fontId="5" fillId="0" borderId="0" xfId="0" applyFont="1"/>
    <xf numFmtId="0" fontId="0" fillId="16" borderId="0" xfId="0" applyFill="1"/>
    <xf numFmtId="0" fontId="10" fillId="0" borderId="0" xfId="0" applyFont="1"/>
    <xf numFmtId="0" fontId="15" fillId="13" borderId="0" xfId="0" applyFont="1" applyFill="1"/>
    <xf numFmtId="2" fontId="15" fillId="13" borderId="0" xfId="0" applyNumberFormat="1" applyFont="1" applyFill="1"/>
    <xf numFmtId="0" fontId="15" fillId="0" borderId="0" xfId="0" applyFont="1"/>
    <xf numFmtId="0" fontId="1" fillId="13" borderId="0" xfId="0" applyFont="1" applyFill="1"/>
    <xf numFmtId="0" fontId="17" fillId="16" borderId="0" xfId="0" applyFont="1" applyFill="1"/>
    <xf numFmtId="0" fontId="18" fillId="8" borderId="0" xfId="1" applyFont="1" applyFill="1"/>
    <xf numFmtId="2" fontId="0" fillId="16" borderId="0" xfId="0" applyNumberFormat="1" applyFill="1"/>
    <xf numFmtId="0" fontId="0" fillId="5" borderId="0" xfId="0" applyFill="1"/>
    <xf numFmtId="0" fontId="1" fillId="5" borderId="0" xfId="0" applyFont="1" applyFill="1"/>
    <xf numFmtId="2" fontId="0" fillId="8" borderId="0" xfId="0" applyNumberFormat="1" applyFill="1"/>
    <xf numFmtId="0" fontId="0" fillId="5" borderId="0" xfId="0" applyFill="1" applyAlignment="1">
      <alignment horizontal="right"/>
    </xf>
    <xf numFmtId="0" fontId="5" fillId="13" borderId="0" xfId="0" applyFont="1" applyFill="1"/>
    <xf numFmtId="168" fontId="0" fillId="0" borderId="0" xfId="0" applyNumberFormat="1"/>
    <xf numFmtId="2" fontId="12" fillId="0" borderId="9" xfId="0" applyNumberFormat="1" applyFont="1" applyBorder="1"/>
    <xf numFmtId="0" fontId="0" fillId="0" borderId="4" xfId="0" applyBorder="1"/>
    <xf numFmtId="0" fontId="0" fillId="0" borderId="0" xfId="0" applyBorder="1"/>
    <xf numFmtId="0" fontId="0" fillId="0" borderId="6" xfId="0" applyBorder="1"/>
    <xf numFmtId="0" fontId="0" fillId="0" borderId="7" xfId="0" applyBorder="1"/>
    <xf numFmtId="0" fontId="20" fillId="13" borderId="0" xfId="0" applyFont="1" applyFill="1"/>
    <xf numFmtId="0" fontId="0" fillId="13" borderId="1" xfId="0" applyFill="1" applyBorder="1"/>
    <xf numFmtId="0" fontId="0" fillId="13" borderId="2" xfId="0" applyFill="1" applyBorder="1"/>
    <xf numFmtId="9" fontId="0" fillId="11" borderId="4" xfId="3" applyFont="1" applyFill="1" applyBorder="1"/>
    <xf numFmtId="9" fontId="0" fillId="11" borderId="0" xfId="3" applyFont="1" applyFill="1" applyBorder="1"/>
    <xf numFmtId="9" fontId="0" fillId="11" borderId="5" xfId="3" applyFont="1" applyFill="1" applyBorder="1"/>
    <xf numFmtId="9" fontId="0" fillId="11" borderId="6" xfId="3" applyFont="1" applyFill="1" applyBorder="1"/>
    <xf numFmtId="9" fontId="0" fillId="11" borderId="7" xfId="3" applyFont="1" applyFill="1" applyBorder="1"/>
    <xf numFmtId="9" fontId="0" fillId="11" borderId="8" xfId="3" applyFont="1" applyFill="1" applyBorder="1"/>
    <xf numFmtId="9" fontId="0" fillId="12" borderId="4" xfId="3" applyFont="1" applyFill="1" applyBorder="1"/>
    <xf numFmtId="9" fontId="0" fillId="12" borderId="0" xfId="3" applyFont="1" applyFill="1" applyBorder="1"/>
    <xf numFmtId="9" fontId="0" fillId="12" borderId="5" xfId="3" applyFont="1" applyFill="1" applyBorder="1"/>
    <xf numFmtId="0" fontId="1" fillId="12" borderId="10" xfId="0" applyFont="1" applyFill="1" applyBorder="1"/>
    <xf numFmtId="0" fontId="0" fillId="11" borderId="10" xfId="0" applyFill="1" applyBorder="1"/>
    <xf numFmtId="0" fontId="0" fillId="11" borderId="11" xfId="0" applyFill="1" applyBorder="1"/>
    <xf numFmtId="1" fontId="0" fillId="16" borderId="0" xfId="0" applyNumberFormat="1" applyFill="1" applyAlignment="1">
      <alignment horizontal="center"/>
    </xf>
    <xf numFmtId="1" fontId="0" fillId="8" borderId="0" xfId="0" applyNumberFormat="1" applyFill="1" applyAlignment="1">
      <alignment horizontal="center"/>
    </xf>
    <xf numFmtId="167" fontId="0" fillId="16" borderId="0" xfId="3" applyNumberFormat="1" applyFont="1" applyFill="1" applyAlignment="1">
      <alignment horizontal="center"/>
    </xf>
    <xf numFmtId="167" fontId="0" fillId="8" borderId="0" xfId="3" applyNumberFormat="1" applyFont="1" applyFill="1" applyAlignment="1">
      <alignment horizontal="center"/>
    </xf>
    <xf numFmtId="0" fontId="0" fillId="17" borderId="0" xfId="0" applyFill="1" applyAlignment="1">
      <alignment horizontal="center" wrapText="1"/>
    </xf>
    <xf numFmtId="1" fontId="0" fillId="16" borderId="0" xfId="3" applyNumberFormat="1" applyFont="1" applyFill="1" applyAlignment="1">
      <alignment horizontal="center"/>
    </xf>
    <xf numFmtId="1" fontId="0" fillId="8" borderId="0" xfId="3" applyNumberFormat="1" applyFont="1" applyFill="1" applyAlignment="1">
      <alignment horizontal="center"/>
    </xf>
    <xf numFmtId="0" fontId="0" fillId="17" borderId="0" xfId="0" applyFill="1" applyAlignment="1">
      <alignment horizontal="center" vertical="center" wrapText="1"/>
    </xf>
    <xf numFmtId="0" fontId="15" fillId="18" borderId="0" xfId="0" applyFont="1" applyFill="1"/>
    <xf numFmtId="9" fontId="21" fillId="18" borderId="0" xfId="0" applyNumberFormat="1" applyFont="1" applyFill="1"/>
    <xf numFmtId="9" fontId="17" fillId="11" borderId="4" xfId="0" applyNumberFormat="1" applyFont="1" applyFill="1" applyBorder="1"/>
    <xf numFmtId="9" fontId="17" fillId="11" borderId="0" xfId="0" applyNumberFormat="1" applyFont="1" applyFill="1" applyBorder="1"/>
    <xf numFmtId="0" fontId="17" fillId="11" borderId="0" xfId="0" applyFont="1" applyFill="1" applyBorder="1"/>
    <xf numFmtId="9" fontId="17" fillId="11" borderId="6" xfId="0" applyNumberFormat="1" applyFont="1" applyFill="1" applyBorder="1"/>
    <xf numFmtId="0" fontId="17" fillId="11" borderId="7" xfId="0" applyFont="1" applyFill="1" applyBorder="1"/>
    <xf numFmtId="9" fontId="17" fillId="11" borderId="7" xfId="0" applyNumberFormat="1" applyFont="1" applyFill="1" applyBorder="1"/>
    <xf numFmtId="9" fontId="17" fillId="12" borderId="4" xfId="0" applyNumberFormat="1" applyFont="1" applyFill="1" applyBorder="1"/>
    <xf numFmtId="0" fontId="17" fillId="12" borderId="0" xfId="0" applyFont="1" applyFill="1" applyBorder="1"/>
    <xf numFmtId="9" fontId="17" fillId="12" borderId="0" xfId="0" applyNumberFormat="1" applyFont="1" applyFill="1" applyBorder="1"/>
    <xf numFmtId="0" fontId="7" fillId="0" borderId="0" xfId="0" applyFont="1" applyAlignment="1"/>
    <xf numFmtId="0" fontId="1" fillId="0" borderId="16" xfId="0" applyFont="1" applyBorder="1"/>
    <xf numFmtId="0" fontId="1" fillId="0" borderId="17" xfId="0" applyFont="1" applyBorder="1"/>
    <xf numFmtId="0" fontId="0" fillId="0" borderId="15" xfId="0" applyBorder="1"/>
    <xf numFmtId="0" fontId="0" fillId="0" borderId="12" xfId="0" applyBorder="1"/>
    <xf numFmtId="0" fontId="24" fillId="0" borderId="0" xfId="0" applyFont="1"/>
    <xf numFmtId="0" fontId="27" fillId="0" borderId="0" xfId="0" applyFont="1" applyAlignment="1">
      <alignment horizontal="left" vertical="center"/>
    </xf>
    <xf numFmtId="10" fontId="0" fillId="0" borderId="0" xfId="0" applyNumberFormat="1"/>
    <xf numFmtId="0" fontId="0" fillId="0" borderId="18" xfId="0" applyBorder="1"/>
    <xf numFmtId="0" fontId="0" fillId="0" borderId="13" xfId="0" applyBorder="1"/>
    <xf numFmtId="0" fontId="6" fillId="4" borderId="12" xfId="0" applyFont="1" applyFill="1" applyBorder="1" applyAlignment="1">
      <alignment horizontal="center"/>
    </xf>
    <xf numFmtId="0" fontId="28" fillId="0" borderId="20" xfId="0" applyFont="1" applyBorder="1" applyAlignment="1">
      <alignment horizontal="left" vertical="center"/>
    </xf>
    <xf numFmtId="0" fontId="0" fillId="23" borderId="21" xfId="0" applyFont="1" applyFill="1" applyBorder="1"/>
    <xf numFmtId="2" fontId="0" fillId="23" borderId="21" xfId="0" applyNumberFormat="1" applyFont="1" applyFill="1" applyBorder="1"/>
    <xf numFmtId="0" fontId="0" fillId="0" borderId="21" xfId="0" applyFont="1" applyBorder="1"/>
    <xf numFmtId="2" fontId="0" fillId="24" borderId="21" xfId="0" applyNumberFormat="1" applyFont="1" applyFill="1" applyBorder="1"/>
    <xf numFmtId="0" fontId="1" fillId="0" borderId="22" xfId="0" applyFont="1" applyFill="1" applyBorder="1"/>
    <xf numFmtId="2" fontId="1" fillId="0" borderId="0" xfId="0" applyNumberFormat="1" applyFont="1"/>
    <xf numFmtId="2" fontId="0" fillId="0" borderId="21" xfId="0" applyNumberFormat="1" applyFont="1" applyBorder="1"/>
    <xf numFmtId="0" fontId="15" fillId="16" borderId="0" xfId="0" applyFont="1" applyFill="1"/>
    <xf numFmtId="0" fontId="0" fillId="16" borderId="0" xfId="0" applyFill="1" applyBorder="1"/>
    <xf numFmtId="0" fontId="6" fillId="16" borderId="0" xfId="0" applyFont="1" applyFill="1"/>
    <xf numFmtId="0" fontId="10" fillId="16" borderId="0" xfId="0" applyFont="1" applyFill="1"/>
    <xf numFmtId="0" fontId="30" fillId="16" borderId="0" xfId="0" applyFont="1" applyFill="1"/>
    <xf numFmtId="0" fontId="31" fillId="16" borderId="0" xfId="0" applyFont="1" applyFill="1"/>
    <xf numFmtId="0" fontId="1" fillId="13" borderId="23" xfId="0" applyFont="1" applyFill="1" applyBorder="1"/>
    <xf numFmtId="0" fontId="33" fillId="16" borderId="0" xfId="0" applyFont="1" applyFill="1" applyBorder="1"/>
    <xf numFmtId="0" fontId="35" fillId="16" borderId="0" xfId="0" applyFont="1" applyFill="1"/>
    <xf numFmtId="0" fontId="0" fillId="0" borderId="29" xfId="0" applyBorder="1"/>
    <xf numFmtId="0" fontId="10" fillId="25" borderId="0" xfId="0" applyFont="1" applyFill="1"/>
    <xf numFmtId="0" fontId="0" fillId="25" borderId="0" xfId="0" applyFill="1"/>
    <xf numFmtId="0" fontId="36" fillId="25" borderId="0" xfId="0" applyFont="1" applyFill="1"/>
    <xf numFmtId="0" fontId="0" fillId="25" borderId="0" xfId="0" applyFill="1" applyAlignment="1">
      <alignment horizontal="left" wrapText="1"/>
    </xf>
    <xf numFmtId="0" fontId="0" fillId="25" borderId="0" xfId="0" applyFill="1" applyAlignment="1">
      <alignment vertical="top" wrapText="1"/>
    </xf>
    <xf numFmtId="0" fontId="1" fillId="9" borderId="0" xfId="0" applyFont="1" applyFill="1"/>
    <xf numFmtId="0" fontId="17" fillId="8" borderId="0" xfId="0" applyFont="1" applyFill="1"/>
    <xf numFmtId="0" fontId="17" fillId="11" borderId="0" xfId="0" applyFont="1" applyFill="1" applyAlignment="1">
      <alignment wrapText="1"/>
    </xf>
    <xf numFmtId="0" fontId="17" fillId="11" borderId="0" xfId="0" applyFont="1" applyFill="1"/>
    <xf numFmtId="0" fontId="0" fillId="11" borderId="0" xfId="0" applyFill="1"/>
    <xf numFmtId="0" fontId="0" fillId="8" borderId="0" xfId="0" applyFill="1"/>
    <xf numFmtId="0" fontId="1" fillId="11" borderId="0" xfId="0" applyFont="1" applyFill="1"/>
    <xf numFmtId="0" fontId="0" fillId="12" borderId="36" xfId="0" applyFill="1" applyBorder="1"/>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38" fillId="0" borderId="0" xfId="0" applyFont="1"/>
    <xf numFmtId="0" fontId="6" fillId="0" borderId="0" xfId="0" applyFont="1"/>
    <xf numFmtId="0" fontId="6" fillId="11" borderId="4" xfId="0" applyFont="1" applyFill="1" applyBorder="1"/>
    <xf numFmtId="0" fontId="0" fillId="11" borderId="4" xfId="0" applyFont="1" applyFill="1" applyBorder="1"/>
    <xf numFmtId="0" fontId="40" fillId="13" borderId="1" xfId="0" applyFont="1" applyFill="1" applyBorder="1" applyAlignment="1"/>
    <xf numFmtId="0" fontId="0" fillId="16" borderId="38" xfId="0" applyFill="1" applyBorder="1"/>
    <xf numFmtId="0" fontId="0" fillId="16" borderId="4" xfId="0" applyFill="1" applyBorder="1"/>
    <xf numFmtId="0" fontId="0" fillId="16" borderId="5" xfId="0" applyFill="1" applyBorder="1"/>
    <xf numFmtId="0" fontId="40" fillId="13" borderId="4" xfId="0" applyFont="1" applyFill="1" applyBorder="1"/>
    <xf numFmtId="0" fontId="0" fillId="13" borderId="5" xfId="0" applyFill="1" applyBorder="1"/>
    <xf numFmtId="0" fontId="0" fillId="8" borderId="0" xfId="0" applyFill="1" applyBorder="1" applyAlignment="1">
      <alignment horizontal="center"/>
    </xf>
    <xf numFmtId="0" fontId="40" fillId="13" borderId="0" xfId="0" applyFont="1" applyFill="1" applyBorder="1"/>
    <xf numFmtId="0" fontId="40" fillId="13" borderId="5" xfId="0" applyFont="1" applyFill="1" applyBorder="1"/>
    <xf numFmtId="0" fontId="9" fillId="8" borderId="0" xfId="1" applyFill="1" applyBorder="1" applyAlignment="1">
      <alignment horizontal="center"/>
    </xf>
    <xf numFmtId="0" fontId="6" fillId="16" borderId="5" xfId="0" applyFont="1" applyFill="1" applyBorder="1"/>
    <xf numFmtId="0" fontId="9" fillId="8" borderId="0" xfId="1" applyFill="1" applyBorder="1" applyAlignment="1">
      <alignment horizontal="center" vertical="center"/>
    </xf>
    <xf numFmtId="0" fontId="16" fillId="16" borderId="5" xfId="0" applyFont="1" applyFill="1" applyBorder="1" applyAlignment="1">
      <alignment horizontal="left"/>
    </xf>
    <xf numFmtId="0" fontId="0" fillId="13" borderId="6" xfId="0" applyFill="1" applyBorder="1"/>
    <xf numFmtId="0" fontId="0" fillId="13" borderId="7" xfId="0" applyFill="1" applyBorder="1"/>
    <xf numFmtId="0" fontId="0" fillId="13" borderId="8" xfId="0" applyFill="1" applyBorder="1"/>
    <xf numFmtId="0" fontId="17" fillId="8" borderId="0" xfId="0" applyFont="1" applyFill="1" applyAlignment="1">
      <alignment vertical="top"/>
    </xf>
    <xf numFmtId="1" fontId="0" fillId="8" borderId="0" xfId="0" applyNumberFormat="1" applyFill="1" applyAlignment="1">
      <alignment horizontal="left"/>
    </xf>
    <xf numFmtId="0" fontId="0" fillId="8" borderId="0" xfId="0" applyFill="1" applyBorder="1"/>
    <xf numFmtId="0" fontId="1" fillId="9" borderId="39" xfId="0" applyFont="1" applyFill="1" applyBorder="1"/>
    <xf numFmtId="0" fontId="0" fillId="12" borderId="10" xfId="0" applyFill="1" applyBorder="1"/>
    <xf numFmtId="0" fontId="10" fillId="16" borderId="0" xfId="0" applyFont="1" applyFill="1" applyBorder="1" applyAlignment="1">
      <alignment horizontal="center" vertical="center"/>
    </xf>
    <xf numFmtId="0" fontId="20" fillId="16" borderId="0" xfId="0" applyFont="1" applyFill="1" applyBorder="1"/>
    <xf numFmtId="9" fontId="20" fillId="13" borderId="23" xfId="3" applyFont="1" applyFill="1" applyBorder="1"/>
    <xf numFmtId="9" fontId="20" fillId="13" borderId="24" xfId="3" applyFont="1" applyFill="1" applyBorder="1"/>
    <xf numFmtId="9" fontId="20" fillId="13" borderId="25" xfId="3" applyFont="1" applyFill="1" applyBorder="1"/>
    <xf numFmtId="0" fontId="0" fillId="11" borderId="4" xfId="3" applyNumberFormat="1" applyFont="1" applyFill="1" applyBorder="1"/>
    <xf numFmtId="0" fontId="0" fillId="11" borderId="0" xfId="3" applyNumberFormat="1" applyFont="1" applyFill="1" applyBorder="1"/>
    <xf numFmtId="0" fontId="0" fillId="11" borderId="5" xfId="3" applyNumberFormat="1" applyFont="1" applyFill="1" applyBorder="1"/>
    <xf numFmtId="0" fontId="0" fillId="12" borderId="4" xfId="3" applyNumberFormat="1" applyFont="1" applyFill="1" applyBorder="1"/>
    <xf numFmtId="0" fontId="0" fillId="12" borderId="0" xfId="3" applyNumberFormat="1" applyFont="1" applyFill="1" applyBorder="1"/>
    <xf numFmtId="0" fontId="0" fillId="12" borderId="5" xfId="3" applyNumberFormat="1" applyFont="1" applyFill="1" applyBorder="1"/>
    <xf numFmtId="0" fontId="0" fillId="11" borderId="6" xfId="3" applyNumberFormat="1" applyFont="1" applyFill="1" applyBorder="1"/>
    <xf numFmtId="0" fontId="0" fillId="11" borderId="7" xfId="3" applyNumberFormat="1" applyFont="1" applyFill="1" applyBorder="1"/>
    <xf numFmtId="0" fontId="0" fillId="11" borderId="8" xfId="3" applyNumberFormat="1" applyFont="1" applyFill="1" applyBorder="1"/>
    <xf numFmtId="0" fontId="0" fillId="13" borderId="6" xfId="3" applyNumberFormat="1" applyFont="1" applyFill="1" applyBorder="1"/>
    <xf numFmtId="0" fontId="0" fillId="13" borderId="11" xfId="3" applyNumberFormat="1" applyFont="1" applyFill="1" applyBorder="1"/>
    <xf numFmtId="2" fontId="20" fillId="13" borderId="0" xfId="0" applyNumberFormat="1" applyFont="1" applyFill="1"/>
    <xf numFmtId="14" fontId="0" fillId="0" borderId="0" xfId="0" applyNumberFormat="1"/>
    <xf numFmtId="0" fontId="0" fillId="11" borderId="5" xfId="0" applyFill="1" applyBorder="1" applyProtection="1"/>
    <xf numFmtId="0" fontId="0" fillId="12" borderId="5" xfId="0" applyFill="1" applyBorder="1" applyProtection="1"/>
    <xf numFmtId="0" fontId="0" fillId="11" borderId="8" xfId="0" applyFill="1" applyBorder="1" applyProtection="1"/>
    <xf numFmtId="0" fontId="10" fillId="0" borderId="0" xfId="0" applyFont="1" applyProtection="1">
      <protection locked="0"/>
    </xf>
    <xf numFmtId="0" fontId="0" fillId="0" borderId="0" xfId="0" applyProtection="1">
      <protection locked="0"/>
    </xf>
    <xf numFmtId="2" fontId="0" fillId="0" borderId="0" xfId="0" applyNumberFormat="1" applyProtection="1">
      <protection locked="0"/>
    </xf>
    <xf numFmtId="0" fontId="17" fillId="16" borderId="0" xfId="0" applyFont="1" applyFill="1" applyProtection="1">
      <protection locked="0"/>
    </xf>
    <xf numFmtId="0" fontId="39" fillId="25" borderId="0" xfId="0" applyFont="1" applyFill="1" applyProtection="1">
      <protection locked="0"/>
    </xf>
    <xf numFmtId="0" fontId="18" fillId="25" borderId="0" xfId="1" applyFont="1" applyFill="1" applyProtection="1">
      <protection locked="0"/>
    </xf>
    <xf numFmtId="0" fontId="17" fillId="25" borderId="0" xfId="0" applyFont="1" applyFill="1" applyProtection="1">
      <protection locked="0"/>
    </xf>
    <xf numFmtId="0" fontId="0" fillId="25" borderId="0" xfId="0" applyFill="1" applyProtection="1">
      <protection locked="0"/>
    </xf>
    <xf numFmtId="2" fontId="0" fillId="25" borderId="0" xfId="0" applyNumberFormat="1" applyFill="1" applyProtection="1">
      <protection locked="0"/>
    </xf>
    <xf numFmtId="0" fontId="1" fillId="9" borderId="1" xfId="0" applyFont="1" applyFill="1" applyBorder="1" applyProtection="1">
      <protection locked="0"/>
    </xf>
    <xf numFmtId="0" fontId="37" fillId="9" borderId="30" xfId="0" applyFont="1" applyFill="1" applyBorder="1" applyAlignment="1" applyProtection="1">
      <alignment horizontal="left" vertical="top" wrapText="1"/>
      <protection locked="0"/>
    </xf>
    <xf numFmtId="0" fontId="37" fillId="9" borderId="31" xfId="0" applyFont="1" applyFill="1" applyBorder="1" applyAlignment="1" applyProtection="1">
      <alignment horizontal="left" vertical="top" wrapText="1"/>
      <protection locked="0"/>
    </xf>
    <xf numFmtId="0" fontId="37" fillId="9" borderId="32" xfId="0" applyFont="1" applyFill="1" applyBorder="1" applyAlignment="1" applyProtection="1">
      <alignment horizontal="left" vertical="top"/>
      <protection locked="0"/>
    </xf>
    <xf numFmtId="0" fontId="1" fillId="9" borderId="4" xfId="0" applyFont="1" applyFill="1" applyBorder="1" applyProtection="1">
      <protection locked="0"/>
    </xf>
    <xf numFmtId="0" fontId="6" fillId="8" borderId="33" xfId="0" applyFont="1" applyFill="1" applyBorder="1" applyAlignment="1" applyProtection="1">
      <alignment horizontal="left" vertical="top" wrapText="1"/>
      <protection locked="0"/>
    </xf>
    <xf numFmtId="0" fontId="6" fillId="8" borderId="34" xfId="0" applyFont="1" applyFill="1" applyBorder="1" applyAlignment="1" applyProtection="1">
      <alignment horizontal="left" vertical="top" wrapText="1"/>
      <protection locked="0"/>
    </xf>
    <xf numFmtId="0" fontId="6" fillId="8" borderId="35" xfId="0" applyFont="1" applyFill="1" applyBorder="1" applyAlignment="1" applyProtection="1">
      <alignment horizontal="left" vertical="top" wrapText="1"/>
      <protection locked="0"/>
    </xf>
    <xf numFmtId="0" fontId="1" fillId="12" borderId="10" xfId="0" applyFont="1" applyFill="1" applyBorder="1" applyProtection="1">
      <protection locked="0"/>
    </xf>
    <xf numFmtId="0" fontId="0" fillId="12" borderId="4" xfId="0" applyFill="1" applyBorder="1" applyProtection="1">
      <protection locked="0"/>
    </xf>
    <xf numFmtId="0" fontId="0" fillId="12" borderId="36" xfId="0" applyFill="1" applyBorder="1" applyProtection="1">
      <protection locked="0"/>
    </xf>
    <xf numFmtId="0" fontId="0" fillId="11" borderId="10" xfId="0" applyFill="1" applyBorder="1" applyProtection="1">
      <protection locked="0"/>
    </xf>
    <xf numFmtId="0" fontId="0" fillId="11" borderId="11" xfId="0" applyFill="1" applyBorder="1" applyProtection="1">
      <protection locked="0"/>
    </xf>
    <xf numFmtId="0" fontId="15" fillId="16" borderId="0" xfId="0" applyFont="1" applyFill="1" applyProtection="1">
      <protection locked="0"/>
    </xf>
    <xf numFmtId="0" fontId="15" fillId="25" borderId="0" xfId="0" applyFont="1" applyFill="1" applyProtection="1">
      <protection locked="0"/>
    </xf>
    <xf numFmtId="0" fontId="15" fillId="0" borderId="0" xfId="0" applyFont="1" applyProtection="1">
      <protection locked="0"/>
    </xf>
    <xf numFmtId="0" fontId="9" fillId="8" borderId="0" xfId="1" applyFill="1" applyAlignment="1" applyProtection="1">
      <alignment horizontal="center"/>
      <protection locked="0"/>
    </xf>
    <xf numFmtId="0" fontId="0" fillId="16" borderId="0" xfId="0" applyFill="1" applyProtection="1">
      <protection locked="0"/>
    </xf>
    <xf numFmtId="0" fontId="0" fillId="16" borderId="0" xfId="0" applyFill="1" applyBorder="1" applyProtection="1">
      <protection locked="0"/>
    </xf>
    <xf numFmtId="0" fontId="22" fillId="9" borderId="0" xfId="0" applyFont="1" applyFill="1"/>
    <xf numFmtId="0" fontId="42" fillId="9" borderId="0" xfId="1" applyFont="1" applyFill="1"/>
    <xf numFmtId="0" fontId="1" fillId="0" borderId="27" xfId="0" applyFont="1" applyBorder="1"/>
    <xf numFmtId="0" fontId="0" fillId="0" borderId="0" xfId="0" applyAlignment="1">
      <alignment horizontal="center"/>
    </xf>
    <xf numFmtId="0" fontId="0" fillId="0" borderId="0" xfId="0" applyAlignment="1">
      <alignment horizontal="right"/>
    </xf>
    <xf numFmtId="0" fontId="32" fillId="8" borderId="1" xfId="0" applyFont="1" applyFill="1" applyBorder="1" applyAlignment="1">
      <alignment horizontal="left" vertical="center" wrapText="1"/>
    </xf>
    <xf numFmtId="0" fontId="0" fillId="16" borderId="45" xfId="0" applyFill="1" applyBorder="1"/>
    <xf numFmtId="0" fontId="0" fillId="19" borderId="0" xfId="0" applyFill="1"/>
    <xf numFmtId="0" fontId="0" fillId="0" borderId="12" xfId="0" applyFill="1" applyBorder="1"/>
    <xf numFmtId="0" fontId="0" fillId="0" borderId="12" xfId="0" applyNumberFormat="1" applyBorder="1"/>
    <xf numFmtId="0" fontId="0" fillId="0" borderId="15" xfId="0" applyNumberFormat="1" applyBorder="1"/>
    <xf numFmtId="0" fontId="0" fillId="0" borderId="15" xfId="0" applyFill="1" applyBorder="1"/>
    <xf numFmtId="0" fontId="6" fillId="0" borderId="12" xfId="0" applyFont="1" applyBorder="1"/>
    <xf numFmtId="164"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8" borderId="25" xfId="0" applyFill="1" applyBorder="1"/>
    <xf numFmtId="2" fontId="1" fillId="8" borderId="1" xfId="0" applyNumberFormat="1" applyFont="1" applyFill="1" applyBorder="1" applyAlignment="1">
      <alignment horizontal="center"/>
    </xf>
    <xf numFmtId="164" fontId="1" fillId="5" borderId="25" xfId="0" applyNumberFormat="1" applyFont="1" applyFill="1" applyBorder="1" applyAlignment="1">
      <alignment horizontal="center"/>
    </xf>
    <xf numFmtId="2" fontId="1" fillId="8" borderId="6" xfId="0" applyNumberFormat="1" applyFont="1" applyFill="1" applyBorder="1" applyAlignment="1">
      <alignment horizontal="center"/>
    </xf>
    <xf numFmtId="0" fontId="0" fillId="0" borderId="0" xfId="0" applyFill="1"/>
    <xf numFmtId="0" fontId="1" fillId="12" borderId="0" xfId="0" applyFont="1" applyFill="1" applyBorder="1"/>
    <xf numFmtId="0" fontId="1" fillId="0" borderId="0" xfId="0" applyFont="1" applyBorder="1"/>
    <xf numFmtId="0" fontId="1" fillId="0" borderId="7" xfId="0" applyFont="1" applyBorder="1"/>
    <xf numFmtId="0" fontId="48" fillId="13" borderId="0" xfId="0" applyFont="1" applyFill="1"/>
    <xf numFmtId="2" fontId="1" fillId="12" borderId="0" xfId="0" applyNumberFormat="1" applyFont="1" applyFill="1" applyBorder="1"/>
    <xf numFmtId="0" fontId="1" fillId="11" borderId="0" xfId="0" applyFont="1" applyFill="1" applyBorder="1"/>
    <xf numFmtId="0" fontId="1" fillId="11" borderId="7" xfId="0" applyFont="1" applyFill="1" applyBorder="1"/>
    <xf numFmtId="2" fontId="49" fillId="13" borderId="0" xfId="0" applyNumberFormat="1" applyFont="1" applyFill="1"/>
    <xf numFmtId="0" fontId="0" fillId="0" borderId="41" xfId="0" applyBorder="1"/>
    <xf numFmtId="0" fontId="0" fillId="0" borderId="42" xfId="0" applyBorder="1"/>
    <xf numFmtId="0" fontId="0" fillId="0" borderId="26" xfId="0" applyBorder="1"/>
    <xf numFmtId="0" fontId="0" fillId="0" borderId="46" xfId="0" applyBorder="1"/>
    <xf numFmtId="0" fontId="0" fillId="0" borderId="47" xfId="0" applyBorder="1"/>
    <xf numFmtId="0" fontId="0" fillId="29" borderId="40" xfId="0" applyFill="1" applyBorder="1"/>
    <xf numFmtId="2" fontId="0" fillId="0" borderId="41" xfId="0" applyNumberFormat="1" applyBorder="1"/>
    <xf numFmtId="0" fontId="0" fillId="29" borderId="46" xfId="0" applyFill="1" applyBorder="1"/>
    <xf numFmtId="2" fontId="0" fillId="0" borderId="47" xfId="0" applyNumberFormat="1" applyBorder="1"/>
    <xf numFmtId="0" fontId="0" fillId="29" borderId="42" xfId="0" applyFill="1" applyBorder="1"/>
    <xf numFmtId="2" fontId="0" fillId="0" borderId="26" xfId="0" applyNumberFormat="1" applyBorder="1"/>
    <xf numFmtId="0" fontId="0" fillId="4" borderId="40" xfId="0" applyFill="1" applyBorder="1"/>
    <xf numFmtId="0" fontId="0" fillId="4" borderId="46" xfId="0" applyFill="1" applyBorder="1"/>
    <xf numFmtId="0" fontId="0" fillId="4" borderId="42" xfId="0" applyFill="1" applyBorder="1"/>
    <xf numFmtId="0" fontId="0" fillId="28" borderId="40" xfId="0" applyFill="1" applyBorder="1"/>
    <xf numFmtId="0" fontId="0" fillId="28" borderId="46" xfId="0" applyFill="1" applyBorder="1"/>
    <xf numFmtId="0" fontId="0" fillId="28" borderId="42" xfId="0" applyFill="1" applyBorder="1"/>
    <xf numFmtId="0" fontId="1" fillId="0" borderId="18" xfId="0" applyFont="1" applyBorder="1"/>
    <xf numFmtId="0" fontId="1" fillId="0" borderId="13" xfId="0" applyFont="1" applyBorder="1"/>
    <xf numFmtId="0" fontId="1" fillId="0" borderId="14" xfId="0" applyFont="1" applyBorder="1"/>
    <xf numFmtId="0" fontId="0" fillId="0" borderId="14" xfId="0" applyBorder="1"/>
    <xf numFmtId="0" fontId="1" fillId="9" borderId="4" xfId="0" applyFont="1" applyFill="1" applyBorder="1"/>
    <xf numFmtId="0" fontId="0" fillId="12" borderId="11" xfId="0" applyFill="1" applyBorder="1"/>
    <xf numFmtId="0" fontId="6" fillId="11" borderId="10" xfId="0" applyFont="1" applyFill="1" applyBorder="1"/>
    <xf numFmtId="0" fontId="6" fillId="11" borderId="11" xfId="0" applyFont="1" applyFill="1" applyBorder="1" applyProtection="1">
      <protection locked="0"/>
    </xf>
    <xf numFmtId="10" fontId="0" fillId="19" borderId="19" xfId="3" applyNumberFormat="1" applyFont="1" applyFill="1" applyBorder="1"/>
    <xf numFmtId="2" fontId="0" fillId="19" borderId="29" xfId="0" applyNumberFormat="1" applyFill="1" applyBorder="1"/>
    <xf numFmtId="0" fontId="0" fillId="19" borderId="41" xfId="0" applyFill="1" applyBorder="1"/>
    <xf numFmtId="0" fontId="0" fillId="19" borderId="26" xfId="0" applyFill="1" applyBorder="1"/>
    <xf numFmtId="2" fontId="5" fillId="19" borderId="0" xfId="0" applyNumberFormat="1" applyFont="1" applyFill="1" applyBorder="1" applyAlignment="1">
      <alignment horizontal="center" vertical="center"/>
    </xf>
    <xf numFmtId="2" fontId="5" fillId="19" borderId="29" xfId="0" applyNumberFormat="1" applyFont="1" applyFill="1" applyBorder="1" applyAlignment="1">
      <alignment horizontal="center" vertical="center"/>
    </xf>
    <xf numFmtId="0" fontId="1" fillId="0" borderId="13" xfId="0" applyFont="1" applyFill="1" applyBorder="1"/>
    <xf numFmtId="0" fontId="0" fillId="30" borderId="40" xfId="0" applyFill="1" applyBorder="1"/>
    <xf numFmtId="0" fontId="0" fillId="30" borderId="46" xfId="0" applyFill="1" applyBorder="1"/>
    <xf numFmtId="0" fontId="0" fillId="30" borderId="42" xfId="0" applyFill="1" applyBorder="1"/>
    <xf numFmtId="0" fontId="0" fillId="0" borderId="41" xfId="0" applyFill="1" applyBorder="1"/>
    <xf numFmtId="0" fontId="0" fillId="0" borderId="47" xfId="0" applyFill="1" applyBorder="1"/>
    <xf numFmtId="2" fontId="0" fillId="0" borderId="47" xfId="0" applyNumberFormat="1" applyFill="1" applyBorder="1"/>
    <xf numFmtId="0" fontId="0" fillId="0" borderId="26" xfId="0" applyFill="1" applyBorder="1"/>
    <xf numFmtId="0" fontId="5" fillId="0" borderId="46" xfId="0" applyFont="1" applyBorder="1"/>
    <xf numFmtId="0" fontId="5" fillId="0" borderId="0" xfId="0" applyFont="1" applyBorder="1"/>
    <xf numFmtId="0" fontId="5" fillId="0" borderId="47" xfId="0" applyFont="1" applyBorder="1"/>
    <xf numFmtId="0" fontId="0" fillId="11" borderId="0" xfId="0" applyFont="1" applyFill="1" applyBorder="1"/>
    <xf numFmtId="0" fontId="0" fillId="12" borderId="0" xfId="0" applyFont="1" applyFill="1" applyBorder="1"/>
    <xf numFmtId="0" fontId="0" fillId="0" borderId="48" xfId="0" applyBorder="1"/>
    <xf numFmtId="0" fontId="0" fillId="0" borderId="28" xfId="0" applyBorder="1"/>
    <xf numFmtId="0" fontId="5" fillId="0" borderId="28" xfId="0" applyFont="1" applyBorder="1"/>
    <xf numFmtId="0" fontId="0" fillId="0" borderId="29" xfId="0" applyFill="1" applyBorder="1"/>
    <xf numFmtId="169" fontId="0" fillId="0" borderId="26" xfId="0" applyNumberFormat="1" applyBorder="1"/>
    <xf numFmtId="169" fontId="0" fillId="0" borderId="47" xfId="0" applyNumberFormat="1" applyBorder="1"/>
    <xf numFmtId="0" fontId="6" fillId="25" borderId="0" xfId="0" applyFont="1" applyFill="1" applyAlignment="1">
      <alignment horizontal="left" vertical="top" wrapText="1"/>
    </xf>
    <xf numFmtId="0" fontId="34" fillId="13" borderId="44" xfId="0" applyFont="1" applyFill="1" applyBorder="1" applyAlignment="1">
      <alignment horizontal="left" vertical="center"/>
    </xf>
    <xf numFmtId="0" fontId="34" fillId="13" borderId="43" xfId="0" applyFont="1" applyFill="1" applyBorder="1" applyAlignment="1">
      <alignment horizontal="left" vertical="center"/>
    </xf>
    <xf numFmtId="0" fontId="10" fillId="8" borderId="1" xfId="0" applyFont="1" applyFill="1" applyBorder="1" applyAlignment="1" applyProtection="1">
      <alignment horizontal="center" vertical="center"/>
      <protection locked="0"/>
    </xf>
    <xf numFmtId="0" fontId="10" fillId="8" borderId="2" xfId="0" applyFont="1" applyFill="1" applyBorder="1" applyAlignment="1" applyProtection="1">
      <alignment horizontal="center" vertical="center"/>
      <protection locked="0"/>
    </xf>
    <xf numFmtId="0" fontId="10" fillId="8" borderId="3" xfId="0" applyFont="1" applyFill="1" applyBorder="1" applyAlignment="1" applyProtection="1">
      <alignment horizontal="center" vertical="center"/>
      <protection locked="0"/>
    </xf>
    <xf numFmtId="0" fontId="10" fillId="8" borderId="4" xfId="0" applyFont="1" applyFill="1" applyBorder="1" applyAlignment="1" applyProtection="1">
      <alignment horizontal="center" vertical="center"/>
      <protection locked="0"/>
    </xf>
    <xf numFmtId="0" fontId="10" fillId="8" borderId="0" xfId="0" applyFont="1" applyFill="1" applyBorder="1" applyAlignment="1" applyProtection="1">
      <alignment horizontal="center" vertical="center"/>
      <protection locked="0"/>
    </xf>
    <xf numFmtId="0" fontId="10" fillId="8" borderId="5" xfId="0" applyFont="1" applyFill="1" applyBorder="1" applyAlignment="1" applyProtection="1">
      <alignment horizontal="center" vertical="center"/>
      <protection locked="0"/>
    </xf>
    <xf numFmtId="0" fontId="0" fillId="25" borderId="0" xfId="0" applyFill="1" applyAlignment="1">
      <alignment horizontal="left" wrapText="1"/>
    </xf>
    <xf numFmtId="0" fontId="0" fillId="25" borderId="0" xfId="0" applyFill="1" applyAlignment="1">
      <alignment horizontal="left" vertical="top" wrapText="1"/>
    </xf>
    <xf numFmtId="0" fontId="0" fillId="11" borderId="40" xfId="0" applyFill="1" applyBorder="1" applyAlignment="1">
      <alignment horizontal="center"/>
    </xf>
    <xf numFmtId="0" fontId="0" fillId="11" borderId="41" xfId="0" applyFill="1" applyBorder="1" applyAlignment="1">
      <alignment horizontal="center"/>
    </xf>
    <xf numFmtId="0" fontId="0" fillId="11" borderId="42" xfId="0" applyFill="1" applyBorder="1" applyAlignment="1">
      <alignment horizontal="center"/>
    </xf>
    <xf numFmtId="0" fontId="0" fillId="11" borderId="26" xfId="0" applyFill="1" applyBorder="1" applyAlignment="1">
      <alignment horizontal="center"/>
    </xf>
    <xf numFmtId="0" fontId="41" fillId="11" borderId="18" xfId="0" applyFont="1" applyFill="1" applyBorder="1" applyAlignment="1">
      <alignment horizontal="center"/>
    </xf>
    <xf numFmtId="0" fontId="41" fillId="11" borderId="14" xfId="0" applyFont="1" applyFill="1" applyBorder="1" applyAlignment="1">
      <alignment horizontal="center"/>
    </xf>
    <xf numFmtId="2" fontId="1" fillId="8" borderId="2" xfId="0" applyNumberFormat="1" applyFont="1" applyFill="1" applyBorder="1" applyAlignment="1">
      <alignment horizontal="right"/>
    </xf>
    <xf numFmtId="2" fontId="1" fillId="8" borderId="3" xfId="0" applyNumberFormat="1" applyFont="1" applyFill="1" applyBorder="1" applyAlignment="1">
      <alignment horizontal="right"/>
    </xf>
    <xf numFmtId="164" fontId="1" fillId="5" borderId="23" xfId="0" applyNumberFormat="1" applyFont="1" applyFill="1" applyBorder="1" applyAlignment="1">
      <alignment horizontal="center"/>
    </xf>
    <xf numFmtId="164" fontId="1" fillId="5" borderId="24" xfId="0" applyNumberFormat="1" applyFont="1" applyFill="1" applyBorder="1" applyAlignment="1">
      <alignment horizontal="center"/>
    </xf>
    <xf numFmtId="2" fontId="1" fillId="8" borderId="7" xfId="0" applyNumberFormat="1" applyFont="1" applyFill="1" applyBorder="1" applyAlignment="1">
      <alignment horizontal="right"/>
    </xf>
    <xf numFmtId="2" fontId="1" fillId="8" borderId="8" xfId="0" applyNumberFormat="1" applyFont="1" applyFill="1" applyBorder="1" applyAlignment="1">
      <alignment horizontal="right"/>
    </xf>
    <xf numFmtId="2" fontId="1" fillId="8" borderId="23" xfId="0" applyNumberFormat="1" applyFont="1" applyFill="1" applyBorder="1" applyAlignment="1">
      <alignment horizontal="center"/>
    </xf>
    <xf numFmtId="2" fontId="1" fillId="8" borderId="24" xfId="0" applyNumberFormat="1" applyFont="1" applyFill="1" applyBorder="1" applyAlignment="1">
      <alignment horizontal="center"/>
    </xf>
    <xf numFmtId="0" fontId="23" fillId="19" borderId="7" xfId="0" applyFont="1" applyFill="1" applyBorder="1" applyAlignment="1">
      <alignment horizontal="center"/>
    </xf>
    <xf numFmtId="0" fontId="1" fillId="17" borderId="0" xfId="0" applyFont="1" applyFill="1" applyAlignment="1">
      <alignment horizont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5" fillId="16" borderId="0" xfId="0" applyFont="1" applyFill="1" applyAlignment="1">
      <alignment horizontal="left" vertical="top" wrapText="1"/>
    </xf>
    <xf numFmtId="0" fontId="8" fillId="18"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5" xfId="0" applyFont="1" applyFill="1" applyBorder="1" applyAlignment="1">
      <alignment horizontal="center" vertical="center"/>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5" borderId="0" xfId="0" applyFont="1" applyFill="1" applyBorder="1" applyAlignment="1">
      <alignment horizontal="center"/>
    </xf>
    <xf numFmtId="0" fontId="10" fillId="5" borderId="5" xfId="0" applyFont="1" applyFill="1" applyBorder="1" applyAlignment="1">
      <alignment horizont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0" fillId="28" borderId="46" xfId="0" applyFill="1" applyBorder="1" applyAlignment="1">
      <alignment horizontal="left"/>
    </xf>
    <xf numFmtId="0" fontId="0" fillId="28" borderId="47" xfId="0" applyFill="1" applyBorder="1" applyAlignment="1">
      <alignment horizontal="left"/>
    </xf>
    <xf numFmtId="0" fontId="0" fillId="28" borderId="42" xfId="0" applyFill="1" applyBorder="1" applyAlignment="1">
      <alignment horizontal="left"/>
    </xf>
    <xf numFmtId="0" fontId="0" fillId="28" borderId="26" xfId="0" applyFill="1" applyBorder="1" applyAlignment="1">
      <alignment horizontal="left"/>
    </xf>
    <xf numFmtId="0" fontId="5" fillId="19" borderId="41" xfId="0" applyFont="1" applyFill="1" applyBorder="1" applyAlignment="1">
      <alignment horizontal="center" vertical="center"/>
    </xf>
    <xf numFmtId="0" fontId="5" fillId="19" borderId="26" xfId="0" applyFont="1" applyFill="1" applyBorder="1" applyAlignment="1">
      <alignment horizontal="center" vertical="center"/>
    </xf>
    <xf numFmtId="0" fontId="10" fillId="9" borderId="1" xfId="0" applyFont="1" applyFill="1" applyBorder="1" applyAlignment="1" applyProtection="1">
      <alignment horizontal="left"/>
      <protection locked="0"/>
    </xf>
    <xf numFmtId="0" fontId="10" fillId="9" borderId="2" xfId="0" applyFont="1" applyFill="1" applyBorder="1" applyAlignment="1" applyProtection="1">
      <alignment horizontal="left"/>
      <protection locked="0"/>
    </xf>
    <xf numFmtId="0" fontId="10" fillId="9" borderId="3" xfId="0" applyFont="1" applyFill="1" applyBorder="1" applyAlignment="1" applyProtection="1">
      <alignment horizontal="left"/>
      <protection locked="0"/>
    </xf>
    <xf numFmtId="0" fontId="6" fillId="8" borderId="6" xfId="0" applyFont="1" applyFill="1" applyBorder="1" applyAlignment="1" applyProtection="1">
      <alignment horizontal="left" vertical="top" wrapText="1"/>
      <protection locked="0"/>
    </xf>
    <xf numFmtId="0" fontId="6" fillId="8" borderId="7" xfId="0" applyFont="1" applyFill="1" applyBorder="1" applyAlignment="1" applyProtection="1">
      <alignment horizontal="left" vertical="top" wrapText="1"/>
      <protection locked="0"/>
    </xf>
    <xf numFmtId="0" fontId="6" fillId="8" borderId="8" xfId="0" applyFont="1" applyFill="1" applyBorder="1" applyAlignment="1" applyProtection="1">
      <alignment horizontal="left" vertical="top" wrapText="1"/>
      <protection locked="0"/>
    </xf>
    <xf numFmtId="0" fontId="0" fillId="28" borderId="40" xfId="0" applyFill="1" applyBorder="1" applyAlignment="1">
      <alignment horizontal="center"/>
    </xf>
    <xf numFmtId="0" fontId="0" fillId="28" borderId="41" xfId="0" applyFill="1" applyBorder="1" applyAlignment="1">
      <alignment horizontal="center"/>
    </xf>
    <xf numFmtId="0" fontId="0" fillId="28" borderId="42" xfId="0" applyFill="1" applyBorder="1" applyAlignment="1">
      <alignment horizontal="center"/>
    </xf>
    <xf numFmtId="0" fontId="0" fillId="28" borderId="26" xfId="0" applyFill="1"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3" fillId="0" borderId="0" xfId="0" applyFont="1" applyFill="1" applyBorder="1" applyAlignment="1">
      <alignment horizontal="left" vertical="top"/>
    </xf>
    <xf numFmtId="0" fontId="44" fillId="26" borderId="0" xfId="0" applyFont="1" applyFill="1" applyBorder="1" applyAlignment="1">
      <alignment horizontal="left" vertical="top" wrapText="1"/>
    </xf>
    <xf numFmtId="0" fontId="45" fillId="26" borderId="0" xfId="0" applyFont="1" applyFill="1" applyBorder="1" applyAlignment="1">
      <alignment horizontal="right" wrapText="1"/>
    </xf>
    <xf numFmtId="0" fontId="0" fillId="0" borderId="0" xfId="0" applyAlignment="1">
      <alignment horizontal="right"/>
    </xf>
    <xf numFmtId="0" fontId="7" fillId="0" borderId="0" xfId="0" applyFont="1" applyAlignment="1">
      <alignment horizontal="right"/>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3" xfId="0" applyFont="1" applyFill="1" applyBorder="1" applyAlignment="1">
      <alignment horizontal="center"/>
    </xf>
    <xf numFmtId="0" fontId="10" fillId="27" borderId="4" xfId="0" applyFont="1" applyFill="1" applyBorder="1" applyAlignment="1">
      <alignment horizontal="center"/>
    </xf>
    <xf numFmtId="0" fontId="10" fillId="27" borderId="0" xfId="0" applyFont="1" applyFill="1" applyBorder="1" applyAlignment="1">
      <alignment horizontal="center"/>
    </xf>
    <xf numFmtId="0" fontId="10" fillId="27" borderId="5" xfId="0" applyFont="1" applyFill="1" applyBorder="1" applyAlignment="1">
      <alignment horizontal="center"/>
    </xf>
    <xf numFmtId="0" fontId="0" fillId="0" borderId="12" xfId="0" applyBorder="1" applyAlignment="1">
      <alignment horizontal="left"/>
    </xf>
    <xf numFmtId="0" fontId="0" fillId="0" borderId="0" xfId="0" applyBorder="1" applyAlignment="1">
      <alignment horizontal="center"/>
    </xf>
    <xf numFmtId="0" fontId="25" fillId="20" borderId="0" xfId="0" applyFont="1" applyFill="1" applyAlignment="1">
      <alignment horizontal="center" vertical="center"/>
    </xf>
    <xf numFmtId="0" fontId="26" fillId="21" borderId="0" xfId="0" applyFont="1" applyFill="1" applyAlignment="1">
      <alignment horizontal="center" vertical="center"/>
    </xf>
    <xf numFmtId="0" fontId="26" fillId="16" borderId="0" xfId="0" applyFont="1" applyFill="1" applyAlignment="1">
      <alignment horizontal="center" vertical="center"/>
    </xf>
    <xf numFmtId="0" fontId="26" fillId="22" borderId="0" xfId="0" applyFont="1" applyFill="1" applyAlignment="1">
      <alignment horizontal="center" vertical="center"/>
    </xf>
    <xf numFmtId="0" fontId="7" fillId="0" borderId="19" xfId="0" applyFont="1" applyBorder="1" applyAlignment="1">
      <alignment horizontal="center"/>
    </xf>
    <xf numFmtId="0" fontId="29" fillId="17" borderId="12" xfId="0" applyFont="1" applyFill="1" applyBorder="1" applyAlignment="1">
      <alignment horizontal="center" vertical="center"/>
    </xf>
    <xf numFmtId="0" fontId="7" fillId="0" borderId="0" xfId="0" applyFont="1" applyAlignment="1">
      <alignment horizontal="center"/>
    </xf>
    <xf numFmtId="0" fontId="7" fillId="0" borderId="0" xfId="0" applyFont="1" applyAlignment="1">
      <alignment horizontal="center" wrapText="1"/>
    </xf>
    <xf numFmtId="0" fontId="0" fillId="16" borderId="0" xfId="0" applyFill="1" applyBorder="1"/>
    <xf numFmtId="0" fontId="0" fillId="13" borderId="0" xfId="0" applyFill="1" applyBorder="1"/>
    <xf numFmtId="0" fontId="0" fillId="8" borderId="0" xfId="0" applyFill="1" applyBorder="1" applyAlignment="1">
      <alignment horizontal="center"/>
    </xf>
    <xf numFmtId="0" fontId="6" fillId="16" borderId="0" xfId="0" applyFont="1" applyFill="1" applyBorder="1" applyAlignment="1">
      <alignment horizontal="right" vertical="center"/>
    </xf>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0" fillId="12" borderId="4" xfId="0" applyFill="1" applyBorder="1" applyProtection="1">
      <protection locked="0"/>
    </xf>
    <xf numFmtId="0" fontId="0" fillId="11" borderId="4" xfId="0" applyFill="1" applyBorder="1" applyProtection="1">
      <protection locked="0"/>
    </xf>
    <xf numFmtId="0" fontId="6" fillId="11" borderId="4" xfId="0" applyFont="1" applyFill="1" applyBorder="1" applyProtection="1">
      <protection locked="0"/>
    </xf>
    <xf numFmtId="0" fontId="0" fillId="11" borderId="4" xfId="0" applyFont="1" applyFill="1" applyBorder="1" applyProtection="1">
      <protection locked="0"/>
    </xf>
    <xf numFmtId="0" fontId="0" fillId="11" borderId="6" xfId="0" applyFill="1" applyBorder="1" applyProtection="1">
      <protection locked="0"/>
    </xf>
  </cellXfs>
  <cellStyles count="4">
    <cellStyle name="Hyperlink" xfId="1" builtinId="8"/>
    <cellStyle name="Neutral" xfId="2" builtinId="28"/>
    <cellStyle name="Normal" xfId="0" builtinId="0"/>
    <cellStyle name="Percent" xfId="3" builtinId="5"/>
  </cellStyles>
  <dxfs count="21">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font>
        <strike val="0"/>
        <outline val="0"/>
        <shadow val="0"/>
        <u val="none"/>
        <vertAlign val="baseline"/>
        <sz val="12"/>
        <color theme="1"/>
        <name val="Calibri"/>
        <scheme val="minor"/>
      </font>
      <alignment horizontal="left" vertical="center" textRotation="0" wrapText="0" indent="0" justifyLastLine="0" shrinkToFit="0" readingOrder="0"/>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bottom style="medium">
          <color indexed="64"/>
        </bottom>
      </border>
    </dxf>
    <dxf>
      <font>
        <b/>
      </font>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Veg</a:t>
            </a:r>
          </a:p>
        </c:rich>
      </c:tx>
      <c:layout>
        <c:manualLayout>
          <c:xMode val="edge"/>
          <c:yMode val="edge"/>
          <c:x val="4.1881889763779531E-2"/>
          <c:y val="4.1666666666666664E-2"/>
        </c:manualLayout>
      </c:layout>
      <c:overlay val="0"/>
    </c:title>
    <c:autoTitleDeleted val="0"/>
    <c:plotArea>
      <c:layout>
        <c:manualLayout>
          <c:layoutTarget val="inner"/>
          <c:xMode val="edge"/>
          <c:yMode val="edge"/>
          <c:x val="0.25196609798775155"/>
          <c:y val="0.24916212396527357"/>
          <c:w val="0.44051246719160098"/>
          <c:h val="0.73932162325863104"/>
        </c:manualLayout>
      </c:layout>
      <c:pieChart>
        <c:varyColors val="1"/>
        <c:ser>
          <c:idx val="0"/>
          <c:order val="0"/>
          <c:dLbls>
            <c:dLbl>
              <c:idx val="1"/>
              <c:layout>
                <c:manualLayout>
                  <c:x val="0.21004013560804899"/>
                  <c:y val="-5.42913385826771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9E-453E-983A-90E9B44E111E}"/>
                </c:ext>
              </c:extLst>
            </c:dLbl>
            <c:dLbl>
              <c:idx val="2"/>
              <c:layout>
                <c:manualLayout>
                  <c:x val="8.1956036745406829E-2"/>
                  <c:y val="-8.322652376786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9E-453E-983A-90E9B44E111E}"/>
                </c:ext>
              </c:extLst>
            </c:dLbl>
            <c:dLbl>
              <c:idx val="3"/>
              <c:layout>
                <c:manualLayout>
                  <c:x val="0.21349628171478566"/>
                  <c:y val="8.4597550306211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19E-453E-983A-90E9B44E111E}"/>
                </c:ext>
              </c:extLst>
            </c:dLbl>
            <c:dLbl>
              <c:idx val="5"/>
              <c:layout>
                <c:manualLayout>
                  <c:x val="8.1013560804899382E-2"/>
                  <c:y val="5.07330854476523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9E-453E-983A-90E9B44E111E}"/>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4-019E-453E-983A-90E9B44E111E}"/>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Non Veg</a:t>
            </a:r>
          </a:p>
        </c:rich>
      </c:tx>
      <c:layout>
        <c:manualLayout>
          <c:xMode val="edge"/>
          <c:yMode val="edge"/>
          <c:x val="8.3548556430446216E-2"/>
          <c:y val="3.7037037037037035E-2"/>
        </c:manualLayout>
      </c:layout>
      <c:overlay val="0"/>
    </c:title>
    <c:autoTitleDeleted val="0"/>
    <c:plotArea>
      <c:layout/>
      <c:pieChart>
        <c:varyColors val="1"/>
        <c:ser>
          <c:idx val="0"/>
          <c:order val="0"/>
          <c:dLbls>
            <c:dLbl>
              <c:idx val="3"/>
              <c:layout>
                <c:manualLayout>
                  <c:x val="-0.15212160979877515"/>
                  <c:y val="0.20404782735491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234-4EBD-85D5-9F49DCC85C27}"/>
                </c:ext>
              </c:extLst>
            </c:dLbl>
            <c:dLbl>
              <c:idx val="4"/>
              <c:layout>
                <c:manualLayout>
                  <c:x val="-4.6827427821522306E-2"/>
                  <c:y val="-1.536453776611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34-4EBD-85D5-9F49DCC85C27}"/>
                </c:ext>
              </c:extLst>
            </c:dLbl>
            <c:dLbl>
              <c:idx val="5"/>
              <c:layout>
                <c:manualLayout>
                  <c:x val="0.17288582677165354"/>
                  <c:y val="8.35192475940507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34-4EBD-85D5-9F49DCC85C27}"/>
                </c:ext>
              </c:extLst>
            </c:dLbl>
            <c:dLbl>
              <c:idx val="6"/>
              <c:layout>
                <c:manualLayout>
                  <c:x val="-0.24826487314085741"/>
                  <c:y val="9.3374526100904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34-4EBD-85D5-9F49DCC85C27}"/>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diets'!$A$34:$A$40</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4-5234-4EBD-85D5-9F49DCC85C27}"/>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My</a:t>
            </a:r>
            <a:r>
              <a:rPr lang="en-IN" baseline="0"/>
              <a:t> Case</a:t>
            </a:r>
            <a:endParaRPr lang="en-IN"/>
          </a:p>
        </c:rich>
      </c:tx>
      <c:layout>
        <c:manualLayout>
          <c:xMode val="edge"/>
          <c:yMode val="edge"/>
          <c:x val="6.2534776902887126E-2"/>
          <c:y val="5.5555555555555552E-2"/>
        </c:manualLayout>
      </c:layout>
      <c:overlay val="0"/>
    </c:title>
    <c:autoTitleDeleted val="0"/>
    <c:plotArea>
      <c:layout/>
      <c:pieChart>
        <c:varyColors val="1"/>
        <c:ser>
          <c:idx val="0"/>
          <c:order val="0"/>
          <c:dLbls>
            <c:dLbl>
              <c:idx val="0"/>
              <c:layout>
                <c:manualLayout>
                  <c:x val="1.6408136482939633E-2"/>
                  <c:y val="-5.3990594925634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946-4269-B282-49DE67772564}"/>
                </c:ext>
              </c:extLst>
            </c:dLbl>
            <c:dLbl>
              <c:idx val="1"/>
              <c:layout>
                <c:manualLayout>
                  <c:x val="0.11963265529308836"/>
                  <c:y val="-8.74788568095654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46-4269-B282-49DE67772564}"/>
                </c:ext>
              </c:extLst>
            </c:dLbl>
            <c:dLbl>
              <c:idx val="2"/>
              <c:layout>
                <c:manualLayout>
                  <c:x val="0.10347550306211724"/>
                  <c:y val="5.1410032079323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946-4269-B282-49DE67772564}"/>
                </c:ext>
              </c:extLst>
            </c:dLbl>
            <c:dLbl>
              <c:idx val="5"/>
              <c:layout>
                <c:manualLayout>
                  <c:x val="0.12015179352580928"/>
                  <c:y val="-1.31481481481481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46-4269-B282-49DE67772564}"/>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diets'!$A$50:$A$56</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4-C946-4269-B282-49DE67772564}"/>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IN"/>
              <a:t>Emission Comparison</a:t>
            </a:r>
          </a:p>
        </c:rich>
      </c:tx>
      <c:overlay val="0"/>
    </c:title>
    <c:autoTitleDeleted val="0"/>
    <c:plotArea>
      <c:layout/>
      <c:barChart>
        <c:barDir val="col"/>
        <c:grouping val="clustered"/>
        <c:varyColors val="0"/>
        <c:ser>
          <c:idx val="0"/>
          <c:order val="0"/>
          <c:tx>
            <c:v>Case 1</c:v>
          </c:tx>
          <c:invertIfNegative val="0"/>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0-0CE6-4FB6-8E4C-B146EF510525}"/>
            </c:ext>
          </c:extLst>
        </c:ser>
        <c:ser>
          <c:idx val="1"/>
          <c:order val="1"/>
          <c:tx>
            <c:v>Case 2</c:v>
          </c:tx>
          <c:invertIfNegative val="0"/>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1-0CE6-4FB6-8E4C-B146EF510525}"/>
            </c:ext>
          </c:extLst>
        </c:ser>
        <c:ser>
          <c:idx val="2"/>
          <c:order val="2"/>
          <c:tx>
            <c:v>Case 3</c:v>
          </c:tx>
          <c:invertIfNegative val="0"/>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2-0CE6-4FB6-8E4C-B146EF510525}"/>
            </c:ext>
          </c:extLst>
        </c:ser>
        <c:dLbls>
          <c:showLegendKey val="0"/>
          <c:showVal val="0"/>
          <c:showCatName val="0"/>
          <c:showSerName val="0"/>
          <c:showPercent val="0"/>
          <c:showBubbleSize val="0"/>
        </c:dLbls>
        <c:gapWidth val="150"/>
        <c:axId val="195415424"/>
        <c:axId val="195421696"/>
      </c:barChart>
      <c:catAx>
        <c:axId val="195415424"/>
        <c:scaling>
          <c:orientation val="minMax"/>
        </c:scaling>
        <c:delete val="0"/>
        <c:axPos val="b"/>
        <c:title>
          <c:tx>
            <c:rich>
              <a:bodyPr/>
              <a:lstStyle/>
              <a:p>
                <a:pPr>
                  <a:defRPr/>
                </a:pPr>
                <a:r>
                  <a:rPr lang="en-IN"/>
                  <a:t>Food Options</a:t>
                </a:r>
              </a:p>
            </c:rich>
          </c:tx>
          <c:overlay val="0"/>
        </c:title>
        <c:numFmt formatCode="General" sourceLinked="0"/>
        <c:majorTickMark val="none"/>
        <c:minorTickMark val="none"/>
        <c:tickLblPos val="nextTo"/>
        <c:crossAx val="195421696"/>
        <c:crosses val="autoZero"/>
        <c:auto val="1"/>
        <c:lblAlgn val="ctr"/>
        <c:lblOffset val="100"/>
        <c:noMultiLvlLbl val="0"/>
      </c:catAx>
      <c:valAx>
        <c:axId val="195421696"/>
        <c:scaling>
          <c:orientation val="minMax"/>
        </c:scaling>
        <c:delete val="0"/>
        <c:axPos val="l"/>
        <c:majorGridlines/>
        <c:title>
          <c:tx>
            <c:rich>
              <a:bodyPr/>
              <a:lstStyle/>
              <a:p>
                <a:pPr>
                  <a:defRPr/>
                </a:pPr>
                <a:r>
                  <a:rPr lang="en-IN"/>
                  <a:t>gCO2e/day</a:t>
                </a:r>
              </a:p>
            </c:rich>
          </c:tx>
          <c:overlay val="0"/>
        </c:title>
        <c:numFmt formatCode="0" sourceLinked="0"/>
        <c:majorTickMark val="out"/>
        <c:minorTickMark val="none"/>
        <c:tickLblPos val="nextTo"/>
        <c:crossAx val="195415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invertIfNegative val="0"/>
          <c:cat>
            <c:strRef>
              <c:f>'explore alternative diets'!$A$69:$A$71</c:f>
              <c:strCache>
                <c:ptCount val="3"/>
                <c:pt idx="0">
                  <c:v>Veg</c:v>
                </c:pt>
                <c:pt idx="1">
                  <c:v>Non Veg</c:v>
                </c:pt>
                <c:pt idx="2">
                  <c:v>My Case</c:v>
                </c:pt>
              </c:strCache>
            </c:strRef>
          </c:cat>
          <c:val>
            <c:numRef>
              <c:f>'explore alternative diets'!$C$69:$C$71</c:f>
              <c:numCache>
                <c:formatCode>0.00</c:formatCode>
                <c:ptCount val="3"/>
                <c:pt idx="0">
                  <c:v>423.60300000000001</c:v>
                </c:pt>
                <c:pt idx="1">
                  <c:v>1368.6125</c:v>
                </c:pt>
                <c:pt idx="2">
                  <c:v>254.286</c:v>
                </c:pt>
              </c:numCache>
            </c:numRef>
          </c:val>
          <c:extLst>
            <c:ext xmlns:c16="http://schemas.microsoft.com/office/drawing/2014/chart" uri="{C3380CC4-5D6E-409C-BE32-E72D297353CC}">
              <c16:uniqueId val="{00000000-C8D4-4B6D-AFB6-3F4C4D7291C1}"/>
            </c:ext>
          </c:extLst>
        </c:ser>
        <c:dLbls>
          <c:showLegendKey val="0"/>
          <c:showVal val="0"/>
          <c:showCatName val="0"/>
          <c:showSerName val="0"/>
          <c:showPercent val="0"/>
          <c:showBubbleSize val="0"/>
        </c:dLbls>
        <c:gapWidth val="150"/>
        <c:axId val="195845504"/>
        <c:axId val="195847296"/>
      </c:barChart>
      <c:catAx>
        <c:axId val="195845504"/>
        <c:scaling>
          <c:orientation val="minMax"/>
        </c:scaling>
        <c:delete val="0"/>
        <c:axPos val="b"/>
        <c:numFmt formatCode="General" sourceLinked="0"/>
        <c:majorTickMark val="out"/>
        <c:minorTickMark val="none"/>
        <c:tickLblPos val="nextTo"/>
        <c:crossAx val="195847296"/>
        <c:crosses val="autoZero"/>
        <c:auto val="1"/>
        <c:lblAlgn val="ctr"/>
        <c:lblOffset val="100"/>
        <c:noMultiLvlLbl val="0"/>
      </c:catAx>
      <c:valAx>
        <c:axId val="195847296"/>
        <c:scaling>
          <c:orientation val="minMax"/>
        </c:scaling>
        <c:delete val="0"/>
        <c:axPos val="l"/>
        <c:majorGridlines/>
        <c:numFmt formatCode="0" sourceLinked="0"/>
        <c:majorTickMark val="out"/>
        <c:minorTickMark val="none"/>
        <c:tickLblPos val="nextTo"/>
        <c:crossAx val="1958455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 Emission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'explore alternative diets'!$B$92:$B$108</c:f>
              <c:strCache>
                <c:ptCount val="1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05-4361-ABB9-AECF9E09D0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05-4361-ABB9-AECF9E09D0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05-4361-ABB9-AECF9E09D0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05-4361-ABB9-AECF9E09D0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05-4361-ABB9-AECF9E09D0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05-4361-ABB9-AECF9E09D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'explore alternative diets'!$B$109</c:f>
              <c:numCache>
                <c:formatCode>General</c:formatCode>
                <c:ptCount val="1"/>
                <c:pt idx="0">
                  <c:v>0</c:v>
                </c:pt>
              </c:numCache>
            </c:numRef>
          </c:val>
          <c:extLst>
            <c:ext xmlns:c15="http://schemas.microsoft.com/office/drawing/2012/chart" uri="{02D57815-91ED-43cb-92C2-25804820EDAC}">
              <c15:filteredCategoryTitle>
                <c15:cat>
                  <c:numRef>
                    <c:extLst>
                      <c:ext uri="{02D57815-91ED-43cb-92C2-25804820EDAC}">
                        <c15:formulaRef>
                          <c15:sqref>'explore alternative diets'!$A$109</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C-3305-4361-ABB9-AECF9E09D08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3</xdr:col>
      <xdr:colOff>9525</xdr:colOff>
      <xdr:row>17</xdr:row>
      <xdr:rowOff>15875</xdr:rowOff>
    </xdr:from>
    <xdr:to>
      <xdr:col>7</xdr:col>
      <xdr:colOff>104775</xdr:colOff>
      <xdr:row>31</xdr:row>
      <xdr:rowOff>142875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xdr:colOff>
      <xdr:row>32</xdr:row>
      <xdr:rowOff>34925</xdr:rowOff>
    </xdr:from>
    <xdr:to>
      <xdr:col>7</xdr:col>
      <xdr:colOff>79374</xdr:colOff>
      <xdr:row>46</xdr:row>
      <xdr:rowOff>88900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xdr:colOff>
      <xdr:row>48</xdr:row>
      <xdr:rowOff>3175</xdr:rowOff>
    </xdr:from>
    <xdr:to>
      <xdr:col>7</xdr:col>
      <xdr:colOff>117475</xdr:colOff>
      <xdr:row>62</xdr:row>
      <xdr:rowOff>149225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558800</xdr:colOff>
      <xdr:row>71</xdr:row>
      <xdr:rowOff>76200</xdr:rowOff>
    </xdr:from>
    <xdr:to>
      <xdr:col>8</xdr:col>
      <xdr:colOff>19050</xdr:colOff>
      <xdr:row>86</xdr:row>
      <xdr:rowOff>171450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69850</xdr:colOff>
      <xdr:row>72</xdr:row>
      <xdr:rowOff>3175</xdr:rowOff>
    </xdr:from>
    <xdr:to>
      <xdr:col>3</xdr:col>
      <xdr:colOff>9525</xdr:colOff>
      <xdr:row>82</xdr:row>
      <xdr:rowOff>120650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1166091</xdr:colOff>
      <xdr:row>90</xdr:row>
      <xdr:rowOff>173183</xdr:rowOff>
    </xdr:from>
    <xdr:to>
      <xdr:col>12</xdr:col>
      <xdr:colOff>254000</xdr:colOff>
      <xdr:row>105</xdr:row>
      <xdr:rowOff>145474</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234950</xdr:colOff>
      <xdr:row>14</xdr:row>
      <xdr:rowOff>63500</xdr:rowOff>
    </xdr:from>
    <xdr:to>
      <xdr:col>6</xdr:col>
      <xdr:colOff>463550</xdr:colOff>
      <xdr:row>36</xdr:row>
      <xdr:rowOff>158750</xdr:rowOff>
    </xdr:to>
    <xdr:pic>
      <xdr:nvPicPr>
        <xdr:cNvPr id="2" name="Picture 1" descr="The diets we compared">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950" y="2641600"/>
          <a:ext cx="514350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la/KTH/LEDSafari/CO2%20calculator_food_3.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ables/table1.xml><?xml version="1.0" encoding="utf-8"?>
<table xmlns="http://schemas.openxmlformats.org/spreadsheetml/2006/main" id="1" name="FoodEmission2" displayName="FoodEmission2" ref="A2:I259" totalsRowShown="0" headerRowDxfId="20" headerRowBorderDxfId="19">
  <autoFilter ref="A2:I259"/>
  <sortState ref="A3:I259">
    <sortCondition ref="B2:B259"/>
  </sortState>
  <tableColumns count="9">
    <tableColumn id="3" name="Item" dataDxfId="18"/>
    <tableColumn id="2" name="Category" dataDxfId="17"/>
    <tableColumn id="4" name="Serving Description" dataDxfId="16"/>
    <tableColumn id="5" name="Serving Mass (kg/#)" dataDxfId="15"/>
    <tableColumn id="6" name="Emission kgCO2e/kg" dataDxfId="14"/>
    <tableColumn id="8" name="Trsptrt Mode" dataDxfId="13"/>
    <tableColumn id="9" name="Distance (km)" dataDxfId="12"/>
    <tableColumn id="1" name="Transport Emissions" dataDxfId="11"/>
    <tableColumn id="7" name="g/1000kcal" dataDxfId="10"/>
  </tableColumns>
  <tableStyleInfo showFirstColumn="0" showLastColumn="0" showRowStripes="1" showColumnStripes="0"/>
</table>
</file>

<file path=xl/tables/table2.xml><?xml version="1.0" encoding="utf-8"?>
<table xmlns="http://schemas.openxmlformats.org/spreadsheetml/2006/main" id="2" name="Table1" displayName="Table1" ref="A6:G14" totalsRowCount="1" headerRowDxfId="8">
  <autoFilter ref="A6:G13"/>
  <sortState ref="A7:H11">
    <sortCondition ref="B4:B11"/>
  </sortState>
  <tableColumns count="7">
    <tableColumn id="1" name="Options" totalsRowLabel="Total"/>
    <tableColumn id="2" name="Classification"/>
    <tableColumn id="3" name="g/1000kcal" dataDxfId="7"/>
    <tableColumn id="4" name="gCO2/g"/>
    <tableColumn id="6" name="Case 1" totalsRowFunction="custom" dataDxfId="6" totalsRowDxfId="5">
      <totalsRowFormula>SUM(Table1[Case 1])</totalsRowFormula>
    </tableColumn>
    <tableColumn id="7" name="Case 2" totalsRowFunction="custom" dataDxfId="4" totalsRowDxfId="3">
      <totalsRowFormula>SUM(Table1[Case 2])</totalsRowFormula>
    </tableColumn>
    <tableColumn id="8" name="Case 3" totalsRowFunction="custom" dataDxfId="2" totalsRowDxfId="1">
      <totalsRowFormula>SUM(Table1[Case 3])</totalsRowFormula>
    </tableColumn>
  </tableColumns>
  <tableStyleInfo name="TableStyleLight18" showFirstColumn="0" showLastColumn="0" showRowStripes="1" showColumnStripes="0"/>
</table>
</file>

<file path=xl/tables/table3.xml><?xml version="1.0" encoding="utf-8"?>
<table xmlns="http://schemas.openxmlformats.org/spreadsheetml/2006/main" id="3" name="Table2" displayName="Table2" ref="A68:C71" totalsRowShown="0">
  <autoFilter ref="A68:C71"/>
  <tableColumns count="3">
    <tableColumn id="1" name="Diet"/>
    <tableColumn id="2" name="Marker"/>
    <tableColumn id="3" name="gCO2/da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openxmlformats.org/officeDocument/2006/relationships/hyperlink" Target="http://www.aiguesdebarcelona.cat/documents/2950762/0/Aig%C3%BCes+de+Barcelona+Informe+2015_cast.pdf/0d77fa8d-e2dc-4d5a-8472-52a16d822699" TargetMode="External"/><Relationship Id="rId2" Type="http://schemas.openxmlformats.org/officeDocument/2006/relationships/hyperlink" Target="http://www.amb.cat/es/web/medi-ambient/sostenibilitat/canvi-climatic/petjada-del-carboni" TargetMode="External"/><Relationship Id="rId1" Type="http://schemas.openxmlformats.org/officeDocument/2006/relationships/hyperlink" Target="http://www.tandfonline.com/doi/abs/10.1080/02508060.2014.951252" TargetMode="External"/><Relationship Id="rId6" Type="http://schemas.openxmlformats.org/officeDocument/2006/relationships/printerSettings" Target="../printerSettings/printerSettings17.bin"/><Relationship Id="rId5" Type="http://schemas.openxmlformats.org/officeDocument/2006/relationships/hyperlink" Target="http://www.engineeringtoolbox.com/co2-emission-fuels-d_1085.html" TargetMode="External"/><Relationship Id="rId4" Type="http://schemas.openxmlformats.org/officeDocument/2006/relationships/hyperlink" Target="https://www.eia.gov/conference/2015/pdf/presentations/skone.pdf"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energyusecalculator.com/electricity_refrigerator.htm" TargetMode="External"/><Relationship Id="rId1" Type="http://schemas.openxmlformats.org/officeDocument/2006/relationships/hyperlink" Target="http://energy.gov/node/773531/residential/pdfs/cookgtsd.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1:R261"/>
  <sheetViews>
    <sheetView showGridLines="0" showRowColHeaders="0" zoomScaleNormal="100" zoomScaleSheetLayoutView="100" workbookViewId="0">
      <selection activeCell="B7" sqref="B7:B15"/>
    </sheetView>
  </sheetViews>
  <sheetFormatPr defaultRowHeight="14.5" x14ac:dyDescent="0.35"/>
  <cols>
    <col min="1" max="1" width="74.81640625" customWidth="1" collapsed="1"/>
    <col min="2" max="2" width="22.1796875" customWidth="1" collapsed="1"/>
    <col min="3" max="3" width="30.7265625" customWidth="1" collapsed="1"/>
  </cols>
  <sheetData>
    <row r="1" spans="1:18" ht="28.5" x14ac:dyDescent="0.65">
      <c r="A1" s="139" t="s">
        <v>269</v>
      </c>
      <c r="B1" s="140" t="s">
        <v>274</v>
      </c>
      <c r="C1" s="140" t="s">
        <v>616</v>
      </c>
      <c r="D1" s="140"/>
      <c r="E1" s="140"/>
      <c r="F1" s="140"/>
      <c r="G1" s="140"/>
      <c r="H1" s="140"/>
      <c r="I1" s="140"/>
      <c r="J1" s="140"/>
      <c r="K1" s="140"/>
      <c r="L1" s="140"/>
      <c r="M1" s="140"/>
      <c r="N1" s="140"/>
      <c r="O1" s="140"/>
      <c r="P1" s="140"/>
      <c r="Q1" s="140"/>
      <c r="R1" s="140"/>
    </row>
    <row r="2" spans="1:18" x14ac:dyDescent="0.35">
      <c r="A2" s="140"/>
      <c r="B2" s="140"/>
      <c r="C2" s="140"/>
      <c r="D2" s="140"/>
      <c r="E2" s="140"/>
      <c r="F2" s="140"/>
      <c r="G2" s="140"/>
      <c r="H2" s="140"/>
      <c r="I2" s="140"/>
      <c r="J2" s="140"/>
      <c r="K2" s="140"/>
      <c r="L2" s="140"/>
      <c r="M2" s="140"/>
      <c r="N2" s="140"/>
      <c r="O2" s="140"/>
      <c r="P2" s="140"/>
      <c r="Q2" s="140"/>
      <c r="R2" s="140"/>
    </row>
    <row r="3" spans="1:18" x14ac:dyDescent="0.35">
      <c r="A3" s="140"/>
      <c r="B3" s="140"/>
      <c r="C3" s="140"/>
      <c r="D3" s="140"/>
      <c r="E3" s="140"/>
      <c r="F3" s="140"/>
      <c r="G3" s="140"/>
      <c r="H3" s="140"/>
      <c r="I3" s="140"/>
      <c r="J3" s="140"/>
      <c r="K3" s="140"/>
      <c r="L3" s="140"/>
      <c r="M3" s="140"/>
      <c r="N3" s="140"/>
      <c r="O3" s="140"/>
      <c r="P3" s="140"/>
      <c r="Q3" s="140"/>
      <c r="R3" s="140"/>
    </row>
    <row r="4" spans="1:18" ht="64.5" customHeight="1" x14ac:dyDescent="0.35">
      <c r="A4" s="309" t="s">
        <v>615</v>
      </c>
      <c r="B4" s="309"/>
      <c r="C4" s="309"/>
      <c r="D4" s="140"/>
      <c r="E4" s="140"/>
      <c r="F4" s="140"/>
      <c r="G4" s="140"/>
      <c r="H4" s="140"/>
      <c r="I4" s="140"/>
      <c r="J4" s="140"/>
      <c r="K4" s="140"/>
      <c r="L4" s="140"/>
      <c r="M4" s="140"/>
      <c r="N4" s="140"/>
      <c r="O4" s="140"/>
      <c r="P4" s="140"/>
      <c r="Q4" s="140"/>
      <c r="R4" s="140"/>
    </row>
    <row r="5" spans="1:18" ht="15" thickBot="1" x14ac:dyDescent="0.4">
      <c r="A5" s="140"/>
      <c r="B5" s="140"/>
      <c r="C5" s="140"/>
      <c r="D5" s="140"/>
      <c r="E5" s="140"/>
      <c r="F5" s="140"/>
      <c r="G5" s="140"/>
      <c r="H5" s="140"/>
      <c r="I5" s="140"/>
      <c r="J5" s="140"/>
      <c r="K5" s="140"/>
      <c r="L5" s="140"/>
      <c r="M5" s="140"/>
      <c r="N5" s="140"/>
      <c r="O5" s="140"/>
      <c r="P5" s="140"/>
      <c r="Q5" s="140"/>
      <c r="R5" s="140"/>
    </row>
    <row r="6" spans="1:18" ht="18.5" x14ac:dyDescent="0.45">
      <c r="A6" s="161" t="s">
        <v>450</v>
      </c>
      <c r="B6" s="310" t="s">
        <v>451</v>
      </c>
      <c r="C6" s="311"/>
      <c r="D6" s="140"/>
      <c r="E6" s="140"/>
      <c r="F6" s="140"/>
      <c r="G6" s="140"/>
      <c r="H6" s="140"/>
      <c r="I6" s="140"/>
      <c r="J6" s="140"/>
      <c r="K6" s="140"/>
      <c r="L6" s="140"/>
      <c r="M6" s="140"/>
      <c r="N6" s="140"/>
      <c r="O6" s="140"/>
      <c r="P6" s="140"/>
      <c r="Q6" s="140"/>
      <c r="R6" s="140"/>
    </row>
    <row r="7" spans="1:18" x14ac:dyDescent="0.35">
      <c r="A7" s="162" t="s">
        <v>516</v>
      </c>
      <c r="B7" s="414" t="s">
        <v>713</v>
      </c>
      <c r="C7" s="164"/>
      <c r="D7" s="140"/>
      <c r="E7" s="140"/>
      <c r="F7" s="140"/>
      <c r="G7" s="140"/>
      <c r="H7" s="140"/>
      <c r="I7" s="140"/>
      <c r="J7" s="140"/>
      <c r="K7" s="140"/>
      <c r="L7" s="140"/>
      <c r="M7" s="140"/>
      <c r="N7" s="140"/>
      <c r="O7" s="140"/>
      <c r="P7" s="140"/>
      <c r="Q7" s="140"/>
      <c r="R7" s="140"/>
    </row>
    <row r="8" spans="1:18" x14ac:dyDescent="0.35">
      <c r="A8" s="163" t="s">
        <v>515</v>
      </c>
      <c r="B8" s="414" t="s">
        <v>714</v>
      </c>
      <c r="C8" s="164"/>
      <c r="D8" s="140"/>
      <c r="E8" s="140"/>
      <c r="F8" s="140"/>
      <c r="G8" s="140"/>
      <c r="H8" s="140"/>
      <c r="I8" s="140"/>
      <c r="J8" s="140"/>
      <c r="K8" s="140"/>
      <c r="L8" s="140"/>
      <c r="M8" s="140"/>
      <c r="N8" s="140"/>
      <c r="O8" s="140"/>
      <c r="P8" s="140"/>
      <c r="Q8" s="140"/>
      <c r="R8" s="140"/>
    </row>
    <row r="9" spans="1:18" x14ac:dyDescent="0.35">
      <c r="A9" s="163" t="s">
        <v>541</v>
      </c>
      <c r="B9" s="414">
        <v>1991</v>
      </c>
      <c r="C9" s="164"/>
      <c r="D9" s="140"/>
      <c r="E9" s="140"/>
      <c r="F9" s="140"/>
      <c r="G9" s="140"/>
      <c r="H9" s="140"/>
      <c r="I9" s="140"/>
      <c r="J9" s="140"/>
      <c r="K9" s="140"/>
      <c r="L9" s="140"/>
      <c r="M9" s="140"/>
      <c r="N9" s="140"/>
      <c r="O9" s="140"/>
      <c r="P9" s="140"/>
      <c r="Q9" s="140"/>
      <c r="R9" s="140"/>
    </row>
    <row r="10" spans="1:18" x14ac:dyDescent="0.35">
      <c r="A10" s="163" t="s">
        <v>517</v>
      </c>
      <c r="B10" s="414" t="s">
        <v>540</v>
      </c>
      <c r="C10" s="164"/>
      <c r="D10" s="140"/>
      <c r="E10" s="140"/>
      <c r="F10" s="140"/>
      <c r="G10" s="140"/>
      <c r="H10" s="140"/>
      <c r="I10" s="140"/>
      <c r="J10" s="140"/>
      <c r="K10" s="140"/>
      <c r="L10" s="140"/>
      <c r="M10" s="140"/>
      <c r="N10" s="140"/>
      <c r="O10" s="140"/>
      <c r="P10" s="140"/>
      <c r="Q10" s="140"/>
      <c r="R10" s="140"/>
    </row>
    <row r="11" spans="1:18" x14ac:dyDescent="0.35">
      <c r="A11" s="163" t="s">
        <v>518</v>
      </c>
      <c r="B11" s="414" t="s">
        <v>533</v>
      </c>
      <c r="C11" s="164"/>
      <c r="D11" s="140"/>
      <c r="E11" s="140"/>
      <c r="F11" s="140"/>
      <c r="G11" s="140"/>
      <c r="H11" s="140"/>
      <c r="I11" s="140"/>
      <c r="J11" s="140"/>
      <c r="K11" s="140"/>
      <c r="L11" s="140"/>
      <c r="M11" s="140"/>
      <c r="N11" s="140"/>
      <c r="O11" s="140"/>
      <c r="P11" s="140"/>
      <c r="Q11" s="140"/>
      <c r="R11" s="140"/>
    </row>
    <row r="12" spans="1:18" x14ac:dyDescent="0.35">
      <c r="A12" s="163"/>
      <c r="B12" s="411"/>
      <c r="C12" s="164"/>
      <c r="D12" s="140"/>
      <c r="E12" s="140"/>
      <c r="F12" s="140"/>
      <c r="G12" s="140"/>
      <c r="H12" s="140"/>
      <c r="I12" s="140"/>
      <c r="J12" s="140"/>
      <c r="K12" s="140"/>
      <c r="L12" s="140"/>
      <c r="M12" s="140"/>
      <c r="N12" s="140"/>
      <c r="O12" s="140"/>
      <c r="P12" s="140"/>
      <c r="Q12" s="140"/>
      <c r="R12" s="140"/>
    </row>
    <row r="13" spans="1:18" ht="18.5" x14ac:dyDescent="0.45">
      <c r="A13" s="165" t="s">
        <v>270</v>
      </c>
      <c r="B13" s="412"/>
      <c r="C13" s="166"/>
      <c r="D13" s="140"/>
      <c r="E13" s="140"/>
      <c r="F13" s="140"/>
      <c r="G13" s="140"/>
      <c r="H13" s="140"/>
      <c r="I13" s="140"/>
      <c r="J13" s="140"/>
      <c r="K13" s="140"/>
      <c r="L13" s="140"/>
      <c r="M13" s="140"/>
      <c r="N13" s="140"/>
      <c r="O13" s="140"/>
      <c r="P13" s="140"/>
      <c r="Q13" s="140"/>
      <c r="R13" s="140"/>
    </row>
    <row r="14" spans="1:18" ht="14.5" customHeight="1" x14ac:dyDescent="0.35">
      <c r="A14" s="163" t="s">
        <v>452</v>
      </c>
      <c r="B14" s="413" t="s">
        <v>196</v>
      </c>
      <c r="C14" s="164"/>
      <c r="D14" s="140"/>
      <c r="E14" s="140"/>
      <c r="F14" s="140"/>
      <c r="G14" s="140"/>
      <c r="H14" s="140"/>
      <c r="I14" s="140"/>
      <c r="J14" s="140"/>
      <c r="K14" s="140"/>
      <c r="L14" s="140"/>
      <c r="M14" s="140"/>
      <c r="N14" s="140"/>
      <c r="O14" s="140"/>
      <c r="P14" s="140"/>
      <c r="Q14" s="140"/>
      <c r="R14" s="140"/>
    </row>
    <row r="15" spans="1:18" ht="15" customHeight="1" x14ac:dyDescent="0.35">
      <c r="A15" s="163" t="s">
        <v>453</v>
      </c>
      <c r="B15" s="413" t="s">
        <v>256</v>
      </c>
      <c r="C15" s="164"/>
      <c r="D15" s="140"/>
      <c r="E15" s="140"/>
      <c r="F15" s="140"/>
      <c r="G15" s="140"/>
      <c r="H15" s="140"/>
      <c r="I15" s="140"/>
      <c r="J15" s="140"/>
      <c r="K15" s="140"/>
      <c r="L15" s="140"/>
      <c r="M15" s="140"/>
      <c r="N15" s="140"/>
      <c r="O15" s="140"/>
      <c r="P15" s="140"/>
      <c r="Q15" s="140"/>
      <c r="R15" s="140"/>
    </row>
    <row r="16" spans="1:18" ht="15" customHeight="1" x14ac:dyDescent="0.35">
      <c r="A16" s="163"/>
      <c r="B16" s="167"/>
      <c r="C16" s="164"/>
      <c r="D16" s="140"/>
      <c r="E16" s="140"/>
      <c r="F16" s="140"/>
      <c r="G16" s="140"/>
      <c r="H16" s="140"/>
      <c r="I16" s="140"/>
      <c r="J16" s="140"/>
      <c r="K16" s="140"/>
      <c r="L16" s="140"/>
      <c r="M16" s="140"/>
      <c r="N16" s="140"/>
      <c r="O16" s="140"/>
      <c r="P16" s="140"/>
      <c r="Q16" s="140"/>
      <c r="R16" s="140"/>
    </row>
    <row r="17" spans="1:18" ht="18.5" x14ac:dyDescent="0.45">
      <c r="A17" s="165" t="s">
        <v>520</v>
      </c>
      <c r="B17" s="168"/>
      <c r="C17" s="169"/>
      <c r="D17" s="140"/>
      <c r="E17" s="140"/>
      <c r="F17" s="140"/>
      <c r="G17" s="140"/>
      <c r="H17" s="140"/>
      <c r="I17" s="140"/>
      <c r="J17" s="140"/>
      <c r="K17" s="140"/>
      <c r="L17" s="140"/>
      <c r="M17" s="140"/>
      <c r="N17" s="140"/>
      <c r="O17" s="140"/>
      <c r="P17" s="140"/>
      <c r="Q17" s="140"/>
      <c r="R17" s="140"/>
    </row>
    <row r="18" spans="1:18" x14ac:dyDescent="0.35">
      <c r="A18" s="163" t="s">
        <v>272</v>
      </c>
      <c r="B18" s="170" t="s">
        <v>271</v>
      </c>
      <c r="C18" s="171" t="s">
        <v>526</v>
      </c>
      <c r="D18" s="140"/>
      <c r="E18" s="140"/>
      <c r="F18" s="140"/>
      <c r="G18" s="140"/>
      <c r="H18" s="140"/>
      <c r="I18" s="140"/>
      <c r="J18" s="140"/>
      <c r="K18" s="140"/>
      <c r="L18" s="140"/>
      <c r="M18" s="140"/>
      <c r="N18" s="140"/>
      <c r="O18" s="140"/>
      <c r="P18" s="140"/>
      <c r="Q18" s="140"/>
      <c r="R18" s="140"/>
    </row>
    <row r="19" spans="1:18" x14ac:dyDescent="0.35">
      <c r="A19" s="163" t="s">
        <v>273</v>
      </c>
      <c r="B19" s="170" t="s">
        <v>271</v>
      </c>
      <c r="C19" s="171" t="s">
        <v>527</v>
      </c>
      <c r="D19" s="140"/>
      <c r="E19" s="140"/>
      <c r="F19" s="140"/>
      <c r="G19" s="140"/>
      <c r="H19" s="140"/>
      <c r="I19" s="140"/>
      <c r="J19" s="140"/>
      <c r="K19" s="140"/>
      <c r="L19" s="140"/>
      <c r="M19" s="140"/>
      <c r="N19" s="140"/>
      <c r="O19" s="140"/>
      <c r="P19" s="140"/>
      <c r="Q19" s="140"/>
      <c r="R19" s="140"/>
    </row>
    <row r="20" spans="1:18" hidden="1" x14ac:dyDescent="0.35">
      <c r="A20" s="163" t="s">
        <v>275</v>
      </c>
      <c r="B20" s="172" t="s">
        <v>271</v>
      </c>
      <c r="C20" s="173"/>
      <c r="D20" s="140"/>
      <c r="E20" s="140"/>
      <c r="F20" s="140"/>
      <c r="G20" s="140"/>
      <c r="H20" s="140"/>
      <c r="I20" s="140"/>
      <c r="J20" s="140"/>
      <c r="K20" s="140"/>
      <c r="L20" s="140"/>
      <c r="M20" s="140"/>
      <c r="N20" s="140"/>
      <c r="O20" s="140"/>
      <c r="P20" s="140"/>
      <c r="Q20" s="140"/>
      <c r="R20" s="140"/>
    </row>
    <row r="21" spans="1:18" hidden="1" x14ac:dyDescent="0.35">
      <c r="A21" s="163" t="s">
        <v>321</v>
      </c>
      <c r="B21" s="170" t="s">
        <v>271</v>
      </c>
      <c r="C21" s="173"/>
      <c r="D21" s="140"/>
      <c r="E21" s="140"/>
      <c r="F21" s="140"/>
      <c r="G21" s="140"/>
      <c r="H21" s="140"/>
      <c r="I21" s="140"/>
      <c r="J21" s="140"/>
      <c r="K21" s="140"/>
      <c r="L21" s="140"/>
      <c r="M21" s="140"/>
      <c r="N21" s="140"/>
      <c r="O21" s="140"/>
      <c r="P21" s="140"/>
      <c r="Q21" s="140"/>
      <c r="R21" s="140"/>
    </row>
    <row r="22" spans="1:18" x14ac:dyDescent="0.35">
      <c r="A22" s="163" t="s">
        <v>514</v>
      </c>
      <c r="B22" s="170" t="s">
        <v>271</v>
      </c>
      <c r="C22" s="171" t="s">
        <v>528</v>
      </c>
      <c r="D22" s="140"/>
      <c r="E22" s="140"/>
      <c r="F22" s="140"/>
      <c r="G22" s="140"/>
      <c r="H22" s="140"/>
      <c r="I22" s="140"/>
      <c r="J22" s="140"/>
      <c r="K22" s="140"/>
      <c r="L22" s="140"/>
      <c r="M22" s="140"/>
      <c r="N22" s="140"/>
      <c r="O22" s="140"/>
      <c r="P22" s="140"/>
      <c r="Q22" s="140"/>
      <c r="R22" s="140"/>
    </row>
    <row r="23" spans="1:18" x14ac:dyDescent="0.35">
      <c r="A23" s="163"/>
      <c r="B23" s="179"/>
      <c r="C23" s="164"/>
      <c r="D23" s="140"/>
      <c r="E23" s="140"/>
      <c r="F23" s="140"/>
      <c r="G23" s="140"/>
      <c r="H23" s="140"/>
      <c r="I23" s="140"/>
      <c r="J23" s="140"/>
      <c r="K23" s="140"/>
      <c r="L23" s="140"/>
      <c r="M23" s="140"/>
      <c r="N23" s="140"/>
      <c r="O23" s="140"/>
      <c r="P23" s="140"/>
      <c r="Q23" s="140"/>
      <c r="R23" s="140"/>
    </row>
    <row r="24" spans="1:18" x14ac:dyDescent="0.35">
      <c r="A24" s="163"/>
      <c r="B24" s="179"/>
      <c r="C24" s="164"/>
      <c r="D24" s="140"/>
      <c r="E24" s="140"/>
      <c r="F24" s="140"/>
      <c r="G24" s="140"/>
      <c r="H24" s="140"/>
      <c r="I24" s="140"/>
      <c r="J24" s="140"/>
      <c r="K24" s="140"/>
      <c r="L24" s="140"/>
      <c r="M24" s="140"/>
      <c r="N24" s="140"/>
      <c r="O24" s="140"/>
      <c r="P24" s="140"/>
      <c r="Q24" s="140"/>
      <c r="R24" s="140"/>
    </row>
    <row r="25" spans="1:18" ht="15" thickBot="1" x14ac:dyDescent="0.4">
      <c r="A25" s="174"/>
      <c r="B25" s="175"/>
      <c r="C25" s="176"/>
      <c r="D25" s="140"/>
      <c r="E25" s="140"/>
      <c r="F25" s="140"/>
      <c r="G25" s="140"/>
      <c r="H25" s="140"/>
      <c r="I25" s="140"/>
      <c r="J25" s="140"/>
      <c r="K25" s="140"/>
      <c r="L25" s="140"/>
      <c r="M25" s="140"/>
      <c r="N25" s="140"/>
      <c r="O25" s="140"/>
      <c r="P25" s="140"/>
      <c r="Q25" s="140"/>
      <c r="R25" s="140"/>
    </row>
    <row r="26" spans="1:18" x14ac:dyDescent="0.35">
      <c r="A26" s="140"/>
      <c r="B26" s="140"/>
      <c r="C26" s="140"/>
      <c r="D26" s="140"/>
      <c r="E26" s="140"/>
      <c r="F26" s="140"/>
      <c r="G26" s="140"/>
      <c r="H26" s="140"/>
      <c r="I26" s="140"/>
      <c r="J26" s="140"/>
      <c r="K26" s="140"/>
      <c r="L26" s="140"/>
      <c r="M26" s="140"/>
      <c r="N26" s="140"/>
      <c r="O26" s="140"/>
      <c r="P26" s="140"/>
      <c r="Q26" s="140"/>
      <c r="R26" s="140"/>
    </row>
    <row r="27" spans="1:18" x14ac:dyDescent="0.35">
      <c r="A27" s="140"/>
      <c r="B27" s="140"/>
      <c r="C27" s="140"/>
      <c r="D27" s="140"/>
      <c r="E27" s="140"/>
      <c r="F27" s="140"/>
      <c r="G27" s="140"/>
      <c r="H27" s="140"/>
      <c r="I27" s="140"/>
      <c r="J27" s="140"/>
      <c r="K27" s="140"/>
      <c r="L27" s="140"/>
      <c r="M27" s="140"/>
      <c r="N27" s="140"/>
      <c r="O27" s="140"/>
      <c r="P27" s="140"/>
      <c r="Q27" s="140"/>
      <c r="R27" s="140"/>
    </row>
    <row r="28" spans="1:18" x14ac:dyDescent="0.35">
      <c r="A28" s="140"/>
      <c r="B28" s="140"/>
      <c r="C28" s="140"/>
      <c r="D28" s="140"/>
      <c r="E28" s="140"/>
      <c r="F28" s="140"/>
      <c r="G28" s="140"/>
      <c r="H28" s="140"/>
      <c r="I28" s="140"/>
      <c r="J28" s="140"/>
      <c r="K28" s="140"/>
      <c r="L28" s="140"/>
      <c r="M28" s="140"/>
      <c r="N28" s="140"/>
      <c r="O28" s="140"/>
      <c r="P28" s="140"/>
      <c r="Q28" s="140"/>
      <c r="R28" s="140"/>
    </row>
    <row r="29" spans="1:18" x14ac:dyDescent="0.35">
      <c r="A29" s="140"/>
      <c r="B29" s="140"/>
      <c r="C29" s="140"/>
      <c r="D29" s="140"/>
      <c r="E29" s="140"/>
      <c r="F29" s="140"/>
      <c r="G29" s="140"/>
      <c r="H29" s="140"/>
      <c r="I29" s="140"/>
      <c r="J29" s="140"/>
      <c r="K29" s="140"/>
      <c r="L29" s="140"/>
      <c r="M29" s="140"/>
      <c r="N29" s="140"/>
      <c r="O29" s="140"/>
      <c r="P29" s="140"/>
      <c r="Q29" s="140"/>
      <c r="R29" s="140"/>
    </row>
    <row r="30" spans="1:18" x14ac:dyDescent="0.35">
      <c r="A30" s="140"/>
      <c r="B30" s="140"/>
      <c r="C30" s="140"/>
      <c r="D30" s="140"/>
      <c r="E30" s="140"/>
      <c r="F30" s="140"/>
      <c r="G30" s="140"/>
      <c r="H30" s="140"/>
      <c r="I30" s="140"/>
      <c r="J30" s="140"/>
      <c r="K30" s="140"/>
      <c r="L30" s="140"/>
      <c r="M30" s="140"/>
      <c r="N30" s="140"/>
      <c r="O30" s="140"/>
      <c r="P30" s="140"/>
      <c r="Q30" s="140"/>
      <c r="R30" s="140"/>
    </row>
    <row r="31" spans="1:18" x14ac:dyDescent="0.35">
      <c r="A31" s="140"/>
      <c r="B31" s="140"/>
      <c r="C31" s="140"/>
      <c r="D31" s="140"/>
      <c r="E31" s="140"/>
      <c r="F31" s="140"/>
      <c r="G31" s="140"/>
      <c r="H31" s="140"/>
      <c r="I31" s="140"/>
      <c r="J31" s="140"/>
      <c r="K31" s="140"/>
      <c r="L31" s="140"/>
      <c r="M31" s="140"/>
      <c r="N31" s="140"/>
      <c r="O31" s="140"/>
      <c r="P31" s="140"/>
      <c r="Q31" s="140"/>
      <c r="R31" s="140"/>
    </row>
    <row r="32" spans="1:18" x14ac:dyDescent="0.35">
      <c r="A32" s="140"/>
      <c r="B32" s="140"/>
      <c r="C32" s="140"/>
      <c r="D32" s="140"/>
      <c r="E32" s="140"/>
      <c r="F32" s="140"/>
      <c r="G32" s="140"/>
      <c r="H32" s="140"/>
      <c r="I32" s="140"/>
      <c r="J32" s="140"/>
      <c r="K32" s="140"/>
      <c r="L32" s="140"/>
      <c r="M32" s="140"/>
      <c r="N32" s="140"/>
      <c r="O32" s="140"/>
      <c r="P32" s="140"/>
      <c r="Q32" s="140"/>
      <c r="R32" s="140"/>
    </row>
    <row r="33" spans="1:18" x14ac:dyDescent="0.35">
      <c r="A33" s="140"/>
      <c r="B33" s="140"/>
      <c r="C33" s="140"/>
      <c r="D33" s="140"/>
      <c r="E33" s="140"/>
      <c r="F33" s="140"/>
      <c r="G33" s="140"/>
      <c r="H33" s="140"/>
      <c r="I33" s="140"/>
      <c r="J33" s="140"/>
      <c r="K33" s="140"/>
      <c r="L33" s="140"/>
      <c r="M33" s="140"/>
      <c r="N33" s="140"/>
      <c r="O33" s="140"/>
      <c r="P33" s="140"/>
      <c r="Q33" s="140"/>
      <c r="R33" s="140"/>
    </row>
    <row r="34" spans="1:18" x14ac:dyDescent="0.35">
      <c r="A34" s="140"/>
      <c r="B34" s="140"/>
      <c r="C34" s="140"/>
      <c r="D34" s="140"/>
      <c r="E34" s="140"/>
      <c r="F34" s="140"/>
      <c r="G34" s="140"/>
      <c r="H34" s="140"/>
      <c r="I34" s="140"/>
      <c r="J34" s="140"/>
      <c r="K34" s="140"/>
      <c r="L34" s="140"/>
      <c r="M34" s="140"/>
      <c r="N34" s="140"/>
      <c r="O34" s="140"/>
      <c r="P34" s="140"/>
      <c r="Q34" s="140"/>
      <c r="R34" s="140"/>
    </row>
    <row r="35" spans="1:18" x14ac:dyDescent="0.35">
      <c r="A35" s="140"/>
      <c r="B35" s="140"/>
      <c r="C35" s="140"/>
      <c r="D35" s="140"/>
      <c r="E35" s="140"/>
      <c r="F35" s="140"/>
      <c r="G35" s="140"/>
      <c r="H35" s="140"/>
      <c r="I35" s="140"/>
      <c r="J35" s="140"/>
      <c r="K35" s="140"/>
      <c r="L35" s="140"/>
      <c r="M35" s="140"/>
      <c r="N35" s="140"/>
      <c r="O35" s="140"/>
      <c r="P35" s="140"/>
      <c r="Q35" s="140"/>
      <c r="R35" s="140"/>
    </row>
    <row r="36" spans="1:18" x14ac:dyDescent="0.35">
      <c r="A36" s="140"/>
      <c r="B36" s="140"/>
      <c r="C36" s="140"/>
      <c r="D36" s="140"/>
      <c r="E36" s="140"/>
      <c r="F36" s="140"/>
      <c r="G36" s="140"/>
      <c r="H36" s="140"/>
      <c r="I36" s="140"/>
      <c r="J36" s="140"/>
      <c r="K36" s="140"/>
      <c r="L36" s="140"/>
      <c r="M36" s="140"/>
      <c r="N36" s="140"/>
      <c r="O36" s="140"/>
      <c r="P36" s="140"/>
      <c r="Q36" s="140"/>
      <c r="R36" s="140"/>
    </row>
    <row r="37" spans="1:18" x14ac:dyDescent="0.35">
      <c r="A37" s="140"/>
      <c r="B37" s="140"/>
      <c r="C37" s="140"/>
      <c r="D37" s="140"/>
      <c r="E37" s="140"/>
      <c r="F37" s="140"/>
      <c r="G37" s="140"/>
      <c r="H37" s="140"/>
      <c r="I37" s="140"/>
      <c r="J37" s="140"/>
      <c r="K37" s="140"/>
      <c r="L37" s="140"/>
      <c r="M37" s="140"/>
      <c r="N37" s="140"/>
      <c r="O37" s="140"/>
      <c r="P37" s="140"/>
      <c r="Q37" s="140"/>
      <c r="R37" s="140"/>
    </row>
    <row r="38" spans="1:18" x14ac:dyDescent="0.35">
      <c r="A38" s="140"/>
      <c r="B38" s="140"/>
      <c r="C38" s="140"/>
      <c r="D38" s="140"/>
      <c r="E38" s="140"/>
      <c r="F38" s="140"/>
      <c r="G38" s="140"/>
      <c r="H38" s="140"/>
      <c r="I38" s="140"/>
      <c r="J38" s="140"/>
      <c r="K38" s="140"/>
      <c r="L38" s="140"/>
      <c r="M38" s="140"/>
      <c r="N38" s="140"/>
      <c r="O38" s="140"/>
      <c r="P38" s="140"/>
      <c r="Q38" s="140"/>
      <c r="R38" s="140"/>
    </row>
    <row r="39" spans="1:18" x14ac:dyDescent="0.35">
      <c r="A39" s="140"/>
      <c r="B39" s="140"/>
      <c r="C39" s="140"/>
      <c r="D39" s="140"/>
      <c r="E39" s="140"/>
      <c r="F39" s="140"/>
      <c r="G39" s="140"/>
      <c r="H39" s="140"/>
      <c r="I39" s="140"/>
      <c r="J39" s="140"/>
      <c r="K39" s="140"/>
      <c r="L39" s="140"/>
      <c r="M39" s="140"/>
      <c r="N39" s="140"/>
      <c r="O39" s="140"/>
      <c r="P39" s="140"/>
      <c r="Q39" s="140"/>
      <c r="R39" s="140"/>
    </row>
    <row r="40" spans="1:18" x14ac:dyDescent="0.35">
      <c r="A40" s="140"/>
      <c r="B40" s="140"/>
      <c r="C40" s="140"/>
      <c r="D40" s="140"/>
      <c r="E40" s="140"/>
      <c r="F40" s="140"/>
      <c r="G40" s="140"/>
      <c r="H40" s="140"/>
      <c r="I40" s="140"/>
      <c r="J40" s="140"/>
      <c r="K40" s="140"/>
      <c r="L40" s="140"/>
      <c r="M40" s="140"/>
      <c r="N40" s="140"/>
      <c r="O40" s="140"/>
      <c r="P40" s="140"/>
      <c r="Q40" s="140"/>
      <c r="R40" s="140"/>
    </row>
    <row r="41" spans="1:18" x14ac:dyDescent="0.35">
      <c r="A41" s="140"/>
      <c r="B41" s="140"/>
      <c r="C41" s="140"/>
      <c r="D41" s="140"/>
      <c r="E41" s="140"/>
      <c r="F41" s="140"/>
      <c r="G41" s="140"/>
      <c r="H41" s="140"/>
      <c r="I41" s="140"/>
      <c r="J41" s="140"/>
      <c r="K41" s="140"/>
      <c r="L41" s="140"/>
      <c r="M41" s="140"/>
      <c r="N41" s="140"/>
      <c r="O41" s="140"/>
      <c r="P41" s="140"/>
      <c r="Q41" s="140"/>
      <c r="R41" s="140"/>
    </row>
    <row r="42" spans="1:18" x14ac:dyDescent="0.35">
      <c r="A42" s="140"/>
      <c r="B42" s="140"/>
      <c r="C42" s="140"/>
      <c r="D42" s="140"/>
      <c r="E42" s="140"/>
      <c r="F42" s="140"/>
      <c r="G42" s="140"/>
      <c r="H42" s="140"/>
      <c r="I42" s="140"/>
      <c r="J42" s="140"/>
      <c r="K42" s="140"/>
      <c r="L42" s="140"/>
      <c r="M42" s="140"/>
      <c r="N42" s="140"/>
      <c r="O42" s="140"/>
      <c r="P42" s="140"/>
      <c r="Q42" s="140"/>
      <c r="R42" s="140"/>
    </row>
    <row r="43" spans="1:18" x14ac:dyDescent="0.35">
      <c r="A43" s="140"/>
      <c r="B43" s="140"/>
      <c r="C43" s="140"/>
      <c r="D43" s="140"/>
      <c r="E43" s="140"/>
      <c r="F43" s="140"/>
      <c r="G43" s="140"/>
      <c r="H43" s="140"/>
      <c r="I43" s="140"/>
      <c r="J43" s="140"/>
      <c r="K43" s="140"/>
      <c r="L43" s="140"/>
      <c r="M43" s="140"/>
      <c r="N43" s="140"/>
      <c r="O43" s="140"/>
      <c r="P43" s="140"/>
      <c r="Q43" s="140"/>
      <c r="R43" s="140"/>
    </row>
    <row r="44" spans="1:18" x14ac:dyDescent="0.35">
      <c r="A44" s="140"/>
      <c r="B44" s="140"/>
      <c r="C44" s="140"/>
      <c r="D44" s="140"/>
      <c r="E44" s="140"/>
      <c r="F44" s="140"/>
      <c r="G44" s="140"/>
      <c r="H44" s="140"/>
      <c r="I44" s="140"/>
      <c r="J44" s="140"/>
      <c r="K44" s="140"/>
      <c r="L44" s="140"/>
      <c r="M44" s="140"/>
      <c r="N44" s="140"/>
      <c r="O44" s="140"/>
      <c r="P44" s="140"/>
      <c r="Q44" s="140"/>
      <c r="R44" s="140"/>
    </row>
    <row r="45" spans="1:18" x14ac:dyDescent="0.35">
      <c r="A45" s="140"/>
      <c r="B45" s="140"/>
      <c r="C45" s="140"/>
      <c r="D45" s="140"/>
      <c r="E45" s="140"/>
      <c r="F45" s="140"/>
      <c r="G45" s="140"/>
      <c r="H45" s="140"/>
      <c r="I45" s="140"/>
      <c r="J45" s="140"/>
      <c r="K45" s="140"/>
      <c r="L45" s="140"/>
      <c r="M45" s="140"/>
      <c r="N45" s="140"/>
      <c r="O45" s="140"/>
      <c r="P45" s="140"/>
      <c r="Q45" s="140"/>
      <c r="R45" s="140"/>
    </row>
    <row r="46" spans="1:18" x14ac:dyDescent="0.35">
      <c r="A46" s="140"/>
      <c r="B46" s="140"/>
      <c r="C46" s="140"/>
      <c r="D46" s="140"/>
      <c r="E46" s="140"/>
      <c r="F46" s="140"/>
      <c r="G46" s="140"/>
      <c r="H46" s="140"/>
      <c r="I46" s="140"/>
      <c r="J46" s="140"/>
      <c r="K46" s="140"/>
      <c r="L46" s="140"/>
      <c r="M46" s="140"/>
      <c r="N46" s="140"/>
      <c r="O46" s="140"/>
      <c r="P46" s="140"/>
      <c r="Q46" s="140"/>
      <c r="R46" s="140"/>
    </row>
    <row r="47" spans="1:18" x14ac:dyDescent="0.35">
      <c r="A47" s="140"/>
      <c r="B47" s="140"/>
      <c r="C47" s="140"/>
      <c r="D47" s="140"/>
      <c r="E47" s="140"/>
      <c r="F47" s="140"/>
      <c r="G47" s="140"/>
      <c r="H47" s="140"/>
      <c r="I47" s="140"/>
      <c r="J47" s="140"/>
      <c r="K47" s="140"/>
      <c r="L47" s="140"/>
      <c r="M47" s="140"/>
      <c r="N47" s="140"/>
      <c r="O47" s="140"/>
      <c r="P47" s="140"/>
      <c r="Q47" s="140"/>
      <c r="R47" s="140"/>
    </row>
    <row r="48" spans="1:18" x14ac:dyDescent="0.35">
      <c r="A48" s="140"/>
      <c r="B48" s="140"/>
      <c r="C48" s="140"/>
      <c r="D48" s="140"/>
      <c r="E48" s="140"/>
      <c r="F48" s="140"/>
      <c r="G48" s="140"/>
      <c r="H48" s="140"/>
      <c r="I48" s="140"/>
      <c r="J48" s="140"/>
      <c r="K48" s="140"/>
      <c r="L48" s="140"/>
      <c r="M48" s="140"/>
      <c r="N48" s="140"/>
      <c r="O48" s="140"/>
      <c r="P48" s="140"/>
      <c r="Q48" s="140"/>
      <c r="R48" s="140"/>
    </row>
    <row r="49" spans="1:18" x14ac:dyDescent="0.35">
      <c r="A49" s="140"/>
      <c r="B49" s="140"/>
      <c r="C49" s="140"/>
      <c r="D49" s="140"/>
      <c r="E49" s="140"/>
      <c r="F49" s="140"/>
      <c r="G49" s="140"/>
      <c r="H49" s="140"/>
      <c r="I49" s="140"/>
      <c r="J49" s="140"/>
      <c r="K49" s="140"/>
      <c r="L49" s="140"/>
      <c r="M49" s="140"/>
      <c r="N49" s="140"/>
      <c r="O49" s="140"/>
      <c r="P49" s="140"/>
      <c r="Q49" s="140"/>
      <c r="R49" s="140"/>
    </row>
    <row r="50" spans="1:18" x14ac:dyDescent="0.35">
      <c r="A50" s="140"/>
      <c r="B50" s="140"/>
      <c r="C50" s="140"/>
      <c r="D50" s="140"/>
      <c r="E50" s="140"/>
      <c r="F50" s="140"/>
      <c r="G50" s="140"/>
      <c r="H50" s="140"/>
      <c r="I50" s="140"/>
      <c r="J50" s="140"/>
      <c r="K50" s="140"/>
      <c r="L50" s="140"/>
      <c r="M50" s="140"/>
      <c r="N50" s="140"/>
      <c r="O50" s="140"/>
      <c r="P50" s="140"/>
      <c r="Q50" s="140"/>
      <c r="R50" s="140"/>
    </row>
    <row r="51" spans="1:18" x14ac:dyDescent="0.35">
      <c r="A51" s="140"/>
      <c r="B51" s="140"/>
      <c r="C51" s="140"/>
      <c r="D51" s="140"/>
      <c r="E51" s="140"/>
      <c r="F51" s="140"/>
      <c r="G51" s="140"/>
      <c r="H51" s="140"/>
      <c r="I51" s="140"/>
      <c r="J51" s="140"/>
      <c r="K51" s="140"/>
      <c r="L51" s="140"/>
      <c r="M51" s="140"/>
      <c r="N51" s="140"/>
      <c r="O51" s="140"/>
      <c r="P51" s="140"/>
      <c r="Q51" s="140"/>
      <c r="R51" s="140"/>
    </row>
    <row r="52" spans="1:18" x14ac:dyDescent="0.35">
      <c r="A52" s="140"/>
      <c r="B52" s="140"/>
      <c r="C52" s="140"/>
      <c r="D52" s="140"/>
      <c r="E52" s="140"/>
      <c r="F52" s="140"/>
      <c r="G52" s="140"/>
      <c r="H52" s="140"/>
      <c r="I52" s="140"/>
      <c r="J52" s="140"/>
      <c r="K52" s="140"/>
      <c r="L52" s="140"/>
      <c r="M52" s="140"/>
      <c r="N52" s="140"/>
      <c r="O52" s="140"/>
      <c r="P52" s="140"/>
      <c r="Q52" s="140"/>
      <c r="R52" s="140"/>
    </row>
    <row r="53" spans="1:18" x14ac:dyDescent="0.35">
      <c r="A53" s="140"/>
      <c r="B53" s="140"/>
      <c r="C53" s="140"/>
      <c r="D53" s="140"/>
      <c r="E53" s="140"/>
      <c r="F53" s="140"/>
      <c r="G53" s="140"/>
      <c r="H53" s="140"/>
      <c r="I53" s="140"/>
      <c r="J53" s="140"/>
      <c r="K53" s="140"/>
      <c r="L53" s="140"/>
      <c r="M53" s="140"/>
      <c r="N53" s="140"/>
      <c r="O53" s="140"/>
      <c r="P53" s="140"/>
      <c r="Q53" s="140"/>
      <c r="R53" s="140"/>
    </row>
    <row r="54" spans="1:18" x14ac:dyDescent="0.35">
      <c r="A54" s="140"/>
      <c r="B54" s="140"/>
      <c r="C54" s="140"/>
      <c r="D54" s="140"/>
      <c r="E54" s="140"/>
      <c r="F54" s="140"/>
      <c r="G54" s="140"/>
      <c r="H54" s="140"/>
      <c r="I54" s="140"/>
      <c r="J54" s="140"/>
      <c r="K54" s="140"/>
      <c r="L54" s="140"/>
      <c r="M54" s="140"/>
      <c r="N54" s="140"/>
      <c r="O54" s="140"/>
      <c r="P54" s="140"/>
      <c r="Q54" s="140"/>
      <c r="R54" s="140"/>
    </row>
    <row r="55" spans="1:18" x14ac:dyDescent="0.35">
      <c r="A55" s="140"/>
      <c r="B55" s="140"/>
      <c r="C55" s="140"/>
      <c r="D55" s="140"/>
      <c r="E55" s="140"/>
      <c r="F55" s="140"/>
      <c r="G55" s="140"/>
      <c r="H55" s="140"/>
      <c r="I55" s="140"/>
      <c r="J55" s="140"/>
      <c r="K55" s="140"/>
      <c r="L55" s="140"/>
      <c r="M55" s="140"/>
      <c r="N55" s="140"/>
      <c r="O55" s="140"/>
      <c r="P55" s="140"/>
      <c r="Q55" s="140"/>
      <c r="R55" s="140"/>
    </row>
    <row r="56" spans="1:18" x14ac:dyDescent="0.35">
      <c r="A56" s="140"/>
      <c r="B56" s="140"/>
      <c r="C56" s="140"/>
      <c r="D56" s="140"/>
      <c r="E56" s="140"/>
      <c r="F56" s="140"/>
      <c r="G56" s="140"/>
      <c r="H56" s="140"/>
      <c r="I56" s="140"/>
      <c r="J56" s="140"/>
      <c r="K56" s="140"/>
      <c r="L56" s="140"/>
      <c r="M56" s="140"/>
      <c r="N56" s="140"/>
      <c r="O56" s="140"/>
      <c r="P56" s="140"/>
      <c r="Q56" s="140"/>
      <c r="R56" s="140"/>
    </row>
    <row r="57" spans="1:18" x14ac:dyDescent="0.35">
      <c r="A57" s="140"/>
      <c r="B57" s="140"/>
      <c r="C57" s="140"/>
      <c r="D57" s="140"/>
      <c r="E57" s="140"/>
      <c r="F57" s="140"/>
      <c r="G57" s="140"/>
      <c r="H57" s="140"/>
      <c r="I57" s="140"/>
      <c r="J57" s="140"/>
      <c r="K57" s="140"/>
      <c r="L57" s="140"/>
      <c r="M57" s="140"/>
      <c r="N57" s="140"/>
      <c r="O57" s="140"/>
      <c r="P57" s="140"/>
      <c r="Q57" s="140"/>
      <c r="R57" s="140"/>
    </row>
    <row r="58" spans="1:18" x14ac:dyDescent="0.35">
      <c r="A58" s="140"/>
      <c r="B58" s="140"/>
      <c r="C58" s="140"/>
      <c r="D58" s="140"/>
      <c r="E58" s="140"/>
      <c r="F58" s="140"/>
      <c r="G58" s="140"/>
      <c r="H58" s="140"/>
      <c r="I58" s="140"/>
      <c r="J58" s="140"/>
      <c r="K58" s="140"/>
      <c r="L58" s="140"/>
      <c r="M58" s="140"/>
      <c r="N58" s="140"/>
      <c r="O58" s="140"/>
      <c r="P58" s="140"/>
      <c r="Q58" s="140"/>
      <c r="R58" s="140"/>
    </row>
    <row r="59" spans="1:18" x14ac:dyDescent="0.35">
      <c r="A59" s="140"/>
      <c r="B59" s="140"/>
      <c r="C59" s="140"/>
      <c r="D59" s="140"/>
      <c r="E59" s="140"/>
      <c r="F59" s="140"/>
      <c r="G59" s="140"/>
      <c r="H59" s="140"/>
      <c r="I59" s="140"/>
      <c r="J59" s="140"/>
      <c r="K59" s="140"/>
      <c r="L59" s="140"/>
      <c r="M59" s="140"/>
      <c r="N59" s="140"/>
      <c r="O59" s="140"/>
      <c r="P59" s="140"/>
      <c r="Q59" s="140"/>
      <c r="R59" s="140"/>
    </row>
    <row r="60" spans="1:18" x14ac:dyDescent="0.35">
      <c r="A60" s="140"/>
      <c r="B60" s="140"/>
      <c r="C60" s="140"/>
      <c r="D60" s="140"/>
      <c r="E60" s="140"/>
      <c r="F60" s="140"/>
      <c r="G60" s="140"/>
      <c r="H60" s="140"/>
      <c r="I60" s="140"/>
      <c r="J60" s="140"/>
      <c r="K60" s="140"/>
      <c r="L60" s="140"/>
      <c r="M60" s="140"/>
      <c r="N60" s="140"/>
      <c r="O60" s="140"/>
      <c r="P60" s="140"/>
      <c r="Q60" s="140"/>
      <c r="R60" s="140"/>
    </row>
    <row r="61" spans="1:18" x14ac:dyDescent="0.35">
      <c r="A61" s="140"/>
      <c r="B61" s="140"/>
      <c r="C61" s="140"/>
      <c r="D61" s="140"/>
      <c r="E61" s="140"/>
      <c r="F61" s="140"/>
      <c r="G61" s="140"/>
      <c r="H61" s="140"/>
      <c r="I61" s="140"/>
      <c r="J61" s="140"/>
      <c r="K61" s="140"/>
      <c r="L61" s="140"/>
      <c r="M61" s="140"/>
      <c r="N61" s="140"/>
      <c r="O61" s="140"/>
      <c r="P61" s="140"/>
      <c r="Q61" s="140"/>
      <c r="R61" s="140"/>
    </row>
    <row r="62" spans="1:18" x14ac:dyDescent="0.35">
      <c r="A62" s="140"/>
      <c r="B62" s="140"/>
      <c r="C62" s="140"/>
      <c r="D62" s="140"/>
      <c r="E62" s="140"/>
      <c r="F62" s="140"/>
      <c r="G62" s="140"/>
      <c r="H62" s="140"/>
      <c r="I62" s="140"/>
      <c r="J62" s="140"/>
      <c r="K62" s="140"/>
      <c r="L62" s="140"/>
      <c r="M62" s="140"/>
      <c r="N62" s="140"/>
      <c r="O62" s="140"/>
      <c r="P62" s="140"/>
      <c r="Q62" s="140"/>
      <c r="R62" s="140"/>
    </row>
    <row r="63" spans="1:18" x14ac:dyDescent="0.35">
      <c r="A63" s="140"/>
      <c r="B63" s="140"/>
      <c r="C63" s="140"/>
      <c r="D63" s="140"/>
      <c r="E63" s="140"/>
      <c r="F63" s="140"/>
      <c r="G63" s="140"/>
      <c r="H63" s="140"/>
      <c r="I63" s="140"/>
      <c r="J63" s="140"/>
      <c r="K63" s="140"/>
      <c r="L63" s="140"/>
      <c r="M63" s="140"/>
      <c r="N63" s="140"/>
      <c r="O63" s="140"/>
      <c r="P63" s="140"/>
      <c r="Q63" s="140"/>
      <c r="R63" s="140"/>
    </row>
    <row r="64" spans="1:18" x14ac:dyDescent="0.35">
      <c r="A64" s="140"/>
      <c r="B64" s="140"/>
      <c r="C64" s="140"/>
      <c r="D64" s="140"/>
      <c r="E64" s="140"/>
      <c r="F64" s="140"/>
      <c r="G64" s="140"/>
      <c r="H64" s="140"/>
      <c r="I64" s="140"/>
      <c r="J64" s="140"/>
      <c r="K64" s="140"/>
      <c r="L64" s="140"/>
      <c r="M64" s="140"/>
      <c r="N64" s="140"/>
      <c r="O64" s="140"/>
      <c r="P64" s="140"/>
      <c r="Q64" s="140"/>
      <c r="R64" s="140"/>
    </row>
    <row r="65" spans="1:18" x14ac:dyDescent="0.35">
      <c r="A65" s="140"/>
      <c r="B65" s="140"/>
      <c r="C65" s="140"/>
      <c r="D65" s="140"/>
      <c r="E65" s="140"/>
      <c r="F65" s="140"/>
      <c r="G65" s="140"/>
      <c r="H65" s="140"/>
      <c r="I65" s="140"/>
      <c r="J65" s="140"/>
      <c r="K65" s="140"/>
      <c r="L65" s="140"/>
      <c r="M65" s="140"/>
      <c r="N65" s="140"/>
      <c r="O65" s="140"/>
      <c r="P65" s="140"/>
      <c r="Q65" s="140"/>
      <c r="R65" s="140"/>
    </row>
    <row r="66" spans="1:18" x14ac:dyDescent="0.35">
      <c r="A66" s="140"/>
      <c r="B66" s="140"/>
      <c r="C66" s="140"/>
      <c r="D66" s="140"/>
      <c r="E66" s="140"/>
      <c r="F66" s="140"/>
      <c r="G66" s="140"/>
      <c r="H66" s="140"/>
      <c r="I66" s="140"/>
      <c r="J66" s="140"/>
      <c r="K66" s="140"/>
      <c r="L66" s="140"/>
      <c r="M66" s="140"/>
      <c r="N66" s="140"/>
      <c r="O66" s="140"/>
      <c r="P66" s="140"/>
      <c r="Q66" s="140"/>
      <c r="R66" s="140"/>
    </row>
    <row r="67" spans="1:18" x14ac:dyDescent="0.35">
      <c r="A67" s="140"/>
      <c r="B67" s="140"/>
      <c r="C67" s="140"/>
      <c r="D67" s="140"/>
      <c r="E67" s="140"/>
      <c r="F67" s="140"/>
      <c r="G67" s="140"/>
      <c r="H67" s="140"/>
      <c r="I67" s="140"/>
      <c r="J67" s="140"/>
      <c r="K67" s="140"/>
      <c r="L67" s="140"/>
      <c r="M67" s="140"/>
      <c r="N67" s="140"/>
      <c r="O67" s="140"/>
      <c r="P67" s="140"/>
      <c r="Q67" s="140"/>
      <c r="R67" s="140"/>
    </row>
    <row r="68" spans="1:18" x14ac:dyDescent="0.35">
      <c r="A68" s="140"/>
      <c r="B68" s="140"/>
      <c r="C68" s="140"/>
      <c r="D68" s="140"/>
      <c r="E68" s="140"/>
      <c r="F68" s="140"/>
      <c r="G68" s="140"/>
      <c r="H68" s="140"/>
      <c r="I68" s="140"/>
      <c r="J68" s="140"/>
      <c r="K68" s="140"/>
      <c r="L68" s="140"/>
      <c r="M68" s="140"/>
      <c r="N68" s="140"/>
      <c r="O68" s="140"/>
      <c r="P68" s="140"/>
      <c r="Q68" s="140"/>
      <c r="R68" s="140"/>
    </row>
    <row r="69" spans="1:18" x14ac:dyDescent="0.35">
      <c r="A69" s="140"/>
      <c r="B69" s="140"/>
      <c r="C69" s="140"/>
      <c r="D69" s="140"/>
      <c r="E69" s="140"/>
      <c r="F69" s="140"/>
      <c r="G69" s="140"/>
      <c r="H69" s="140"/>
      <c r="I69" s="140"/>
      <c r="J69" s="140"/>
      <c r="K69" s="140"/>
      <c r="L69" s="140"/>
      <c r="M69" s="140"/>
      <c r="N69" s="140"/>
      <c r="O69" s="140"/>
      <c r="P69" s="140"/>
      <c r="Q69" s="140"/>
      <c r="R69" s="140"/>
    </row>
    <row r="70" spans="1:18" x14ac:dyDescent="0.35">
      <c r="A70" s="140"/>
      <c r="B70" s="140"/>
      <c r="C70" s="140"/>
      <c r="D70" s="140"/>
      <c r="E70" s="140"/>
      <c r="F70" s="140"/>
      <c r="G70" s="140"/>
      <c r="H70" s="140"/>
      <c r="I70" s="140"/>
      <c r="J70" s="140"/>
      <c r="K70" s="140"/>
      <c r="L70" s="140"/>
      <c r="M70" s="140"/>
      <c r="N70" s="140"/>
      <c r="O70" s="140"/>
      <c r="P70" s="140"/>
      <c r="Q70" s="140"/>
      <c r="R70" s="140"/>
    </row>
    <row r="71" spans="1:18" x14ac:dyDescent="0.35">
      <c r="A71" s="140"/>
      <c r="B71" s="140"/>
      <c r="C71" s="140"/>
      <c r="D71" s="140"/>
      <c r="E71" s="140"/>
      <c r="F71" s="140"/>
      <c r="G71" s="140"/>
      <c r="H71" s="140"/>
      <c r="I71" s="140"/>
      <c r="J71" s="140"/>
      <c r="K71" s="140"/>
      <c r="L71" s="140"/>
      <c r="M71" s="140"/>
      <c r="N71" s="140"/>
      <c r="O71" s="140"/>
      <c r="P71" s="140"/>
      <c r="Q71" s="140"/>
      <c r="R71" s="140"/>
    </row>
    <row r="72" spans="1:18" x14ac:dyDescent="0.35">
      <c r="A72" s="140"/>
      <c r="B72" s="140"/>
      <c r="C72" s="140"/>
      <c r="D72" s="140"/>
      <c r="E72" s="140"/>
      <c r="F72" s="140"/>
      <c r="G72" s="140"/>
      <c r="H72" s="140"/>
      <c r="I72" s="140"/>
      <c r="J72" s="140"/>
      <c r="K72" s="140"/>
      <c r="L72" s="140"/>
      <c r="M72" s="140"/>
      <c r="N72" s="140"/>
      <c r="O72" s="140"/>
      <c r="P72" s="140"/>
      <c r="Q72" s="140"/>
      <c r="R72" s="140"/>
    </row>
    <row r="73" spans="1:18" x14ac:dyDescent="0.35">
      <c r="A73" s="140"/>
      <c r="B73" s="140"/>
      <c r="C73" s="140"/>
      <c r="D73" s="140"/>
      <c r="E73" s="140"/>
      <c r="F73" s="140"/>
      <c r="G73" s="140"/>
      <c r="H73" s="140"/>
      <c r="I73" s="140"/>
      <c r="J73" s="140"/>
      <c r="K73" s="140"/>
      <c r="L73" s="140"/>
      <c r="M73" s="140"/>
      <c r="N73" s="140"/>
      <c r="O73" s="140"/>
      <c r="P73" s="140"/>
      <c r="Q73" s="140"/>
      <c r="R73" s="140"/>
    </row>
    <row r="74" spans="1:18" x14ac:dyDescent="0.35">
      <c r="A74" s="140"/>
      <c r="B74" s="140"/>
      <c r="C74" s="140"/>
      <c r="D74" s="140"/>
      <c r="E74" s="140"/>
      <c r="F74" s="140"/>
      <c r="G74" s="140"/>
      <c r="H74" s="140"/>
      <c r="I74" s="140"/>
      <c r="J74" s="140"/>
      <c r="K74" s="140"/>
      <c r="L74" s="140"/>
      <c r="M74" s="140"/>
      <c r="N74" s="140"/>
      <c r="O74" s="140"/>
      <c r="P74" s="140"/>
      <c r="Q74" s="140"/>
      <c r="R74" s="140"/>
    </row>
    <row r="75" spans="1:18" x14ac:dyDescent="0.35">
      <c r="A75" s="140"/>
      <c r="B75" s="140"/>
      <c r="C75" s="140"/>
      <c r="D75" s="140"/>
      <c r="E75" s="140"/>
      <c r="F75" s="140"/>
      <c r="G75" s="140"/>
      <c r="H75" s="140"/>
      <c r="I75" s="140"/>
      <c r="J75" s="140"/>
      <c r="K75" s="140"/>
      <c r="L75" s="140"/>
      <c r="M75" s="140"/>
      <c r="N75" s="140"/>
      <c r="O75" s="140"/>
      <c r="P75" s="140"/>
      <c r="Q75" s="140"/>
      <c r="R75" s="140"/>
    </row>
    <row r="76" spans="1:18" x14ac:dyDescent="0.35">
      <c r="A76" s="140"/>
      <c r="B76" s="140"/>
      <c r="C76" s="140"/>
      <c r="D76" s="140"/>
      <c r="E76" s="140"/>
      <c r="F76" s="140"/>
      <c r="G76" s="140"/>
      <c r="H76" s="140"/>
      <c r="I76" s="140"/>
      <c r="J76" s="140"/>
      <c r="K76" s="140"/>
      <c r="L76" s="140"/>
      <c r="M76" s="140"/>
      <c r="N76" s="140"/>
      <c r="O76" s="140"/>
      <c r="P76" s="140"/>
      <c r="Q76" s="140"/>
      <c r="R76" s="140"/>
    </row>
    <row r="77" spans="1:18" x14ac:dyDescent="0.35">
      <c r="A77" s="140"/>
      <c r="B77" s="140"/>
      <c r="C77" s="140"/>
      <c r="D77" s="140"/>
      <c r="E77" s="140"/>
      <c r="F77" s="140"/>
      <c r="G77" s="140"/>
      <c r="H77" s="140"/>
      <c r="I77" s="140"/>
      <c r="J77" s="140"/>
      <c r="K77" s="140"/>
      <c r="L77" s="140"/>
      <c r="M77" s="140"/>
      <c r="N77" s="140"/>
      <c r="O77" s="140"/>
      <c r="P77" s="140"/>
      <c r="Q77" s="140"/>
      <c r="R77" s="140"/>
    </row>
    <row r="78" spans="1:18" x14ac:dyDescent="0.35">
      <c r="A78" s="140"/>
      <c r="B78" s="140"/>
      <c r="C78" s="140"/>
      <c r="D78" s="140"/>
      <c r="E78" s="140"/>
      <c r="F78" s="140"/>
      <c r="G78" s="140"/>
      <c r="H78" s="140"/>
      <c r="I78" s="140"/>
      <c r="J78" s="140"/>
      <c r="K78" s="140"/>
      <c r="L78" s="140"/>
      <c r="M78" s="140"/>
      <c r="N78" s="140"/>
      <c r="O78" s="140"/>
      <c r="P78" s="140"/>
      <c r="Q78" s="140"/>
      <c r="R78" s="140"/>
    </row>
    <row r="79" spans="1:18" x14ac:dyDescent="0.35">
      <c r="A79" s="140"/>
      <c r="B79" s="140"/>
      <c r="C79" s="140"/>
      <c r="D79" s="140"/>
      <c r="E79" s="140"/>
      <c r="F79" s="140"/>
      <c r="G79" s="140"/>
      <c r="H79" s="140"/>
      <c r="I79" s="140"/>
      <c r="J79" s="140"/>
      <c r="K79" s="140"/>
      <c r="L79" s="140"/>
      <c r="M79" s="140"/>
      <c r="N79" s="140"/>
      <c r="O79" s="140"/>
      <c r="P79" s="140"/>
      <c r="Q79" s="140"/>
      <c r="R79" s="140"/>
    </row>
    <row r="80" spans="1:18" x14ac:dyDescent="0.35">
      <c r="A80" s="140"/>
      <c r="B80" s="140"/>
      <c r="C80" s="140"/>
      <c r="D80" s="140"/>
      <c r="E80" s="140"/>
      <c r="F80" s="140"/>
      <c r="G80" s="140"/>
      <c r="H80" s="140"/>
      <c r="I80" s="140"/>
      <c r="J80" s="140"/>
      <c r="K80" s="140"/>
      <c r="L80" s="140"/>
      <c r="M80" s="140"/>
      <c r="N80" s="140"/>
      <c r="O80" s="140"/>
      <c r="P80" s="140"/>
      <c r="Q80" s="140"/>
      <c r="R80" s="140"/>
    </row>
    <row r="81" spans="1:18" x14ac:dyDescent="0.35">
      <c r="A81" s="140"/>
      <c r="B81" s="140"/>
      <c r="C81" s="140"/>
      <c r="D81" s="140"/>
      <c r="E81" s="140"/>
      <c r="F81" s="140"/>
      <c r="G81" s="140"/>
      <c r="H81" s="140"/>
      <c r="I81" s="140"/>
      <c r="J81" s="140"/>
      <c r="K81" s="140"/>
      <c r="L81" s="140"/>
      <c r="M81" s="140"/>
      <c r="N81" s="140"/>
      <c r="O81" s="140"/>
      <c r="P81" s="140"/>
      <c r="Q81" s="140"/>
      <c r="R81" s="140"/>
    </row>
    <row r="82" spans="1:18" x14ac:dyDescent="0.35">
      <c r="A82" s="140"/>
      <c r="B82" s="140"/>
      <c r="C82" s="140"/>
      <c r="D82" s="140"/>
      <c r="E82" s="140"/>
      <c r="F82" s="140"/>
      <c r="G82" s="140"/>
      <c r="H82" s="140"/>
      <c r="I82" s="140"/>
      <c r="J82" s="140"/>
      <c r="K82" s="140"/>
      <c r="L82" s="140"/>
      <c r="M82" s="140"/>
      <c r="N82" s="140"/>
      <c r="O82" s="140"/>
      <c r="P82" s="140"/>
      <c r="Q82" s="140"/>
      <c r="R82" s="140"/>
    </row>
    <row r="83" spans="1:18" x14ac:dyDescent="0.35">
      <c r="A83" s="140"/>
      <c r="B83" s="140"/>
      <c r="C83" s="140"/>
      <c r="D83" s="140"/>
      <c r="E83" s="140"/>
      <c r="F83" s="140"/>
      <c r="G83" s="140"/>
      <c r="H83" s="140"/>
      <c r="I83" s="140"/>
      <c r="J83" s="140"/>
      <c r="K83" s="140"/>
      <c r="L83" s="140"/>
      <c r="M83" s="140"/>
      <c r="N83" s="140"/>
      <c r="O83" s="140"/>
      <c r="P83" s="140"/>
      <c r="Q83" s="140"/>
      <c r="R83" s="140"/>
    </row>
    <row r="84" spans="1:18" x14ac:dyDescent="0.35">
      <c r="A84" s="140"/>
      <c r="B84" s="140"/>
      <c r="C84" s="140"/>
      <c r="D84" s="140"/>
      <c r="E84" s="140"/>
      <c r="F84" s="140"/>
      <c r="G84" s="140"/>
      <c r="H84" s="140"/>
      <c r="I84" s="140"/>
      <c r="J84" s="140"/>
      <c r="K84" s="140"/>
      <c r="L84" s="140"/>
      <c r="M84" s="140"/>
      <c r="N84" s="140"/>
      <c r="O84" s="140"/>
      <c r="P84" s="140"/>
      <c r="Q84" s="140"/>
      <c r="R84" s="140"/>
    </row>
    <row r="85" spans="1:18" x14ac:dyDescent="0.35">
      <c r="A85" s="140"/>
      <c r="B85" s="140"/>
      <c r="C85" s="140"/>
      <c r="D85" s="140"/>
      <c r="E85" s="140"/>
      <c r="F85" s="140"/>
      <c r="G85" s="140"/>
      <c r="H85" s="140"/>
      <c r="I85" s="140"/>
      <c r="J85" s="140"/>
      <c r="K85" s="140"/>
      <c r="L85" s="140"/>
      <c r="M85" s="140"/>
      <c r="N85" s="140"/>
      <c r="O85" s="140"/>
      <c r="P85" s="140"/>
      <c r="Q85" s="140"/>
      <c r="R85" s="140"/>
    </row>
    <row r="86" spans="1:18" x14ac:dyDescent="0.35">
      <c r="A86" s="140"/>
      <c r="B86" s="140"/>
      <c r="C86" s="140"/>
      <c r="D86" s="140"/>
      <c r="E86" s="140"/>
      <c r="F86" s="140"/>
      <c r="G86" s="140"/>
      <c r="H86" s="140"/>
      <c r="I86" s="140"/>
      <c r="J86" s="140"/>
      <c r="K86" s="140"/>
      <c r="L86" s="140"/>
      <c r="M86" s="140"/>
      <c r="N86" s="140"/>
      <c r="O86" s="140"/>
      <c r="P86" s="140"/>
      <c r="Q86" s="140"/>
      <c r="R86" s="140"/>
    </row>
    <row r="87" spans="1:18" x14ac:dyDescent="0.35">
      <c r="A87" s="140"/>
      <c r="B87" s="140"/>
      <c r="C87" s="140"/>
      <c r="D87" s="140"/>
      <c r="E87" s="140"/>
      <c r="F87" s="140"/>
      <c r="G87" s="140"/>
      <c r="H87" s="140"/>
      <c r="I87" s="140"/>
      <c r="J87" s="140"/>
      <c r="K87" s="140"/>
      <c r="L87" s="140"/>
      <c r="M87" s="140"/>
      <c r="N87" s="140"/>
      <c r="O87" s="140"/>
      <c r="P87" s="140"/>
      <c r="Q87" s="140"/>
      <c r="R87" s="140"/>
    </row>
    <row r="88" spans="1:18" x14ac:dyDescent="0.35">
      <c r="A88" s="140"/>
      <c r="B88" s="140"/>
      <c r="C88" s="140"/>
      <c r="D88" s="140"/>
      <c r="E88" s="140"/>
      <c r="F88" s="140"/>
      <c r="G88" s="140"/>
      <c r="H88" s="140"/>
      <c r="I88" s="140"/>
      <c r="J88" s="140"/>
      <c r="K88" s="140"/>
      <c r="L88" s="140"/>
      <c r="M88" s="140"/>
      <c r="N88" s="140"/>
      <c r="O88" s="140"/>
      <c r="P88" s="140"/>
      <c r="Q88" s="140"/>
      <c r="R88" s="140"/>
    </row>
    <row r="89" spans="1:18" x14ac:dyDescent="0.35">
      <c r="A89" s="140"/>
      <c r="B89" s="140"/>
      <c r="C89" s="140"/>
      <c r="D89" s="140"/>
      <c r="E89" s="140"/>
      <c r="F89" s="140"/>
      <c r="G89" s="140"/>
      <c r="H89" s="140"/>
      <c r="I89" s="140"/>
      <c r="J89" s="140"/>
      <c r="K89" s="140"/>
      <c r="L89" s="140"/>
      <c r="M89" s="140"/>
      <c r="N89" s="140"/>
      <c r="O89" s="140"/>
      <c r="P89" s="140"/>
      <c r="Q89" s="140"/>
      <c r="R89" s="140"/>
    </row>
    <row r="90" spans="1:18" x14ac:dyDescent="0.35">
      <c r="A90" s="140"/>
      <c r="B90" s="140"/>
      <c r="C90" s="140"/>
      <c r="D90" s="140"/>
      <c r="E90" s="140"/>
      <c r="F90" s="140"/>
      <c r="G90" s="140"/>
      <c r="H90" s="140"/>
      <c r="I90" s="140"/>
      <c r="J90" s="140"/>
      <c r="K90" s="140"/>
      <c r="L90" s="140"/>
      <c r="M90" s="140"/>
      <c r="N90" s="140"/>
      <c r="O90" s="140"/>
      <c r="P90" s="140"/>
      <c r="Q90" s="140"/>
      <c r="R90" s="140"/>
    </row>
    <row r="91" spans="1:18" x14ac:dyDescent="0.35">
      <c r="A91" s="140"/>
      <c r="B91" s="140"/>
      <c r="C91" s="140"/>
      <c r="D91" s="140"/>
      <c r="E91" s="140"/>
      <c r="F91" s="140"/>
      <c r="G91" s="140"/>
      <c r="H91" s="140"/>
      <c r="I91" s="140"/>
      <c r="J91" s="140"/>
      <c r="K91" s="140"/>
      <c r="L91" s="140"/>
      <c r="M91" s="140"/>
      <c r="N91" s="140"/>
      <c r="O91" s="140"/>
      <c r="P91" s="140"/>
      <c r="Q91" s="140"/>
      <c r="R91" s="140"/>
    </row>
    <row r="92" spans="1:18" x14ac:dyDescent="0.35">
      <c r="A92" s="140"/>
      <c r="B92" s="140"/>
      <c r="C92" s="140"/>
      <c r="D92" s="140"/>
      <c r="E92" s="140"/>
      <c r="F92" s="140"/>
      <c r="G92" s="140"/>
      <c r="H92" s="140"/>
      <c r="I92" s="140"/>
      <c r="J92" s="140"/>
      <c r="K92" s="140"/>
      <c r="L92" s="140"/>
      <c r="M92" s="140"/>
      <c r="N92" s="140"/>
      <c r="O92" s="140"/>
      <c r="P92" s="140"/>
      <c r="Q92" s="140"/>
      <c r="R92" s="140"/>
    </row>
    <row r="93" spans="1:18" x14ac:dyDescent="0.35">
      <c r="A93" s="140"/>
      <c r="B93" s="140"/>
      <c r="C93" s="140"/>
      <c r="D93" s="140"/>
      <c r="E93" s="140"/>
      <c r="F93" s="140"/>
      <c r="G93" s="140"/>
      <c r="H93" s="140"/>
      <c r="I93" s="140"/>
      <c r="J93" s="140"/>
      <c r="K93" s="140"/>
      <c r="L93" s="140"/>
      <c r="M93" s="140"/>
      <c r="N93" s="140"/>
      <c r="O93" s="140"/>
      <c r="P93" s="140"/>
      <c r="Q93" s="140"/>
      <c r="R93" s="140"/>
    </row>
    <row r="94" spans="1:18" x14ac:dyDescent="0.35">
      <c r="A94" s="140"/>
      <c r="B94" s="140"/>
      <c r="C94" s="140"/>
      <c r="D94" s="140"/>
      <c r="E94" s="140"/>
      <c r="F94" s="140"/>
      <c r="G94" s="140"/>
      <c r="H94" s="140"/>
      <c r="I94" s="140"/>
      <c r="J94" s="140"/>
      <c r="K94" s="140"/>
      <c r="L94" s="140"/>
      <c r="M94" s="140"/>
      <c r="N94" s="140"/>
      <c r="O94" s="140"/>
      <c r="P94" s="140"/>
      <c r="Q94" s="140"/>
      <c r="R94" s="140"/>
    </row>
    <row r="95" spans="1:18" x14ac:dyDescent="0.35">
      <c r="A95" s="140"/>
      <c r="B95" s="140"/>
      <c r="C95" s="140"/>
      <c r="D95" s="140"/>
      <c r="E95" s="140"/>
      <c r="F95" s="140"/>
      <c r="G95" s="140"/>
      <c r="H95" s="140"/>
      <c r="I95" s="140"/>
      <c r="J95" s="140"/>
      <c r="K95" s="140"/>
      <c r="L95" s="140"/>
      <c r="M95" s="140"/>
      <c r="N95" s="140"/>
      <c r="O95" s="140"/>
      <c r="P95" s="140"/>
      <c r="Q95" s="140"/>
      <c r="R95" s="140"/>
    </row>
    <row r="96" spans="1:18" x14ac:dyDescent="0.35">
      <c r="A96" s="140"/>
      <c r="B96" s="140"/>
      <c r="C96" s="140"/>
      <c r="D96" s="140"/>
      <c r="E96" s="140"/>
      <c r="F96" s="140"/>
      <c r="G96" s="140"/>
      <c r="H96" s="140"/>
      <c r="I96" s="140"/>
      <c r="J96" s="140"/>
      <c r="K96" s="140"/>
      <c r="L96" s="140"/>
      <c r="M96" s="140"/>
      <c r="N96" s="140"/>
      <c r="O96" s="140"/>
      <c r="P96" s="140"/>
      <c r="Q96" s="140"/>
      <c r="R96" s="140"/>
    </row>
    <row r="97" spans="1:18" x14ac:dyDescent="0.35">
      <c r="A97" s="140"/>
      <c r="B97" s="140"/>
      <c r="C97" s="140"/>
      <c r="D97" s="140"/>
      <c r="E97" s="140"/>
      <c r="F97" s="140"/>
      <c r="G97" s="140"/>
      <c r="H97" s="140"/>
      <c r="I97" s="140"/>
      <c r="J97" s="140"/>
      <c r="K97" s="140"/>
      <c r="L97" s="140"/>
      <c r="M97" s="140"/>
      <c r="N97" s="140"/>
      <c r="O97" s="140"/>
      <c r="P97" s="140"/>
      <c r="Q97" s="140"/>
      <c r="R97" s="140"/>
    </row>
    <row r="98" spans="1:18" x14ac:dyDescent="0.35">
      <c r="A98" s="140"/>
      <c r="B98" s="140"/>
      <c r="C98" s="140"/>
      <c r="D98" s="140"/>
      <c r="E98" s="140"/>
      <c r="F98" s="140"/>
      <c r="G98" s="140"/>
      <c r="H98" s="140"/>
      <c r="I98" s="140"/>
      <c r="J98" s="140"/>
      <c r="K98" s="140"/>
      <c r="L98" s="140"/>
      <c r="M98" s="140"/>
      <c r="N98" s="140"/>
      <c r="O98" s="140"/>
      <c r="P98" s="140"/>
      <c r="Q98" s="140"/>
      <c r="R98" s="140"/>
    </row>
    <row r="99" spans="1:18" x14ac:dyDescent="0.35">
      <c r="A99" s="140"/>
      <c r="B99" s="140"/>
      <c r="C99" s="140"/>
      <c r="D99" s="140"/>
      <c r="E99" s="140"/>
      <c r="F99" s="140"/>
      <c r="G99" s="140"/>
      <c r="H99" s="140"/>
      <c r="I99" s="140"/>
      <c r="J99" s="140"/>
      <c r="K99" s="140"/>
      <c r="L99" s="140"/>
      <c r="M99" s="140"/>
      <c r="N99" s="140"/>
      <c r="O99" s="140"/>
      <c r="P99" s="140"/>
      <c r="Q99" s="140"/>
      <c r="R99" s="140"/>
    </row>
    <row r="100" spans="1:18" x14ac:dyDescent="0.35">
      <c r="A100" s="140"/>
      <c r="B100" s="140"/>
      <c r="C100" s="140"/>
      <c r="D100" s="140"/>
      <c r="E100" s="140"/>
      <c r="F100" s="140"/>
      <c r="G100" s="140"/>
      <c r="H100" s="140"/>
      <c r="I100" s="140"/>
      <c r="J100" s="140"/>
      <c r="K100" s="140"/>
      <c r="L100" s="140"/>
      <c r="M100" s="140"/>
      <c r="N100" s="140"/>
      <c r="O100" s="140"/>
      <c r="P100" s="140"/>
      <c r="Q100" s="140"/>
      <c r="R100" s="140"/>
    </row>
    <row r="101" spans="1:18" x14ac:dyDescent="0.35">
      <c r="A101" s="140"/>
      <c r="B101" s="140"/>
      <c r="C101" s="140"/>
      <c r="D101" s="140"/>
      <c r="E101" s="140"/>
      <c r="F101" s="140"/>
      <c r="G101" s="140"/>
      <c r="H101" s="140"/>
      <c r="I101" s="140"/>
      <c r="J101" s="140"/>
      <c r="K101" s="140"/>
      <c r="L101" s="140"/>
      <c r="M101" s="140"/>
      <c r="N101" s="140"/>
      <c r="O101" s="140"/>
      <c r="P101" s="140"/>
      <c r="Q101" s="140"/>
      <c r="R101" s="140"/>
    </row>
    <row r="102" spans="1:18" x14ac:dyDescent="0.35">
      <c r="A102" s="140"/>
      <c r="B102" s="140"/>
      <c r="C102" s="140"/>
      <c r="D102" s="140"/>
      <c r="E102" s="140"/>
      <c r="F102" s="140"/>
      <c r="G102" s="140"/>
      <c r="H102" s="140"/>
      <c r="I102" s="140"/>
      <c r="J102" s="140"/>
      <c r="K102" s="140"/>
      <c r="L102" s="140"/>
      <c r="M102" s="140"/>
      <c r="N102" s="140"/>
      <c r="O102" s="140"/>
      <c r="P102" s="140"/>
      <c r="Q102" s="140"/>
      <c r="R102" s="140"/>
    </row>
    <row r="103" spans="1:18" x14ac:dyDescent="0.35">
      <c r="A103" s="140"/>
      <c r="B103" s="140"/>
      <c r="C103" s="140"/>
      <c r="D103" s="140"/>
      <c r="E103" s="140"/>
      <c r="F103" s="140"/>
      <c r="G103" s="140"/>
      <c r="H103" s="140"/>
      <c r="I103" s="140"/>
      <c r="J103" s="140"/>
      <c r="K103" s="140"/>
      <c r="L103" s="140"/>
      <c r="M103" s="140"/>
      <c r="N103" s="140"/>
      <c r="O103" s="140"/>
      <c r="P103" s="140"/>
      <c r="Q103" s="140"/>
      <c r="R103" s="140"/>
    </row>
    <row r="104" spans="1:18" x14ac:dyDescent="0.35">
      <c r="A104" s="140"/>
      <c r="B104" s="140"/>
      <c r="C104" s="140"/>
      <c r="D104" s="140"/>
      <c r="E104" s="140"/>
      <c r="F104" s="140"/>
      <c r="G104" s="140"/>
      <c r="H104" s="140"/>
      <c r="I104" s="140"/>
      <c r="J104" s="140"/>
      <c r="K104" s="140"/>
      <c r="L104" s="140"/>
      <c r="M104" s="140"/>
      <c r="N104" s="140"/>
      <c r="O104" s="140"/>
      <c r="P104" s="140"/>
      <c r="Q104" s="140"/>
      <c r="R104" s="140"/>
    </row>
    <row r="105" spans="1:18" x14ac:dyDescent="0.35">
      <c r="A105" s="140"/>
      <c r="B105" s="140"/>
      <c r="C105" s="140"/>
      <c r="D105" s="140"/>
      <c r="E105" s="140"/>
      <c r="F105" s="140"/>
      <c r="G105" s="140"/>
      <c r="H105" s="140"/>
      <c r="I105" s="140"/>
      <c r="J105" s="140"/>
      <c r="K105" s="140"/>
      <c r="L105" s="140"/>
      <c r="M105" s="140"/>
      <c r="N105" s="140"/>
      <c r="O105" s="140"/>
      <c r="P105" s="140"/>
      <c r="Q105" s="140"/>
      <c r="R105" s="140"/>
    </row>
    <row r="106" spans="1:18" x14ac:dyDescent="0.35">
      <c r="A106" s="140"/>
      <c r="B106" s="140"/>
      <c r="C106" s="140"/>
      <c r="D106" s="140"/>
      <c r="E106" s="140"/>
      <c r="F106" s="140"/>
      <c r="G106" s="140"/>
      <c r="H106" s="140"/>
      <c r="I106" s="140"/>
      <c r="J106" s="140"/>
      <c r="K106" s="140"/>
      <c r="L106" s="140"/>
      <c r="M106" s="140"/>
      <c r="N106" s="140"/>
      <c r="O106" s="140"/>
      <c r="P106" s="140"/>
      <c r="Q106" s="140"/>
      <c r="R106" s="140"/>
    </row>
    <row r="107" spans="1:18" x14ac:dyDescent="0.35">
      <c r="A107" s="140"/>
      <c r="B107" s="140"/>
      <c r="C107" s="140"/>
      <c r="D107" s="140"/>
      <c r="E107" s="140"/>
      <c r="F107" s="140"/>
      <c r="G107" s="140"/>
      <c r="H107" s="140"/>
      <c r="I107" s="140"/>
      <c r="J107" s="140"/>
      <c r="K107" s="140"/>
      <c r="L107" s="140"/>
      <c r="M107" s="140"/>
      <c r="N107" s="140"/>
      <c r="O107" s="140"/>
      <c r="P107" s="140"/>
      <c r="Q107" s="140"/>
      <c r="R107" s="140"/>
    </row>
    <row r="108" spans="1:18" x14ac:dyDescent="0.35">
      <c r="A108" s="140"/>
      <c r="B108" s="140"/>
      <c r="C108" s="140"/>
      <c r="D108" s="140"/>
      <c r="E108" s="140"/>
      <c r="F108" s="140"/>
      <c r="G108" s="140"/>
      <c r="H108" s="140"/>
      <c r="I108" s="140"/>
      <c r="J108" s="140"/>
      <c r="K108" s="140"/>
      <c r="L108" s="140"/>
      <c r="M108" s="140"/>
      <c r="N108" s="140"/>
      <c r="O108" s="140"/>
      <c r="P108" s="140"/>
      <c r="Q108" s="140"/>
      <c r="R108" s="140"/>
    </row>
    <row r="109" spans="1:18" x14ac:dyDescent="0.35">
      <c r="A109" s="140"/>
      <c r="B109" s="140"/>
      <c r="C109" s="140"/>
      <c r="D109" s="140"/>
      <c r="E109" s="140"/>
      <c r="F109" s="140"/>
      <c r="G109" s="140"/>
      <c r="H109" s="140"/>
      <c r="I109" s="140"/>
      <c r="J109" s="140"/>
      <c r="K109" s="140"/>
      <c r="L109" s="140"/>
      <c r="M109" s="140"/>
      <c r="N109" s="140"/>
      <c r="O109" s="140"/>
      <c r="P109" s="140"/>
      <c r="Q109" s="140"/>
      <c r="R109" s="140"/>
    </row>
    <row r="110" spans="1:18" x14ac:dyDescent="0.35">
      <c r="A110" s="140"/>
      <c r="B110" s="140"/>
      <c r="C110" s="140"/>
      <c r="D110" s="140"/>
      <c r="E110" s="140"/>
      <c r="F110" s="140"/>
      <c r="G110" s="140"/>
      <c r="H110" s="140"/>
      <c r="I110" s="140"/>
      <c r="J110" s="140"/>
      <c r="K110" s="140"/>
      <c r="L110" s="140"/>
      <c r="M110" s="140"/>
      <c r="N110" s="140"/>
      <c r="O110" s="140"/>
      <c r="P110" s="140"/>
      <c r="Q110" s="140"/>
      <c r="R110" s="140"/>
    </row>
    <row r="111" spans="1:18" x14ac:dyDescent="0.35">
      <c r="A111" s="140"/>
      <c r="B111" s="140"/>
      <c r="C111" s="140"/>
      <c r="D111" s="140"/>
      <c r="E111" s="140"/>
      <c r="F111" s="140"/>
      <c r="G111" s="140"/>
      <c r="H111" s="140"/>
      <c r="I111" s="140"/>
      <c r="J111" s="140"/>
      <c r="K111" s="140"/>
      <c r="L111" s="140"/>
      <c r="M111" s="140"/>
      <c r="N111" s="140"/>
      <c r="O111" s="140"/>
      <c r="P111" s="140"/>
      <c r="Q111" s="140"/>
      <c r="R111" s="140"/>
    </row>
    <row r="112" spans="1:18" x14ac:dyDescent="0.35">
      <c r="A112" s="140"/>
      <c r="B112" s="140"/>
      <c r="C112" s="140"/>
      <c r="D112" s="140"/>
      <c r="E112" s="140"/>
      <c r="F112" s="140"/>
      <c r="G112" s="140"/>
      <c r="H112" s="140"/>
      <c r="I112" s="140"/>
      <c r="J112" s="140"/>
      <c r="K112" s="140"/>
      <c r="L112" s="140"/>
      <c r="M112" s="140"/>
      <c r="N112" s="140"/>
      <c r="O112" s="140"/>
      <c r="P112" s="140"/>
      <c r="Q112" s="140"/>
      <c r="R112" s="140"/>
    </row>
    <row r="113" spans="1:18" x14ac:dyDescent="0.35">
      <c r="A113" s="140"/>
      <c r="B113" s="140"/>
      <c r="C113" s="140"/>
      <c r="D113" s="140"/>
      <c r="E113" s="140"/>
      <c r="F113" s="140"/>
      <c r="G113" s="140"/>
      <c r="H113" s="140"/>
      <c r="I113" s="140"/>
      <c r="J113" s="140"/>
      <c r="K113" s="140"/>
      <c r="L113" s="140"/>
      <c r="M113" s="140"/>
      <c r="N113" s="140"/>
      <c r="O113" s="140"/>
      <c r="P113" s="140"/>
      <c r="Q113" s="140"/>
      <c r="R113" s="140"/>
    </row>
    <row r="114" spans="1:18" x14ac:dyDescent="0.35">
      <c r="A114" s="140"/>
      <c r="B114" s="140"/>
      <c r="C114" s="140"/>
      <c r="D114" s="140"/>
      <c r="E114" s="140"/>
      <c r="F114" s="140"/>
      <c r="G114" s="140"/>
      <c r="H114" s="140"/>
      <c r="I114" s="140"/>
      <c r="J114" s="140"/>
      <c r="K114" s="140"/>
      <c r="L114" s="140"/>
      <c r="M114" s="140"/>
      <c r="N114" s="140"/>
      <c r="O114" s="140"/>
      <c r="P114" s="140"/>
      <c r="Q114" s="140"/>
      <c r="R114" s="140"/>
    </row>
    <row r="115" spans="1:18" x14ac:dyDescent="0.35">
      <c r="A115" s="140"/>
      <c r="B115" s="140"/>
      <c r="C115" s="140"/>
      <c r="D115" s="140"/>
      <c r="E115" s="140"/>
      <c r="F115" s="140"/>
      <c r="G115" s="140"/>
      <c r="H115" s="140"/>
      <c r="I115" s="140"/>
      <c r="J115" s="140"/>
      <c r="K115" s="140"/>
      <c r="L115" s="140"/>
      <c r="M115" s="140"/>
      <c r="N115" s="140"/>
      <c r="O115" s="140"/>
      <c r="P115" s="140"/>
      <c r="Q115" s="140"/>
      <c r="R115" s="140"/>
    </row>
    <row r="116" spans="1:18" x14ac:dyDescent="0.35">
      <c r="A116" s="140"/>
      <c r="B116" s="140"/>
      <c r="C116" s="140"/>
      <c r="D116" s="140"/>
      <c r="E116" s="140"/>
      <c r="F116" s="140"/>
      <c r="G116" s="140"/>
      <c r="H116" s="140"/>
      <c r="I116" s="140"/>
      <c r="J116" s="140"/>
      <c r="K116" s="140"/>
      <c r="L116" s="140"/>
      <c r="M116" s="140"/>
      <c r="N116" s="140"/>
      <c r="O116" s="140"/>
      <c r="P116" s="140"/>
      <c r="Q116" s="140"/>
      <c r="R116" s="140"/>
    </row>
    <row r="117" spans="1:18" x14ac:dyDescent="0.35">
      <c r="A117" s="140"/>
      <c r="B117" s="140"/>
      <c r="C117" s="140"/>
      <c r="D117" s="140"/>
      <c r="E117" s="140"/>
      <c r="F117" s="140"/>
      <c r="G117" s="140"/>
      <c r="H117" s="140"/>
      <c r="I117" s="140"/>
      <c r="J117" s="140"/>
      <c r="K117" s="140"/>
      <c r="L117" s="140"/>
      <c r="M117" s="140"/>
      <c r="N117" s="140"/>
      <c r="O117" s="140"/>
      <c r="P117" s="140"/>
      <c r="Q117" s="140"/>
      <c r="R117" s="140"/>
    </row>
    <row r="118" spans="1:18" x14ac:dyDescent="0.35">
      <c r="A118" s="140"/>
      <c r="B118" s="140"/>
      <c r="C118" s="140"/>
      <c r="D118" s="140"/>
      <c r="E118" s="140"/>
      <c r="F118" s="140"/>
      <c r="G118" s="140"/>
      <c r="H118" s="140"/>
      <c r="I118" s="140"/>
      <c r="J118" s="140"/>
      <c r="K118" s="140"/>
      <c r="L118" s="140"/>
      <c r="M118" s="140"/>
      <c r="N118" s="140"/>
      <c r="O118" s="140"/>
      <c r="P118" s="140"/>
      <c r="Q118" s="140"/>
      <c r="R118" s="140"/>
    </row>
    <row r="119" spans="1:18" x14ac:dyDescent="0.35">
      <c r="A119" s="140"/>
      <c r="B119" s="140"/>
      <c r="C119" s="140"/>
      <c r="D119" s="140"/>
      <c r="E119" s="140"/>
      <c r="F119" s="140"/>
      <c r="G119" s="140"/>
      <c r="H119" s="140"/>
      <c r="I119" s="140"/>
      <c r="J119" s="140"/>
      <c r="K119" s="140"/>
      <c r="L119" s="140"/>
      <c r="M119" s="140"/>
      <c r="N119" s="140"/>
      <c r="O119" s="140"/>
      <c r="P119" s="140"/>
      <c r="Q119" s="140"/>
      <c r="R119" s="140"/>
    </row>
    <row r="120" spans="1:18" x14ac:dyDescent="0.35">
      <c r="A120" s="140"/>
      <c r="B120" s="140"/>
      <c r="C120" s="140"/>
      <c r="D120" s="140"/>
      <c r="E120" s="140"/>
      <c r="F120" s="140"/>
      <c r="G120" s="140"/>
      <c r="H120" s="140"/>
      <c r="I120" s="140"/>
      <c r="J120" s="140"/>
      <c r="K120" s="140"/>
      <c r="L120" s="140"/>
      <c r="M120" s="140"/>
      <c r="N120" s="140"/>
      <c r="O120" s="140"/>
      <c r="P120" s="140"/>
      <c r="Q120" s="140"/>
      <c r="R120" s="140"/>
    </row>
    <row r="121" spans="1:18" x14ac:dyDescent="0.35">
      <c r="A121" s="140"/>
      <c r="B121" s="140"/>
      <c r="C121" s="140"/>
      <c r="D121" s="140"/>
      <c r="E121" s="140"/>
      <c r="F121" s="140"/>
      <c r="G121" s="140"/>
      <c r="H121" s="140"/>
      <c r="I121" s="140"/>
      <c r="J121" s="140"/>
      <c r="K121" s="140"/>
      <c r="L121" s="140"/>
      <c r="M121" s="140"/>
      <c r="N121" s="140"/>
      <c r="O121" s="140"/>
      <c r="P121" s="140"/>
      <c r="Q121" s="140"/>
      <c r="R121" s="140"/>
    </row>
    <row r="122" spans="1:18" x14ac:dyDescent="0.35">
      <c r="A122" s="140"/>
      <c r="B122" s="140"/>
      <c r="C122" s="140"/>
      <c r="D122" s="140"/>
      <c r="E122" s="140"/>
      <c r="F122" s="140"/>
      <c r="G122" s="140"/>
      <c r="H122" s="140"/>
      <c r="I122" s="140"/>
      <c r="J122" s="140"/>
      <c r="K122" s="140"/>
      <c r="L122" s="140"/>
      <c r="M122" s="140"/>
      <c r="N122" s="140"/>
      <c r="O122" s="140"/>
      <c r="P122" s="140"/>
      <c r="Q122" s="140"/>
      <c r="R122" s="140"/>
    </row>
    <row r="123" spans="1:18" x14ac:dyDescent="0.35">
      <c r="A123" s="140"/>
      <c r="B123" s="140"/>
      <c r="C123" s="140"/>
      <c r="D123" s="140"/>
      <c r="E123" s="140"/>
      <c r="F123" s="140"/>
      <c r="G123" s="140"/>
      <c r="H123" s="140"/>
      <c r="I123" s="140"/>
      <c r="J123" s="140"/>
      <c r="K123" s="140"/>
      <c r="L123" s="140"/>
      <c r="M123" s="140"/>
      <c r="N123" s="140"/>
      <c r="O123" s="140"/>
      <c r="P123" s="140"/>
      <c r="Q123" s="140"/>
      <c r="R123" s="140"/>
    </row>
    <row r="124" spans="1:18" x14ac:dyDescent="0.35">
      <c r="A124" s="140"/>
      <c r="B124" s="140"/>
      <c r="C124" s="140"/>
      <c r="D124" s="140"/>
      <c r="E124" s="140"/>
      <c r="F124" s="140"/>
      <c r="G124" s="140"/>
      <c r="H124" s="140"/>
      <c r="I124" s="140"/>
      <c r="J124" s="140"/>
      <c r="K124" s="140"/>
      <c r="L124" s="140"/>
      <c r="M124" s="140"/>
      <c r="N124" s="140"/>
      <c r="O124" s="140"/>
      <c r="P124" s="140"/>
      <c r="Q124" s="140"/>
      <c r="R124" s="140"/>
    </row>
    <row r="125" spans="1:18" x14ac:dyDescent="0.35">
      <c r="A125" s="140"/>
      <c r="B125" s="140"/>
      <c r="C125" s="140"/>
      <c r="D125" s="140"/>
      <c r="E125" s="140"/>
      <c r="F125" s="140"/>
      <c r="G125" s="140"/>
      <c r="H125" s="140"/>
      <c r="I125" s="140"/>
      <c r="J125" s="140"/>
      <c r="K125" s="140"/>
      <c r="L125" s="140"/>
      <c r="M125" s="140"/>
      <c r="N125" s="140"/>
      <c r="O125" s="140"/>
      <c r="P125" s="140"/>
      <c r="Q125" s="140"/>
      <c r="R125" s="140"/>
    </row>
    <row r="126" spans="1:18" x14ac:dyDescent="0.35">
      <c r="A126" s="140"/>
      <c r="B126" s="140"/>
      <c r="C126" s="140"/>
      <c r="D126" s="140"/>
      <c r="E126" s="140"/>
      <c r="F126" s="140"/>
      <c r="G126" s="140"/>
      <c r="H126" s="140"/>
      <c r="I126" s="140"/>
      <c r="J126" s="140"/>
      <c r="K126" s="140"/>
      <c r="L126" s="140"/>
      <c r="M126" s="140"/>
      <c r="N126" s="140"/>
      <c r="O126" s="140"/>
      <c r="P126" s="140"/>
      <c r="Q126" s="140"/>
      <c r="R126" s="140"/>
    </row>
    <row r="127" spans="1:18" x14ac:dyDescent="0.35">
      <c r="A127" s="140"/>
      <c r="B127" s="140"/>
      <c r="C127" s="140"/>
      <c r="D127" s="140"/>
      <c r="E127" s="140"/>
      <c r="F127" s="140"/>
      <c r="G127" s="140"/>
      <c r="H127" s="140"/>
      <c r="I127" s="140"/>
      <c r="J127" s="140"/>
      <c r="K127" s="140"/>
      <c r="L127" s="140"/>
      <c r="M127" s="140"/>
      <c r="N127" s="140"/>
      <c r="O127" s="140"/>
      <c r="P127" s="140"/>
      <c r="Q127" s="140"/>
      <c r="R127" s="140"/>
    </row>
    <row r="128" spans="1:18" x14ac:dyDescent="0.35">
      <c r="A128" s="140"/>
      <c r="B128" s="140"/>
      <c r="C128" s="140"/>
      <c r="D128" s="140"/>
      <c r="E128" s="140"/>
      <c r="F128" s="140"/>
      <c r="G128" s="140"/>
      <c r="H128" s="140"/>
      <c r="I128" s="140"/>
      <c r="J128" s="140"/>
      <c r="K128" s="140"/>
      <c r="L128" s="140"/>
      <c r="M128" s="140"/>
      <c r="N128" s="140"/>
      <c r="O128" s="140"/>
      <c r="P128" s="140"/>
      <c r="Q128" s="140"/>
      <c r="R128" s="140"/>
    </row>
    <row r="129" spans="1:18" x14ac:dyDescent="0.35">
      <c r="A129" s="140"/>
      <c r="B129" s="140"/>
      <c r="C129" s="140"/>
      <c r="D129" s="140"/>
      <c r="E129" s="140"/>
      <c r="F129" s="140"/>
      <c r="G129" s="140"/>
      <c r="H129" s="140"/>
      <c r="I129" s="140"/>
      <c r="J129" s="140"/>
      <c r="K129" s="140"/>
      <c r="L129" s="140"/>
      <c r="M129" s="140"/>
      <c r="N129" s="140"/>
      <c r="O129" s="140"/>
      <c r="P129" s="140"/>
      <c r="Q129" s="140"/>
      <c r="R129" s="140"/>
    </row>
    <row r="130" spans="1:18" x14ac:dyDescent="0.35">
      <c r="A130" s="140"/>
      <c r="B130" s="140"/>
      <c r="C130" s="140"/>
      <c r="D130" s="140"/>
      <c r="E130" s="140"/>
      <c r="F130" s="140"/>
      <c r="G130" s="140"/>
      <c r="H130" s="140"/>
      <c r="I130" s="140"/>
      <c r="J130" s="140"/>
      <c r="K130" s="140"/>
      <c r="L130" s="140"/>
      <c r="M130" s="140"/>
      <c r="N130" s="140"/>
      <c r="O130" s="140"/>
      <c r="P130" s="140"/>
      <c r="Q130" s="140"/>
      <c r="R130" s="140"/>
    </row>
    <row r="131" spans="1:18" x14ac:dyDescent="0.35">
      <c r="A131" s="140"/>
      <c r="B131" s="140"/>
      <c r="C131" s="140"/>
      <c r="D131" s="140"/>
      <c r="E131" s="140"/>
      <c r="F131" s="140"/>
      <c r="G131" s="140"/>
      <c r="H131" s="140"/>
      <c r="I131" s="140"/>
      <c r="J131" s="140"/>
      <c r="K131" s="140"/>
      <c r="L131" s="140"/>
      <c r="M131" s="140"/>
      <c r="N131" s="140"/>
      <c r="O131" s="140"/>
      <c r="P131" s="140"/>
      <c r="Q131" s="140"/>
      <c r="R131" s="140"/>
    </row>
    <row r="132" spans="1:18" x14ac:dyDescent="0.35">
      <c r="A132" s="140"/>
      <c r="B132" s="140"/>
      <c r="C132" s="140"/>
      <c r="D132" s="140"/>
      <c r="E132" s="140"/>
      <c r="F132" s="140"/>
      <c r="G132" s="140"/>
      <c r="H132" s="140"/>
      <c r="I132" s="140"/>
      <c r="J132" s="140"/>
      <c r="K132" s="140"/>
      <c r="L132" s="140"/>
      <c r="M132" s="140"/>
      <c r="N132" s="140"/>
      <c r="O132" s="140"/>
      <c r="P132" s="140"/>
      <c r="Q132" s="140"/>
      <c r="R132" s="140"/>
    </row>
    <row r="133" spans="1:18" x14ac:dyDescent="0.35">
      <c r="A133" s="140"/>
      <c r="B133" s="140"/>
      <c r="C133" s="140"/>
      <c r="D133" s="140"/>
      <c r="E133" s="140"/>
      <c r="F133" s="140"/>
      <c r="G133" s="140"/>
      <c r="H133" s="140"/>
      <c r="I133" s="140"/>
      <c r="J133" s="140"/>
      <c r="K133" s="140"/>
      <c r="L133" s="140"/>
      <c r="M133" s="140"/>
      <c r="N133" s="140"/>
      <c r="O133" s="140"/>
      <c r="P133" s="140"/>
      <c r="Q133" s="140"/>
      <c r="R133" s="140"/>
    </row>
    <row r="134" spans="1:18" x14ac:dyDescent="0.35">
      <c r="A134" s="140"/>
      <c r="B134" s="140"/>
      <c r="C134" s="140"/>
      <c r="D134" s="140"/>
      <c r="E134" s="140"/>
      <c r="F134" s="140"/>
      <c r="G134" s="140"/>
      <c r="H134" s="140"/>
      <c r="I134" s="140"/>
      <c r="J134" s="140"/>
      <c r="K134" s="140"/>
      <c r="L134" s="140"/>
      <c r="M134" s="140"/>
      <c r="N134" s="140"/>
      <c r="O134" s="140"/>
      <c r="P134" s="140"/>
      <c r="Q134" s="140"/>
      <c r="R134" s="140"/>
    </row>
    <row r="135" spans="1:18" x14ac:dyDescent="0.35">
      <c r="A135" s="140"/>
      <c r="B135" s="140"/>
      <c r="C135" s="140"/>
      <c r="D135" s="140"/>
      <c r="E135" s="140"/>
      <c r="F135" s="140"/>
      <c r="G135" s="140"/>
      <c r="H135" s="140"/>
      <c r="I135" s="140"/>
      <c r="J135" s="140"/>
      <c r="K135" s="140"/>
      <c r="L135" s="140"/>
      <c r="M135" s="140"/>
      <c r="N135" s="140"/>
      <c r="O135" s="140"/>
      <c r="P135" s="140"/>
      <c r="Q135" s="140"/>
      <c r="R135" s="140"/>
    </row>
    <row r="136" spans="1:18" x14ac:dyDescent="0.35">
      <c r="A136" s="140"/>
      <c r="B136" s="140"/>
      <c r="C136" s="140"/>
      <c r="D136" s="140"/>
      <c r="E136" s="140"/>
      <c r="F136" s="140"/>
      <c r="G136" s="140"/>
      <c r="H136" s="140"/>
      <c r="I136" s="140"/>
      <c r="J136" s="140"/>
      <c r="K136" s="140"/>
      <c r="L136" s="140"/>
      <c r="M136" s="140"/>
      <c r="N136" s="140"/>
      <c r="O136" s="140"/>
      <c r="P136" s="140"/>
      <c r="Q136" s="140"/>
      <c r="R136" s="140"/>
    </row>
    <row r="137" spans="1:18" x14ac:dyDescent="0.35">
      <c r="A137" s="140"/>
      <c r="B137" s="140"/>
      <c r="C137" s="140"/>
      <c r="D137" s="140"/>
      <c r="E137" s="140"/>
      <c r="F137" s="140"/>
      <c r="G137" s="140"/>
      <c r="H137" s="140"/>
      <c r="I137" s="140"/>
      <c r="J137" s="140"/>
      <c r="K137" s="140"/>
      <c r="L137" s="140"/>
      <c r="M137" s="140"/>
      <c r="N137" s="140"/>
      <c r="O137" s="140"/>
      <c r="P137" s="140"/>
      <c r="Q137" s="140"/>
      <c r="R137" s="140"/>
    </row>
    <row r="138" spans="1:18" x14ac:dyDescent="0.35">
      <c r="A138" s="140"/>
      <c r="B138" s="140"/>
      <c r="C138" s="140"/>
      <c r="D138" s="140"/>
      <c r="E138" s="140"/>
      <c r="F138" s="140"/>
      <c r="G138" s="140"/>
      <c r="H138" s="140"/>
      <c r="I138" s="140"/>
      <c r="J138" s="140"/>
      <c r="K138" s="140"/>
      <c r="L138" s="140"/>
      <c r="M138" s="140"/>
      <c r="N138" s="140"/>
      <c r="O138" s="140"/>
      <c r="P138" s="140"/>
      <c r="Q138" s="140"/>
      <c r="R138" s="140"/>
    </row>
    <row r="139" spans="1:18" x14ac:dyDescent="0.35">
      <c r="A139" s="140"/>
      <c r="B139" s="140"/>
      <c r="C139" s="140"/>
      <c r="D139" s="140"/>
      <c r="E139" s="140"/>
      <c r="F139" s="140"/>
      <c r="G139" s="140"/>
      <c r="H139" s="140"/>
      <c r="I139" s="140"/>
      <c r="J139" s="140"/>
      <c r="K139" s="140"/>
      <c r="L139" s="140"/>
      <c r="M139" s="140"/>
      <c r="N139" s="140"/>
      <c r="O139" s="140"/>
      <c r="P139" s="140"/>
      <c r="Q139" s="140"/>
      <c r="R139" s="140"/>
    </row>
    <row r="140" spans="1:18" x14ac:dyDescent="0.35">
      <c r="A140" s="140"/>
      <c r="B140" s="140"/>
      <c r="C140" s="140"/>
      <c r="D140" s="140"/>
      <c r="E140" s="140"/>
      <c r="F140" s="140"/>
      <c r="G140" s="140"/>
      <c r="H140" s="140"/>
      <c r="I140" s="140"/>
      <c r="J140" s="140"/>
      <c r="K140" s="140"/>
      <c r="L140" s="140"/>
      <c r="M140" s="140"/>
      <c r="N140" s="140"/>
      <c r="O140" s="140"/>
      <c r="P140" s="140"/>
      <c r="Q140" s="140"/>
      <c r="R140" s="140"/>
    </row>
    <row r="141" spans="1:18" x14ac:dyDescent="0.35">
      <c r="A141" s="140"/>
      <c r="B141" s="140"/>
      <c r="C141" s="140"/>
      <c r="D141" s="140"/>
      <c r="E141" s="140"/>
      <c r="F141" s="140"/>
      <c r="G141" s="140"/>
      <c r="H141" s="140"/>
      <c r="I141" s="140"/>
      <c r="J141" s="140"/>
      <c r="K141" s="140"/>
      <c r="L141" s="140"/>
      <c r="M141" s="140"/>
      <c r="N141" s="140"/>
      <c r="O141" s="140"/>
      <c r="P141" s="140"/>
      <c r="Q141" s="140"/>
      <c r="R141" s="140"/>
    </row>
    <row r="142" spans="1:18" x14ac:dyDescent="0.35">
      <c r="A142" s="140"/>
      <c r="B142" s="140"/>
      <c r="C142" s="140"/>
      <c r="D142" s="140"/>
      <c r="E142" s="140"/>
      <c r="F142" s="140"/>
      <c r="G142" s="140"/>
      <c r="H142" s="140"/>
      <c r="I142" s="140"/>
      <c r="J142" s="140"/>
      <c r="K142" s="140"/>
      <c r="L142" s="140"/>
      <c r="M142" s="140"/>
      <c r="N142" s="140"/>
      <c r="O142" s="140"/>
      <c r="P142" s="140"/>
      <c r="Q142" s="140"/>
      <c r="R142" s="140"/>
    </row>
    <row r="143" spans="1:18" x14ac:dyDescent="0.35">
      <c r="A143" s="140"/>
      <c r="B143" s="140"/>
      <c r="C143" s="140"/>
      <c r="D143" s="140"/>
      <c r="E143" s="140"/>
      <c r="F143" s="140"/>
      <c r="G143" s="140"/>
      <c r="H143" s="140"/>
      <c r="I143" s="140"/>
      <c r="J143" s="140"/>
      <c r="K143" s="140"/>
      <c r="L143" s="140"/>
      <c r="M143" s="140"/>
      <c r="N143" s="140"/>
      <c r="O143" s="140"/>
      <c r="P143" s="140"/>
      <c r="Q143" s="140"/>
      <c r="R143" s="140"/>
    </row>
    <row r="144" spans="1:18" x14ac:dyDescent="0.35">
      <c r="A144" s="140"/>
      <c r="B144" s="140"/>
      <c r="C144" s="140"/>
      <c r="D144" s="140"/>
      <c r="E144" s="140"/>
      <c r="F144" s="140"/>
      <c r="G144" s="140"/>
      <c r="H144" s="140"/>
      <c r="I144" s="140"/>
      <c r="J144" s="140"/>
      <c r="K144" s="140"/>
      <c r="L144" s="140"/>
      <c r="M144" s="140"/>
      <c r="N144" s="140"/>
      <c r="O144" s="140"/>
      <c r="P144" s="140"/>
      <c r="Q144" s="140"/>
      <c r="R144" s="140"/>
    </row>
    <row r="145" spans="1:18" x14ac:dyDescent="0.35">
      <c r="A145" s="140"/>
      <c r="B145" s="140"/>
      <c r="C145" s="140"/>
      <c r="D145" s="140"/>
      <c r="E145" s="140"/>
      <c r="F145" s="140"/>
      <c r="G145" s="140"/>
      <c r="H145" s="140"/>
      <c r="I145" s="140"/>
      <c r="J145" s="140"/>
      <c r="K145" s="140"/>
      <c r="L145" s="140"/>
      <c r="M145" s="140"/>
      <c r="N145" s="140"/>
      <c r="O145" s="140"/>
      <c r="P145" s="140"/>
      <c r="Q145" s="140"/>
      <c r="R145" s="140"/>
    </row>
    <row r="146" spans="1:18" x14ac:dyDescent="0.35">
      <c r="A146" s="140"/>
      <c r="B146" s="140"/>
      <c r="C146" s="140"/>
      <c r="D146" s="140"/>
      <c r="E146" s="140"/>
      <c r="F146" s="140"/>
      <c r="G146" s="140"/>
      <c r="H146" s="140"/>
      <c r="I146" s="140"/>
      <c r="J146" s="140"/>
      <c r="K146" s="140"/>
      <c r="L146" s="140"/>
      <c r="M146" s="140"/>
      <c r="N146" s="140"/>
      <c r="O146" s="140"/>
      <c r="P146" s="140"/>
      <c r="Q146" s="140"/>
      <c r="R146" s="140"/>
    </row>
    <row r="147" spans="1:18" x14ac:dyDescent="0.35">
      <c r="A147" s="140"/>
      <c r="B147" s="140"/>
      <c r="C147" s="140"/>
      <c r="D147" s="140"/>
      <c r="E147" s="140"/>
      <c r="F147" s="140"/>
      <c r="G147" s="140"/>
      <c r="H147" s="140"/>
      <c r="I147" s="140"/>
      <c r="J147" s="140"/>
      <c r="K147" s="140"/>
      <c r="L147" s="140"/>
      <c r="M147" s="140"/>
      <c r="N147" s="140"/>
      <c r="O147" s="140"/>
      <c r="P147" s="140"/>
      <c r="Q147" s="140"/>
      <c r="R147" s="140"/>
    </row>
    <row r="148" spans="1:18" x14ac:dyDescent="0.35">
      <c r="A148" s="140"/>
      <c r="B148" s="140"/>
      <c r="C148" s="140"/>
      <c r="D148" s="140"/>
      <c r="E148" s="140"/>
      <c r="F148" s="140"/>
      <c r="G148" s="140"/>
      <c r="H148" s="140"/>
      <c r="I148" s="140"/>
      <c r="J148" s="140"/>
      <c r="K148" s="140"/>
      <c r="L148" s="140"/>
      <c r="M148" s="140"/>
      <c r="N148" s="140"/>
      <c r="O148" s="140"/>
      <c r="P148" s="140"/>
      <c r="Q148" s="140"/>
      <c r="R148" s="140"/>
    </row>
    <row r="149" spans="1:18" x14ac:dyDescent="0.35">
      <c r="A149" s="140"/>
      <c r="B149" s="140"/>
      <c r="C149" s="140"/>
      <c r="D149" s="140"/>
      <c r="E149" s="140"/>
      <c r="F149" s="140"/>
      <c r="G149" s="140"/>
      <c r="H149" s="140"/>
      <c r="I149" s="140"/>
      <c r="J149" s="140"/>
      <c r="K149" s="140"/>
      <c r="L149" s="140"/>
      <c r="M149" s="140"/>
      <c r="N149" s="140"/>
      <c r="O149" s="140"/>
      <c r="P149" s="140"/>
      <c r="Q149" s="140"/>
      <c r="R149" s="140"/>
    </row>
    <row r="150" spans="1:18" x14ac:dyDescent="0.35">
      <c r="A150" s="140"/>
      <c r="B150" s="140"/>
      <c r="C150" s="140"/>
      <c r="D150" s="140"/>
      <c r="E150" s="140"/>
      <c r="F150" s="140"/>
      <c r="G150" s="140"/>
      <c r="H150" s="140"/>
      <c r="I150" s="140"/>
      <c r="J150" s="140"/>
      <c r="K150" s="140"/>
      <c r="L150" s="140"/>
      <c r="M150" s="140"/>
      <c r="N150" s="140"/>
      <c r="O150" s="140"/>
      <c r="P150" s="140"/>
      <c r="Q150" s="140"/>
      <c r="R150" s="140"/>
    </row>
    <row r="151" spans="1:18" x14ac:dyDescent="0.35">
      <c r="A151" s="140"/>
      <c r="B151" s="140"/>
      <c r="C151" s="140"/>
      <c r="D151" s="140"/>
      <c r="E151" s="140"/>
      <c r="F151" s="140"/>
      <c r="G151" s="140"/>
      <c r="H151" s="140"/>
      <c r="I151" s="140"/>
      <c r="J151" s="140"/>
      <c r="K151" s="140"/>
      <c r="L151" s="140"/>
      <c r="M151" s="140"/>
      <c r="N151" s="140"/>
      <c r="O151" s="140"/>
      <c r="P151" s="140"/>
      <c r="Q151" s="140"/>
      <c r="R151" s="140"/>
    </row>
    <row r="152" spans="1:18" x14ac:dyDescent="0.35">
      <c r="A152" s="140"/>
      <c r="B152" s="140"/>
      <c r="C152" s="140"/>
      <c r="D152" s="140"/>
      <c r="E152" s="140"/>
      <c r="F152" s="140"/>
      <c r="G152" s="140"/>
      <c r="H152" s="140"/>
      <c r="I152" s="140"/>
      <c r="J152" s="140"/>
      <c r="K152" s="140"/>
      <c r="L152" s="140"/>
      <c r="M152" s="140"/>
      <c r="N152" s="140"/>
      <c r="O152" s="140"/>
      <c r="P152" s="140"/>
      <c r="Q152" s="140"/>
      <c r="R152" s="140"/>
    </row>
    <row r="153" spans="1:18" x14ac:dyDescent="0.35">
      <c r="A153" s="140"/>
      <c r="B153" s="140"/>
      <c r="C153" s="140"/>
      <c r="D153" s="140"/>
      <c r="E153" s="140"/>
      <c r="F153" s="140"/>
      <c r="G153" s="140"/>
      <c r="H153" s="140"/>
      <c r="I153" s="140"/>
      <c r="J153" s="140"/>
      <c r="K153" s="140"/>
      <c r="L153" s="140"/>
      <c r="M153" s="140"/>
      <c r="N153" s="140"/>
      <c r="O153" s="140"/>
      <c r="P153" s="140"/>
      <c r="Q153" s="140"/>
      <c r="R153" s="140"/>
    </row>
    <row r="154" spans="1:18" x14ac:dyDescent="0.35">
      <c r="A154" s="140"/>
      <c r="B154" s="140"/>
      <c r="C154" s="140"/>
      <c r="D154" s="140"/>
      <c r="E154" s="140"/>
      <c r="F154" s="140"/>
      <c r="G154" s="140"/>
      <c r="H154" s="140"/>
      <c r="I154" s="140"/>
      <c r="J154" s="140"/>
      <c r="K154" s="140"/>
      <c r="L154" s="140"/>
      <c r="M154" s="140"/>
      <c r="N154" s="140"/>
      <c r="O154" s="140"/>
      <c r="P154" s="140"/>
      <c r="Q154" s="140"/>
      <c r="R154" s="140"/>
    </row>
    <row r="155" spans="1:18" x14ac:dyDescent="0.35">
      <c r="A155" s="140"/>
      <c r="B155" s="140"/>
      <c r="C155" s="140"/>
      <c r="D155" s="140"/>
      <c r="E155" s="140"/>
      <c r="F155" s="140"/>
      <c r="G155" s="140"/>
      <c r="H155" s="140"/>
      <c r="I155" s="140"/>
      <c r="J155" s="140"/>
      <c r="K155" s="140"/>
      <c r="L155" s="140"/>
      <c r="M155" s="140"/>
      <c r="N155" s="140"/>
      <c r="O155" s="140"/>
      <c r="P155" s="140"/>
      <c r="Q155" s="140"/>
      <c r="R155" s="140"/>
    </row>
    <row r="156" spans="1:18" x14ac:dyDescent="0.35">
      <c r="A156" s="140"/>
      <c r="B156" s="140"/>
      <c r="C156" s="140"/>
      <c r="D156" s="140"/>
      <c r="E156" s="140"/>
      <c r="F156" s="140"/>
      <c r="G156" s="140"/>
      <c r="H156" s="140"/>
      <c r="I156" s="140"/>
      <c r="J156" s="140"/>
      <c r="K156" s="140"/>
      <c r="L156" s="140"/>
      <c r="M156" s="140"/>
      <c r="N156" s="140"/>
      <c r="O156" s="140"/>
      <c r="P156" s="140"/>
      <c r="Q156" s="140"/>
      <c r="R156" s="140"/>
    </row>
    <row r="157" spans="1:18" x14ac:dyDescent="0.35">
      <c r="A157" s="140"/>
      <c r="B157" s="140"/>
      <c r="C157" s="140"/>
      <c r="D157" s="140"/>
      <c r="E157" s="140"/>
      <c r="F157" s="140"/>
      <c r="G157" s="140"/>
      <c r="H157" s="140"/>
      <c r="I157" s="140"/>
      <c r="J157" s="140"/>
      <c r="K157" s="140"/>
      <c r="L157" s="140"/>
      <c r="M157" s="140"/>
      <c r="N157" s="140"/>
      <c r="O157" s="140"/>
      <c r="P157" s="140"/>
      <c r="Q157" s="140"/>
      <c r="R157" s="140"/>
    </row>
    <row r="158" spans="1:18" x14ac:dyDescent="0.35">
      <c r="A158" s="140"/>
      <c r="B158" s="140"/>
      <c r="C158" s="140"/>
      <c r="D158" s="140"/>
      <c r="E158" s="140"/>
      <c r="F158" s="140"/>
      <c r="G158" s="140"/>
      <c r="H158" s="140"/>
      <c r="I158" s="140"/>
      <c r="J158" s="140"/>
      <c r="K158" s="140"/>
      <c r="L158" s="140"/>
      <c r="M158" s="140"/>
      <c r="N158" s="140"/>
      <c r="O158" s="140"/>
      <c r="P158" s="140"/>
      <c r="Q158" s="140"/>
      <c r="R158" s="140"/>
    </row>
    <row r="159" spans="1:18" x14ac:dyDescent="0.35">
      <c r="A159" s="140"/>
      <c r="B159" s="140"/>
      <c r="C159" s="140"/>
      <c r="D159" s="140"/>
      <c r="E159" s="140"/>
      <c r="F159" s="140"/>
      <c r="G159" s="140"/>
      <c r="H159" s="140"/>
      <c r="I159" s="140"/>
      <c r="J159" s="140"/>
      <c r="K159" s="140"/>
      <c r="L159" s="140"/>
      <c r="M159" s="140"/>
      <c r="N159" s="140"/>
      <c r="O159" s="140"/>
      <c r="P159" s="140"/>
      <c r="Q159" s="140"/>
      <c r="R159" s="140"/>
    </row>
    <row r="160" spans="1:18" x14ac:dyDescent="0.35">
      <c r="A160" s="140"/>
      <c r="B160" s="140"/>
      <c r="C160" s="140"/>
      <c r="D160" s="140"/>
      <c r="E160" s="140"/>
      <c r="F160" s="140"/>
      <c r="G160" s="140"/>
      <c r="H160" s="140"/>
      <c r="I160" s="140"/>
      <c r="J160" s="140"/>
      <c r="K160" s="140"/>
      <c r="L160" s="140"/>
      <c r="M160" s="140"/>
      <c r="N160" s="140"/>
      <c r="O160" s="140"/>
      <c r="P160" s="140"/>
      <c r="Q160" s="140"/>
      <c r="R160" s="140"/>
    </row>
    <row r="161" spans="1:18" x14ac:dyDescent="0.35">
      <c r="A161" s="140"/>
      <c r="B161" s="140"/>
      <c r="C161" s="140"/>
      <c r="D161" s="140"/>
      <c r="E161" s="140"/>
      <c r="F161" s="140"/>
      <c r="G161" s="140"/>
      <c r="H161" s="140"/>
      <c r="I161" s="140"/>
      <c r="J161" s="140"/>
      <c r="K161" s="140"/>
      <c r="L161" s="140"/>
      <c r="M161" s="140"/>
      <c r="N161" s="140"/>
      <c r="O161" s="140"/>
      <c r="P161" s="140"/>
      <c r="Q161" s="140"/>
      <c r="R161" s="140"/>
    </row>
    <row r="162" spans="1:18" x14ac:dyDescent="0.35">
      <c r="A162" s="140"/>
      <c r="B162" s="140"/>
      <c r="C162" s="140"/>
      <c r="D162" s="140"/>
      <c r="E162" s="140"/>
      <c r="F162" s="140"/>
      <c r="G162" s="140"/>
      <c r="H162" s="140"/>
      <c r="I162" s="140"/>
      <c r="J162" s="140"/>
      <c r="K162" s="140"/>
      <c r="L162" s="140"/>
      <c r="M162" s="140"/>
      <c r="N162" s="140"/>
      <c r="O162" s="140"/>
      <c r="P162" s="140"/>
      <c r="Q162" s="140"/>
      <c r="R162" s="140"/>
    </row>
    <row r="163" spans="1:18" x14ac:dyDescent="0.35">
      <c r="A163" s="140"/>
      <c r="B163" s="140"/>
      <c r="C163" s="140"/>
      <c r="D163" s="140"/>
      <c r="E163" s="140"/>
      <c r="F163" s="140"/>
      <c r="G163" s="140"/>
      <c r="H163" s="140"/>
      <c r="I163" s="140"/>
      <c r="J163" s="140"/>
      <c r="K163" s="140"/>
      <c r="L163" s="140"/>
      <c r="M163" s="140"/>
      <c r="N163" s="140"/>
      <c r="O163" s="140"/>
      <c r="P163" s="140"/>
      <c r="Q163" s="140"/>
      <c r="R163" s="140"/>
    </row>
    <row r="164" spans="1:18" x14ac:dyDescent="0.35">
      <c r="A164" s="140"/>
      <c r="B164" s="140"/>
      <c r="C164" s="140"/>
      <c r="D164" s="140"/>
      <c r="E164" s="140"/>
      <c r="F164" s="140"/>
      <c r="G164" s="140"/>
      <c r="H164" s="140"/>
      <c r="I164" s="140"/>
      <c r="J164" s="140"/>
      <c r="K164" s="140"/>
      <c r="L164" s="140"/>
      <c r="M164" s="140"/>
      <c r="N164" s="140"/>
      <c r="O164" s="140"/>
      <c r="P164" s="140"/>
      <c r="Q164" s="140"/>
      <c r="R164" s="140"/>
    </row>
    <row r="165" spans="1:18" x14ac:dyDescent="0.35">
      <c r="A165" s="140"/>
      <c r="B165" s="140"/>
      <c r="C165" s="140"/>
      <c r="D165" s="140"/>
      <c r="E165" s="140"/>
      <c r="F165" s="140"/>
      <c r="G165" s="140"/>
      <c r="H165" s="140"/>
      <c r="I165" s="140"/>
      <c r="J165" s="140"/>
      <c r="K165" s="140"/>
      <c r="L165" s="140"/>
      <c r="M165" s="140"/>
      <c r="N165" s="140"/>
      <c r="O165" s="140"/>
      <c r="P165" s="140"/>
      <c r="Q165" s="140"/>
      <c r="R165" s="140"/>
    </row>
    <row r="166" spans="1:18" x14ac:dyDescent="0.35">
      <c r="A166" s="140"/>
      <c r="B166" s="140"/>
      <c r="C166" s="140"/>
      <c r="D166" s="140"/>
      <c r="E166" s="140"/>
      <c r="F166" s="140"/>
      <c r="G166" s="140"/>
      <c r="H166" s="140"/>
      <c r="I166" s="140"/>
      <c r="J166" s="140"/>
      <c r="K166" s="140"/>
      <c r="L166" s="140"/>
      <c r="M166" s="140"/>
      <c r="N166" s="140"/>
      <c r="O166" s="140"/>
      <c r="P166" s="140"/>
      <c r="Q166" s="140"/>
      <c r="R166" s="140"/>
    </row>
    <row r="167" spans="1:18" x14ac:dyDescent="0.35">
      <c r="A167" s="140"/>
      <c r="B167" s="140"/>
      <c r="C167" s="140"/>
      <c r="D167" s="140"/>
      <c r="E167" s="140"/>
      <c r="F167" s="140"/>
      <c r="G167" s="140"/>
      <c r="H167" s="140"/>
      <c r="I167" s="140"/>
      <c r="J167" s="140"/>
      <c r="K167" s="140"/>
      <c r="L167" s="140"/>
      <c r="M167" s="140"/>
      <c r="N167" s="140"/>
      <c r="O167" s="140"/>
      <c r="P167" s="140"/>
      <c r="Q167" s="140"/>
      <c r="R167" s="140"/>
    </row>
    <row r="168" spans="1:18" x14ac:dyDescent="0.35">
      <c r="A168" s="140"/>
      <c r="B168" s="140"/>
      <c r="C168" s="140"/>
      <c r="D168" s="140"/>
      <c r="E168" s="140"/>
      <c r="F168" s="140"/>
      <c r="G168" s="140"/>
      <c r="H168" s="140"/>
      <c r="I168" s="140"/>
      <c r="J168" s="140"/>
      <c r="K168" s="140"/>
      <c r="L168" s="140"/>
      <c r="M168" s="140"/>
      <c r="N168" s="140"/>
      <c r="O168" s="140"/>
      <c r="P168" s="140"/>
      <c r="Q168" s="140"/>
      <c r="R168" s="140"/>
    </row>
    <row r="169" spans="1:18" x14ac:dyDescent="0.35">
      <c r="A169" s="140"/>
      <c r="B169" s="140"/>
      <c r="C169" s="140"/>
      <c r="D169" s="140"/>
      <c r="E169" s="140"/>
      <c r="F169" s="140"/>
      <c r="G169" s="140"/>
      <c r="H169" s="140"/>
      <c r="I169" s="140"/>
      <c r="J169" s="140"/>
      <c r="K169" s="140"/>
      <c r="L169" s="140"/>
      <c r="M169" s="140"/>
      <c r="N169" s="140"/>
      <c r="O169" s="140"/>
      <c r="P169" s="140"/>
      <c r="Q169" s="140"/>
      <c r="R169" s="140"/>
    </row>
    <row r="170" spans="1:18" x14ac:dyDescent="0.35">
      <c r="A170" s="140"/>
      <c r="B170" s="140"/>
      <c r="C170" s="140"/>
      <c r="D170" s="140"/>
      <c r="E170" s="140"/>
      <c r="F170" s="140"/>
      <c r="G170" s="140"/>
      <c r="H170" s="140"/>
      <c r="I170" s="140"/>
      <c r="J170" s="140"/>
      <c r="K170" s="140"/>
      <c r="L170" s="140"/>
      <c r="M170" s="140"/>
      <c r="N170" s="140"/>
      <c r="O170" s="140"/>
      <c r="P170" s="140"/>
      <c r="Q170" s="140"/>
      <c r="R170" s="140"/>
    </row>
    <row r="171" spans="1:18" x14ac:dyDescent="0.35">
      <c r="A171" s="140"/>
      <c r="B171" s="140"/>
      <c r="C171" s="140"/>
      <c r="D171" s="140"/>
      <c r="E171" s="140"/>
      <c r="F171" s="140"/>
      <c r="G171" s="140"/>
      <c r="H171" s="140"/>
      <c r="I171" s="140"/>
      <c r="J171" s="140"/>
      <c r="K171" s="140"/>
      <c r="L171" s="140"/>
      <c r="M171" s="140"/>
      <c r="N171" s="140"/>
      <c r="O171" s="140"/>
      <c r="P171" s="140"/>
      <c r="Q171" s="140"/>
      <c r="R171" s="140"/>
    </row>
    <row r="172" spans="1:18" x14ac:dyDescent="0.35">
      <c r="A172" s="140"/>
      <c r="B172" s="140"/>
      <c r="C172" s="140"/>
      <c r="D172" s="140"/>
      <c r="E172" s="140"/>
      <c r="F172" s="140"/>
      <c r="G172" s="140"/>
      <c r="H172" s="140"/>
      <c r="I172" s="140"/>
      <c r="J172" s="140"/>
      <c r="K172" s="140"/>
      <c r="L172" s="140"/>
      <c r="M172" s="140"/>
      <c r="N172" s="140"/>
      <c r="O172" s="140"/>
      <c r="P172" s="140"/>
      <c r="Q172" s="140"/>
      <c r="R172" s="140"/>
    </row>
    <row r="173" spans="1:18" x14ac:dyDescent="0.35">
      <c r="A173" s="140"/>
      <c r="B173" s="140"/>
      <c r="C173" s="140"/>
      <c r="D173" s="140"/>
      <c r="E173" s="140"/>
      <c r="F173" s="140"/>
      <c r="G173" s="140"/>
      <c r="H173" s="140"/>
      <c r="I173" s="140"/>
      <c r="J173" s="140"/>
      <c r="K173" s="140"/>
      <c r="L173" s="140"/>
      <c r="M173" s="140"/>
      <c r="N173" s="140"/>
      <c r="O173" s="140"/>
      <c r="P173" s="140"/>
      <c r="Q173" s="140"/>
      <c r="R173" s="140"/>
    </row>
    <row r="174" spans="1:18" x14ac:dyDescent="0.35">
      <c r="A174" s="140"/>
      <c r="B174" s="140"/>
      <c r="C174" s="140"/>
      <c r="D174" s="140"/>
      <c r="E174" s="140"/>
      <c r="F174" s="140"/>
      <c r="G174" s="140"/>
      <c r="H174" s="140"/>
      <c r="I174" s="140"/>
      <c r="J174" s="140"/>
      <c r="K174" s="140"/>
      <c r="L174" s="140"/>
      <c r="M174" s="140"/>
      <c r="N174" s="140"/>
      <c r="O174" s="140"/>
      <c r="P174" s="140"/>
      <c r="Q174" s="140"/>
      <c r="R174" s="140"/>
    </row>
    <row r="175" spans="1:18" x14ac:dyDescent="0.35">
      <c r="A175" s="140"/>
      <c r="B175" s="140"/>
      <c r="C175" s="140"/>
      <c r="D175" s="140"/>
      <c r="E175" s="140"/>
      <c r="F175" s="140"/>
      <c r="G175" s="140"/>
      <c r="H175" s="140"/>
      <c r="I175" s="140"/>
      <c r="J175" s="140"/>
      <c r="K175" s="140"/>
      <c r="L175" s="140"/>
      <c r="M175" s="140"/>
      <c r="N175" s="140"/>
      <c r="O175" s="140"/>
      <c r="P175" s="140"/>
      <c r="Q175" s="140"/>
      <c r="R175" s="140"/>
    </row>
    <row r="176" spans="1:18" x14ac:dyDescent="0.35">
      <c r="A176" s="140"/>
      <c r="B176" s="140"/>
      <c r="C176" s="140"/>
      <c r="D176" s="140"/>
      <c r="E176" s="140"/>
      <c r="F176" s="140"/>
      <c r="G176" s="140"/>
      <c r="H176" s="140"/>
      <c r="I176" s="140"/>
      <c r="J176" s="140"/>
      <c r="K176" s="140"/>
      <c r="L176" s="140"/>
      <c r="M176" s="140"/>
      <c r="N176" s="140"/>
      <c r="O176" s="140"/>
      <c r="P176" s="140"/>
      <c r="Q176" s="140"/>
      <c r="R176" s="140"/>
    </row>
    <row r="177" spans="1:18" x14ac:dyDescent="0.35">
      <c r="A177" s="140"/>
      <c r="B177" s="140"/>
      <c r="C177" s="140"/>
      <c r="D177" s="140"/>
      <c r="E177" s="140"/>
      <c r="F177" s="140"/>
      <c r="G177" s="140"/>
      <c r="H177" s="140"/>
      <c r="I177" s="140"/>
      <c r="J177" s="140"/>
      <c r="K177" s="140"/>
      <c r="L177" s="140"/>
      <c r="M177" s="140"/>
      <c r="N177" s="140"/>
      <c r="O177" s="140"/>
      <c r="P177" s="140"/>
      <c r="Q177" s="140"/>
      <c r="R177" s="140"/>
    </row>
    <row r="178" spans="1:18" x14ac:dyDescent="0.35">
      <c r="A178" s="140"/>
      <c r="B178" s="140"/>
      <c r="C178" s="140"/>
      <c r="D178" s="140"/>
      <c r="E178" s="140"/>
      <c r="F178" s="140"/>
      <c r="G178" s="140"/>
      <c r="H178" s="140"/>
      <c r="I178" s="140"/>
      <c r="J178" s="140"/>
      <c r="K178" s="140"/>
      <c r="L178" s="140"/>
      <c r="M178" s="140"/>
      <c r="N178" s="140"/>
      <c r="O178" s="140"/>
      <c r="P178" s="140"/>
      <c r="Q178" s="140"/>
      <c r="R178" s="140"/>
    </row>
    <row r="179" spans="1:18" x14ac:dyDescent="0.35">
      <c r="A179" s="140"/>
      <c r="B179" s="140"/>
      <c r="C179" s="140"/>
      <c r="D179" s="140"/>
      <c r="E179" s="140"/>
      <c r="F179" s="140"/>
      <c r="G179" s="140"/>
      <c r="H179" s="140"/>
      <c r="I179" s="140"/>
      <c r="J179" s="140"/>
      <c r="K179" s="140"/>
      <c r="L179" s="140"/>
      <c r="M179" s="140"/>
      <c r="N179" s="140"/>
      <c r="O179" s="140"/>
      <c r="P179" s="140"/>
      <c r="Q179" s="140"/>
      <c r="R179" s="140"/>
    </row>
    <row r="180" spans="1:18" x14ac:dyDescent="0.35">
      <c r="A180" s="140"/>
      <c r="B180" s="140"/>
      <c r="C180" s="140"/>
      <c r="D180" s="140"/>
      <c r="E180" s="140"/>
      <c r="F180" s="140"/>
      <c r="G180" s="140"/>
      <c r="H180" s="140"/>
      <c r="I180" s="140"/>
      <c r="J180" s="140"/>
      <c r="K180" s="140"/>
      <c r="L180" s="140"/>
      <c r="M180" s="140"/>
      <c r="N180" s="140"/>
      <c r="O180" s="140"/>
      <c r="P180" s="140"/>
      <c r="Q180" s="140"/>
      <c r="R180" s="140"/>
    </row>
    <row r="181" spans="1:18" x14ac:dyDescent="0.35">
      <c r="A181" s="140"/>
      <c r="B181" s="140"/>
      <c r="C181" s="140"/>
      <c r="D181" s="140"/>
      <c r="E181" s="140"/>
      <c r="F181" s="140"/>
      <c r="G181" s="140"/>
      <c r="H181" s="140"/>
      <c r="I181" s="140"/>
      <c r="J181" s="140"/>
      <c r="K181" s="140"/>
      <c r="L181" s="140"/>
      <c r="M181" s="140"/>
      <c r="N181" s="140"/>
      <c r="O181" s="140"/>
      <c r="P181" s="140"/>
      <c r="Q181" s="140"/>
      <c r="R181" s="140"/>
    </row>
    <row r="182" spans="1:18" x14ac:dyDescent="0.35">
      <c r="A182" s="140"/>
      <c r="B182" s="140"/>
      <c r="C182" s="140"/>
      <c r="D182" s="140"/>
      <c r="E182" s="140"/>
      <c r="F182" s="140"/>
      <c r="G182" s="140"/>
      <c r="H182" s="140"/>
      <c r="I182" s="140"/>
      <c r="J182" s="140"/>
      <c r="K182" s="140"/>
      <c r="L182" s="140"/>
      <c r="M182" s="140"/>
      <c r="N182" s="140"/>
      <c r="O182" s="140"/>
      <c r="P182" s="140"/>
      <c r="Q182" s="140"/>
      <c r="R182" s="140"/>
    </row>
    <row r="183" spans="1:18" x14ac:dyDescent="0.35">
      <c r="A183" s="140"/>
      <c r="B183" s="140"/>
      <c r="C183" s="140"/>
      <c r="D183" s="140"/>
      <c r="E183" s="140"/>
      <c r="F183" s="140"/>
      <c r="G183" s="140"/>
      <c r="H183" s="140"/>
      <c r="I183" s="140"/>
      <c r="J183" s="140"/>
      <c r="K183" s="140"/>
      <c r="L183" s="140"/>
      <c r="M183" s="140"/>
      <c r="N183" s="140"/>
      <c r="O183" s="140"/>
      <c r="P183" s="140"/>
      <c r="Q183" s="140"/>
      <c r="R183" s="140"/>
    </row>
    <row r="184" spans="1:18" x14ac:dyDescent="0.35">
      <c r="A184" s="140"/>
      <c r="B184" s="140"/>
      <c r="C184" s="140"/>
      <c r="D184" s="140"/>
      <c r="E184" s="140"/>
      <c r="F184" s="140"/>
      <c r="G184" s="140"/>
      <c r="H184" s="140"/>
      <c r="I184" s="140"/>
      <c r="J184" s="140"/>
      <c r="K184" s="140"/>
      <c r="L184" s="140"/>
      <c r="M184" s="140"/>
      <c r="N184" s="140"/>
      <c r="O184" s="140"/>
      <c r="P184" s="140"/>
      <c r="Q184" s="140"/>
      <c r="R184" s="140"/>
    </row>
    <row r="185" spans="1:18" x14ac:dyDescent="0.35">
      <c r="A185" s="140"/>
      <c r="B185" s="140"/>
      <c r="C185" s="140"/>
      <c r="D185" s="140"/>
      <c r="E185" s="140"/>
      <c r="F185" s="140"/>
      <c r="G185" s="140"/>
      <c r="H185" s="140"/>
      <c r="I185" s="140"/>
      <c r="J185" s="140"/>
      <c r="K185" s="140"/>
      <c r="L185" s="140"/>
      <c r="M185" s="140"/>
      <c r="N185" s="140"/>
      <c r="O185" s="140"/>
      <c r="P185" s="140"/>
      <c r="Q185" s="140"/>
      <c r="R185" s="140"/>
    </row>
    <row r="186" spans="1:18" x14ac:dyDescent="0.35">
      <c r="A186" s="140"/>
      <c r="B186" s="140"/>
      <c r="C186" s="140"/>
      <c r="D186" s="140"/>
      <c r="E186" s="140"/>
      <c r="F186" s="140"/>
      <c r="G186" s="140"/>
      <c r="H186" s="140"/>
      <c r="I186" s="140"/>
      <c r="J186" s="140"/>
      <c r="K186" s="140"/>
      <c r="L186" s="140"/>
      <c r="M186" s="140"/>
      <c r="N186" s="140"/>
      <c r="O186" s="140"/>
      <c r="P186" s="140"/>
      <c r="Q186" s="140"/>
      <c r="R186" s="140"/>
    </row>
    <row r="187" spans="1:18" x14ac:dyDescent="0.35">
      <c r="A187" s="140"/>
      <c r="B187" s="140"/>
      <c r="C187" s="140"/>
      <c r="D187" s="140"/>
      <c r="E187" s="140"/>
      <c r="F187" s="140"/>
      <c r="G187" s="140"/>
      <c r="H187" s="140"/>
      <c r="I187" s="140"/>
      <c r="J187" s="140"/>
      <c r="K187" s="140"/>
      <c r="L187" s="140"/>
      <c r="M187" s="140"/>
      <c r="N187" s="140"/>
      <c r="O187" s="140"/>
      <c r="P187" s="140"/>
      <c r="Q187" s="140"/>
      <c r="R187" s="140"/>
    </row>
    <row r="188" spans="1:18" x14ac:dyDescent="0.35">
      <c r="A188" s="140"/>
      <c r="B188" s="140"/>
      <c r="C188" s="140"/>
      <c r="D188" s="140"/>
      <c r="E188" s="140"/>
      <c r="F188" s="140"/>
      <c r="G188" s="140"/>
      <c r="H188" s="140"/>
      <c r="I188" s="140"/>
      <c r="J188" s="140"/>
      <c r="K188" s="140"/>
      <c r="L188" s="140"/>
      <c r="M188" s="140"/>
      <c r="N188" s="140"/>
      <c r="O188" s="140"/>
      <c r="P188" s="140"/>
      <c r="Q188" s="140"/>
      <c r="R188" s="140"/>
    </row>
    <row r="189" spans="1:18" x14ac:dyDescent="0.35">
      <c r="A189" s="140"/>
      <c r="B189" s="140"/>
      <c r="C189" s="140"/>
      <c r="D189" s="140"/>
      <c r="E189" s="140"/>
      <c r="F189" s="140"/>
      <c r="G189" s="140"/>
      <c r="H189" s="140"/>
      <c r="I189" s="140"/>
      <c r="J189" s="140"/>
      <c r="K189" s="140"/>
      <c r="L189" s="140"/>
      <c r="M189" s="140"/>
      <c r="N189" s="140"/>
      <c r="O189" s="140"/>
      <c r="P189" s="140"/>
      <c r="Q189" s="140"/>
      <c r="R189" s="140"/>
    </row>
    <row r="190" spans="1:18" x14ac:dyDescent="0.35">
      <c r="A190" s="140"/>
      <c r="B190" s="140"/>
      <c r="C190" s="140"/>
      <c r="D190" s="140"/>
      <c r="E190" s="140"/>
      <c r="F190" s="140"/>
      <c r="G190" s="140"/>
      <c r="H190" s="140"/>
      <c r="I190" s="140"/>
      <c r="J190" s="140"/>
      <c r="K190" s="140"/>
      <c r="L190" s="140"/>
      <c r="M190" s="140"/>
      <c r="N190" s="140"/>
      <c r="O190" s="140"/>
      <c r="P190" s="140"/>
      <c r="Q190" s="140"/>
      <c r="R190" s="140"/>
    </row>
    <row r="191" spans="1:18" x14ac:dyDescent="0.35">
      <c r="A191" s="140"/>
      <c r="B191" s="140"/>
      <c r="C191" s="140"/>
      <c r="D191" s="140"/>
      <c r="E191" s="140"/>
      <c r="F191" s="140"/>
      <c r="G191" s="140"/>
      <c r="H191" s="140"/>
      <c r="I191" s="140"/>
      <c r="J191" s="140"/>
      <c r="K191" s="140"/>
      <c r="L191" s="140"/>
      <c r="M191" s="140"/>
      <c r="N191" s="140"/>
      <c r="O191" s="140"/>
      <c r="P191" s="140"/>
      <c r="Q191" s="140"/>
      <c r="R191" s="140"/>
    </row>
    <row r="192" spans="1:18" x14ac:dyDescent="0.35">
      <c r="A192" s="140"/>
      <c r="B192" s="140"/>
      <c r="C192" s="140"/>
      <c r="D192" s="140"/>
      <c r="E192" s="140"/>
      <c r="F192" s="140"/>
      <c r="G192" s="140"/>
      <c r="H192" s="140"/>
      <c r="I192" s="140"/>
      <c r="J192" s="140"/>
      <c r="K192" s="140"/>
      <c r="L192" s="140"/>
      <c r="M192" s="140"/>
      <c r="N192" s="140"/>
      <c r="O192" s="140"/>
      <c r="P192" s="140"/>
      <c r="Q192" s="140"/>
      <c r="R192" s="140"/>
    </row>
    <row r="193" spans="1:18" x14ac:dyDescent="0.35">
      <c r="A193" s="140"/>
      <c r="B193" s="140"/>
      <c r="C193" s="140"/>
      <c r="D193" s="140"/>
      <c r="E193" s="140"/>
      <c r="F193" s="140"/>
      <c r="G193" s="140"/>
      <c r="H193" s="140"/>
      <c r="I193" s="140"/>
      <c r="J193" s="140"/>
      <c r="K193" s="140"/>
      <c r="L193" s="140"/>
      <c r="M193" s="140"/>
      <c r="N193" s="140"/>
      <c r="O193" s="140"/>
      <c r="P193" s="140"/>
      <c r="Q193" s="140"/>
      <c r="R193" s="140"/>
    </row>
    <row r="194" spans="1:18" x14ac:dyDescent="0.35">
      <c r="A194" s="140"/>
      <c r="B194" s="140"/>
      <c r="C194" s="140"/>
      <c r="D194" s="140"/>
      <c r="E194" s="140"/>
      <c r="F194" s="140"/>
      <c r="G194" s="140"/>
      <c r="H194" s="140"/>
      <c r="I194" s="140"/>
      <c r="J194" s="140"/>
      <c r="K194" s="140"/>
      <c r="L194" s="140"/>
      <c r="M194" s="140"/>
      <c r="N194" s="140"/>
      <c r="O194" s="140"/>
      <c r="P194" s="140"/>
      <c r="Q194" s="140"/>
      <c r="R194" s="140"/>
    </row>
    <row r="195" spans="1:18" x14ac:dyDescent="0.35">
      <c r="A195" s="140"/>
      <c r="B195" s="140"/>
      <c r="C195" s="140"/>
      <c r="D195" s="140"/>
      <c r="E195" s="140"/>
      <c r="F195" s="140"/>
      <c r="G195" s="140"/>
      <c r="H195" s="140"/>
      <c r="I195" s="140"/>
      <c r="J195" s="140"/>
      <c r="K195" s="140"/>
      <c r="L195" s="140"/>
      <c r="M195" s="140"/>
      <c r="N195" s="140"/>
      <c r="O195" s="140"/>
      <c r="P195" s="140"/>
      <c r="Q195" s="140"/>
      <c r="R195" s="140"/>
    </row>
    <row r="196" spans="1:18" x14ac:dyDescent="0.35">
      <c r="A196" s="140"/>
      <c r="B196" s="140"/>
      <c r="C196" s="140"/>
      <c r="D196" s="140"/>
      <c r="E196" s="140"/>
      <c r="F196" s="140"/>
      <c r="G196" s="140"/>
      <c r="H196" s="140"/>
      <c r="I196" s="140"/>
      <c r="J196" s="140"/>
      <c r="K196" s="140"/>
      <c r="L196" s="140"/>
      <c r="M196" s="140"/>
      <c r="N196" s="140"/>
      <c r="O196" s="140"/>
      <c r="P196" s="140"/>
      <c r="Q196" s="140"/>
      <c r="R196" s="140"/>
    </row>
    <row r="197" spans="1:18" x14ac:dyDescent="0.35">
      <c r="A197" s="140"/>
      <c r="B197" s="140"/>
      <c r="C197" s="140"/>
      <c r="D197" s="140"/>
      <c r="E197" s="140"/>
      <c r="F197" s="140"/>
      <c r="G197" s="140"/>
      <c r="H197" s="140"/>
      <c r="I197" s="140"/>
      <c r="J197" s="140"/>
      <c r="K197" s="140"/>
      <c r="L197" s="140"/>
      <c r="M197" s="140"/>
      <c r="N197" s="140"/>
      <c r="O197" s="140"/>
      <c r="P197" s="140"/>
      <c r="Q197" s="140"/>
      <c r="R197" s="140"/>
    </row>
    <row r="198" spans="1:18" x14ac:dyDescent="0.35">
      <c r="A198" s="140"/>
      <c r="B198" s="140"/>
      <c r="C198" s="140"/>
      <c r="D198" s="140"/>
      <c r="E198" s="140"/>
      <c r="F198" s="140"/>
      <c r="G198" s="140"/>
      <c r="H198" s="140"/>
      <c r="I198" s="140"/>
      <c r="J198" s="140"/>
      <c r="K198" s="140"/>
      <c r="L198" s="140"/>
      <c r="M198" s="140"/>
      <c r="N198" s="140"/>
      <c r="O198" s="140"/>
      <c r="P198" s="140"/>
      <c r="Q198" s="140"/>
      <c r="R198" s="140"/>
    </row>
    <row r="199" spans="1:18" x14ac:dyDescent="0.35">
      <c r="A199" s="140"/>
      <c r="B199" s="140"/>
      <c r="C199" s="140"/>
      <c r="D199" s="140"/>
      <c r="E199" s="140"/>
      <c r="F199" s="140"/>
      <c r="G199" s="140"/>
      <c r="H199" s="140"/>
      <c r="I199" s="140"/>
      <c r="J199" s="140"/>
      <c r="K199" s="140"/>
      <c r="L199" s="140"/>
      <c r="M199" s="140"/>
      <c r="N199" s="140"/>
      <c r="O199" s="140"/>
      <c r="P199" s="140"/>
      <c r="Q199" s="140"/>
      <c r="R199" s="140"/>
    </row>
    <row r="200" spans="1:18" x14ac:dyDescent="0.35">
      <c r="A200" s="140"/>
      <c r="B200" s="140"/>
      <c r="C200" s="140"/>
      <c r="D200" s="140"/>
      <c r="E200" s="140"/>
      <c r="F200" s="140"/>
      <c r="G200" s="140"/>
      <c r="H200" s="140"/>
      <c r="I200" s="140"/>
      <c r="J200" s="140"/>
      <c r="K200" s="140"/>
      <c r="L200" s="140"/>
      <c r="M200" s="140"/>
      <c r="N200" s="140"/>
      <c r="O200" s="140"/>
      <c r="P200" s="140"/>
      <c r="Q200" s="140"/>
      <c r="R200" s="140"/>
    </row>
    <row r="201" spans="1:18" x14ac:dyDescent="0.35">
      <c r="A201" s="140"/>
      <c r="B201" s="140"/>
      <c r="C201" s="140"/>
      <c r="D201" s="140"/>
      <c r="E201" s="140"/>
      <c r="F201" s="140"/>
      <c r="G201" s="140"/>
      <c r="H201" s="140"/>
      <c r="I201" s="140"/>
      <c r="J201" s="140"/>
      <c r="K201" s="140"/>
      <c r="L201" s="140"/>
      <c r="M201" s="140"/>
      <c r="N201" s="140"/>
      <c r="O201" s="140"/>
      <c r="P201" s="140"/>
      <c r="Q201" s="140"/>
      <c r="R201" s="140"/>
    </row>
    <row r="202" spans="1:18" x14ac:dyDescent="0.35">
      <c r="A202" s="140"/>
      <c r="B202" s="140"/>
      <c r="C202" s="140"/>
      <c r="D202" s="140"/>
      <c r="E202" s="140"/>
      <c r="F202" s="140"/>
      <c r="G202" s="140"/>
      <c r="H202" s="140"/>
      <c r="I202" s="140"/>
      <c r="J202" s="140"/>
      <c r="K202" s="140"/>
      <c r="L202" s="140"/>
      <c r="M202" s="140"/>
      <c r="N202" s="140"/>
      <c r="O202" s="140"/>
      <c r="P202" s="140"/>
      <c r="Q202" s="140"/>
      <c r="R202" s="140"/>
    </row>
    <row r="203" spans="1:18" x14ac:dyDescent="0.35">
      <c r="A203" s="140"/>
      <c r="B203" s="140"/>
      <c r="C203" s="140"/>
      <c r="D203" s="140"/>
      <c r="E203" s="140"/>
      <c r="F203" s="140"/>
      <c r="G203" s="140"/>
      <c r="H203" s="140"/>
      <c r="I203" s="140"/>
      <c r="J203" s="140"/>
      <c r="K203" s="140"/>
      <c r="L203" s="140"/>
      <c r="M203" s="140"/>
      <c r="N203" s="140"/>
      <c r="O203" s="140"/>
      <c r="P203" s="140"/>
      <c r="Q203" s="140"/>
      <c r="R203" s="140"/>
    </row>
    <row r="204" spans="1:18" x14ac:dyDescent="0.35">
      <c r="A204" s="140"/>
      <c r="B204" s="140"/>
      <c r="C204" s="140"/>
      <c r="D204" s="140"/>
      <c r="E204" s="140"/>
      <c r="F204" s="140"/>
      <c r="G204" s="140"/>
      <c r="H204" s="140"/>
      <c r="I204" s="140"/>
      <c r="J204" s="140"/>
      <c r="K204" s="140"/>
      <c r="L204" s="140"/>
      <c r="M204" s="140"/>
      <c r="N204" s="140"/>
      <c r="O204" s="140"/>
      <c r="P204" s="140"/>
      <c r="Q204" s="140"/>
      <c r="R204" s="140"/>
    </row>
    <row r="205" spans="1:18" x14ac:dyDescent="0.35">
      <c r="A205" s="140"/>
      <c r="B205" s="140"/>
      <c r="C205" s="140"/>
      <c r="D205" s="140"/>
      <c r="E205" s="140"/>
      <c r="F205" s="140"/>
      <c r="G205" s="140"/>
      <c r="H205" s="140"/>
      <c r="I205" s="140"/>
      <c r="J205" s="140"/>
      <c r="K205" s="140"/>
      <c r="L205" s="140"/>
      <c r="M205" s="140"/>
      <c r="N205" s="140"/>
      <c r="O205" s="140"/>
      <c r="P205" s="140"/>
      <c r="Q205" s="140"/>
      <c r="R205" s="140"/>
    </row>
    <row r="206" spans="1:18" x14ac:dyDescent="0.35">
      <c r="A206" s="140"/>
      <c r="B206" s="140"/>
      <c r="C206" s="140"/>
      <c r="D206" s="140"/>
      <c r="E206" s="140"/>
      <c r="F206" s="140"/>
      <c r="G206" s="140"/>
      <c r="H206" s="140"/>
      <c r="I206" s="140"/>
      <c r="J206" s="140"/>
      <c r="K206" s="140"/>
      <c r="L206" s="140"/>
      <c r="M206" s="140"/>
      <c r="N206" s="140"/>
      <c r="O206" s="140"/>
      <c r="P206" s="140"/>
      <c r="Q206" s="140"/>
      <c r="R206" s="140"/>
    </row>
    <row r="207" spans="1:18" x14ac:dyDescent="0.35">
      <c r="A207" s="140"/>
      <c r="B207" s="140"/>
      <c r="C207" s="140"/>
      <c r="D207" s="140"/>
      <c r="E207" s="140"/>
      <c r="F207" s="140"/>
      <c r="G207" s="140"/>
      <c r="H207" s="140"/>
      <c r="I207" s="140"/>
      <c r="J207" s="140"/>
      <c r="K207" s="140"/>
      <c r="L207" s="140"/>
      <c r="M207" s="140"/>
      <c r="N207" s="140"/>
      <c r="O207" s="140"/>
      <c r="P207" s="140"/>
      <c r="Q207" s="140"/>
      <c r="R207" s="140"/>
    </row>
    <row r="208" spans="1:18" x14ac:dyDescent="0.35">
      <c r="A208" s="140"/>
      <c r="B208" s="140"/>
      <c r="C208" s="140"/>
      <c r="D208" s="140"/>
      <c r="E208" s="140"/>
      <c r="F208" s="140"/>
      <c r="G208" s="140"/>
      <c r="H208" s="140"/>
      <c r="I208" s="140"/>
      <c r="J208" s="140"/>
      <c r="K208" s="140"/>
      <c r="L208" s="140"/>
      <c r="M208" s="140"/>
      <c r="N208" s="140"/>
      <c r="O208" s="140"/>
      <c r="P208" s="140"/>
      <c r="Q208" s="140"/>
      <c r="R208" s="140"/>
    </row>
    <row r="209" spans="1:18" x14ac:dyDescent="0.35">
      <c r="A209" s="140"/>
      <c r="B209" s="140"/>
      <c r="C209" s="140"/>
      <c r="D209" s="140"/>
      <c r="E209" s="140"/>
      <c r="F209" s="140"/>
      <c r="G209" s="140"/>
      <c r="H209" s="140"/>
      <c r="I209" s="140"/>
      <c r="J209" s="140"/>
      <c r="K209" s="140"/>
      <c r="L209" s="140"/>
      <c r="M209" s="140"/>
      <c r="N209" s="140"/>
      <c r="O209" s="140"/>
      <c r="P209" s="140"/>
      <c r="Q209" s="140"/>
      <c r="R209" s="140"/>
    </row>
    <row r="210" spans="1:18" x14ac:dyDescent="0.35">
      <c r="A210" s="140"/>
      <c r="B210" s="140"/>
      <c r="C210" s="140"/>
      <c r="D210" s="140"/>
      <c r="E210" s="140"/>
      <c r="F210" s="140"/>
      <c r="G210" s="140"/>
      <c r="H210" s="140"/>
      <c r="I210" s="140"/>
      <c r="J210" s="140"/>
      <c r="K210" s="140"/>
      <c r="L210" s="140"/>
      <c r="M210" s="140"/>
      <c r="N210" s="140"/>
      <c r="O210" s="140"/>
      <c r="P210" s="140"/>
      <c r="Q210" s="140"/>
      <c r="R210" s="140"/>
    </row>
    <row r="211" spans="1:18" x14ac:dyDescent="0.35">
      <c r="A211" s="140"/>
      <c r="B211" s="140"/>
      <c r="C211" s="140"/>
      <c r="D211" s="140"/>
      <c r="E211" s="140"/>
      <c r="F211" s="140"/>
      <c r="G211" s="140"/>
      <c r="H211" s="140"/>
      <c r="I211" s="140"/>
      <c r="J211" s="140"/>
      <c r="K211" s="140"/>
      <c r="L211" s="140"/>
      <c r="M211" s="140"/>
      <c r="N211" s="140"/>
      <c r="O211" s="140"/>
      <c r="P211" s="140"/>
      <c r="Q211" s="140"/>
      <c r="R211" s="140"/>
    </row>
    <row r="212" spans="1:18" x14ac:dyDescent="0.35">
      <c r="A212" s="140"/>
      <c r="B212" s="140"/>
      <c r="C212" s="140"/>
      <c r="D212" s="140"/>
      <c r="E212" s="140"/>
      <c r="F212" s="140"/>
      <c r="G212" s="140"/>
      <c r="H212" s="140"/>
      <c r="I212" s="140"/>
      <c r="J212" s="140"/>
      <c r="K212" s="140"/>
      <c r="L212" s="140"/>
      <c r="M212" s="140"/>
      <c r="N212" s="140"/>
      <c r="O212" s="140"/>
      <c r="P212" s="140"/>
      <c r="Q212" s="140"/>
      <c r="R212" s="140"/>
    </row>
    <row r="213" spans="1:18" x14ac:dyDescent="0.35">
      <c r="A213" s="140"/>
      <c r="B213" s="140"/>
      <c r="C213" s="140"/>
      <c r="D213" s="140"/>
      <c r="E213" s="140"/>
      <c r="F213" s="140"/>
      <c r="G213" s="140"/>
      <c r="H213" s="140"/>
      <c r="I213" s="140"/>
      <c r="J213" s="140"/>
      <c r="K213" s="140"/>
      <c r="L213" s="140"/>
      <c r="M213" s="140"/>
      <c r="N213" s="140"/>
      <c r="O213" s="140"/>
      <c r="P213" s="140"/>
      <c r="Q213" s="140"/>
      <c r="R213" s="140"/>
    </row>
    <row r="214" spans="1:18" x14ac:dyDescent="0.35">
      <c r="A214" s="140"/>
      <c r="B214" s="140"/>
      <c r="C214" s="140"/>
      <c r="D214" s="140"/>
      <c r="E214" s="140"/>
      <c r="F214" s="140"/>
      <c r="G214" s="140"/>
      <c r="H214" s="140"/>
      <c r="I214" s="140"/>
      <c r="J214" s="140"/>
      <c r="K214" s="140"/>
      <c r="L214" s="140"/>
      <c r="M214" s="140"/>
      <c r="N214" s="140"/>
      <c r="O214" s="140"/>
      <c r="P214" s="140"/>
      <c r="Q214" s="140"/>
      <c r="R214" s="140"/>
    </row>
    <row r="215" spans="1:18" x14ac:dyDescent="0.35">
      <c r="A215" s="140"/>
      <c r="B215" s="140"/>
      <c r="C215" s="140"/>
      <c r="D215" s="140"/>
      <c r="E215" s="140"/>
      <c r="F215" s="140"/>
      <c r="G215" s="140"/>
      <c r="H215" s="140"/>
      <c r="I215" s="140"/>
      <c r="J215" s="140"/>
      <c r="K215" s="140"/>
      <c r="L215" s="140"/>
      <c r="M215" s="140"/>
      <c r="N215" s="140"/>
      <c r="O215" s="140"/>
      <c r="P215" s="140"/>
      <c r="Q215" s="140"/>
      <c r="R215" s="140"/>
    </row>
    <row r="216" spans="1:18" x14ac:dyDescent="0.35">
      <c r="A216" s="140"/>
      <c r="B216" s="140"/>
      <c r="C216" s="140"/>
      <c r="D216" s="140"/>
      <c r="E216" s="140"/>
      <c r="F216" s="140"/>
      <c r="G216" s="140"/>
      <c r="H216" s="140"/>
      <c r="I216" s="140"/>
      <c r="J216" s="140"/>
      <c r="K216" s="140"/>
      <c r="L216" s="140"/>
      <c r="M216" s="140"/>
      <c r="N216" s="140"/>
      <c r="O216" s="140"/>
      <c r="P216" s="140"/>
      <c r="Q216" s="140"/>
      <c r="R216" s="140"/>
    </row>
    <row r="217" spans="1:18" x14ac:dyDescent="0.35">
      <c r="A217" s="140"/>
      <c r="B217" s="140"/>
      <c r="C217" s="140"/>
      <c r="D217" s="140"/>
      <c r="E217" s="140"/>
      <c r="F217" s="140"/>
      <c r="G217" s="140"/>
      <c r="H217" s="140"/>
      <c r="I217" s="140"/>
      <c r="J217" s="140"/>
      <c r="K217" s="140"/>
      <c r="L217" s="140"/>
      <c r="M217" s="140"/>
      <c r="N217" s="140"/>
      <c r="O217" s="140"/>
      <c r="P217" s="140"/>
      <c r="Q217" s="140"/>
      <c r="R217" s="140"/>
    </row>
    <row r="218" spans="1:18" x14ac:dyDescent="0.35">
      <c r="A218" s="140"/>
      <c r="B218" s="140"/>
      <c r="C218" s="140"/>
      <c r="D218" s="140"/>
      <c r="E218" s="140"/>
      <c r="F218" s="140"/>
      <c r="G218" s="140"/>
      <c r="H218" s="140"/>
      <c r="I218" s="140"/>
      <c r="J218" s="140"/>
      <c r="K218" s="140"/>
      <c r="L218" s="140"/>
      <c r="M218" s="140"/>
      <c r="N218" s="140"/>
      <c r="O218" s="140"/>
      <c r="P218" s="140"/>
      <c r="Q218" s="140"/>
      <c r="R218" s="140"/>
    </row>
    <row r="219" spans="1:18" x14ac:dyDescent="0.35">
      <c r="A219" s="140"/>
      <c r="B219" s="140"/>
      <c r="C219" s="140"/>
      <c r="D219" s="140"/>
      <c r="E219" s="140"/>
      <c r="F219" s="140"/>
      <c r="G219" s="140"/>
      <c r="H219" s="140"/>
      <c r="I219" s="140"/>
      <c r="J219" s="140"/>
      <c r="K219" s="140"/>
      <c r="L219" s="140"/>
      <c r="M219" s="140"/>
      <c r="N219" s="140"/>
      <c r="O219" s="140"/>
      <c r="P219" s="140"/>
      <c r="Q219" s="140"/>
      <c r="R219" s="140"/>
    </row>
    <row r="220" spans="1:18" x14ac:dyDescent="0.35">
      <c r="A220" s="140"/>
      <c r="B220" s="140"/>
      <c r="C220" s="140"/>
      <c r="D220" s="140"/>
      <c r="E220" s="140"/>
      <c r="F220" s="140"/>
      <c r="G220" s="140"/>
      <c r="H220" s="140"/>
      <c r="I220" s="140"/>
      <c r="J220" s="140"/>
      <c r="K220" s="140"/>
      <c r="L220" s="140"/>
      <c r="M220" s="140"/>
      <c r="N220" s="140"/>
      <c r="O220" s="140"/>
      <c r="P220" s="140"/>
      <c r="Q220" s="140"/>
      <c r="R220" s="140"/>
    </row>
    <row r="221" spans="1:18" x14ac:dyDescent="0.35">
      <c r="A221" s="140"/>
      <c r="B221" s="140"/>
      <c r="C221" s="140"/>
      <c r="D221" s="140"/>
      <c r="E221" s="140"/>
      <c r="F221" s="140"/>
      <c r="G221" s="140"/>
      <c r="H221" s="140"/>
      <c r="I221" s="140"/>
      <c r="J221" s="140"/>
      <c r="K221" s="140"/>
      <c r="L221" s="140"/>
      <c r="M221" s="140"/>
      <c r="N221" s="140"/>
      <c r="O221" s="140"/>
      <c r="P221" s="140"/>
      <c r="Q221" s="140"/>
      <c r="R221" s="140"/>
    </row>
    <row r="222" spans="1:18" x14ac:dyDescent="0.35">
      <c r="A222" s="140"/>
      <c r="B222" s="140"/>
      <c r="C222" s="140"/>
      <c r="D222" s="140"/>
      <c r="E222" s="140"/>
      <c r="F222" s="140"/>
      <c r="G222" s="140"/>
      <c r="H222" s="140"/>
      <c r="I222" s="140"/>
      <c r="J222" s="140"/>
      <c r="K222" s="140"/>
      <c r="L222" s="140"/>
      <c r="M222" s="140"/>
      <c r="N222" s="140"/>
      <c r="O222" s="140"/>
      <c r="P222" s="140"/>
      <c r="Q222" s="140"/>
      <c r="R222" s="140"/>
    </row>
    <row r="223" spans="1:18" x14ac:dyDescent="0.35">
      <c r="A223" s="140"/>
      <c r="B223" s="140"/>
      <c r="C223" s="140"/>
      <c r="D223" s="140"/>
      <c r="E223" s="140"/>
      <c r="F223" s="140"/>
      <c r="G223" s="140"/>
      <c r="H223" s="140"/>
      <c r="I223" s="140"/>
      <c r="J223" s="140"/>
      <c r="K223" s="140"/>
      <c r="L223" s="140"/>
      <c r="M223" s="140"/>
      <c r="N223" s="140"/>
      <c r="O223" s="140"/>
      <c r="P223" s="140"/>
      <c r="Q223" s="140"/>
      <c r="R223" s="140"/>
    </row>
    <row r="224" spans="1:18" x14ac:dyDescent="0.35">
      <c r="A224" s="140"/>
      <c r="B224" s="140"/>
      <c r="C224" s="140"/>
      <c r="D224" s="140"/>
      <c r="E224" s="140"/>
      <c r="F224" s="140"/>
      <c r="G224" s="140"/>
      <c r="H224" s="140"/>
      <c r="I224" s="140"/>
      <c r="J224" s="140"/>
      <c r="K224" s="140"/>
      <c r="L224" s="140"/>
      <c r="M224" s="140"/>
      <c r="N224" s="140"/>
      <c r="O224" s="140"/>
      <c r="P224" s="140"/>
      <c r="Q224" s="140"/>
      <c r="R224" s="140"/>
    </row>
    <row r="225" spans="1:18" x14ac:dyDescent="0.35">
      <c r="A225" s="140"/>
      <c r="B225" s="140"/>
      <c r="C225" s="140"/>
      <c r="D225" s="140"/>
      <c r="E225" s="140"/>
      <c r="F225" s="140"/>
      <c r="G225" s="140"/>
      <c r="H225" s="140"/>
      <c r="I225" s="140"/>
      <c r="J225" s="140"/>
      <c r="K225" s="140"/>
      <c r="L225" s="140"/>
      <c r="M225" s="140"/>
      <c r="N225" s="140"/>
      <c r="O225" s="140"/>
      <c r="P225" s="140"/>
      <c r="Q225" s="140"/>
      <c r="R225" s="140"/>
    </row>
    <row r="226" spans="1:18" x14ac:dyDescent="0.35">
      <c r="A226" s="140"/>
      <c r="B226" s="140"/>
      <c r="C226" s="140"/>
      <c r="D226" s="140"/>
      <c r="E226" s="140"/>
      <c r="F226" s="140"/>
      <c r="G226" s="140"/>
      <c r="H226" s="140"/>
      <c r="I226" s="140"/>
      <c r="J226" s="140"/>
      <c r="K226" s="140"/>
      <c r="L226" s="140"/>
      <c r="M226" s="140"/>
      <c r="N226" s="140"/>
      <c r="O226" s="140"/>
      <c r="P226" s="140"/>
      <c r="Q226" s="140"/>
      <c r="R226" s="140"/>
    </row>
    <row r="227" spans="1:18" x14ac:dyDescent="0.35">
      <c r="A227" s="140"/>
      <c r="B227" s="140"/>
      <c r="C227" s="140"/>
      <c r="D227" s="140"/>
      <c r="E227" s="140"/>
      <c r="F227" s="140"/>
      <c r="G227" s="140"/>
      <c r="H227" s="140"/>
      <c r="I227" s="140"/>
      <c r="J227" s="140"/>
      <c r="K227" s="140"/>
      <c r="L227" s="140"/>
      <c r="M227" s="140"/>
      <c r="N227" s="140"/>
      <c r="O227" s="140"/>
      <c r="P227" s="140"/>
      <c r="Q227" s="140"/>
      <c r="R227" s="140"/>
    </row>
    <row r="228" spans="1:18" x14ac:dyDescent="0.35">
      <c r="A228" s="140"/>
      <c r="B228" s="140"/>
      <c r="C228" s="140"/>
      <c r="D228" s="140"/>
      <c r="E228" s="140"/>
      <c r="F228" s="140"/>
      <c r="G228" s="140"/>
      <c r="H228" s="140"/>
      <c r="I228" s="140"/>
      <c r="J228" s="140"/>
      <c r="K228" s="140"/>
      <c r="L228" s="140"/>
      <c r="M228" s="140"/>
      <c r="N228" s="140"/>
      <c r="O228" s="140"/>
      <c r="P228" s="140"/>
      <c r="Q228" s="140"/>
      <c r="R228" s="140"/>
    </row>
    <row r="229" spans="1:18" x14ac:dyDescent="0.35">
      <c r="A229" s="140"/>
      <c r="B229" s="140"/>
      <c r="C229" s="140"/>
      <c r="D229" s="140"/>
      <c r="E229" s="140"/>
      <c r="F229" s="140"/>
      <c r="G229" s="140"/>
      <c r="H229" s="140"/>
      <c r="I229" s="140"/>
      <c r="J229" s="140"/>
      <c r="K229" s="140"/>
      <c r="L229" s="140"/>
      <c r="M229" s="140"/>
      <c r="N229" s="140"/>
      <c r="O229" s="140"/>
      <c r="P229" s="140"/>
      <c r="Q229" s="140"/>
      <c r="R229" s="140"/>
    </row>
    <row r="230" spans="1:18" x14ac:dyDescent="0.35">
      <c r="A230" s="140"/>
      <c r="B230" s="140"/>
      <c r="C230" s="140"/>
      <c r="D230" s="140"/>
      <c r="E230" s="140"/>
      <c r="F230" s="140"/>
      <c r="G230" s="140"/>
      <c r="H230" s="140"/>
      <c r="I230" s="140"/>
      <c r="J230" s="140"/>
      <c r="K230" s="140"/>
      <c r="L230" s="140"/>
      <c r="M230" s="140"/>
      <c r="N230" s="140"/>
      <c r="O230" s="140"/>
      <c r="P230" s="140"/>
      <c r="Q230" s="140"/>
      <c r="R230" s="140"/>
    </row>
    <row r="231" spans="1:18" x14ac:dyDescent="0.35">
      <c r="A231" s="140"/>
      <c r="B231" s="140"/>
      <c r="C231" s="140"/>
      <c r="D231" s="140"/>
      <c r="E231" s="140"/>
      <c r="F231" s="140"/>
      <c r="G231" s="140"/>
      <c r="H231" s="140"/>
      <c r="I231" s="140"/>
      <c r="J231" s="140"/>
      <c r="K231" s="140"/>
      <c r="L231" s="140"/>
      <c r="M231" s="140"/>
      <c r="N231" s="140"/>
      <c r="O231" s="140"/>
      <c r="P231" s="140"/>
      <c r="Q231" s="140"/>
      <c r="R231" s="140"/>
    </row>
    <row r="232" spans="1:18" x14ac:dyDescent="0.35">
      <c r="A232" s="140"/>
      <c r="B232" s="140"/>
      <c r="C232" s="140"/>
      <c r="D232" s="140"/>
      <c r="E232" s="140"/>
      <c r="F232" s="140"/>
      <c r="G232" s="140"/>
      <c r="H232" s="140"/>
      <c r="I232" s="140"/>
      <c r="J232" s="140"/>
      <c r="K232" s="140"/>
      <c r="L232" s="140"/>
      <c r="M232" s="140"/>
      <c r="N232" s="140"/>
      <c r="O232" s="140"/>
      <c r="P232" s="140"/>
      <c r="Q232" s="140"/>
      <c r="R232" s="140"/>
    </row>
    <row r="233" spans="1:18" x14ac:dyDescent="0.35">
      <c r="A233" s="140"/>
      <c r="B233" s="140"/>
      <c r="C233" s="140"/>
      <c r="D233" s="140"/>
      <c r="E233" s="140"/>
      <c r="F233" s="140"/>
      <c r="G233" s="140"/>
      <c r="H233" s="140"/>
      <c r="I233" s="140"/>
      <c r="J233" s="140"/>
      <c r="K233" s="140"/>
      <c r="L233" s="140"/>
      <c r="M233" s="140"/>
      <c r="N233" s="140"/>
      <c r="O233" s="140"/>
      <c r="P233" s="140"/>
      <c r="Q233" s="140"/>
      <c r="R233" s="140"/>
    </row>
    <row r="234" spans="1:18" x14ac:dyDescent="0.35">
      <c r="A234" s="140"/>
      <c r="B234" s="140"/>
      <c r="C234" s="140"/>
      <c r="D234" s="140"/>
      <c r="E234" s="140"/>
      <c r="F234" s="140"/>
      <c r="G234" s="140"/>
      <c r="H234" s="140"/>
      <c r="I234" s="140"/>
      <c r="J234" s="140"/>
      <c r="K234" s="140"/>
      <c r="L234" s="140"/>
      <c r="M234" s="140"/>
      <c r="N234" s="140"/>
      <c r="O234" s="140"/>
      <c r="P234" s="140"/>
      <c r="Q234" s="140"/>
      <c r="R234" s="140"/>
    </row>
    <row r="235" spans="1:18" x14ac:dyDescent="0.35">
      <c r="A235" s="140"/>
      <c r="B235" s="140"/>
      <c r="C235" s="140"/>
      <c r="D235" s="140"/>
      <c r="E235" s="140"/>
      <c r="F235" s="140"/>
      <c r="G235" s="140"/>
      <c r="H235" s="140"/>
      <c r="I235" s="140"/>
      <c r="J235" s="140"/>
      <c r="K235" s="140"/>
      <c r="L235" s="140"/>
      <c r="M235" s="140"/>
      <c r="N235" s="140"/>
      <c r="O235" s="140"/>
      <c r="P235" s="140"/>
      <c r="Q235" s="140"/>
      <c r="R235" s="140"/>
    </row>
    <row r="236" spans="1:18" x14ac:dyDescent="0.35">
      <c r="A236" s="140"/>
      <c r="B236" s="140"/>
      <c r="C236" s="140"/>
      <c r="D236" s="140"/>
      <c r="E236" s="140"/>
      <c r="F236" s="140"/>
      <c r="G236" s="140"/>
      <c r="H236" s="140"/>
      <c r="I236" s="140"/>
      <c r="J236" s="140"/>
      <c r="K236" s="140"/>
      <c r="L236" s="140"/>
      <c r="M236" s="140"/>
      <c r="N236" s="140"/>
      <c r="O236" s="140"/>
      <c r="P236" s="140"/>
      <c r="Q236" s="140"/>
      <c r="R236" s="140"/>
    </row>
    <row r="237" spans="1:18" x14ac:dyDescent="0.35">
      <c r="A237" s="140"/>
      <c r="B237" s="140"/>
      <c r="C237" s="140"/>
      <c r="D237" s="140"/>
      <c r="E237" s="140"/>
      <c r="F237" s="140"/>
      <c r="G237" s="140"/>
      <c r="H237" s="140"/>
      <c r="I237" s="140"/>
      <c r="J237" s="140"/>
      <c r="K237" s="140"/>
      <c r="L237" s="140"/>
      <c r="M237" s="140"/>
      <c r="N237" s="140"/>
      <c r="O237" s="140"/>
      <c r="P237" s="140"/>
      <c r="Q237" s="140"/>
      <c r="R237" s="140"/>
    </row>
    <row r="238" spans="1:18" x14ac:dyDescent="0.35">
      <c r="A238" s="140"/>
      <c r="B238" s="140"/>
      <c r="C238" s="140"/>
      <c r="D238" s="140"/>
      <c r="E238" s="140"/>
      <c r="F238" s="140"/>
      <c r="G238" s="140"/>
      <c r="H238" s="140"/>
      <c r="I238" s="140"/>
      <c r="J238" s="140"/>
      <c r="K238" s="140"/>
      <c r="L238" s="140"/>
      <c r="M238" s="140"/>
      <c r="N238" s="140"/>
      <c r="O238" s="140"/>
      <c r="P238" s="140"/>
      <c r="Q238" s="140"/>
      <c r="R238" s="140"/>
    </row>
    <row r="239" spans="1:18" x14ac:dyDescent="0.35">
      <c r="A239" s="140"/>
      <c r="B239" s="140"/>
      <c r="C239" s="140"/>
      <c r="D239" s="140"/>
      <c r="E239" s="140"/>
      <c r="F239" s="140"/>
      <c r="G239" s="140"/>
      <c r="H239" s="140"/>
      <c r="I239" s="140"/>
      <c r="J239" s="140"/>
      <c r="K239" s="140"/>
      <c r="L239" s="140"/>
      <c r="M239" s="140"/>
      <c r="N239" s="140"/>
      <c r="O239" s="140"/>
      <c r="P239" s="140"/>
      <c r="Q239" s="140"/>
      <c r="R239" s="140"/>
    </row>
    <row r="240" spans="1:18" x14ac:dyDescent="0.35">
      <c r="A240" s="140"/>
      <c r="B240" s="140"/>
      <c r="C240" s="140"/>
      <c r="D240" s="140"/>
      <c r="E240" s="140"/>
      <c r="F240" s="140"/>
      <c r="G240" s="140"/>
      <c r="H240" s="140"/>
      <c r="I240" s="140"/>
      <c r="J240" s="140"/>
      <c r="K240" s="140"/>
      <c r="L240" s="140"/>
      <c r="M240" s="140"/>
      <c r="N240" s="140"/>
      <c r="O240" s="140"/>
      <c r="P240" s="140"/>
      <c r="Q240" s="140"/>
      <c r="R240" s="140"/>
    </row>
    <row r="241" spans="1:18" x14ac:dyDescent="0.35">
      <c r="A241" s="140"/>
      <c r="B241" s="140"/>
      <c r="C241" s="140"/>
      <c r="D241" s="140"/>
      <c r="E241" s="140"/>
      <c r="F241" s="140"/>
      <c r="G241" s="140"/>
      <c r="H241" s="140"/>
      <c r="I241" s="140"/>
      <c r="J241" s="140"/>
      <c r="K241" s="140"/>
      <c r="L241" s="140"/>
      <c r="M241" s="140"/>
      <c r="N241" s="140"/>
      <c r="O241" s="140"/>
      <c r="P241" s="140"/>
      <c r="Q241" s="140"/>
      <c r="R241" s="140"/>
    </row>
    <row r="242" spans="1:18" x14ac:dyDescent="0.35">
      <c r="A242" s="140"/>
      <c r="B242" s="140"/>
      <c r="C242" s="140"/>
      <c r="D242" s="140"/>
      <c r="E242" s="140"/>
      <c r="F242" s="140"/>
      <c r="G242" s="140"/>
      <c r="H242" s="140"/>
      <c r="I242" s="140"/>
      <c r="J242" s="140"/>
      <c r="K242" s="140"/>
      <c r="L242" s="140"/>
      <c r="M242" s="140"/>
      <c r="N242" s="140"/>
      <c r="O242" s="140"/>
      <c r="P242" s="140"/>
      <c r="Q242" s="140"/>
      <c r="R242" s="140"/>
    </row>
    <row r="243" spans="1:18" x14ac:dyDescent="0.35">
      <c r="A243" s="140"/>
      <c r="B243" s="140"/>
      <c r="C243" s="140"/>
      <c r="D243" s="140"/>
      <c r="E243" s="140"/>
      <c r="F243" s="140"/>
      <c r="G243" s="140"/>
      <c r="H243" s="140"/>
      <c r="I243" s="140"/>
      <c r="J243" s="140"/>
      <c r="K243" s="140"/>
      <c r="L243" s="140"/>
      <c r="M243" s="140"/>
      <c r="N243" s="140"/>
      <c r="O243" s="140"/>
      <c r="P243" s="140"/>
      <c r="Q243" s="140"/>
      <c r="R243" s="140"/>
    </row>
    <row r="244" spans="1:18" x14ac:dyDescent="0.35">
      <c r="A244" s="140"/>
      <c r="B244" s="140"/>
      <c r="C244" s="140"/>
      <c r="D244" s="140"/>
      <c r="E244" s="140"/>
      <c r="F244" s="140"/>
      <c r="G244" s="140"/>
      <c r="H244" s="140"/>
      <c r="I244" s="140"/>
      <c r="J244" s="140"/>
      <c r="K244" s="140"/>
      <c r="L244" s="140"/>
      <c r="M244" s="140"/>
      <c r="N244" s="140"/>
      <c r="O244" s="140"/>
      <c r="P244" s="140"/>
      <c r="Q244" s="140"/>
      <c r="R244" s="140"/>
    </row>
    <row r="245" spans="1:18" x14ac:dyDescent="0.35">
      <c r="A245" s="140"/>
      <c r="B245" s="140"/>
      <c r="C245" s="140"/>
      <c r="D245" s="140"/>
      <c r="E245" s="140"/>
      <c r="F245" s="140"/>
      <c r="G245" s="140"/>
      <c r="H245" s="140"/>
      <c r="I245" s="140"/>
      <c r="J245" s="140"/>
      <c r="K245" s="140"/>
      <c r="L245" s="140"/>
      <c r="M245" s="140"/>
      <c r="N245" s="140"/>
      <c r="O245" s="140"/>
      <c r="P245" s="140"/>
      <c r="Q245" s="140"/>
      <c r="R245" s="140"/>
    </row>
    <row r="246" spans="1:18" x14ac:dyDescent="0.35">
      <c r="A246" s="140"/>
      <c r="B246" s="140"/>
      <c r="C246" s="140"/>
      <c r="D246" s="140"/>
      <c r="E246" s="140"/>
      <c r="F246" s="140"/>
      <c r="G246" s="140"/>
      <c r="H246" s="140"/>
      <c r="I246" s="140"/>
      <c r="J246" s="140"/>
      <c r="K246" s="140"/>
      <c r="L246" s="140"/>
      <c r="M246" s="140"/>
      <c r="N246" s="140"/>
      <c r="O246" s="140"/>
      <c r="P246" s="140"/>
      <c r="Q246" s="140"/>
      <c r="R246" s="140"/>
    </row>
    <row r="247" spans="1:18" x14ac:dyDescent="0.35">
      <c r="A247" s="140"/>
      <c r="B247" s="140"/>
      <c r="C247" s="140"/>
      <c r="D247" s="140"/>
      <c r="E247" s="140"/>
      <c r="F247" s="140"/>
      <c r="G247" s="140"/>
      <c r="H247" s="140"/>
      <c r="I247" s="140"/>
      <c r="J247" s="140"/>
      <c r="K247" s="140"/>
      <c r="L247" s="140"/>
      <c r="M247" s="140"/>
      <c r="N247" s="140"/>
      <c r="O247" s="140"/>
      <c r="P247" s="140"/>
      <c r="Q247" s="140"/>
      <c r="R247" s="140"/>
    </row>
    <row r="248" spans="1:18" x14ac:dyDescent="0.35">
      <c r="A248" s="140"/>
      <c r="B248" s="140"/>
      <c r="C248" s="140"/>
      <c r="D248" s="140"/>
      <c r="E248" s="140"/>
      <c r="F248" s="140"/>
      <c r="G248" s="140"/>
      <c r="H248" s="140"/>
      <c r="I248" s="140"/>
      <c r="J248" s="140"/>
      <c r="K248" s="140"/>
      <c r="L248" s="140"/>
      <c r="M248" s="140"/>
      <c r="N248" s="140"/>
      <c r="O248" s="140"/>
      <c r="P248" s="140"/>
      <c r="Q248" s="140"/>
      <c r="R248" s="140"/>
    </row>
    <row r="249" spans="1:18" x14ac:dyDescent="0.35">
      <c r="A249" s="140"/>
      <c r="B249" s="140"/>
      <c r="C249" s="140"/>
      <c r="D249" s="140"/>
      <c r="E249" s="140"/>
      <c r="F249" s="140"/>
      <c r="G249" s="140"/>
      <c r="H249" s="140"/>
      <c r="I249" s="140"/>
      <c r="J249" s="140"/>
      <c r="K249" s="140"/>
      <c r="L249" s="140"/>
      <c r="M249" s="140"/>
      <c r="N249" s="140"/>
      <c r="O249" s="140"/>
      <c r="P249" s="140"/>
      <c r="Q249" s="140"/>
      <c r="R249" s="140"/>
    </row>
    <row r="250" spans="1:18" x14ac:dyDescent="0.35">
      <c r="A250" s="140"/>
      <c r="B250" s="140"/>
      <c r="C250" s="140"/>
      <c r="D250" s="140"/>
      <c r="E250" s="140"/>
      <c r="F250" s="140"/>
      <c r="G250" s="140"/>
      <c r="H250" s="140"/>
      <c r="I250" s="140"/>
      <c r="J250" s="140"/>
      <c r="K250" s="140"/>
      <c r="L250" s="140"/>
      <c r="M250" s="140"/>
      <c r="N250" s="140"/>
      <c r="O250" s="140"/>
      <c r="P250" s="140"/>
      <c r="Q250" s="140"/>
      <c r="R250" s="140"/>
    </row>
    <row r="251" spans="1:18" x14ac:dyDescent="0.35">
      <c r="A251" s="140"/>
      <c r="B251" s="140"/>
      <c r="C251" s="140"/>
      <c r="D251" s="140"/>
      <c r="E251" s="140"/>
      <c r="F251" s="140"/>
      <c r="G251" s="140"/>
      <c r="H251" s="140"/>
      <c r="I251" s="140"/>
      <c r="J251" s="140"/>
      <c r="K251" s="140"/>
      <c r="L251" s="140"/>
      <c r="M251" s="140"/>
      <c r="N251" s="140"/>
      <c r="O251" s="140"/>
      <c r="P251" s="140"/>
      <c r="Q251" s="140"/>
      <c r="R251" s="140"/>
    </row>
    <row r="252" spans="1:18" x14ac:dyDescent="0.35">
      <c r="A252" s="140"/>
      <c r="B252" s="140"/>
      <c r="C252" s="140"/>
      <c r="D252" s="140"/>
      <c r="E252" s="140"/>
      <c r="F252" s="140"/>
      <c r="G252" s="140"/>
      <c r="H252" s="140"/>
      <c r="I252" s="140"/>
      <c r="J252" s="140"/>
      <c r="K252" s="140"/>
      <c r="L252" s="140"/>
      <c r="M252" s="140"/>
      <c r="N252" s="140"/>
      <c r="O252" s="140"/>
      <c r="P252" s="140"/>
      <c r="Q252" s="140"/>
      <c r="R252" s="140"/>
    </row>
    <row r="253" spans="1:18" x14ac:dyDescent="0.35">
      <c r="A253" s="140"/>
      <c r="B253" s="140"/>
      <c r="C253" s="140"/>
      <c r="D253" s="140"/>
      <c r="E253" s="140"/>
      <c r="F253" s="140"/>
      <c r="G253" s="140"/>
      <c r="H253" s="140"/>
      <c r="I253" s="140"/>
      <c r="J253" s="140"/>
      <c r="K253" s="140"/>
      <c r="L253" s="140"/>
      <c r="M253" s="140"/>
      <c r="N253" s="140"/>
      <c r="O253" s="140"/>
      <c r="P253" s="140"/>
      <c r="Q253" s="140"/>
      <c r="R253" s="140"/>
    </row>
    <row r="254" spans="1:18" x14ac:dyDescent="0.35">
      <c r="D254" s="140"/>
      <c r="E254" s="140"/>
      <c r="F254" s="140"/>
      <c r="G254" s="140"/>
      <c r="H254" s="140"/>
      <c r="I254" s="140"/>
      <c r="J254" s="140"/>
      <c r="K254" s="140"/>
      <c r="L254" s="140"/>
      <c r="M254" s="140"/>
      <c r="N254" s="140"/>
      <c r="O254" s="140"/>
      <c r="P254" s="140"/>
      <c r="Q254" s="140"/>
      <c r="R254" s="140"/>
    </row>
    <row r="255" spans="1:18" x14ac:dyDescent="0.35">
      <c r="D255" s="140"/>
      <c r="E255" s="140"/>
      <c r="F255" s="140"/>
      <c r="G255" s="140"/>
      <c r="H255" s="140"/>
      <c r="I255" s="140"/>
      <c r="J255" s="140"/>
      <c r="K255" s="140"/>
      <c r="L255" s="140"/>
      <c r="M255" s="140"/>
      <c r="N255" s="140"/>
      <c r="O255" s="140"/>
      <c r="P255" s="140"/>
      <c r="Q255" s="140"/>
      <c r="R255" s="140"/>
    </row>
    <row r="256" spans="1:18" x14ac:dyDescent="0.35">
      <c r="D256" s="140"/>
      <c r="E256" s="140"/>
      <c r="F256" s="140"/>
      <c r="G256" s="140"/>
      <c r="H256" s="140"/>
      <c r="I256" s="140"/>
      <c r="J256" s="140"/>
      <c r="K256" s="140"/>
      <c r="L256" s="140"/>
      <c r="M256" s="140"/>
      <c r="N256" s="140"/>
      <c r="O256" s="140"/>
      <c r="P256" s="140"/>
      <c r="Q256" s="140"/>
      <c r="R256" s="140"/>
    </row>
    <row r="257" spans="4:18" x14ac:dyDescent="0.35">
      <c r="D257" s="140"/>
      <c r="E257" s="140"/>
      <c r="F257" s="140"/>
      <c r="G257" s="140"/>
      <c r="H257" s="140"/>
      <c r="I257" s="140"/>
      <c r="J257" s="140"/>
      <c r="K257" s="140"/>
      <c r="L257" s="140"/>
      <c r="M257" s="140"/>
      <c r="N257" s="140"/>
      <c r="O257" s="140"/>
      <c r="P257" s="140"/>
      <c r="Q257" s="140"/>
      <c r="R257" s="140"/>
    </row>
    <row r="258" spans="4:18" x14ac:dyDescent="0.35">
      <c r="D258" s="140"/>
      <c r="E258" s="140"/>
      <c r="F258" s="140"/>
      <c r="G258" s="140"/>
      <c r="H258" s="140"/>
      <c r="I258" s="140"/>
      <c r="J258" s="140"/>
      <c r="K258" s="140"/>
      <c r="L258" s="140"/>
      <c r="M258" s="140"/>
      <c r="N258" s="140"/>
      <c r="O258" s="140"/>
      <c r="P258" s="140"/>
      <c r="Q258" s="140"/>
      <c r="R258" s="140"/>
    </row>
    <row r="259" spans="4:18" x14ac:dyDescent="0.35">
      <c r="D259" s="140"/>
      <c r="E259" s="140"/>
      <c r="F259" s="140"/>
      <c r="G259" s="140"/>
      <c r="H259" s="140"/>
      <c r="I259" s="140"/>
      <c r="J259" s="140"/>
      <c r="K259" s="140"/>
      <c r="L259" s="140"/>
      <c r="M259" s="140"/>
      <c r="N259" s="140"/>
      <c r="O259" s="140"/>
      <c r="P259" s="140"/>
      <c r="Q259" s="140"/>
      <c r="R259" s="140"/>
    </row>
    <row r="260" spans="4:18" x14ac:dyDescent="0.35">
      <c r="D260" s="140"/>
      <c r="E260" s="140"/>
      <c r="F260" s="140"/>
      <c r="G260" s="140"/>
      <c r="H260" s="140"/>
      <c r="I260" s="140"/>
      <c r="J260" s="140"/>
      <c r="K260" s="140"/>
      <c r="L260" s="140"/>
      <c r="M260" s="140"/>
      <c r="N260" s="140"/>
      <c r="O260" s="140"/>
      <c r="P260" s="140"/>
      <c r="Q260" s="140"/>
      <c r="R260" s="140"/>
    </row>
    <row r="261" spans="4:18" x14ac:dyDescent="0.35">
      <c r="D261" s="140"/>
      <c r="E261" s="140"/>
      <c r="F261" s="140"/>
      <c r="G261" s="140"/>
      <c r="H261" s="140"/>
      <c r="I261" s="140"/>
      <c r="J261" s="140"/>
      <c r="K261" s="140"/>
      <c r="L261" s="140"/>
      <c r="M261" s="140"/>
      <c r="N261" s="140"/>
      <c r="O261" s="140"/>
      <c r="P261" s="140"/>
      <c r="Q261" s="140"/>
      <c r="R261" s="140"/>
    </row>
  </sheetData>
  <mergeCells count="2">
    <mergeCell ref="A4:C4"/>
    <mergeCell ref="B6:C6"/>
  </mergeCells>
  <hyperlinks>
    <hyperlink ref="B18" location="'household input'!A1" display="click here"/>
    <hyperlink ref="B19" location="'diet input'!A1" display="click here"/>
    <hyperlink ref="B21" location="'explore alternative lifestyles'!A1" display="click here"/>
    <hyperlink ref="B20" location="'total footprint report'!A1" display="click here"/>
    <hyperlink ref="B22" location="'Report preferences'!A1" display="click here"/>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'back end data'!$A$79:$A$81</xm:f>
          </x14:formula1>
          <xm:sqref>B15</xm:sqref>
        </x14:dataValidation>
        <x14:dataValidation type="list" allowBlank="1" showInputMessage="1" showErrorMessage="1">
          <x14:formula1>
            <xm:f>'Electricity mix footprint'!$A$6:$A$67</xm:f>
          </x14:formula1>
          <xm:sqref>B14</xm:sqref>
        </x14:dataValidation>
        <x14:dataValidation type="list" allowBlank="1" showInputMessage="1" showErrorMessage="1">
          <x14:formula1>
            <xm:f>'back end data'!$A$111:$A$119</xm:f>
          </x14:formula1>
          <xm:sqref>B11</xm:sqref>
        </x14:dataValidation>
        <x14:dataValidation type="list" allowBlank="1" showInputMessage="1" showErrorMessage="1">
          <x14:formula1>
            <xm:f>'back end data'!$B$111:$B$113</xm:f>
          </x14:formula1>
          <xm:sqref>B10</xm:sqref>
        </x14:dataValidation>
        <x14:dataValidation type="list" allowBlank="1" showInputMessage="1" showErrorMessage="1">
          <x14:formula1>
            <xm:f>'back end data'!$P$5:$P$91</xm:f>
          </x14:formula1>
          <xm:sqref>B9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27"/>
  <sheetViews>
    <sheetView workbookViewId="0">
      <selection activeCell="C8" sqref="C8"/>
    </sheetView>
  </sheetViews>
  <sheetFormatPr defaultRowHeight="14.5" x14ac:dyDescent="0.35"/>
  <cols>
    <col min="1" max="1" width="17.7265625" customWidth="1"/>
    <col min="2" max="5" width="17.08984375" customWidth="1"/>
    <col min="6" max="8" width="17.7265625" customWidth="1"/>
  </cols>
  <sheetData>
    <row r="1" spans="1:26" ht="28.5" customHeight="1" x14ac:dyDescent="0.35">
      <c r="A1" s="390" t="s">
        <v>268</v>
      </c>
      <c r="B1" s="390"/>
      <c r="C1" s="390"/>
      <c r="D1" s="391" t="s">
        <v>579</v>
      </c>
      <c r="E1" s="391"/>
      <c r="F1" s="391"/>
      <c r="G1" s="391"/>
      <c r="H1" s="391"/>
    </row>
    <row r="2" spans="1:26" ht="14.5" customHeight="1" x14ac:dyDescent="0.35">
      <c r="A2" s="390"/>
      <c r="B2" s="390"/>
      <c r="C2" s="390"/>
      <c r="D2" s="392" t="s">
        <v>524</v>
      </c>
      <c r="E2" s="392"/>
      <c r="F2" s="392"/>
      <c r="G2" s="392"/>
      <c r="H2" s="392"/>
    </row>
    <row r="3" spans="1:26" x14ac:dyDescent="0.35">
      <c r="A3" s="393" t="s">
        <v>580</v>
      </c>
      <c r="B3" s="393"/>
      <c r="C3" s="234">
        <v>1</v>
      </c>
      <c r="D3" s="392"/>
      <c r="E3" s="392"/>
      <c r="F3" s="392"/>
      <c r="G3" s="392"/>
      <c r="H3" s="392"/>
    </row>
    <row r="4" spans="1:26" ht="15" thickBot="1" x14ac:dyDescent="0.4">
      <c r="A4" s="235"/>
      <c r="B4" s="394" t="s">
        <v>612</v>
      </c>
      <c r="C4" s="394"/>
      <c r="D4" s="394"/>
      <c r="E4" s="394"/>
      <c r="F4" s="394"/>
      <c r="G4" s="394"/>
      <c r="H4" s="394"/>
    </row>
    <row r="5" spans="1:26" ht="14.5" customHeight="1" thickBot="1" x14ac:dyDescent="0.4">
      <c r="A5" s="135" t="s">
        <v>581</v>
      </c>
    </row>
    <row r="6" spans="1:26" ht="15" thickBot="1" x14ac:dyDescent="0.4">
      <c r="A6" s="236" t="s">
        <v>332</v>
      </c>
      <c r="B6" s="237"/>
      <c r="C6" s="237"/>
      <c r="D6" s="237"/>
      <c r="E6" s="237"/>
      <c r="F6" s="237"/>
      <c r="G6" s="237"/>
      <c r="H6" s="237"/>
    </row>
    <row r="7" spans="1:26" ht="15" thickBot="1" x14ac:dyDescent="0.4">
      <c r="A7" s="236" t="s">
        <v>333</v>
      </c>
      <c r="B7" s="237"/>
      <c r="C7" s="237"/>
      <c r="D7" s="237"/>
      <c r="E7" s="237"/>
      <c r="F7" s="237"/>
      <c r="G7" s="237"/>
      <c r="H7" s="237"/>
    </row>
    <row r="8" spans="1:26" ht="15" thickBot="1" x14ac:dyDescent="0.4">
      <c r="A8" s="236" t="s">
        <v>582</v>
      </c>
      <c r="B8" s="237" t="str">
        <f t="shared" ref="B8:Z8" si="0">IF(B7="", "", VLOOKUP(B7, FoodEmission, 3, FALSE))</f>
        <v/>
      </c>
      <c r="C8" s="237" t="str">
        <f t="shared" si="0"/>
        <v/>
      </c>
      <c r="D8" s="237" t="str">
        <f t="shared" si="0"/>
        <v/>
      </c>
      <c r="E8" s="237" t="str">
        <f t="shared" si="0"/>
        <v/>
      </c>
      <c r="F8" s="237" t="str">
        <f t="shared" si="0"/>
        <v/>
      </c>
      <c r="G8" s="237" t="str">
        <f t="shared" si="0"/>
        <v/>
      </c>
      <c r="H8" s="237" t="str">
        <f t="shared" si="0"/>
        <v/>
      </c>
      <c r="I8" t="str">
        <f t="shared" si="0"/>
        <v/>
      </c>
      <c r="J8" t="str">
        <f t="shared" si="0"/>
        <v/>
      </c>
      <c r="K8" t="str">
        <f t="shared" si="0"/>
        <v/>
      </c>
      <c r="L8" t="str">
        <f t="shared" si="0"/>
        <v/>
      </c>
      <c r="M8" t="str">
        <f t="shared" si="0"/>
        <v/>
      </c>
      <c r="N8" t="str">
        <f t="shared" si="0"/>
        <v/>
      </c>
      <c r="O8" t="str">
        <f t="shared" si="0"/>
        <v/>
      </c>
      <c r="P8" t="str">
        <f t="shared" si="0"/>
        <v/>
      </c>
      <c r="Q8" t="str">
        <f t="shared" si="0"/>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6" x14ac:dyDescent="0.35">
      <c r="A9" s="236" t="s">
        <v>583</v>
      </c>
      <c r="B9" s="237"/>
      <c r="C9" s="237"/>
      <c r="D9" s="237"/>
      <c r="E9" s="237"/>
      <c r="F9" s="237"/>
      <c r="G9" s="237"/>
      <c r="H9" s="237"/>
    </row>
    <row r="10" spans="1:26" ht="15" thickBot="1" x14ac:dyDescent="0.4"/>
    <row r="11" spans="1:26" ht="15" thickBot="1" x14ac:dyDescent="0.4">
      <c r="A11" s="135" t="s">
        <v>584</v>
      </c>
    </row>
    <row r="12" spans="1:26" ht="15" thickBot="1" x14ac:dyDescent="0.4">
      <c r="A12" s="236" t="s">
        <v>332</v>
      </c>
      <c r="B12" s="237"/>
      <c r="C12" s="237"/>
      <c r="D12" s="237"/>
      <c r="E12" s="237"/>
      <c r="F12" s="237"/>
      <c r="G12" s="237"/>
      <c r="H12" s="237"/>
    </row>
    <row r="13" spans="1:26" ht="15" thickBot="1" x14ac:dyDescent="0.4">
      <c r="A13" s="236" t="s">
        <v>333</v>
      </c>
      <c r="B13" s="237"/>
      <c r="C13" s="237"/>
      <c r="D13" s="237"/>
      <c r="E13" s="237"/>
      <c r="F13" s="237"/>
      <c r="G13" s="237"/>
      <c r="H13" s="237"/>
    </row>
    <row r="14" spans="1:26" ht="15" thickBot="1" x14ac:dyDescent="0.4">
      <c r="A14" s="236" t="s">
        <v>582</v>
      </c>
      <c r="B14" s="237" t="str">
        <f t="shared" ref="B14:H14" si="1">IF(B13="", "", VLOOKUP(B13, FoodEmission, 3, FALSE))</f>
        <v/>
      </c>
      <c r="C14" s="237" t="str">
        <f t="shared" si="1"/>
        <v/>
      </c>
      <c r="D14" s="237" t="str">
        <f t="shared" si="1"/>
        <v/>
      </c>
      <c r="E14" s="237" t="str">
        <f t="shared" si="1"/>
        <v/>
      </c>
      <c r="F14" s="237" t="str">
        <f t="shared" si="1"/>
        <v/>
      </c>
      <c r="G14" s="237" t="str">
        <f t="shared" si="1"/>
        <v/>
      </c>
      <c r="H14" s="237" t="str">
        <f t="shared" si="1"/>
        <v/>
      </c>
      <c r="I14" t="str">
        <f t="shared" ref="I14:Z14" si="2">IF(I13="", "", VLOOKUP(I13, FoodEmission, 3, FALSE))</f>
        <v/>
      </c>
      <c r="J14" t="str">
        <f t="shared" si="2"/>
        <v/>
      </c>
      <c r="K14" t="str">
        <f t="shared" si="2"/>
        <v/>
      </c>
      <c r="L14" t="str">
        <f t="shared" si="2"/>
        <v/>
      </c>
      <c r="M14" t="str">
        <f t="shared" si="2"/>
        <v/>
      </c>
      <c r="N14" t="str">
        <f t="shared" si="2"/>
        <v/>
      </c>
      <c r="O14" t="str">
        <f t="shared" si="2"/>
        <v/>
      </c>
      <c r="P14" t="str">
        <f t="shared" si="2"/>
        <v/>
      </c>
      <c r="Q14" t="str">
        <f t="shared" si="2"/>
        <v/>
      </c>
      <c r="R14" t="str">
        <f t="shared" si="2"/>
        <v/>
      </c>
      <c r="S14" t="str">
        <f t="shared" si="2"/>
        <v/>
      </c>
      <c r="T14" t="str">
        <f t="shared" si="2"/>
        <v/>
      </c>
      <c r="U14" t="str">
        <f t="shared" si="2"/>
        <v/>
      </c>
      <c r="V14" t="str">
        <f t="shared" si="2"/>
        <v/>
      </c>
      <c r="W14" t="str">
        <f t="shared" si="2"/>
        <v/>
      </c>
      <c r="X14" t="str">
        <f t="shared" si="2"/>
        <v/>
      </c>
      <c r="Y14" t="str">
        <f t="shared" si="2"/>
        <v/>
      </c>
      <c r="Z14" t="str">
        <f t="shared" si="2"/>
        <v/>
      </c>
    </row>
    <row r="15" spans="1:26" x14ac:dyDescent="0.35">
      <c r="A15" s="236" t="s">
        <v>583</v>
      </c>
      <c r="B15" s="237"/>
      <c r="C15" s="237"/>
      <c r="D15" s="237"/>
      <c r="E15" s="237"/>
      <c r="F15" s="237"/>
      <c r="G15" s="237"/>
      <c r="H15" s="237"/>
    </row>
    <row r="16" spans="1:26" ht="15" thickBot="1" x14ac:dyDescent="0.4"/>
    <row r="17" spans="1:26" ht="15" thickBot="1" x14ac:dyDescent="0.4">
      <c r="A17" s="135" t="s">
        <v>585</v>
      </c>
    </row>
    <row r="18" spans="1:26" ht="15" thickBot="1" x14ac:dyDescent="0.4">
      <c r="A18" s="236" t="s">
        <v>332</v>
      </c>
      <c r="B18" s="237"/>
      <c r="C18" s="237"/>
      <c r="D18" s="237"/>
      <c r="E18" s="237"/>
      <c r="F18" s="237"/>
      <c r="G18" s="237"/>
      <c r="H18" s="237"/>
    </row>
    <row r="19" spans="1:26" ht="15" thickBot="1" x14ac:dyDescent="0.4">
      <c r="A19" s="236" t="s">
        <v>333</v>
      </c>
      <c r="B19" s="237"/>
      <c r="C19" s="237"/>
      <c r="D19" s="237"/>
      <c r="E19" s="237"/>
      <c r="F19" s="237"/>
      <c r="G19" s="237"/>
      <c r="H19" s="237"/>
    </row>
    <row r="20" spans="1:26" ht="15" thickBot="1" x14ac:dyDescent="0.4">
      <c r="A20" s="236" t="s">
        <v>582</v>
      </c>
      <c r="B20" s="237" t="str">
        <f t="shared" ref="B20:Z20" si="3">IF(B19="", "", VLOOKUP(B19, FoodEmission, 3, FALSE))</f>
        <v/>
      </c>
      <c r="C20" s="237" t="str">
        <f t="shared" si="3"/>
        <v/>
      </c>
      <c r="D20" s="237" t="str">
        <f t="shared" si="3"/>
        <v/>
      </c>
      <c r="E20" s="237" t="str">
        <f t="shared" si="3"/>
        <v/>
      </c>
      <c r="F20" s="237" t="str">
        <f t="shared" si="3"/>
        <v/>
      </c>
      <c r="G20" s="237" t="str">
        <f t="shared" si="3"/>
        <v/>
      </c>
      <c r="H20" s="237" t="str">
        <f t="shared" si="3"/>
        <v/>
      </c>
      <c r="I20" t="str">
        <f t="shared" si="3"/>
        <v/>
      </c>
      <c r="J20" t="str">
        <f t="shared" si="3"/>
        <v/>
      </c>
      <c r="K20" t="str">
        <f t="shared" si="3"/>
        <v/>
      </c>
      <c r="L20" t="str">
        <f t="shared" si="3"/>
        <v/>
      </c>
      <c r="M20" t="str">
        <f t="shared" si="3"/>
        <v/>
      </c>
      <c r="N20" t="str">
        <f t="shared" si="3"/>
        <v/>
      </c>
      <c r="O20" t="str">
        <f t="shared" si="3"/>
        <v/>
      </c>
      <c r="P20" t="str">
        <f t="shared" si="3"/>
        <v/>
      </c>
      <c r="Q20" t="str">
        <f t="shared" si="3"/>
        <v/>
      </c>
      <c r="R20" t="str">
        <f t="shared" si="3"/>
        <v/>
      </c>
      <c r="S20" t="str">
        <f t="shared" si="3"/>
        <v/>
      </c>
      <c r="T20" t="str">
        <f t="shared" si="3"/>
        <v/>
      </c>
      <c r="U20" t="str">
        <f t="shared" si="3"/>
        <v/>
      </c>
      <c r="V20" t="str">
        <f t="shared" si="3"/>
        <v/>
      </c>
      <c r="W20" t="str">
        <f t="shared" si="3"/>
        <v/>
      </c>
      <c r="X20" t="str">
        <f t="shared" si="3"/>
        <v/>
      </c>
      <c r="Y20" t="str">
        <f t="shared" si="3"/>
        <v/>
      </c>
      <c r="Z20" t="str">
        <f t="shared" si="3"/>
        <v/>
      </c>
    </row>
    <row r="21" spans="1:26" x14ac:dyDescent="0.35">
      <c r="A21" s="236" t="s">
        <v>583</v>
      </c>
      <c r="B21" s="237"/>
      <c r="C21" s="237"/>
      <c r="D21" s="237"/>
      <c r="E21" s="237"/>
      <c r="F21" s="237"/>
      <c r="G21" s="237"/>
      <c r="H21" s="237"/>
    </row>
    <row r="22" spans="1:26" ht="15" thickBot="1" x14ac:dyDescent="0.4"/>
    <row r="23" spans="1:26" ht="15" thickBot="1" x14ac:dyDescent="0.4">
      <c r="A23" s="135" t="s">
        <v>418</v>
      </c>
    </row>
    <row r="24" spans="1:26" ht="15" thickBot="1" x14ac:dyDescent="0.4">
      <c r="A24" s="236" t="s">
        <v>332</v>
      </c>
      <c r="B24" s="237"/>
      <c r="C24" s="237"/>
      <c r="D24" s="237"/>
      <c r="E24" s="237"/>
      <c r="F24" s="237"/>
      <c r="G24" s="237"/>
      <c r="H24" s="237"/>
    </row>
    <row r="25" spans="1:26" ht="15" thickBot="1" x14ac:dyDescent="0.4">
      <c r="A25" s="236" t="s">
        <v>333</v>
      </c>
      <c r="B25" s="237"/>
      <c r="C25" s="237"/>
      <c r="D25" s="237"/>
      <c r="E25" s="237"/>
      <c r="F25" s="237"/>
      <c r="G25" s="237"/>
      <c r="H25" s="237"/>
    </row>
    <row r="26" spans="1:26" ht="15" thickBot="1" x14ac:dyDescent="0.4">
      <c r="A26" s="236" t="s">
        <v>582</v>
      </c>
      <c r="B26" s="237" t="str">
        <f t="shared" ref="B26:Z26" si="4">IF(B25="", "", VLOOKUP(B25, FoodEmission, 3, FALSE))</f>
        <v/>
      </c>
      <c r="C26" s="237" t="str">
        <f t="shared" si="4"/>
        <v/>
      </c>
      <c r="D26" s="237" t="str">
        <f t="shared" si="4"/>
        <v/>
      </c>
      <c r="E26" s="237" t="str">
        <f t="shared" si="4"/>
        <v/>
      </c>
      <c r="F26" s="237" t="str">
        <f t="shared" si="4"/>
        <v/>
      </c>
      <c r="G26" s="237" t="str">
        <f t="shared" si="4"/>
        <v/>
      </c>
      <c r="H26" s="237" t="str">
        <f t="shared" si="4"/>
        <v/>
      </c>
      <c r="I26" t="str">
        <f t="shared" si="4"/>
        <v/>
      </c>
      <c r="J26" t="str">
        <f t="shared" si="4"/>
        <v/>
      </c>
      <c r="K26" t="str">
        <f t="shared" si="4"/>
        <v/>
      </c>
      <c r="L26" t="str">
        <f t="shared" si="4"/>
        <v/>
      </c>
      <c r="M26" t="str">
        <f t="shared" si="4"/>
        <v/>
      </c>
      <c r="N26" t="str">
        <f t="shared" si="4"/>
        <v/>
      </c>
      <c r="O26" t="str">
        <f t="shared" si="4"/>
        <v/>
      </c>
      <c r="P26" t="str">
        <f t="shared" si="4"/>
        <v/>
      </c>
      <c r="Q26" t="str">
        <f t="shared" si="4"/>
        <v/>
      </c>
      <c r="R26" t="str">
        <f t="shared" si="4"/>
        <v/>
      </c>
      <c r="S26" t="str">
        <f t="shared" si="4"/>
        <v/>
      </c>
      <c r="T26" t="str">
        <f t="shared" si="4"/>
        <v/>
      </c>
      <c r="U26" t="str">
        <f t="shared" si="4"/>
        <v/>
      </c>
      <c r="V26" t="str">
        <f t="shared" si="4"/>
        <v/>
      </c>
      <c r="W26" t="str">
        <f t="shared" si="4"/>
        <v/>
      </c>
      <c r="X26" t="str">
        <f t="shared" si="4"/>
        <v/>
      </c>
      <c r="Y26" t="str">
        <f t="shared" si="4"/>
        <v/>
      </c>
      <c r="Z26" t="str">
        <f t="shared" si="4"/>
        <v/>
      </c>
    </row>
    <row r="27" spans="1:26" x14ac:dyDescent="0.35">
      <c r="A27" s="236" t="s">
        <v>583</v>
      </c>
      <c r="B27" s="237"/>
      <c r="C27" s="237"/>
      <c r="D27" s="237"/>
      <c r="E27" s="237"/>
      <c r="F27" s="237"/>
      <c r="G27" s="237"/>
      <c r="H27" s="237"/>
    </row>
  </sheetData>
  <mergeCells count="5">
    <mergeCell ref="A1:C2"/>
    <mergeCell ref="D1:H1"/>
    <mergeCell ref="D2:H3"/>
    <mergeCell ref="A3:B3"/>
    <mergeCell ref="B4:H4"/>
  </mergeCells>
  <dataValidations count="5">
    <dataValidation type="list" allowBlank="1" showInputMessage="1" showErrorMessage="1" sqref="B25:Z25">
      <formula1>INDIRECT(B$24)</formula1>
    </dataValidation>
    <dataValidation type="list" allowBlank="1" showInputMessage="1" showErrorMessage="1" sqref="B19:Z19">
      <formula1>INDIRECT(B$18)</formula1>
    </dataValidation>
    <dataValidation type="list" allowBlank="1" showInputMessage="1" showErrorMessage="1" sqref="B13:Z13">
      <formula1>INDIRECT(B$12)</formula1>
    </dataValidation>
    <dataValidation type="list" allowBlank="1" showInputMessage="1" showErrorMessage="1" sqref="B7:Z7">
      <formula1>INDIRECT(B$6)</formula1>
    </dataValidation>
    <dataValidation type="list" allowBlank="1" showInputMessage="1" showErrorMessage="1" sqref="C3">
      <formula1>"1,2,3,4,5,6,7"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Dropdown!$B$3:$B$9</xm:f>
          </x14:formula1>
          <xm:sqref>B12</xm:sqref>
        </x14:dataValidation>
        <x14:dataValidation type="list" allowBlank="1" showInputMessage="1" showErrorMessage="1">
          <x14:formula1>
            <xm:f>Dropdown!$B$3:$B$9</xm:f>
          </x14:formula1>
          <xm:sqref>B24:Z24</xm:sqref>
        </x14:dataValidation>
        <x14:dataValidation type="list" allowBlank="1" showInputMessage="1" showErrorMessage="1">
          <x14:formula1>
            <xm:f>Dropdown!$B$3:$B$9</xm:f>
          </x14:formula1>
          <xm:sqref>B6:Z6</xm:sqref>
        </x14:dataValidation>
        <x14:dataValidation type="list" allowBlank="1" showInputMessage="1" showErrorMessage="1">
          <x14:formula1>
            <xm:f>Dropdown!$B$3:$B$9</xm:f>
          </x14:formula1>
          <xm:sqref>C12:Z12</xm:sqref>
        </x14:dataValidation>
        <x14:dataValidation type="list" allowBlank="1" showInputMessage="1" showErrorMessage="1">
          <x14:formula1>
            <xm:f>Dropdown!$B$3:$B$9</xm:f>
          </x14:formula1>
          <xm:sqref>B18:Z18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39997558519241921"/>
  </sheetPr>
  <dimension ref="A1:K31"/>
  <sheetViews>
    <sheetView zoomScale="70" zoomScaleNormal="70" workbookViewId="0">
      <selection activeCell="A15" sqref="A15"/>
    </sheetView>
  </sheetViews>
  <sheetFormatPr defaultRowHeight="14.5" x14ac:dyDescent="0.35"/>
  <cols>
    <col min="1" max="1" width="32.26953125" bestFit="1" customWidth="1" collapsed="1"/>
    <col min="2" max="2" width="13.6328125" bestFit="1" customWidth="1" collapsed="1"/>
    <col min="3" max="3" width="14.6328125" bestFit="1" customWidth="1" collapsed="1"/>
    <col min="4" max="4" width="17.81640625" bestFit="1" customWidth="1" collapsed="1"/>
    <col min="5" max="5" width="18.81640625" bestFit="1" customWidth="1" collapsed="1"/>
    <col min="6" max="6" width="14.6328125" bestFit="1" customWidth="1" collapsed="1"/>
    <col min="7" max="7" width="14.08984375" bestFit="1" customWidth="1" collapsed="1"/>
    <col min="8" max="8" width="14.6328125" bestFit="1" customWidth="1" collapsed="1"/>
    <col min="9" max="9" width="17.81640625" bestFit="1" customWidth="1" collapsed="1"/>
    <col min="10" max="10" width="18.81640625" bestFit="1" customWidth="1" collapsed="1"/>
    <col min="11" max="11" width="14.6328125" bestFit="1" customWidth="1" collapsed="1"/>
  </cols>
  <sheetData>
    <row r="1" spans="1:11" x14ac:dyDescent="0.35">
      <c r="A1" t="s">
        <v>445</v>
      </c>
    </row>
    <row r="2" spans="1:11" ht="15" thickBot="1" x14ac:dyDescent="0.4"/>
    <row r="3" spans="1:11" x14ac:dyDescent="0.35">
      <c r="B3" s="355" t="s">
        <v>180</v>
      </c>
      <c r="C3" s="356"/>
      <c r="D3" s="356"/>
      <c r="E3" s="356"/>
      <c r="F3" s="357"/>
      <c r="G3" s="361" t="s">
        <v>181</v>
      </c>
      <c r="H3" s="362"/>
      <c r="I3" s="362"/>
      <c r="J3" s="362"/>
      <c r="K3" s="363"/>
    </row>
    <row r="4" spans="1:11" ht="15" thickBot="1" x14ac:dyDescent="0.4">
      <c r="B4" s="358"/>
      <c r="C4" s="359"/>
      <c r="D4" s="359"/>
      <c r="E4" s="359"/>
      <c r="F4" s="360"/>
      <c r="G4" s="364"/>
      <c r="H4" s="365"/>
      <c r="I4" s="365"/>
      <c r="J4" s="365"/>
      <c r="K4" s="366"/>
    </row>
    <row r="5" spans="1:11" x14ac:dyDescent="0.35">
      <c r="A5" s="46" t="s">
        <v>142</v>
      </c>
      <c r="B5" s="47" t="s">
        <v>134</v>
      </c>
      <c r="C5" s="48" t="s">
        <v>133</v>
      </c>
      <c r="D5" s="48" t="s">
        <v>132</v>
      </c>
      <c r="E5" s="48" t="s">
        <v>131</v>
      </c>
      <c r="F5" s="49" t="s">
        <v>130</v>
      </c>
      <c r="G5" s="47" t="s">
        <v>134</v>
      </c>
      <c r="H5" s="48" t="s">
        <v>133</v>
      </c>
      <c r="I5" s="48" t="s">
        <v>132</v>
      </c>
      <c r="J5" s="48" t="s">
        <v>131</v>
      </c>
      <c r="K5" s="49" t="s">
        <v>130</v>
      </c>
    </row>
    <row r="6" spans="1:11" x14ac:dyDescent="0.35">
      <c r="A6" s="34" t="s">
        <v>706</v>
      </c>
      <c r="B6" s="27"/>
      <c r="C6" s="28"/>
      <c r="D6" s="28"/>
      <c r="E6" s="28"/>
      <c r="F6" s="29"/>
      <c r="G6" s="27"/>
      <c r="H6" s="28"/>
      <c r="I6" s="28"/>
      <c r="J6" s="28"/>
      <c r="K6" s="29"/>
    </row>
    <row r="7" spans="1:11" x14ac:dyDescent="0.35">
      <c r="A7" s="31">
        <f>VLOOKUP('Household Input'!B11,'back end data'!A8:B10,2,FALSE)</f>
        <v>10</v>
      </c>
      <c r="B7" s="39">
        <f>'Household Input'!C11*A7</f>
        <v>600</v>
      </c>
      <c r="C7" s="40"/>
      <c r="D7" s="40">
        <f>B7*VLOOKUP(Start!B15,'back end data'!A76:G77,4,FALSE)</f>
        <v>4.1052863703703704</v>
      </c>
      <c r="E7" s="31"/>
      <c r="F7" s="32">
        <f>B7*VLOOKUP(Start!B15,'back end data'!A76:G77,6,FALSE)</f>
        <v>21.674074074074074</v>
      </c>
      <c r="G7" s="30">
        <f t="shared" ref="G7:K13" si="0">52.14*B7</f>
        <v>31284</v>
      </c>
      <c r="H7" s="31">
        <f t="shared" si="0"/>
        <v>0</v>
      </c>
      <c r="I7" s="301">
        <f t="shared" si="0"/>
        <v>214.04963135111112</v>
      </c>
      <c r="J7" s="31">
        <f t="shared" si="0"/>
        <v>0</v>
      </c>
      <c r="K7" s="32">
        <f t="shared" si="0"/>
        <v>1130.0862222222222</v>
      </c>
    </row>
    <row r="8" spans="1:11" x14ac:dyDescent="0.35">
      <c r="A8" s="31">
        <f>VLOOKUP('Household Input'!B12,'back end data'!A12:B14, 2, FALSE)</f>
        <v>0</v>
      </c>
      <c r="B8" s="39">
        <f>'Household Input'!C12*A8</f>
        <v>0</v>
      </c>
      <c r="C8" s="40"/>
      <c r="D8" s="40">
        <f>B8*VLOOKUP(Start!B15,'back end data'!A76:G77,4,FALSE)</f>
        <v>0</v>
      </c>
      <c r="E8" s="40"/>
      <c r="F8" s="41">
        <f>B8*VLOOKUP(Start!B15,'back end data'!A76:G77,6,FALSE)</f>
        <v>0</v>
      </c>
      <c r="G8" s="30">
        <f t="shared" si="0"/>
        <v>0</v>
      </c>
      <c r="H8" s="31">
        <f t="shared" si="0"/>
        <v>0</v>
      </c>
      <c r="I8" s="301">
        <f t="shared" si="0"/>
        <v>0</v>
      </c>
      <c r="J8" s="31">
        <f t="shared" si="0"/>
        <v>0</v>
      </c>
      <c r="K8" s="32">
        <f t="shared" si="0"/>
        <v>0</v>
      </c>
    </row>
    <row r="9" spans="1:11" x14ac:dyDescent="0.35">
      <c r="A9" s="31">
        <f>VLOOKUP('Household Input'!B13,'back end data'!A16:B18,2,FALSE)</f>
        <v>13</v>
      </c>
      <c r="B9" s="39">
        <f>7*'Household Input'!C13*A9</f>
        <v>455</v>
      </c>
      <c r="C9" s="40"/>
      <c r="D9" s="40">
        <v>0</v>
      </c>
      <c r="E9" s="40"/>
      <c r="F9" s="41">
        <v>0</v>
      </c>
      <c r="G9" s="30">
        <f t="shared" si="0"/>
        <v>23723.7</v>
      </c>
      <c r="H9" s="31">
        <f t="shared" si="0"/>
        <v>0</v>
      </c>
      <c r="I9" s="301">
        <f t="shared" si="0"/>
        <v>0</v>
      </c>
      <c r="J9" s="31">
        <f t="shared" si="0"/>
        <v>0</v>
      </c>
      <c r="K9" s="32">
        <f t="shared" si="0"/>
        <v>0</v>
      </c>
    </row>
    <row r="10" spans="1:11" x14ac:dyDescent="0.35">
      <c r="A10" s="31">
        <f>VLOOKUP('Household Input'!B14,'back end data'!A22:B23,2,FALSE)</f>
        <v>3</v>
      </c>
      <c r="B10" s="39">
        <f>7*'Household Input'!C14*A10</f>
        <v>42</v>
      </c>
      <c r="C10" s="40"/>
      <c r="D10" s="40">
        <v>0</v>
      </c>
      <c r="E10" s="40"/>
      <c r="F10" s="41">
        <v>0</v>
      </c>
      <c r="G10" s="30">
        <f t="shared" si="0"/>
        <v>2189.88</v>
      </c>
      <c r="H10" s="31">
        <f t="shared" si="0"/>
        <v>0</v>
      </c>
      <c r="I10" s="301">
        <f t="shared" si="0"/>
        <v>0</v>
      </c>
      <c r="J10" s="31">
        <f t="shared" si="0"/>
        <v>0</v>
      </c>
      <c r="K10" s="32">
        <f t="shared" si="0"/>
        <v>0</v>
      </c>
    </row>
    <row r="11" spans="1:11" x14ac:dyDescent="0.35">
      <c r="A11" s="31">
        <f>'back end data'!B25</f>
        <v>1</v>
      </c>
      <c r="B11" s="39">
        <f>7*'Household Input'!C15*A11</f>
        <v>70</v>
      </c>
      <c r="C11" s="40"/>
      <c r="D11" s="40">
        <v>0</v>
      </c>
      <c r="E11" s="40"/>
      <c r="F11" s="41">
        <v>0</v>
      </c>
      <c r="G11" s="30">
        <f t="shared" si="0"/>
        <v>3649.8</v>
      </c>
      <c r="H11" s="31">
        <f t="shared" si="0"/>
        <v>0</v>
      </c>
      <c r="I11" s="301">
        <f t="shared" si="0"/>
        <v>0</v>
      </c>
      <c r="J11" s="31">
        <f t="shared" si="0"/>
        <v>0</v>
      </c>
      <c r="K11" s="32">
        <f t="shared" si="0"/>
        <v>0</v>
      </c>
    </row>
    <row r="12" spans="1:11" x14ac:dyDescent="0.35">
      <c r="A12" s="31">
        <f>'back end data'!B27</f>
        <v>5</v>
      </c>
      <c r="B12" s="39">
        <f>'Household Input'!C16*A12</f>
        <v>0</v>
      </c>
      <c r="C12" s="40"/>
      <c r="D12" s="40">
        <v>0</v>
      </c>
      <c r="E12" s="40"/>
      <c r="F12" s="41">
        <v>0</v>
      </c>
      <c r="G12" s="30">
        <f t="shared" si="0"/>
        <v>0</v>
      </c>
      <c r="H12" s="31">
        <f t="shared" si="0"/>
        <v>0</v>
      </c>
      <c r="I12" s="301">
        <f t="shared" si="0"/>
        <v>0</v>
      </c>
      <c r="J12" s="31">
        <f t="shared" si="0"/>
        <v>0</v>
      </c>
      <c r="K12" s="32">
        <f t="shared" si="0"/>
        <v>0</v>
      </c>
    </row>
    <row r="13" spans="1:11" x14ac:dyDescent="0.35">
      <c r="A13" s="31"/>
      <c r="B13" s="39"/>
      <c r="C13" s="40"/>
      <c r="D13" s="40"/>
      <c r="E13" s="40"/>
      <c r="F13" s="41"/>
      <c r="G13" s="30"/>
      <c r="H13" s="31"/>
      <c r="I13" s="301"/>
      <c r="J13" s="31">
        <f t="shared" si="0"/>
        <v>0</v>
      </c>
      <c r="K13" s="32">
        <f t="shared" si="0"/>
        <v>0</v>
      </c>
    </row>
    <row r="14" spans="1:11" x14ac:dyDescent="0.35">
      <c r="A14" s="34" t="s">
        <v>156</v>
      </c>
      <c r="B14" s="27"/>
      <c r="C14" s="28"/>
      <c r="D14" s="28"/>
      <c r="E14" s="28"/>
      <c r="F14" s="29"/>
      <c r="G14" s="33"/>
      <c r="H14" s="34"/>
      <c r="I14" s="302"/>
      <c r="J14" s="34"/>
      <c r="K14" s="35"/>
    </row>
    <row r="15" spans="1:11" x14ac:dyDescent="0.35">
      <c r="A15" s="31">
        <f>VLOOKUP('Household Input'!B19,'back end data'!A30:B32,2,FALSE)</f>
        <v>7.14</v>
      </c>
      <c r="B15" s="39">
        <f>'Household Input'!C19*A15</f>
        <v>21.419999999999998</v>
      </c>
      <c r="C15" s="40"/>
      <c r="D15" s="40">
        <f>'Household Input'!C19*VLOOKUP(Start!B15,'back end data'!A80:I81,8,FALSE)</f>
        <v>0.29030239333333335</v>
      </c>
      <c r="E15" s="40"/>
      <c r="F15" s="41">
        <f>'Household Input'!C19*VLOOKUP(Start!B15,'back end data'!A80:I81,6,FALSE)</f>
        <v>0.12772222222222224</v>
      </c>
      <c r="G15" s="30">
        <f t="shared" ref="G15:K16" si="1">52.14*B15</f>
        <v>1116.8388</v>
      </c>
      <c r="H15" s="31">
        <f t="shared" si="1"/>
        <v>0</v>
      </c>
      <c r="I15" s="301">
        <f t="shared" si="1"/>
        <v>15.136366788400002</v>
      </c>
      <c r="J15" s="31">
        <f t="shared" si="1"/>
        <v>0</v>
      </c>
      <c r="K15" s="32">
        <f t="shared" si="1"/>
        <v>6.6594366666666671</v>
      </c>
    </row>
    <row r="16" spans="1:11" x14ac:dyDescent="0.35">
      <c r="A16" s="31">
        <f>VLOOKUP('Household Input'!B20,'back end data'!A34:B35,2,FALSE)</f>
        <v>0.53</v>
      </c>
      <c r="B16" s="39">
        <v>0</v>
      </c>
      <c r="C16" s="40"/>
      <c r="D16" s="40">
        <f>F16*'back end data'!B63</f>
        <v>0.30116189999999998</v>
      </c>
      <c r="E16" s="40"/>
      <c r="F16" s="41">
        <f>'Household Input'!C20*A16</f>
        <v>1.59</v>
      </c>
      <c r="G16" s="30">
        <f t="shared" si="1"/>
        <v>0</v>
      </c>
      <c r="H16" s="31">
        <f t="shared" si="1"/>
        <v>0</v>
      </c>
      <c r="I16" s="301">
        <f t="shared" si="1"/>
        <v>15.702581466</v>
      </c>
      <c r="J16" s="31">
        <f t="shared" si="1"/>
        <v>0</v>
      </c>
      <c r="K16" s="32">
        <f t="shared" si="1"/>
        <v>82.902600000000007</v>
      </c>
    </row>
    <row r="17" spans="1:11" x14ac:dyDescent="0.35">
      <c r="A17" s="31"/>
      <c r="B17" s="39"/>
      <c r="C17" s="40"/>
      <c r="D17" s="40"/>
      <c r="E17" s="40"/>
      <c r="F17" s="41"/>
      <c r="G17" s="30"/>
      <c r="H17" s="31"/>
      <c r="I17" s="301"/>
      <c r="J17" s="31"/>
      <c r="K17" s="32">
        <f>52.14*F17</f>
        <v>0</v>
      </c>
    </row>
    <row r="18" spans="1:11" x14ac:dyDescent="0.35">
      <c r="A18" s="34" t="s">
        <v>707</v>
      </c>
      <c r="B18" s="27"/>
      <c r="C18" s="28"/>
      <c r="D18" s="28"/>
      <c r="E18" s="28"/>
      <c r="F18" s="29"/>
      <c r="G18" s="33"/>
      <c r="H18" s="34"/>
      <c r="I18" s="302"/>
      <c r="J18" s="34"/>
      <c r="K18" s="35"/>
    </row>
    <row r="19" spans="1:11" x14ac:dyDescent="0.35">
      <c r="A19" s="31">
        <f>VLOOKUP('Household Input'!B23,'back end data'!A38:B40,2,FALSE)</f>
        <v>0.36</v>
      </c>
      <c r="B19" s="39">
        <f>'Household Input'!C23*7</f>
        <v>7</v>
      </c>
      <c r="C19" s="40"/>
      <c r="D19" s="40">
        <f>F19*'back end data'!B63</f>
        <v>0.47731319999999999</v>
      </c>
      <c r="E19" s="40"/>
      <c r="F19" s="41">
        <f>'Household Input'!C23*7*A19</f>
        <v>2.52</v>
      </c>
      <c r="G19" s="30">
        <f t="shared" ref="G19:K22" si="2">52.14*B19</f>
        <v>364.98</v>
      </c>
      <c r="H19" s="31">
        <f t="shared" si="2"/>
        <v>0</v>
      </c>
      <c r="I19" s="301">
        <f t="shared" si="2"/>
        <v>24.887110247999999</v>
      </c>
      <c r="J19" s="31">
        <f t="shared" si="2"/>
        <v>0</v>
      </c>
      <c r="K19" s="32">
        <f t="shared" si="2"/>
        <v>131.39279999999999</v>
      </c>
    </row>
    <row r="20" spans="1:11" x14ac:dyDescent="0.35">
      <c r="A20" s="31">
        <f>VLOOKUP('Household Input'!B24,'back end data'!A42:B43,2,FALSE)</f>
        <v>30</v>
      </c>
      <c r="B20" s="39">
        <f>'Household Input'!C24*'household calculator'!A20</f>
        <v>210</v>
      </c>
      <c r="C20" s="40"/>
      <c r="D20" s="40">
        <f>B20*0.5*VLOOKUP(Start!B15,'back end data'!A83:G84,4,FALSE)</f>
        <v>0.97500551296296278</v>
      </c>
      <c r="E20" s="40"/>
      <c r="F20" s="41">
        <f>B20*0.5*VLOOKUP(Start!B15,'back end data'!A83:G84,6,FALSE)</f>
        <v>5.1475925925925923</v>
      </c>
      <c r="G20" s="30">
        <f t="shared" si="2"/>
        <v>10949.4</v>
      </c>
      <c r="H20" s="31">
        <f t="shared" si="2"/>
        <v>0</v>
      </c>
      <c r="I20" s="301">
        <f t="shared" si="2"/>
        <v>50.836787445888881</v>
      </c>
      <c r="J20" s="31">
        <f t="shared" si="2"/>
        <v>0</v>
      </c>
      <c r="K20" s="32">
        <f t="shared" si="2"/>
        <v>268.39547777777778</v>
      </c>
    </row>
    <row r="21" spans="1:11" x14ac:dyDescent="0.35">
      <c r="A21" s="31">
        <f>VLOOKUP('Household Input'!B25,'back end data'!A45:B47,2,FALSE)</f>
        <v>0</v>
      </c>
      <c r="B21" s="39">
        <f>'Household Input'!C25*A21</f>
        <v>0</v>
      </c>
      <c r="C21" s="40"/>
      <c r="D21" s="40">
        <f>B21*VLOOKUP(Start!B15,'back end data'!A83:G84,4,FALSE)</f>
        <v>0</v>
      </c>
      <c r="E21" s="40"/>
      <c r="F21" s="41">
        <f>B21*VLOOKUP(Start!B15,'back end data'!A83:G84,6,FALSE)</f>
        <v>0</v>
      </c>
      <c r="G21" s="30">
        <f t="shared" si="2"/>
        <v>0</v>
      </c>
      <c r="H21" s="31">
        <f t="shared" si="2"/>
        <v>0</v>
      </c>
      <c r="I21" s="301">
        <f t="shared" si="2"/>
        <v>0</v>
      </c>
      <c r="J21" s="31">
        <f t="shared" si="2"/>
        <v>0</v>
      </c>
      <c r="K21" s="32">
        <f t="shared" si="2"/>
        <v>0</v>
      </c>
    </row>
    <row r="22" spans="1:11" x14ac:dyDescent="0.35">
      <c r="A22" s="31"/>
      <c r="B22" s="39"/>
      <c r="C22" s="40"/>
      <c r="D22" s="40"/>
      <c r="E22" s="40"/>
      <c r="F22" s="41"/>
      <c r="G22" s="30"/>
      <c r="H22" s="31"/>
      <c r="I22" s="31"/>
      <c r="J22" s="31">
        <f t="shared" si="2"/>
        <v>0</v>
      </c>
      <c r="K22" s="32">
        <f t="shared" si="2"/>
        <v>0</v>
      </c>
    </row>
    <row r="23" spans="1:11" x14ac:dyDescent="0.35">
      <c r="A23" s="34" t="s">
        <v>708</v>
      </c>
      <c r="B23" s="27"/>
      <c r="C23" s="28"/>
      <c r="D23" s="28"/>
      <c r="E23" s="28"/>
      <c r="F23" s="29"/>
      <c r="G23" s="33"/>
      <c r="H23" s="34"/>
      <c r="I23" s="34"/>
      <c r="J23" s="34"/>
      <c r="K23" s="35"/>
    </row>
    <row r="24" spans="1:11" x14ac:dyDescent="0.35">
      <c r="A24" s="31">
        <f>VLOOKUP('Household Input'!B28,'back end data'!A50:B52,2,FALSE)</f>
        <v>0.05</v>
      </c>
      <c r="B24" s="39">
        <v>0</v>
      </c>
      <c r="C24" s="40"/>
      <c r="D24" s="40">
        <f>F24*'back end data'!$B$63</f>
        <v>0</v>
      </c>
      <c r="E24" s="40"/>
      <c r="F24" s="41">
        <f>'Household Input'!C28*A24</f>
        <v>0</v>
      </c>
      <c r="G24" s="30">
        <f t="shared" ref="G24:K27" si="3">52.14*B24</f>
        <v>0</v>
      </c>
      <c r="H24" s="31">
        <f t="shared" si="3"/>
        <v>0</v>
      </c>
      <c r="I24" s="31">
        <f t="shared" si="3"/>
        <v>0</v>
      </c>
      <c r="J24" s="31">
        <f t="shared" si="3"/>
        <v>0</v>
      </c>
      <c r="K24" s="32">
        <f t="shared" si="3"/>
        <v>0</v>
      </c>
    </row>
    <row r="25" spans="1:11" x14ac:dyDescent="0.35">
      <c r="A25" s="31">
        <f>VLOOKUP('Household Input'!B29,'back end data'!A54:B55,2,FALSE)</f>
        <v>0.05</v>
      </c>
      <c r="B25" s="39">
        <v>0</v>
      </c>
      <c r="C25" s="40"/>
      <c r="D25" s="40">
        <f>F25*'back end data'!$B$63</f>
        <v>0.66293499999999994</v>
      </c>
      <c r="E25" s="40"/>
      <c r="F25" s="41">
        <f>7*'Household Input'!C29*A25</f>
        <v>3.5</v>
      </c>
      <c r="G25" s="30">
        <f t="shared" si="3"/>
        <v>0</v>
      </c>
      <c r="H25" s="31">
        <f t="shared" si="3"/>
        <v>0</v>
      </c>
      <c r="I25" s="31">
        <f t="shared" si="3"/>
        <v>34.565430899999996</v>
      </c>
      <c r="J25" s="31">
        <f t="shared" si="3"/>
        <v>0</v>
      </c>
      <c r="K25" s="32">
        <f t="shared" si="3"/>
        <v>182.49</v>
      </c>
    </row>
    <row r="26" spans="1:11" x14ac:dyDescent="0.35">
      <c r="A26" s="31">
        <f>VLOOKUP('Household Input'!B30,'back end data'!A60:B61,2,FALSE)</f>
        <v>5.0000000000000001E-3</v>
      </c>
      <c r="B26" s="39">
        <v>0</v>
      </c>
      <c r="C26" s="40"/>
      <c r="D26" s="40">
        <f>F26*'back end data'!$B$63</f>
        <v>6.6293500000000009E-3</v>
      </c>
      <c r="E26" s="40"/>
      <c r="F26" s="41">
        <f>7*'Household Input'!C30*A26</f>
        <v>3.5000000000000003E-2</v>
      </c>
      <c r="G26" s="30">
        <f t="shared" si="3"/>
        <v>0</v>
      </c>
      <c r="H26" s="31">
        <f t="shared" si="3"/>
        <v>0</v>
      </c>
      <c r="I26" s="31">
        <f t="shared" si="3"/>
        <v>0.34565430900000005</v>
      </c>
      <c r="J26" s="31">
        <f t="shared" si="3"/>
        <v>0</v>
      </c>
      <c r="K26" s="32">
        <f t="shared" si="3"/>
        <v>1.8249000000000002</v>
      </c>
    </row>
    <row r="27" spans="1:11" x14ac:dyDescent="0.35">
      <c r="A27" s="31">
        <f>VLOOKUP('Household Input'!B31,'back end data'!A57:B58,2,FALSE)</f>
        <v>0</v>
      </c>
      <c r="B27" s="39">
        <v>0</v>
      </c>
      <c r="C27" s="40"/>
      <c r="D27" s="40">
        <f>F27*'back end data'!$B$63</f>
        <v>0</v>
      </c>
      <c r="E27" s="40"/>
      <c r="F27" s="41">
        <f>7*'Household Input'!C31*A27</f>
        <v>0</v>
      </c>
      <c r="G27" s="30">
        <f t="shared" si="3"/>
        <v>0</v>
      </c>
      <c r="H27" s="31">
        <f t="shared" si="3"/>
        <v>0</v>
      </c>
      <c r="I27" s="31">
        <f t="shared" si="3"/>
        <v>0</v>
      </c>
      <c r="J27" s="31">
        <f t="shared" si="3"/>
        <v>0</v>
      </c>
      <c r="K27" s="32">
        <f t="shared" si="3"/>
        <v>0</v>
      </c>
    </row>
    <row r="28" spans="1:11" x14ac:dyDescent="0.35">
      <c r="A28" s="31"/>
      <c r="B28" s="39"/>
      <c r="C28" s="40"/>
      <c r="D28" s="40"/>
      <c r="E28" s="40"/>
      <c r="F28" s="41"/>
      <c r="G28" s="30"/>
      <c r="H28" s="31"/>
      <c r="I28" s="31"/>
      <c r="J28" s="31"/>
      <c r="K28" s="32"/>
    </row>
    <row r="29" spans="1:11" x14ac:dyDescent="0.35">
      <c r="A29" s="34" t="s">
        <v>700</v>
      </c>
      <c r="B29" s="27"/>
      <c r="C29" s="28"/>
      <c r="D29" s="28"/>
      <c r="E29" s="28"/>
      <c r="F29" s="29"/>
      <c r="G29" s="33"/>
      <c r="H29" s="34"/>
      <c r="I29" s="34"/>
      <c r="J29" s="34"/>
      <c r="K29" s="35"/>
    </row>
    <row r="30" spans="1:11" ht="15" thickBot="1" x14ac:dyDescent="0.4">
      <c r="A30" s="37">
        <f>VLOOKUP('Household Input'!B34,'back end data'!A67:B71,2,FALSE)</f>
        <v>0.06</v>
      </c>
      <c r="B30" s="42">
        <v>0</v>
      </c>
      <c r="C30" s="43"/>
      <c r="D30" s="43">
        <f>F30*'back end data'!B63</f>
        <v>3.1820880000000002</v>
      </c>
      <c r="E30" s="43"/>
      <c r="F30" s="44">
        <f>'Household Input'!C34*4*7*A30</f>
        <v>16.8</v>
      </c>
      <c r="G30" s="36">
        <f>52.14*B30</f>
        <v>0</v>
      </c>
      <c r="H30" s="37">
        <f>52.14*C30</f>
        <v>0</v>
      </c>
      <c r="I30" s="37">
        <f>52.14*D30</f>
        <v>165.91406832000001</v>
      </c>
      <c r="J30" s="37">
        <f>52.14*E30</f>
        <v>0</v>
      </c>
      <c r="K30" s="38">
        <f>52.14*F30</f>
        <v>875.952</v>
      </c>
    </row>
    <row r="31" spans="1:11" ht="23.5" x14ac:dyDescent="0.55000000000000004">
      <c r="A31" s="58"/>
      <c r="B31" s="59">
        <f>SUM(B7:B30)</f>
        <v>1405.42</v>
      </c>
      <c r="C31" s="59">
        <f t="shared" ref="C31:F31" si="4">SUM(C7:C30)</f>
        <v>0</v>
      </c>
      <c r="D31" s="59">
        <f t="shared" si="4"/>
        <v>10.000721726666669</v>
      </c>
      <c r="E31" s="59">
        <f t="shared" si="4"/>
        <v>0</v>
      </c>
      <c r="F31" s="59">
        <f t="shared" si="4"/>
        <v>51.394388888888884</v>
      </c>
      <c r="G31" s="59">
        <f t="shared" ref="G31" si="5">SUM(G7:G30)</f>
        <v>73278.598799999992</v>
      </c>
      <c r="H31" s="59">
        <f t="shared" ref="H31" si="6">SUM(H7:H30)</f>
        <v>0</v>
      </c>
      <c r="I31" s="59">
        <f t="shared" ref="I31" si="7">SUM(I7:I30)</f>
        <v>521.43763082839996</v>
      </c>
      <c r="J31" s="59">
        <f t="shared" ref="J31" si="8">SUM(J7:J30)</f>
        <v>0</v>
      </c>
      <c r="K31" s="59">
        <f t="shared" ref="K31" si="9">SUM(K7:K30)</f>
        <v>2679.7034366666667</v>
      </c>
    </row>
  </sheetData>
  <mergeCells count="2">
    <mergeCell ref="B3:F4"/>
    <mergeCell ref="G3: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P122"/>
  <sheetViews>
    <sheetView topLeftCell="A73" zoomScale="90" zoomScaleNormal="90" workbookViewId="0">
      <selection activeCell="E80" sqref="E80"/>
    </sheetView>
  </sheetViews>
  <sheetFormatPr defaultRowHeight="14.5" x14ac:dyDescent="0.35"/>
  <cols>
    <col min="1" max="1" width="29.08984375" bestFit="1" customWidth="1" collapsed="1"/>
    <col min="2" max="2" width="10.36328125" bestFit="1" customWidth="1" collapsed="1"/>
    <col min="3" max="3" width="17.6328125" bestFit="1" customWidth="1" collapsed="1"/>
  </cols>
  <sheetData>
    <row r="5" spans="1:16" x14ac:dyDescent="0.35">
      <c r="A5" s="25" t="s">
        <v>155</v>
      </c>
      <c r="B5" s="25"/>
      <c r="C5" s="25"/>
      <c r="P5" t="s">
        <v>468</v>
      </c>
    </row>
    <row r="6" spans="1:16" x14ac:dyDescent="0.35">
      <c r="A6" s="12" t="s">
        <v>290</v>
      </c>
      <c r="P6">
        <v>1930</v>
      </c>
    </row>
    <row r="7" spans="1:16" x14ac:dyDescent="0.35">
      <c r="A7" s="157" t="s">
        <v>484</v>
      </c>
      <c r="P7">
        <v>1931</v>
      </c>
    </row>
    <row r="8" spans="1:16" x14ac:dyDescent="0.35">
      <c r="A8" t="s">
        <v>482</v>
      </c>
      <c r="B8">
        <v>10</v>
      </c>
      <c r="C8" t="s">
        <v>137</v>
      </c>
      <c r="P8">
        <v>1932</v>
      </c>
    </row>
    <row r="9" spans="1:16" x14ac:dyDescent="0.35">
      <c r="A9" t="s">
        <v>483</v>
      </c>
      <c r="B9">
        <v>5.5</v>
      </c>
      <c r="C9" t="s">
        <v>137</v>
      </c>
      <c r="P9">
        <v>1933</v>
      </c>
    </row>
    <row r="10" spans="1:16" x14ac:dyDescent="0.35">
      <c r="A10" t="s">
        <v>485</v>
      </c>
      <c r="B10">
        <f>AVERAGE(B8:B9)</f>
        <v>7.75</v>
      </c>
      <c r="C10" t="s">
        <v>137</v>
      </c>
      <c r="P10">
        <v>1934</v>
      </c>
    </row>
    <row r="11" spans="1:16" x14ac:dyDescent="0.35">
      <c r="A11" s="158" t="s">
        <v>484</v>
      </c>
      <c r="P11">
        <v>1935</v>
      </c>
    </row>
    <row r="12" spans="1:16" x14ac:dyDescent="0.35">
      <c r="A12" t="s">
        <v>135</v>
      </c>
      <c r="B12">
        <v>110</v>
      </c>
      <c r="C12" t="s">
        <v>138</v>
      </c>
      <c r="P12">
        <v>1936</v>
      </c>
    </row>
    <row r="13" spans="1:16" x14ac:dyDescent="0.35">
      <c r="A13" t="s">
        <v>136</v>
      </c>
      <c r="B13">
        <v>60</v>
      </c>
      <c r="C13" t="s">
        <v>138</v>
      </c>
      <c r="P13">
        <v>1937</v>
      </c>
    </row>
    <row r="14" spans="1:16" x14ac:dyDescent="0.35">
      <c r="A14" t="s">
        <v>486</v>
      </c>
      <c r="B14">
        <v>0</v>
      </c>
      <c r="C14" t="s">
        <v>138</v>
      </c>
      <c r="P14">
        <v>1938</v>
      </c>
    </row>
    <row r="15" spans="1:16" x14ac:dyDescent="0.35">
      <c r="A15" s="158" t="s">
        <v>484</v>
      </c>
      <c r="P15">
        <v>1939</v>
      </c>
    </row>
    <row r="16" spans="1:16" x14ac:dyDescent="0.35">
      <c r="A16" t="s">
        <v>487</v>
      </c>
      <c r="B16">
        <v>13</v>
      </c>
      <c r="C16" t="s">
        <v>138</v>
      </c>
      <c r="P16">
        <v>1940</v>
      </c>
    </row>
    <row r="17" spans="1:16" x14ac:dyDescent="0.35">
      <c r="A17" t="s">
        <v>488</v>
      </c>
      <c r="B17">
        <v>3.5</v>
      </c>
      <c r="C17" t="s">
        <v>138</v>
      </c>
      <c r="P17">
        <v>1941</v>
      </c>
    </row>
    <row r="18" spans="1:16" x14ac:dyDescent="0.35">
      <c r="A18" t="s">
        <v>485</v>
      </c>
      <c r="B18">
        <f>AVERAGE(B16:B17)</f>
        <v>8.25</v>
      </c>
      <c r="C18" t="s">
        <v>138</v>
      </c>
      <c r="P18">
        <v>1942</v>
      </c>
    </row>
    <row r="19" spans="1:16" x14ac:dyDescent="0.35">
      <c r="A19" t="s">
        <v>147</v>
      </c>
      <c r="B19">
        <v>2.5</v>
      </c>
      <c r="C19" t="s">
        <v>138</v>
      </c>
      <c r="P19">
        <v>1943</v>
      </c>
    </row>
    <row r="20" spans="1:16" x14ac:dyDescent="0.35">
      <c r="A20" t="s">
        <v>148</v>
      </c>
      <c r="B20">
        <v>6</v>
      </c>
      <c r="C20" t="s">
        <v>138</v>
      </c>
      <c r="P20">
        <v>1944</v>
      </c>
    </row>
    <row r="21" spans="1:16" x14ac:dyDescent="0.35">
      <c r="A21" s="158" t="s">
        <v>484</v>
      </c>
      <c r="P21">
        <v>1945</v>
      </c>
    </row>
    <row r="22" spans="1:16" x14ac:dyDescent="0.35">
      <c r="A22" t="s">
        <v>151</v>
      </c>
      <c r="B22">
        <v>3</v>
      </c>
      <c r="C22" t="s">
        <v>138</v>
      </c>
      <c r="P22">
        <v>1946</v>
      </c>
    </row>
    <row r="23" spans="1:16" x14ac:dyDescent="0.35">
      <c r="A23" t="s">
        <v>152</v>
      </c>
      <c r="B23">
        <v>12</v>
      </c>
      <c r="C23" t="s">
        <v>138</v>
      </c>
      <c r="P23">
        <v>1947</v>
      </c>
    </row>
    <row r="24" spans="1:16" x14ac:dyDescent="0.35">
      <c r="A24" s="158" t="s">
        <v>484</v>
      </c>
      <c r="P24">
        <v>1948</v>
      </c>
    </row>
    <row r="25" spans="1:16" x14ac:dyDescent="0.35">
      <c r="A25" t="s">
        <v>153</v>
      </c>
      <c r="B25">
        <v>1</v>
      </c>
      <c r="C25" t="s">
        <v>138</v>
      </c>
      <c r="P25">
        <v>1949</v>
      </c>
    </row>
    <row r="26" spans="1:16" x14ac:dyDescent="0.35">
      <c r="A26" s="158" t="s">
        <v>484</v>
      </c>
      <c r="P26">
        <v>1950</v>
      </c>
    </row>
    <row r="27" spans="1:16" x14ac:dyDescent="0.35">
      <c r="A27" t="s">
        <v>154</v>
      </c>
      <c r="B27">
        <v>5</v>
      </c>
      <c r="C27" t="s">
        <v>138</v>
      </c>
      <c r="P27">
        <v>1951</v>
      </c>
    </row>
    <row r="28" spans="1:16" x14ac:dyDescent="0.35">
      <c r="P28">
        <v>1952</v>
      </c>
    </row>
    <row r="29" spans="1:16" x14ac:dyDescent="0.35">
      <c r="A29" t="s">
        <v>484</v>
      </c>
      <c r="P29">
        <v>1953</v>
      </c>
    </row>
    <row r="30" spans="1:16" x14ac:dyDescent="0.35">
      <c r="A30" t="s">
        <v>491</v>
      </c>
      <c r="B30">
        <v>30</v>
      </c>
      <c r="C30" t="s">
        <v>160</v>
      </c>
      <c r="D30">
        <v>0</v>
      </c>
      <c r="P30">
        <v>1954</v>
      </c>
    </row>
    <row r="31" spans="1:16" x14ac:dyDescent="0.35">
      <c r="A31" t="s">
        <v>159</v>
      </c>
      <c r="B31">
        <v>13.95</v>
      </c>
      <c r="C31" t="s">
        <v>160</v>
      </c>
      <c r="D31">
        <v>0.3</v>
      </c>
      <c r="E31" t="s">
        <v>161</v>
      </c>
      <c r="P31">
        <v>1955</v>
      </c>
    </row>
    <row r="32" spans="1:16" x14ac:dyDescent="0.35">
      <c r="A32" t="s">
        <v>492</v>
      </c>
      <c r="B32">
        <v>7.14</v>
      </c>
      <c r="C32" t="s">
        <v>160</v>
      </c>
      <c r="D32">
        <v>0.2</v>
      </c>
      <c r="E32" t="s">
        <v>161</v>
      </c>
      <c r="P32">
        <v>1956</v>
      </c>
    </row>
    <row r="33" spans="1:16" x14ac:dyDescent="0.35">
      <c r="A33" t="s">
        <v>484</v>
      </c>
      <c r="P33">
        <v>1957</v>
      </c>
    </row>
    <row r="34" spans="1:16" x14ac:dyDescent="0.35">
      <c r="A34" t="s">
        <v>523</v>
      </c>
      <c r="B34">
        <v>0.53</v>
      </c>
      <c r="C34" t="s">
        <v>161</v>
      </c>
      <c r="P34">
        <v>1958</v>
      </c>
    </row>
    <row r="35" spans="1:16" x14ac:dyDescent="0.35">
      <c r="A35" t="s">
        <v>494</v>
      </c>
      <c r="B35">
        <v>0</v>
      </c>
      <c r="C35" t="s">
        <v>161</v>
      </c>
      <c r="P35">
        <v>1959</v>
      </c>
    </row>
    <row r="36" spans="1:16" x14ac:dyDescent="0.35">
      <c r="P36">
        <v>1960</v>
      </c>
    </row>
    <row r="37" spans="1:16" x14ac:dyDescent="0.35">
      <c r="A37" t="s">
        <v>484</v>
      </c>
      <c r="P37">
        <v>1961</v>
      </c>
    </row>
    <row r="38" spans="1:16" x14ac:dyDescent="0.35">
      <c r="A38" t="s">
        <v>164</v>
      </c>
      <c r="B38">
        <v>0.12</v>
      </c>
      <c r="C38" t="s">
        <v>15</v>
      </c>
      <c r="P38">
        <v>1962</v>
      </c>
    </row>
    <row r="39" spans="1:16" x14ac:dyDescent="0.35">
      <c r="A39" t="s">
        <v>165</v>
      </c>
      <c r="B39">
        <v>0.22</v>
      </c>
      <c r="C39" t="s">
        <v>15</v>
      </c>
      <c r="P39">
        <v>1963</v>
      </c>
    </row>
    <row r="40" spans="1:16" x14ac:dyDescent="0.35">
      <c r="A40" t="s">
        <v>166</v>
      </c>
      <c r="B40">
        <v>0.36</v>
      </c>
      <c r="C40" t="s">
        <v>15</v>
      </c>
      <c r="P40">
        <v>1964</v>
      </c>
    </row>
    <row r="41" spans="1:16" x14ac:dyDescent="0.35">
      <c r="A41" t="s">
        <v>484</v>
      </c>
      <c r="P41">
        <v>1965</v>
      </c>
    </row>
    <row r="42" spans="1:16" x14ac:dyDescent="0.35">
      <c r="A42" t="s">
        <v>504</v>
      </c>
      <c r="B42">
        <v>30</v>
      </c>
      <c r="C42" t="s">
        <v>186</v>
      </c>
      <c r="P42">
        <v>1966</v>
      </c>
    </row>
    <row r="43" spans="1:16" x14ac:dyDescent="0.35">
      <c r="A43" t="s">
        <v>503</v>
      </c>
      <c r="B43">
        <v>0</v>
      </c>
      <c r="C43" t="s">
        <v>186</v>
      </c>
      <c r="P43">
        <v>1967</v>
      </c>
    </row>
    <row r="44" spans="1:16" x14ac:dyDescent="0.35">
      <c r="A44" t="s">
        <v>484</v>
      </c>
      <c r="P44">
        <v>1968</v>
      </c>
    </row>
    <row r="45" spans="1:16" x14ac:dyDescent="0.35">
      <c r="A45" t="s">
        <v>501</v>
      </c>
      <c r="B45">
        <v>13</v>
      </c>
      <c r="C45" t="s">
        <v>187</v>
      </c>
      <c r="D45">
        <v>1.2</v>
      </c>
      <c r="E45" t="s">
        <v>182</v>
      </c>
      <c r="P45">
        <v>1969</v>
      </c>
    </row>
    <row r="46" spans="1:16" x14ac:dyDescent="0.35">
      <c r="A46" t="s">
        <v>500</v>
      </c>
      <c r="B46">
        <v>13</v>
      </c>
      <c r="C46" t="s">
        <v>187</v>
      </c>
      <c r="P46">
        <v>1970</v>
      </c>
    </row>
    <row r="47" spans="1:16" x14ac:dyDescent="0.35">
      <c r="A47" t="s">
        <v>502</v>
      </c>
      <c r="B47">
        <v>0</v>
      </c>
      <c r="C47" t="s">
        <v>187</v>
      </c>
      <c r="P47">
        <v>1971</v>
      </c>
    </row>
    <row r="48" spans="1:16" x14ac:dyDescent="0.35">
      <c r="P48">
        <v>1972</v>
      </c>
    </row>
    <row r="49" spans="1:16" x14ac:dyDescent="0.35">
      <c r="A49" t="s">
        <v>484</v>
      </c>
      <c r="P49">
        <v>1973</v>
      </c>
    </row>
    <row r="50" spans="1:16" x14ac:dyDescent="0.35">
      <c r="A50" t="s">
        <v>172</v>
      </c>
      <c r="B50">
        <v>0.18</v>
      </c>
      <c r="C50">
        <v>3.0000000000000001E-3</v>
      </c>
      <c r="D50" t="s">
        <v>179</v>
      </c>
      <c r="P50">
        <v>1974</v>
      </c>
    </row>
    <row r="51" spans="1:16" x14ac:dyDescent="0.35">
      <c r="A51" t="s">
        <v>173</v>
      </c>
      <c r="B51">
        <v>0.05</v>
      </c>
      <c r="C51">
        <v>2.9999999999999997E-4</v>
      </c>
      <c r="D51" t="s">
        <v>179</v>
      </c>
      <c r="P51">
        <v>1975</v>
      </c>
    </row>
    <row r="52" spans="1:16" x14ac:dyDescent="0.35">
      <c r="A52" t="s">
        <v>174</v>
      </c>
      <c r="B52">
        <v>0.3</v>
      </c>
      <c r="C52">
        <v>3.0000000000000001E-3</v>
      </c>
      <c r="D52" t="s">
        <v>179</v>
      </c>
      <c r="P52">
        <v>1976</v>
      </c>
    </row>
    <row r="53" spans="1:16" x14ac:dyDescent="0.35">
      <c r="A53" t="s">
        <v>484</v>
      </c>
      <c r="P53">
        <v>1977</v>
      </c>
    </row>
    <row r="54" spans="1:16" x14ac:dyDescent="0.35">
      <c r="A54" t="s">
        <v>175</v>
      </c>
      <c r="B54">
        <v>0.3</v>
      </c>
      <c r="D54" t="s">
        <v>179</v>
      </c>
      <c r="P54">
        <v>1978</v>
      </c>
    </row>
    <row r="55" spans="1:16" x14ac:dyDescent="0.35">
      <c r="A55" t="s">
        <v>176</v>
      </c>
      <c r="B55">
        <f>50/1000</f>
        <v>0.05</v>
      </c>
      <c r="D55" t="s">
        <v>179</v>
      </c>
      <c r="P55">
        <v>1979</v>
      </c>
    </row>
    <row r="56" spans="1:16" x14ac:dyDescent="0.35">
      <c r="A56" t="s">
        <v>484</v>
      </c>
      <c r="P56">
        <v>1980</v>
      </c>
    </row>
    <row r="57" spans="1:16" x14ac:dyDescent="0.35">
      <c r="A57" t="s">
        <v>177</v>
      </c>
      <c r="B57">
        <v>1.4999999999999999E-2</v>
      </c>
      <c r="D57" t="s">
        <v>179</v>
      </c>
      <c r="P57">
        <v>1981</v>
      </c>
    </row>
    <row r="58" spans="1:16" x14ac:dyDescent="0.35">
      <c r="A58" t="s">
        <v>505</v>
      </c>
      <c r="B58">
        <v>0</v>
      </c>
      <c r="P58">
        <v>1982</v>
      </c>
    </row>
    <row r="59" spans="1:16" x14ac:dyDescent="0.35">
      <c r="A59" t="s">
        <v>484</v>
      </c>
      <c r="P59">
        <v>1983</v>
      </c>
    </row>
    <row r="60" spans="1:16" x14ac:dyDescent="0.35">
      <c r="A60" t="s">
        <v>507</v>
      </c>
      <c r="B60">
        <v>5.0000000000000001E-3</v>
      </c>
      <c r="D60" t="s">
        <v>179</v>
      </c>
      <c r="P60">
        <v>1984</v>
      </c>
    </row>
    <row r="61" spans="1:16" x14ac:dyDescent="0.35">
      <c r="A61" t="s">
        <v>506</v>
      </c>
      <c r="B61">
        <v>0</v>
      </c>
      <c r="P61">
        <v>1985</v>
      </c>
    </row>
    <row r="62" spans="1:16" x14ac:dyDescent="0.35">
      <c r="P62">
        <v>1986</v>
      </c>
    </row>
    <row r="63" spans="1:16" x14ac:dyDescent="0.35">
      <c r="A63" t="s">
        <v>188</v>
      </c>
      <c r="B63">
        <f>VLOOKUP(Start!B14,'Electricity mix footprint'!A7:D67,4,FALSE)</f>
        <v>0.18941</v>
      </c>
      <c r="C63" t="s">
        <v>35</v>
      </c>
      <c r="F63">
        <f>0.2*B63</f>
        <v>3.7881999999999999E-2</v>
      </c>
      <c r="P63">
        <v>1987</v>
      </c>
    </row>
    <row r="64" spans="1:16" x14ac:dyDescent="0.35">
      <c r="A64" t="s">
        <v>257</v>
      </c>
      <c r="B64">
        <v>0.23</v>
      </c>
      <c r="C64" t="s">
        <v>35</v>
      </c>
      <c r="P64">
        <v>1988</v>
      </c>
    </row>
    <row r="65" spans="1:16" x14ac:dyDescent="0.35">
      <c r="P65">
        <v>1989</v>
      </c>
    </row>
    <row r="66" spans="1:16" x14ac:dyDescent="0.35">
      <c r="A66" t="s">
        <v>484</v>
      </c>
      <c r="P66">
        <v>1990</v>
      </c>
    </row>
    <row r="67" spans="1:16" x14ac:dyDescent="0.35">
      <c r="A67" t="s">
        <v>508</v>
      </c>
      <c r="B67">
        <f>60/1000</f>
        <v>0.06</v>
      </c>
      <c r="C67" t="s">
        <v>179</v>
      </c>
      <c r="D67" t="s">
        <v>262</v>
      </c>
      <c r="P67">
        <v>1991</v>
      </c>
    </row>
    <row r="68" spans="1:16" x14ac:dyDescent="0.35">
      <c r="A68" t="s">
        <v>509</v>
      </c>
      <c r="B68">
        <f>42/1000</f>
        <v>4.2000000000000003E-2</v>
      </c>
      <c r="C68" t="s">
        <v>179</v>
      </c>
      <c r="P68">
        <v>1992</v>
      </c>
    </row>
    <row r="69" spans="1:16" x14ac:dyDescent="0.35">
      <c r="A69" t="s">
        <v>510</v>
      </c>
      <c r="B69">
        <f>13/1000</f>
        <v>1.2999999999999999E-2</v>
      </c>
      <c r="C69" t="s">
        <v>179</v>
      </c>
      <c r="P69">
        <v>1993</v>
      </c>
    </row>
    <row r="70" spans="1:16" x14ac:dyDescent="0.35">
      <c r="A70" t="s">
        <v>511</v>
      </c>
      <c r="B70">
        <f>10/1000</f>
        <v>0.01</v>
      </c>
      <c r="C70" t="s">
        <v>179</v>
      </c>
      <c r="P70">
        <v>1994</v>
      </c>
    </row>
    <row r="71" spans="1:16" x14ac:dyDescent="0.35">
      <c r="A71" t="s">
        <v>485</v>
      </c>
      <c r="B71">
        <f>AVERAGE(B67:B70)</f>
        <v>3.125E-2</v>
      </c>
      <c r="C71" t="s">
        <v>179</v>
      </c>
      <c r="P71">
        <v>1995</v>
      </c>
    </row>
    <row r="72" spans="1:16" x14ac:dyDescent="0.35">
      <c r="P72">
        <v>1996</v>
      </c>
    </row>
    <row r="73" spans="1:16" x14ac:dyDescent="0.35">
      <c r="P73">
        <v>1997</v>
      </c>
    </row>
    <row r="74" spans="1:16" x14ac:dyDescent="0.35">
      <c r="P74">
        <v>1998</v>
      </c>
    </row>
    <row r="75" spans="1:16" x14ac:dyDescent="0.35">
      <c r="A75" t="s">
        <v>263</v>
      </c>
      <c r="B75">
        <v>35</v>
      </c>
      <c r="C75" t="s">
        <v>261</v>
      </c>
      <c r="P75">
        <v>1999</v>
      </c>
    </row>
    <row r="76" spans="1:16" x14ac:dyDescent="0.35">
      <c r="A76" t="s">
        <v>255</v>
      </c>
      <c r="B76" s="18">
        <f>$J$77*$J$76*($B$75-7)/(1000*$M$76*(3.6*10^3))</f>
        <v>6.5022222222222217E-2</v>
      </c>
      <c r="C76" t="s">
        <v>258</v>
      </c>
      <c r="D76" s="18">
        <f>B76*$B$64</f>
        <v>1.495511111111111E-2</v>
      </c>
      <c r="E76" t="s">
        <v>17</v>
      </c>
      <c r="F76" s="18">
        <v>0</v>
      </c>
      <c r="G76" t="s">
        <v>265</v>
      </c>
      <c r="I76" s="5" t="s">
        <v>28</v>
      </c>
      <c r="J76" s="5">
        <v>4.18</v>
      </c>
      <c r="K76" s="5" t="s">
        <v>29</v>
      </c>
      <c r="L76" t="s">
        <v>259</v>
      </c>
      <c r="M76" s="55">
        <v>0.5</v>
      </c>
      <c r="P76">
        <v>2000</v>
      </c>
    </row>
    <row r="77" spans="1:16" x14ac:dyDescent="0.35">
      <c r="A77" t="s">
        <v>256</v>
      </c>
      <c r="B77" s="18">
        <f>$J$77*$J$76*($B$75-7)/(1000*$M$77*(3.6*10^3))</f>
        <v>3.6123456790123458E-2</v>
      </c>
      <c r="C77" t="s">
        <v>264</v>
      </c>
      <c r="D77" s="18">
        <f>B77*B63</f>
        <v>6.8421439506172839E-3</v>
      </c>
      <c r="E77" t="s">
        <v>17</v>
      </c>
      <c r="F77" s="18">
        <f>B77</f>
        <v>3.6123456790123458E-2</v>
      </c>
      <c r="G77" t="s">
        <v>265</v>
      </c>
      <c r="I77" s="5" t="s">
        <v>31</v>
      </c>
      <c r="J77" s="5">
        <v>1000</v>
      </c>
      <c r="K77" s="5" t="s">
        <v>32</v>
      </c>
      <c r="L77" t="s">
        <v>260</v>
      </c>
      <c r="M77" s="55">
        <v>0.9</v>
      </c>
      <c r="P77">
        <v>2001</v>
      </c>
    </row>
    <row r="78" spans="1:16" x14ac:dyDescent="0.35">
      <c r="A78" t="s">
        <v>156</v>
      </c>
      <c r="B78" s="18">
        <v>40</v>
      </c>
      <c r="C78" t="s">
        <v>261</v>
      </c>
      <c r="D78" s="18"/>
      <c r="F78" s="18"/>
      <c r="P78">
        <v>2002</v>
      </c>
    </row>
    <row r="79" spans="1:16" x14ac:dyDescent="0.35">
      <c r="A79" t="s">
        <v>484</v>
      </c>
      <c r="B79" s="18"/>
      <c r="D79" s="18"/>
      <c r="F79" s="18"/>
      <c r="P79">
        <v>2003</v>
      </c>
    </row>
    <row r="80" spans="1:16" x14ac:dyDescent="0.35">
      <c r="A80" t="s">
        <v>255</v>
      </c>
      <c r="B80" s="18">
        <f>$J$77*$J$76*($B$78-7)/(1000*$M$76*(3.6*10^3))</f>
        <v>7.6633333333333331E-2</v>
      </c>
      <c r="C80" t="s">
        <v>258</v>
      </c>
      <c r="D80" s="18">
        <f>B80*$B$64</f>
        <v>1.7625666666666668E-2</v>
      </c>
      <c r="E80" t="s">
        <v>17</v>
      </c>
      <c r="F80" s="18">
        <v>0</v>
      </c>
      <c r="G80" t="s">
        <v>265</v>
      </c>
      <c r="H80">
        <f>D80*12</f>
        <v>0.21150800000000003</v>
      </c>
      <c r="I80" t="s">
        <v>266</v>
      </c>
      <c r="P80">
        <v>2004</v>
      </c>
    </row>
    <row r="81" spans="1:16" x14ac:dyDescent="0.35">
      <c r="A81" t="s">
        <v>256</v>
      </c>
      <c r="B81" s="18">
        <f>$J$77*$J$76*($B$78-7)/(1000*$M$77*(3.6*10^3))</f>
        <v>4.2574074074074077E-2</v>
      </c>
      <c r="C81" t="s">
        <v>264</v>
      </c>
      <c r="D81" s="18">
        <f>B81*B63</f>
        <v>8.0639553703703709E-3</v>
      </c>
      <c r="E81" t="s">
        <v>17</v>
      </c>
      <c r="F81" s="18">
        <f>B81</f>
        <v>4.2574074074074077E-2</v>
      </c>
      <c r="G81" t="s">
        <v>265</v>
      </c>
      <c r="H81">
        <f>D81*12</f>
        <v>9.6767464444444451E-2</v>
      </c>
      <c r="I81" t="s">
        <v>266</v>
      </c>
      <c r="P81">
        <v>2005</v>
      </c>
    </row>
    <row r="82" spans="1:16" x14ac:dyDescent="0.35">
      <c r="A82" t="s">
        <v>25</v>
      </c>
      <c r="B82" s="18">
        <v>45</v>
      </c>
      <c r="C82" t="s">
        <v>261</v>
      </c>
      <c r="D82" s="18"/>
      <c r="F82" s="18"/>
      <c r="P82">
        <v>2006</v>
      </c>
    </row>
    <row r="83" spans="1:16" x14ac:dyDescent="0.35">
      <c r="A83" t="s">
        <v>255</v>
      </c>
      <c r="B83" s="18">
        <f>$J$77*$J$76*($B$82-7)/(1000*$M$76*(3.6*10^3))</f>
        <v>8.8244444444444445E-2</v>
      </c>
      <c r="C83" t="s">
        <v>258</v>
      </c>
      <c r="D83" s="18">
        <f>B83*$B$64</f>
        <v>2.0296222222222222E-2</v>
      </c>
      <c r="E83" t="s">
        <v>17</v>
      </c>
      <c r="F83" s="18">
        <v>0</v>
      </c>
      <c r="G83" t="s">
        <v>265</v>
      </c>
      <c r="P83">
        <v>2007</v>
      </c>
    </row>
    <row r="84" spans="1:16" x14ac:dyDescent="0.35">
      <c r="A84" t="s">
        <v>256</v>
      </c>
      <c r="B84" s="18">
        <f>$J$77*$J$76*($B$82-7)/(1000*$M$77*(3.6*10^3))</f>
        <v>4.9024691358024688E-2</v>
      </c>
      <c r="C84" t="s">
        <v>264</v>
      </c>
      <c r="D84" s="18">
        <f>B84*B63</f>
        <v>9.2857667901234554E-3</v>
      </c>
      <c r="E84" t="s">
        <v>17</v>
      </c>
      <c r="F84" s="18">
        <f>B84</f>
        <v>4.9024691358024688E-2</v>
      </c>
      <c r="G84" t="s">
        <v>265</v>
      </c>
      <c r="P84">
        <v>2008</v>
      </c>
    </row>
    <row r="85" spans="1:16" x14ac:dyDescent="0.35">
      <c r="P85">
        <v>2009</v>
      </c>
    </row>
    <row r="86" spans="1:16" x14ac:dyDescent="0.35">
      <c r="P86">
        <v>2010</v>
      </c>
    </row>
    <row r="87" spans="1:16" x14ac:dyDescent="0.35">
      <c r="A87" t="s">
        <v>292</v>
      </c>
      <c r="B87">
        <v>100</v>
      </c>
      <c r="C87" t="s">
        <v>138</v>
      </c>
      <c r="P87">
        <v>2011</v>
      </c>
    </row>
    <row r="88" spans="1:16" x14ac:dyDescent="0.35">
      <c r="A88" t="s">
        <v>293</v>
      </c>
      <c r="B88">
        <v>1000000</v>
      </c>
      <c r="C88" t="s">
        <v>138</v>
      </c>
      <c r="P88">
        <v>2012</v>
      </c>
    </row>
    <row r="89" spans="1:16" x14ac:dyDescent="0.35">
      <c r="A89" t="s">
        <v>294</v>
      </c>
      <c r="B89">
        <v>3.3</v>
      </c>
      <c r="C89" t="s">
        <v>138</v>
      </c>
      <c r="P89">
        <v>2013</v>
      </c>
    </row>
    <row r="90" spans="1:16" x14ac:dyDescent="0.35">
      <c r="P90">
        <v>2014</v>
      </c>
    </row>
    <row r="91" spans="1:16" x14ac:dyDescent="0.35">
      <c r="A91" t="s">
        <v>303</v>
      </c>
      <c r="B91" s="70">
        <v>1.92</v>
      </c>
      <c r="C91" t="s">
        <v>193</v>
      </c>
      <c r="P91">
        <v>2015</v>
      </c>
    </row>
    <row r="92" spans="1:16" x14ac:dyDescent="0.35">
      <c r="A92" t="s">
        <v>302</v>
      </c>
      <c r="B92" s="18">
        <v>0.16</v>
      </c>
      <c r="C92" t="s">
        <v>193</v>
      </c>
    </row>
    <row r="93" spans="1:16" x14ac:dyDescent="0.35">
      <c r="A93" t="s">
        <v>304</v>
      </c>
      <c r="B93">
        <v>1.0500000000000001E-2</v>
      </c>
      <c r="C93" t="s">
        <v>193</v>
      </c>
    </row>
    <row r="95" spans="1:16" x14ac:dyDescent="0.35">
      <c r="A95" t="s">
        <v>310</v>
      </c>
      <c r="B95" s="71">
        <v>2.98</v>
      </c>
      <c r="C95" t="s">
        <v>287</v>
      </c>
    </row>
    <row r="96" spans="1:16" x14ac:dyDescent="0.35">
      <c r="A96" t="s">
        <v>309</v>
      </c>
      <c r="B96">
        <v>4.0069999999999997</v>
      </c>
      <c r="C96" t="s">
        <v>312</v>
      </c>
    </row>
    <row r="97" spans="1:3" x14ac:dyDescent="0.35">
      <c r="A97" t="s">
        <v>311</v>
      </c>
      <c r="B97">
        <v>2</v>
      </c>
      <c r="C97" t="s">
        <v>313</v>
      </c>
    </row>
    <row r="99" spans="1:3" x14ac:dyDescent="0.35">
      <c r="A99" t="s">
        <v>468</v>
      </c>
    </row>
    <row r="100" spans="1:3" x14ac:dyDescent="0.35">
      <c r="A100" t="s">
        <v>463</v>
      </c>
    </row>
    <row r="101" spans="1:3" x14ac:dyDescent="0.35">
      <c r="A101" t="s">
        <v>464</v>
      </c>
    </row>
    <row r="102" spans="1:3" x14ac:dyDescent="0.35">
      <c r="A102" t="s">
        <v>468</v>
      </c>
    </row>
    <row r="103" spans="1:3" x14ac:dyDescent="0.35">
      <c r="A103" t="s">
        <v>472</v>
      </c>
    </row>
    <row r="104" spans="1:3" x14ac:dyDescent="0.35">
      <c r="A104" t="s">
        <v>473</v>
      </c>
    </row>
    <row r="105" spans="1:3" x14ac:dyDescent="0.35">
      <c r="A105" t="s">
        <v>474</v>
      </c>
    </row>
    <row r="106" spans="1:3" x14ac:dyDescent="0.35">
      <c r="A106" t="s">
        <v>475</v>
      </c>
    </row>
    <row r="107" spans="1:3" x14ac:dyDescent="0.35">
      <c r="A107" t="s">
        <v>468</v>
      </c>
    </row>
    <row r="108" spans="1:3" x14ac:dyDescent="0.35">
      <c r="A108" t="s">
        <v>476</v>
      </c>
    </row>
    <row r="109" spans="1:3" x14ac:dyDescent="0.35">
      <c r="A109" t="s">
        <v>477</v>
      </c>
    </row>
    <row r="111" spans="1:3" x14ac:dyDescent="0.35">
      <c r="A111" t="s">
        <v>468</v>
      </c>
      <c r="B111" t="s">
        <v>468</v>
      </c>
    </row>
    <row r="112" spans="1:3" x14ac:dyDescent="0.35">
      <c r="A112" t="s">
        <v>532</v>
      </c>
      <c r="B112" t="s">
        <v>539</v>
      </c>
    </row>
    <row r="113" spans="1:2" x14ac:dyDescent="0.35">
      <c r="A113" t="s">
        <v>533</v>
      </c>
      <c r="B113" t="s">
        <v>540</v>
      </c>
    </row>
    <row r="114" spans="1:2" x14ac:dyDescent="0.35">
      <c r="A114" t="s">
        <v>538</v>
      </c>
    </row>
    <row r="115" spans="1:2" x14ac:dyDescent="0.35">
      <c r="A115" t="s">
        <v>536</v>
      </c>
    </row>
    <row r="116" spans="1:2" x14ac:dyDescent="0.35">
      <c r="A116" t="s">
        <v>534</v>
      </c>
    </row>
    <row r="117" spans="1:2" x14ac:dyDescent="0.35">
      <c r="A117" t="s">
        <v>537</v>
      </c>
    </row>
    <row r="118" spans="1:2" x14ac:dyDescent="0.35">
      <c r="A118" t="s">
        <v>535</v>
      </c>
    </row>
    <row r="119" spans="1:2" x14ac:dyDescent="0.35">
      <c r="A119" t="s">
        <v>366</v>
      </c>
    </row>
    <row r="121" spans="1:2" x14ac:dyDescent="0.35">
      <c r="A121" s="199">
        <v>1900</v>
      </c>
    </row>
    <row r="122" spans="1:2" x14ac:dyDescent="0.35">
      <c r="A122" s="199">
        <v>2015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AM70"/>
  <sheetViews>
    <sheetView topLeftCell="A4" zoomScale="90" zoomScaleNormal="90" workbookViewId="0">
      <selection activeCell="B33" sqref="B33"/>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'Style Change'!C4</f>
        <v>Water saving shower head (flow reduction)</v>
      </c>
      <c r="C10" s="152">
        <f>'Household Input'!C11</f>
        <v>60</v>
      </c>
      <c r="D10" s="32" t="s">
        <v>145</v>
      </c>
      <c r="E10" s="89">
        <f>VLOOKUP(B10,'back end data'!A8:B10,2,FALSE)</f>
        <v>5.5</v>
      </c>
      <c r="F10" s="39">
        <f>C10*E10</f>
        <v>330</v>
      </c>
      <c r="G10" s="40"/>
      <c r="H10" s="40">
        <f>F10*VLOOKUP(Start!B15,'back end data'!A76:G77,4,FALSE)</f>
        <v>2.2579075037037035</v>
      </c>
      <c r="I10" s="31"/>
      <c r="J10" s="32">
        <f>F10*VLOOKUP(Start!B15,'back end data'!A76:G77,6,FALSE)</f>
        <v>11.920740740740742</v>
      </c>
      <c r="K10" s="30">
        <f>52.14*F10</f>
        <v>17206.2</v>
      </c>
      <c r="L10" s="31">
        <f t="shared" ref="L10:O25" si="0">52.14*G10</f>
        <v>0</v>
      </c>
      <c r="M10" s="256">
        <f t="shared" si="0"/>
        <v>117.72729724311111</v>
      </c>
      <c r="N10" s="31">
        <f t="shared" si="0"/>
        <v>0</v>
      </c>
      <c r="O10" s="32">
        <f t="shared" si="0"/>
        <v>621.54742222222228</v>
      </c>
      <c r="P10" s="72">
        <f>'household calculator'!G7</f>
        <v>31284</v>
      </c>
      <c r="Q10" s="73">
        <f>'household calculator'!H7</f>
        <v>0</v>
      </c>
      <c r="R10" s="252">
        <f>'household calculator'!I7</f>
        <v>214.04963135111112</v>
      </c>
      <c r="S10" s="73">
        <f>'household calculator'!J7</f>
        <v>0</v>
      </c>
      <c r="T10" s="73">
        <f>'household calculator'!K7</f>
        <v>1130.0862222222222</v>
      </c>
      <c r="U10" s="130"/>
      <c r="V10" s="79">
        <f>IF(P10&lt;&gt;0,(P10-K10)/P10,"")</f>
        <v>0.44999999999999996</v>
      </c>
      <c r="W10" s="80" t="str">
        <f t="shared" ref="W10:Z25" si="1">IF(Q10&lt;&gt;0,(Q10-L10)/Q10,"")</f>
        <v/>
      </c>
      <c r="X10" s="80">
        <f t="shared" si="1"/>
        <v>0.45</v>
      </c>
      <c r="Y10" s="80" t="str">
        <f t="shared" si="1"/>
        <v/>
      </c>
      <c r="Z10" s="81">
        <f t="shared" si="1"/>
        <v>0.44999999999999996</v>
      </c>
      <c r="AA10" s="56"/>
      <c r="AB10" s="101">
        <f>(P10-K10)/(P$34-K$34)</f>
        <v>0.44813278008298768</v>
      </c>
      <c r="AC10" s="102"/>
      <c r="AD10" s="102">
        <f t="shared" ref="AD10:AD25" si="2">(R10-M10)/(R$34-M$34)</f>
        <v>0.36092265943012219</v>
      </c>
      <c r="AE10" s="102"/>
      <c r="AF10" s="102">
        <f t="shared" ref="AF10:AF34" si="3">(T10-O10)/(T$34-O$34)</f>
        <v>0.36092265943012208</v>
      </c>
      <c r="AG10" s="187">
        <f>IF(P10&lt;&gt;0,(P10-K10),"")</f>
        <v>14077.8</v>
      </c>
      <c r="AH10" s="188" t="str">
        <f t="shared" ref="AH10:AK25" si="4">IF(Q10&lt;&gt;0,(Q10-L10),"")</f>
        <v/>
      </c>
      <c r="AI10" s="188">
        <f t="shared" si="4"/>
        <v>96.322334108000007</v>
      </c>
      <c r="AJ10" s="188" t="str">
        <f t="shared" si="4"/>
        <v/>
      </c>
      <c r="AK10" s="189">
        <f t="shared" si="4"/>
        <v>508.53879999999992</v>
      </c>
      <c r="AL10" s="56"/>
      <c r="AM10" s="56"/>
    </row>
    <row r="11" spans="1:39" x14ac:dyDescent="0.35">
      <c r="A11" s="89" t="s">
        <v>129</v>
      </c>
      <c r="B11" s="30" t="str">
        <f>'Style Change'!C5</f>
        <v>I don't take baths</v>
      </c>
      <c r="C11" s="152">
        <f>'Household Input'!C12</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'Style Change'!C6</f>
        <v>Toilet with two flush options (urine/faeces)</v>
      </c>
      <c r="C12" s="152">
        <f>'Household Input'!C13</f>
        <v>5</v>
      </c>
      <c r="D12" s="32" t="s">
        <v>149</v>
      </c>
      <c r="E12" s="89">
        <f>VLOOKUP(B12,'back end data'!A16:B18,2,FALSE)</f>
        <v>3.5</v>
      </c>
      <c r="F12" s="39">
        <f>7*C12*E12</f>
        <v>122.5</v>
      </c>
      <c r="G12" s="40"/>
      <c r="H12" s="40">
        <v>0</v>
      </c>
      <c r="I12" s="40"/>
      <c r="J12" s="41">
        <v>0</v>
      </c>
      <c r="K12" s="30">
        <f t="shared" si="5"/>
        <v>6387.15</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0.73076923076923084</v>
      </c>
      <c r="W12" s="80" t="str">
        <f t="shared" si="1"/>
        <v/>
      </c>
      <c r="X12" s="80" t="str">
        <f t="shared" si="1"/>
        <v/>
      </c>
      <c r="Y12" s="80" t="str">
        <f t="shared" si="1"/>
        <v/>
      </c>
      <c r="Z12" s="81" t="str">
        <f t="shared" si="1"/>
        <v/>
      </c>
      <c r="AA12" s="56"/>
      <c r="AB12" s="101">
        <f t="shared" si="7"/>
        <v>0.55186721991701271</v>
      </c>
      <c r="AC12" s="103"/>
      <c r="AD12" s="102">
        <f t="shared" si="2"/>
        <v>0</v>
      </c>
      <c r="AE12" s="103"/>
      <c r="AF12" s="102">
        <f t="shared" si="3"/>
        <v>0</v>
      </c>
      <c r="AG12" s="187">
        <f t="shared" si="8"/>
        <v>17336.550000000003</v>
      </c>
      <c r="AH12" s="188" t="str">
        <f t="shared" si="4"/>
        <v/>
      </c>
      <c r="AI12" s="188" t="str">
        <f t="shared" si="4"/>
        <v/>
      </c>
      <c r="AJ12" s="188" t="str">
        <f t="shared" si="4"/>
        <v/>
      </c>
      <c r="AK12" s="189" t="str">
        <f t="shared" si="4"/>
        <v/>
      </c>
      <c r="AL12" s="56"/>
      <c r="AM12" s="56"/>
    </row>
    <row r="13" spans="1:39" x14ac:dyDescent="0.35">
      <c r="A13" s="89" t="s">
        <v>150</v>
      </c>
      <c r="B13" s="30" t="str">
        <f>'Style Change'!C7</f>
        <v>Brushing teeth closed tap</v>
      </c>
      <c r="C13" s="152">
        <f>'Household Input'!C14</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159" t="s">
        <v>489</v>
      </c>
      <c r="C14" s="152">
        <f>'Household Input'!C15</f>
        <v>10</v>
      </c>
      <c r="D14" s="32" t="s">
        <v>149</v>
      </c>
      <c r="E14" s="89">
        <f>'back end data'!B25</f>
        <v>1</v>
      </c>
      <c r="F14" s="39">
        <f>7*C14*E14</f>
        <v>70</v>
      </c>
      <c r="G14" s="40"/>
      <c r="H14" s="40">
        <v>0</v>
      </c>
      <c r="I14" s="40"/>
      <c r="J14" s="41">
        <v>0</v>
      </c>
      <c r="K14" s="30">
        <f t="shared" si="5"/>
        <v>3649.8</v>
      </c>
      <c r="L14" s="31">
        <f t="shared" si="0"/>
        <v>0</v>
      </c>
      <c r="M14" s="256">
        <f t="shared" si="0"/>
        <v>0</v>
      </c>
      <c r="N14" s="31">
        <f t="shared" si="0"/>
        <v>0</v>
      </c>
      <c r="O14" s="32">
        <f t="shared" si="0"/>
        <v>0</v>
      </c>
      <c r="P14" s="72">
        <f>'household calculator'!G11</f>
        <v>3649.8</v>
      </c>
      <c r="Q14" s="73">
        <f>'household calculator'!H11</f>
        <v>0</v>
      </c>
      <c r="R14" s="252">
        <f>'household calculator'!I11</f>
        <v>0</v>
      </c>
      <c r="S14" s="73">
        <f>'household calculator'!J11</f>
        <v>0</v>
      </c>
      <c r="T14" s="73">
        <f>'household calculator'!K11</f>
        <v>0</v>
      </c>
      <c r="U14" s="130"/>
      <c r="V14" s="79">
        <f t="shared" si="6"/>
        <v>0</v>
      </c>
      <c r="W14" s="80" t="str">
        <f t="shared" si="1"/>
        <v/>
      </c>
      <c r="X14" s="80" t="str">
        <f t="shared" si="1"/>
        <v/>
      </c>
      <c r="Y14" s="80" t="str">
        <f t="shared" si="1"/>
        <v/>
      </c>
      <c r="Z14" s="81" t="str">
        <f t="shared" si="1"/>
        <v/>
      </c>
      <c r="AA14" s="56"/>
      <c r="AB14" s="101">
        <f t="shared" si="7"/>
        <v>0</v>
      </c>
      <c r="AC14" s="103"/>
      <c r="AD14" s="102">
        <f t="shared" si="2"/>
        <v>0</v>
      </c>
      <c r="AE14" s="103"/>
      <c r="AF14" s="102">
        <f t="shared" si="3"/>
        <v>0</v>
      </c>
      <c r="AG14" s="187">
        <f t="shared" si="8"/>
        <v>0</v>
      </c>
      <c r="AH14" s="188" t="str">
        <f t="shared" si="4"/>
        <v/>
      </c>
      <c r="AI14" s="188" t="str">
        <f t="shared" si="4"/>
        <v/>
      </c>
      <c r="AJ14" s="188" t="str">
        <f t="shared" si="4"/>
        <v/>
      </c>
      <c r="AK14" s="189" t="str">
        <f t="shared" si="4"/>
        <v/>
      </c>
      <c r="AL14" s="56"/>
      <c r="AM14" s="56"/>
    </row>
    <row r="15" spans="1:39" x14ac:dyDescent="0.35">
      <c r="A15" s="89" t="s">
        <v>154</v>
      </c>
      <c r="B15" s="159" t="s">
        <v>489</v>
      </c>
      <c r="C15" s="152">
        <f>'Household Input'!C16</f>
        <v>0</v>
      </c>
      <c r="D15" s="32" t="s">
        <v>144</v>
      </c>
      <c r="E15" s="89">
        <f>'back end data'!B27</f>
        <v>5</v>
      </c>
      <c r="F15" s="39">
        <f>C15*E15</f>
        <v>0</v>
      </c>
      <c r="G15" s="40"/>
      <c r="H15" s="40">
        <v>0</v>
      </c>
      <c r="I15" s="40"/>
      <c r="J15" s="41">
        <v>0</v>
      </c>
      <c r="K15" s="30">
        <f t="shared" si="5"/>
        <v>0</v>
      </c>
      <c r="L15" s="31">
        <f t="shared" si="0"/>
        <v>0</v>
      </c>
      <c r="M15" s="256">
        <f t="shared" si="0"/>
        <v>0</v>
      </c>
      <c r="N15" s="31">
        <f t="shared" si="0"/>
        <v>0</v>
      </c>
      <c r="O15" s="32">
        <f t="shared" si="0"/>
        <v>0</v>
      </c>
      <c r="P15" s="72">
        <f>'household calculator'!G12</f>
        <v>0</v>
      </c>
      <c r="Q15" s="73">
        <f>'household calculator'!H12</f>
        <v>0</v>
      </c>
      <c r="R15" s="252">
        <f>'household calculator'!I12</f>
        <v>0</v>
      </c>
      <c r="S15" s="73">
        <f>'household calculator'!J12</f>
        <v>0</v>
      </c>
      <c r="T15" s="73">
        <f>'household calculator'!K12</f>
        <v>0</v>
      </c>
      <c r="U15" s="130"/>
      <c r="V15" s="79" t="str">
        <f t="shared" si="6"/>
        <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t="str">
        <f t="shared" si="8"/>
        <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f t="shared" si="0"/>
        <v>0</v>
      </c>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'Style Change'!C8</f>
        <v>Washing machine eco mode</v>
      </c>
      <c r="C18" s="152">
        <f>'Household Input'!C19</f>
        <v>3</v>
      </c>
      <c r="D18" s="32" t="s">
        <v>162</v>
      </c>
      <c r="E18" s="89">
        <f>VLOOKUP(B18,'back end data'!A30:B32,2,FALSE)</f>
        <v>7.14</v>
      </c>
      <c r="F18" s="39">
        <f>C18*E18</f>
        <v>21.419999999999998</v>
      </c>
      <c r="G18" s="40"/>
      <c r="H18" s="40">
        <f>C18*VLOOKUP(Start!B15,'back end data'!A80:I81,8,FALSE)</f>
        <v>0.29030239333333335</v>
      </c>
      <c r="I18" s="40"/>
      <c r="J18" s="41">
        <f>C18*VLOOKUP(Start!B15,'back end data'!A80:I81,6,FALSE)</f>
        <v>0.12772222222222224</v>
      </c>
      <c r="K18" s="30">
        <f t="shared" si="5"/>
        <v>1116.8388</v>
      </c>
      <c r="L18" s="31">
        <f t="shared" si="0"/>
        <v>0</v>
      </c>
      <c r="M18" s="256">
        <f t="shared" si="0"/>
        <v>15.136366788400002</v>
      </c>
      <c r="N18" s="31">
        <f t="shared" si="0"/>
        <v>0</v>
      </c>
      <c r="O18" s="32">
        <f t="shared" si="0"/>
        <v>6.6594366666666671</v>
      </c>
      <c r="P18" s="72">
        <f>'household calculator'!G15</f>
        <v>1116.8388</v>
      </c>
      <c r="Q18" s="73">
        <f>'household calculator'!H15</f>
        <v>0</v>
      </c>
      <c r="R18" s="252">
        <f>'household calculator'!I15</f>
        <v>15.136366788400002</v>
      </c>
      <c r="S18" s="73">
        <f>'household calculator'!J15</f>
        <v>0</v>
      </c>
      <c r="T18" s="73">
        <f>'household calculator'!K15</f>
        <v>6.6594366666666671</v>
      </c>
      <c r="U18" s="130"/>
      <c r="V18" s="79">
        <f t="shared" si="6"/>
        <v>0</v>
      </c>
      <c r="W18" s="80" t="str">
        <f t="shared" si="1"/>
        <v/>
      </c>
      <c r="X18" s="80">
        <f t="shared" si="1"/>
        <v>0</v>
      </c>
      <c r="Y18" s="80" t="str">
        <f t="shared" si="1"/>
        <v/>
      </c>
      <c r="Z18" s="81">
        <f t="shared" si="1"/>
        <v>0</v>
      </c>
      <c r="AA18" s="56"/>
      <c r="AB18" s="101">
        <f t="shared" si="7"/>
        <v>0</v>
      </c>
      <c r="AC18" s="103"/>
      <c r="AD18" s="102">
        <f t="shared" si="2"/>
        <v>0</v>
      </c>
      <c r="AE18" s="103"/>
      <c r="AF18" s="102">
        <f t="shared" si="3"/>
        <v>0</v>
      </c>
      <c r="AG18" s="187">
        <f t="shared" si="8"/>
        <v>0</v>
      </c>
      <c r="AH18" s="188" t="str">
        <f t="shared" si="4"/>
        <v/>
      </c>
      <c r="AI18" s="188">
        <f t="shared" si="4"/>
        <v>0</v>
      </c>
      <c r="AJ18" s="188" t="str">
        <f t="shared" si="4"/>
        <v/>
      </c>
      <c r="AK18" s="189">
        <f t="shared" si="4"/>
        <v>0</v>
      </c>
      <c r="AL18" s="56"/>
      <c r="AM18" s="56"/>
    </row>
    <row r="19" spans="1:39" x14ac:dyDescent="0.35">
      <c r="A19" s="89" t="s">
        <v>158</v>
      </c>
      <c r="B19" s="30" t="str">
        <f>'Style Change'!C9</f>
        <v>Dry in sun and wind</v>
      </c>
      <c r="C19" s="152">
        <f>'Household Input'!C20</f>
        <v>3</v>
      </c>
      <c r="D19" s="32" t="s">
        <v>162</v>
      </c>
      <c r="E19" s="89">
        <f>VLOOKUP(B19,'back end data'!A34:B35,2,FALSE)</f>
        <v>0</v>
      </c>
      <c r="F19" s="39">
        <v>0</v>
      </c>
      <c r="G19" s="40"/>
      <c r="H19" s="40">
        <f>J19*'back end data'!B63</f>
        <v>0</v>
      </c>
      <c r="I19" s="40"/>
      <c r="J19" s="41">
        <f>C19*GreenStyleUser!E19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15.702581466</v>
      </c>
      <c r="S19" s="73">
        <f>'household calculator'!J16</f>
        <v>0</v>
      </c>
      <c r="T19" s="73">
        <f>'household calculator'!K16</f>
        <v>82.902600000000007</v>
      </c>
      <c r="U19" s="130"/>
      <c r="V19" s="79" t="str">
        <f t="shared" si="6"/>
        <v/>
      </c>
      <c r="W19" s="80" t="str">
        <f t="shared" si="1"/>
        <v/>
      </c>
      <c r="X19" s="80">
        <f t="shared" si="1"/>
        <v>1</v>
      </c>
      <c r="Y19" s="80" t="str">
        <f t="shared" si="1"/>
        <v/>
      </c>
      <c r="Z19" s="81">
        <f t="shared" si="1"/>
        <v>1</v>
      </c>
      <c r="AA19" s="56"/>
      <c r="AB19" s="101">
        <f t="shared" si="7"/>
        <v>0</v>
      </c>
      <c r="AC19" s="103"/>
      <c r="AD19" s="102">
        <f t="shared" si="2"/>
        <v>5.883804119896386E-2</v>
      </c>
      <c r="AE19" s="103"/>
      <c r="AF19" s="102">
        <f t="shared" si="3"/>
        <v>5.8838041198963867E-2</v>
      </c>
      <c r="AG19" s="187" t="str">
        <f t="shared" si="8"/>
        <v/>
      </c>
      <c r="AH19" s="188" t="str">
        <f t="shared" si="4"/>
        <v/>
      </c>
      <c r="AI19" s="188">
        <f t="shared" si="4"/>
        <v>15.702581466</v>
      </c>
      <c r="AJ19" s="188" t="str">
        <f t="shared" si="4"/>
        <v/>
      </c>
      <c r="AK19" s="189">
        <f t="shared" si="4"/>
        <v>82.902600000000007</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'Style Change'!C10</f>
        <v>Kettle</v>
      </c>
      <c r="C22" s="152">
        <f>'Household Input'!C23</f>
        <v>1</v>
      </c>
      <c r="D22" s="32" t="s">
        <v>167</v>
      </c>
      <c r="E22" s="89">
        <f>VLOOKUP(B22,'back end data'!A38:B40,2,FALSE)</f>
        <v>0.12</v>
      </c>
      <c r="F22" s="39">
        <f>C22*7</f>
        <v>7</v>
      </c>
      <c r="G22" s="40"/>
      <c r="H22" s="40">
        <f>J22*'back end data'!B63</f>
        <v>0.15910439999999998</v>
      </c>
      <c r="I22" s="40"/>
      <c r="J22" s="41">
        <f>C22*7*E22</f>
        <v>0.84</v>
      </c>
      <c r="K22" s="30">
        <f t="shared" si="5"/>
        <v>364.98</v>
      </c>
      <c r="L22" s="31">
        <f t="shared" si="0"/>
        <v>0</v>
      </c>
      <c r="M22" s="256">
        <f t="shared" si="0"/>
        <v>8.2957034159999985</v>
      </c>
      <c r="N22" s="31">
        <f t="shared" si="0"/>
        <v>0</v>
      </c>
      <c r="O22" s="32">
        <f t="shared" si="0"/>
        <v>43.797599999999996</v>
      </c>
      <c r="P22" s="72">
        <f>'household calculator'!G19</f>
        <v>364.98</v>
      </c>
      <c r="Q22" s="73">
        <f>'household calculator'!H19</f>
        <v>0</v>
      </c>
      <c r="R22" s="252">
        <f>'household calculator'!I19</f>
        <v>24.887110247999999</v>
      </c>
      <c r="S22" s="73">
        <f>'household calculator'!J19</f>
        <v>0</v>
      </c>
      <c r="T22" s="73">
        <f>'household calculator'!K19</f>
        <v>131.39279999999999</v>
      </c>
      <c r="U22" s="130"/>
      <c r="V22" s="79">
        <f t="shared" si="6"/>
        <v>0</v>
      </c>
      <c r="W22" s="80" t="str">
        <f t="shared" si="1"/>
        <v/>
      </c>
      <c r="X22" s="80">
        <f t="shared" si="1"/>
        <v>0.66666666666666674</v>
      </c>
      <c r="Y22" s="80" t="str">
        <f t="shared" si="1"/>
        <v/>
      </c>
      <c r="Z22" s="81">
        <f t="shared" si="1"/>
        <v>0.66666666666666674</v>
      </c>
      <c r="AA22" s="56"/>
      <c r="AB22" s="101">
        <f t="shared" si="7"/>
        <v>0</v>
      </c>
      <c r="AC22" s="103"/>
      <c r="AD22" s="102">
        <f t="shared" si="2"/>
        <v>6.2168496361169369E-2</v>
      </c>
      <c r="AE22" s="103"/>
      <c r="AF22" s="102">
        <f t="shared" si="3"/>
        <v>6.2168496361169369E-2</v>
      </c>
      <c r="AG22" s="187">
        <f t="shared" si="8"/>
        <v>0</v>
      </c>
      <c r="AH22" s="188" t="str">
        <f t="shared" si="4"/>
        <v/>
      </c>
      <c r="AI22" s="188">
        <f t="shared" si="4"/>
        <v>16.591406832000001</v>
      </c>
      <c r="AJ22" s="188" t="str">
        <f t="shared" si="4"/>
        <v/>
      </c>
      <c r="AK22" s="189">
        <f t="shared" si="4"/>
        <v>87.595200000000006</v>
      </c>
      <c r="AL22" s="56"/>
      <c r="AM22" s="56"/>
    </row>
    <row r="23" spans="1:39" x14ac:dyDescent="0.35">
      <c r="A23" s="89" t="s">
        <v>184</v>
      </c>
      <c r="B23" s="30" t="str">
        <f>'Style Change'!C11</f>
        <v>I (sometimes) do the dishes manually</v>
      </c>
      <c r="C23" s="152">
        <f>'Household Input'!C24</f>
        <v>7</v>
      </c>
      <c r="D23" s="32" t="s">
        <v>144</v>
      </c>
      <c r="E23" s="89">
        <f>VLOOKUP(B23,'back end data'!A42:B43,2,FALSE)</f>
        <v>30</v>
      </c>
      <c r="F23" s="39">
        <f>GreenStyleUser!C23*GreenStyleUser!E23</f>
        <v>210</v>
      </c>
      <c r="G23" s="40"/>
      <c r="H23" s="40">
        <f>F23*0.5*VLOOKUP(Start!B15,'back end data'!A83:G84,4,FALSE)</f>
        <v>0.97500551296296278</v>
      </c>
      <c r="I23" s="40"/>
      <c r="J23" s="41">
        <f>F23*0.5*VLOOKUP(Start!B15,'back end data'!A83:G84,6,FALSE)</f>
        <v>5.1475925925925923</v>
      </c>
      <c r="K23" s="30">
        <f t="shared" si="5"/>
        <v>10949.4</v>
      </c>
      <c r="L23" s="31">
        <f t="shared" si="0"/>
        <v>0</v>
      </c>
      <c r="M23" s="256">
        <f t="shared" si="0"/>
        <v>50.836787445888881</v>
      </c>
      <c r="N23" s="31">
        <f t="shared" si="0"/>
        <v>0</v>
      </c>
      <c r="O23" s="32">
        <f t="shared" si="0"/>
        <v>268.39547777777778</v>
      </c>
      <c r="P23" s="72">
        <f>'household calculator'!G20</f>
        <v>10949.4</v>
      </c>
      <c r="Q23" s="73">
        <f>'household calculator'!H20</f>
        <v>0</v>
      </c>
      <c r="R23" s="252">
        <f>'household calculator'!I20</f>
        <v>50.836787445888881</v>
      </c>
      <c r="S23" s="73">
        <f>'household calculator'!J20</f>
        <v>0</v>
      </c>
      <c r="T23" s="73">
        <f>'household calculator'!K20</f>
        <v>268.39547777777778</v>
      </c>
      <c r="U23" s="130"/>
      <c r="V23" s="79">
        <f t="shared" si="6"/>
        <v>0</v>
      </c>
      <c r="W23" s="80" t="str">
        <f t="shared" si="1"/>
        <v/>
      </c>
      <c r="X23" s="80">
        <f t="shared" si="1"/>
        <v>0</v>
      </c>
      <c r="Y23" s="80" t="str">
        <f t="shared" si="1"/>
        <v/>
      </c>
      <c r="Z23" s="81">
        <f t="shared" si="1"/>
        <v>0</v>
      </c>
      <c r="AA23" s="56"/>
      <c r="AB23" s="101">
        <f t="shared" si="7"/>
        <v>0</v>
      </c>
      <c r="AC23" s="103"/>
      <c r="AD23" s="102">
        <f t="shared" si="2"/>
        <v>0</v>
      </c>
      <c r="AE23" s="103"/>
      <c r="AF23" s="102">
        <f t="shared" si="3"/>
        <v>0</v>
      </c>
      <c r="AG23" s="187">
        <f t="shared" si="8"/>
        <v>0</v>
      </c>
      <c r="AH23" s="188" t="str">
        <f t="shared" si="4"/>
        <v/>
      </c>
      <c r="AI23" s="188">
        <f t="shared" si="4"/>
        <v>0</v>
      </c>
      <c r="AJ23" s="188" t="str">
        <f t="shared" si="4"/>
        <v/>
      </c>
      <c r="AK23" s="189">
        <f t="shared" si="4"/>
        <v>0</v>
      </c>
      <c r="AL23" s="56"/>
      <c r="AM23" s="56"/>
    </row>
    <row r="24" spans="1:39" x14ac:dyDescent="0.35">
      <c r="A24" s="89" t="s">
        <v>185</v>
      </c>
      <c r="B24" s="30" t="str">
        <f>'Style Change'!C12</f>
        <v>I don't have a dishwasher</v>
      </c>
      <c r="C24" s="152">
        <f>'Household Input'!C25</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f t="shared" si="0"/>
        <v>0</v>
      </c>
      <c r="N25" s="31">
        <f t="shared" si="0"/>
        <v>0</v>
      </c>
      <c r="O25" s="32">
        <f t="shared" si="0"/>
        <v>0</v>
      </c>
      <c r="P25" s="72">
        <f>'household calculator'!G22</f>
        <v>0</v>
      </c>
      <c r="Q25" s="73">
        <f>'household calculator'!H22</f>
        <v>0</v>
      </c>
      <c r="R25" s="252">
        <f>'household calculator'!I22</f>
        <v>0</v>
      </c>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'Style Change'!C13</f>
        <v>LED TV</v>
      </c>
      <c r="C27" s="152">
        <f>'Household Input'!C28</f>
        <v>0</v>
      </c>
      <c r="D27" s="32" t="s">
        <v>171</v>
      </c>
      <c r="E27" s="89">
        <f>VLOOKUP(B27,'back end data'!A50:B52,2,FALSE)</f>
        <v>0.05</v>
      </c>
      <c r="F27" s="39">
        <v>0</v>
      </c>
      <c r="G27" s="40"/>
      <c r="H27" s="40">
        <f>J27*'back end data'!$B$63</f>
        <v>0</v>
      </c>
      <c r="I27" s="40"/>
      <c r="J27" s="41">
        <f>C27*E27</f>
        <v>0</v>
      </c>
      <c r="K27" s="30">
        <f t="shared" si="5"/>
        <v>0</v>
      </c>
      <c r="L27" s="31">
        <f t="shared" si="5"/>
        <v>0</v>
      </c>
      <c r="M27" s="256">
        <f t="shared" si="5"/>
        <v>0</v>
      </c>
      <c r="N27" s="31">
        <f t="shared" si="5"/>
        <v>0</v>
      </c>
      <c r="O27" s="32">
        <f t="shared" si="5"/>
        <v>0</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0</v>
      </c>
      <c r="AE27" s="103"/>
      <c r="AF27" s="102">
        <f t="shared" si="3"/>
        <v>0</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'Style Change'!C14</f>
        <v>Laptop</v>
      </c>
      <c r="C28" s="152">
        <f>'Household Input'!C29</f>
        <v>10</v>
      </c>
      <c r="D28" s="32" t="s">
        <v>178</v>
      </c>
      <c r="E28" s="89">
        <f>VLOOKUP(B28,'back end data'!A54:B55,2,FALSE)</f>
        <v>0.05</v>
      </c>
      <c r="F28" s="39">
        <v>0</v>
      </c>
      <c r="G28" s="40"/>
      <c r="H28" s="40">
        <f>J28*'back end data'!$B$63</f>
        <v>0.66293499999999994</v>
      </c>
      <c r="I28" s="40"/>
      <c r="J28" s="41">
        <f>7*C28*E28</f>
        <v>3.5</v>
      </c>
      <c r="K28" s="30">
        <f t="shared" si="5"/>
        <v>0</v>
      </c>
      <c r="L28" s="31">
        <f t="shared" si="5"/>
        <v>0</v>
      </c>
      <c r="M28" s="256">
        <f t="shared" si="5"/>
        <v>34.565430899999996</v>
      </c>
      <c r="N28" s="31">
        <f t="shared" si="5"/>
        <v>0</v>
      </c>
      <c r="O28" s="32">
        <f t="shared" si="5"/>
        <v>182.49</v>
      </c>
      <c r="P28" s="72">
        <f>'household calculator'!G25</f>
        <v>0</v>
      </c>
      <c r="Q28" s="73">
        <f>'household calculator'!H25</f>
        <v>0</v>
      </c>
      <c r="R28" s="252">
        <f>'household calculator'!I25</f>
        <v>34.565430899999996</v>
      </c>
      <c r="S28" s="73">
        <f>'household calculator'!J25</f>
        <v>0</v>
      </c>
      <c r="T28" s="73">
        <f>'household calculator'!K25</f>
        <v>182.49</v>
      </c>
      <c r="U28" s="130"/>
      <c r="V28" s="79" t="str">
        <f t="shared" si="6"/>
        <v/>
      </c>
      <c r="W28" s="80" t="str">
        <f t="shared" si="6"/>
        <v/>
      </c>
      <c r="X28" s="80">
        <f t="shared" si="6"/>
        <v>0</v>
      </c>
      <c r="Y28" s="80" t="str">
        <f t="shared" si="6"/>
        <v/>
      </c>
      <c r="Z28" s="81">
        <f t="shared" si="6"/>
        <v>0</v>
      </c>
      <c r="AA28" s="56"/>
      <c r="AB28" s="101">
        <f t="shared" si="7"/>
        <v>0</v>
      </c>
      <c r="AC28" s="103"/>
      <c r="AD28" s="102">
        <f t="shared" si="9"/>
        <v>0</v>
      </c>
      <c r="AE28" s="103"/>
      <c r="AF28" s="102">
        <f t="shared" si="3"/>
        <v>0</v>
      </c>
      <c r="AG28" s="187" t="str">
        <f t="shared" si="8"/>
        <v/>
      </c>
      <c r="AH28" s="188" t="str">
        <f t="shared" si="8"/>
        <v/>
      </c>
      <c r="AI28" s="188">
        <f t="shared" si="8"/>
        <v>0</v>
      </c>
      <c r="AJ28" s="188" t="str">
        <f t="shared" si="8"/>
        <v/>
      </c>
      <c r="AK28" s="189">
        <f t="shared" si="8"/>
        <v>0</v>
      </c>
      <c r="AL28" s="56"/>
      <c r="AM28" s="56"/>
    </row>
    <row r="29" spans="1:39" x14ac:dyDescent="0.35">
      <c r="A29" s="89" t="s">
        <v>170</v>
      </c>
      <c r="B29" s="30" t="str">
        <f>'Style Change'!C15</f>
        <v>Mobile phone, and I charge it…</v>
      </c>
      <c r="C29" s="152">
        <f>'Household Input'!C30</f>
        <v>1</v>
      </c>
      <c r="D29" s="32" t="s">
        <v>178</v>
      </c>
      <c r="E29" s="89">
        <f>VLOOKUP(B29,'back end data'!A60:B61,2,FALSE)</f>
        <v>5.0000000000000001E-3</v>
      </c>
      <c r="F29" s="39">
        <v>0</v>
      </c>
      <c r="G29" s="40"/>
      <c r="H29" s="40">
        <f>J29*'back end data'!$B$63</f>
        <v>6.6293500000000009E-3</v>
      </c>
      <c r="I29" s="40"/>
      <c r="J29" s="41">
        <f>7*C29*E29</f>
        <v>3.5000000000000003E-2</v>
      </c>
      <c r="K29" s="30">
        <f t="shared" si="5"/>
        <v>0</v>
      </c>
      <c r="L29" s="31">
        <f t="shared" si="5"/>
        <v>0</v>
      </c>
      <c r="M29" s="256">
        <f t="shared" si="5"/>
        <v>0.34565430900000005</v>
      </c>
      <c r="N29" s="31">
        <f t="shared" si="5"/>
        <v>0</v>
      </c>
      <c r="O29" s="32">
        <f t="shared" si="5"/>
        <v>1.8249000000000002</v>
      </c>
      <c r="P29" s="72">
        <f>'household calculator'!G26</f>
        <v>0</v>
      </c>
      <c r="Q29" s="73">
        <f>'household calculator'!H26</f>
        <v>0</v>
      </c>
      <c r="R29" s="252">
        <f>'household calculator'!I26</f>
        <v>0.34565430900000005</v>
      </c>
      <c r="S29" s="73">
        <f>'household calculator'!J26</f>
        <v>0</v>
      </c>
      <c r="T29" s="73">
        <f>'household calculator'!K26</f>
        <v>1.8249000000000002</v>
      </c>
      <c r="U29" s="130"/>
      <c r="V29" s="79" t="str">
        <f t="shared" si="6"/>
        <v/>
      </c>
      <c r="W29" s="80" t="str">
        <f t="shared" si="6"/>
        <v/>
      </c>
      <c r="X29" s="80">
        <f t="shared" si="6"/>
        <v>0</v>
      </c>
      <c r="Y29" s="80" t="str">
        <f t="shared" si="6"/>
        <v/>
      </c>
      <c r="Z29" s="81">
        <f t="shared" si="6"/>
        <v>0</v>
      </c>
      <c r="AA29" s="56"/>
      <c r="AB29" s="101">
        <f t="shared" si="7"/>
        <v>0</v>
      </c>
      <c r="AC29" s="103"/>
      <c r="AD29" s="102">
        <f t="shared" si="9"/>
        <v>0</v>
      </c>
      <c r="AE29" s="103"/>
      <c r="AF29" s="102">
        <f t="shared" si="3"/>
        <v>0</v>
      </c>
      <c r="AG29" s="187" t="str">
        <f t="shared" si="8"/>
        <v/>
      </c>
      <c r="AH29" s="188" t="str">
        <f t="shared" si="8"/>
        <v/>
      </c>
      <c r="AI29" s="188">
        <f t="shared" si="8"/>
        <v>0</v>
      </c>
      <c r="AJ29" s="188" t="str">
        <f t="shared" si="8"/>
        <v/>
      </c>
      <c r="AK29" s="189">
        <f t="shared" si="8"/>
        <v>0</v>
      </c>
      <c r="AL29" s="56"/>
      <c r="AM29" s="56"/>
    </row>
    <row r="30" spans="1:39" x14ac:dyDescent="0.35">
      <c r="A30" s="89" t="s">
        <v>177</v>
      </c>
      <c r="B30" s="30" t="str">
        <f>'Style Change'!C16</f>
        <v>I don't have a tablet</v>
      </c>
      <c r="C30" s="152">
        <f>'Household Input'!C31</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'Style Change'!C17</f>
        <v>mainly LED lighting</v>
      </c>
      <c r="C33" s="156">
        <f>'Household Input'!C34</f>
        <v>10</v>
      </c>
      <c r="D33" s="38" t="s">
        <v>178</v>
      </c>
      <c r="E33" s="90">
        <f>VLOOKUP(B33,'back end data'!A67:B71,2,FALSE)</f>
        <v>0.01</v>
      </c>
      <c r="F33" s="42">
        <v>0</v>
      </c>
      <c r="G33" s="43"/>
      <c r="H33" s="43">
        <f>J33*'back end data'!B63</f>
        <v>0.53034800000000004</v>
      </c>
      <c r="I33" s="43"/>
      <c r="J33" s="44">
        <f>C33*4*7*E33</f>
        <v>2.8000000000000003</v>
      </c>
      <c r="K33" s="36">
        <f t="shared" si="10"/>
        <v>0</v>
      </c>
      <c r="L33" s="37">
        <f t="shared" si="10"/>
        <v>0</v>
      </c>
      <c r="M33" s="257">
        <f t="shared" si="10"/>
        <v>27.652344720000002</v>
      </c>
      <c r="N33" s="37">
        <f t="shared" si="10"/>
        <v>0</v>
      </c>
      <c r="O33" s="38">
        <f t="shared" si="10"/>
        <v>145.99200000000002</v>
      </c>
      <c r="P33" s="74">
        <f>'household calculator'!G30</f>
        <v>0</v>
      </c>
      <c r="Q33" s="75">
        <f>'household calculator'!H30</f>
        <v>0</v>
      </c>
      <c r="R33" s="253">
        <f>'household calculator'!I30</f>
        <v>165.91406832000001</v>
      </c>
      <c r="S33" s="75">
        <f>'household calculator'!J30</f>
        <v>0</v>
      </c>
      <c r="T33" s="75">
        <f>'household calculator'!K30</f>
        <v>875.952</v>
      </c>
      <c r="U33" s="130"/>
      <c r="V33" s="82" t="str">
        <f t="shared" si="6"/>
        <v/>
      </c>
      <c r="W33" s="83" t="str">
        <f t="shared" si="6"/>
        <v/>
      </c>
      <c r="X33" s="83">
        <f t="shared" si="6"/>
        <v>0.83333333333333337</v>
      </c>
      <c r="Y33" s="83" t="str">
        <f t="shared" si="6"/>
        <v/>
      </c>
      <c r="Z33" s="84">
        <f t="shared" si="6"/>
        <v>0.83333333333333337</v>
      </c>
      <c r="AA33" s="56"/>
      <c r="AB33" s="104">
        <f t="shared" si="7"/>
        <v>0</v>
      </c>
      <c r="AC33" s="105"/>
      <c r="AD33" s="106">
        <f t="shared" si="9"/>
        <v>0.51807080300974473</v>
      </c>
      <c r="AE33" s="105"/>
      <c r="AF33" s="106">
        <f t="shared" si="3"/>
        <v>0.51807080300974473</v>
      </c>
      <c r="AG33" s="193" t="str">
        <f t="shared" si="8"/>
        <v/>
      </c>
      <c r="AH33" s="194" t="str">
        <f t="shared" si="8"/>
        <v/>
      </c>
      <c r="AI33" s="194">
        <f t="shared" si="8"/>
        <v>138.26172360000001</v>
      </c>
      <c r="AJ33" s="194" t="str">
        <f t="shared" si="8"/>
        <v/>
      </c>
      <c r="AK33" s="195">
        <f t="shared" si="8"/>
        <v>729.96</v>
      </c>
      <c r="AL33" s="56"/>
      <c r="AM33" s="56"/>
    </row>
    <row r="34" spans="1:39" s="60" customFormat="1" ht="24" thickBot="1" x14ac:dyDescent="0.6">
      <c r="A34" s="58"/>
      <c r="B34" s="58"/>
      <c r="C34" s="58"/>
      <c r="D34" s="58"/>
      <c r="E34" s="58"/>
      <c r="F34" s="59">
        <f>SUM(F10:F33)</f>
        <v>802.92</v>
      </c>
      <c r="G34" s="59">
        <f t="shared" ref="G34:L34" si="11">SUM(G10:G31)</f>
        <v>0</v>
      </c>
      <c r="H34" s="59">
        <f>SUM(H10:H33)</f>
        <v>4.8822321599999992</v>
      </c>
      <c r="I34" s="59">
        <f t="shared" si="11"/>
        <v>0</v>
      </c>
      <c r="J34" s="59">
        <f>SUM(J10:J33)</f>
        <v>24.371055555555557</v>
      </c>
      <c r="K34" s="59">
        <f>SUM(K10:K33)</f>
        <v>41864.248800000001</v>
      </c>
      <c r="L34" s="59">
        <f t="shared" si="11"/>
        <v>0</v>
      </c>
      <c r="M34" s="258">
        <f>SUM(M10:M33)</f>
        <v>254.55958482240001</v>
      </c>
      <c r="N34" s="59">
        <f>SUM(N10:N33)</f>
        <v>0</v>
      </c>
      <c r="O34" s="59">
        <f>SUM(O10:O33)</f>
        <v>1270.7068366666667</v>
      </c>
      <c r="P34" s="198">
        <f>'household calculator'!G31</f>
        <v>73278.598799999992</v>
      </c>
      <c r="Q34" s="76">
        <f>'household calculator'!H31</f>
        <v>0</v>
      </c>
      <c r="R34" s="254">
        <f>'household calculator'!I31</f>
        <v>521.43763082839996</v>
      </c>
      <c r="S34" s="76">
        <f>'household calculator'!J31</f>
        <v>0</v>
      </c>
      <c r="T34" s="76">
        <f>'household calculator'!K31</f>
        <v>2679.7034366666667</v>
      </c>
      <c r="U34" s="183"/>
      <c r="V34" s="184">
        <f>IF(P34&lt;&gt;0,(P34-K34)/P34,"")</f>
        <v>0.42869747121856805</v>
      </c>
      <c r="W34" s="185" t="str">
        <f t="shared" ref="W34:Z34" si="12">IF(Q34&lt;&gt;0,(Q34-L34)/Q34,"")</f>
        <v/>
      </c>
      <c r="X34" s="185">
        <f t="shared" si="12"/>
        <v>0.51181201782850794</v>
      </c>
      <c r="Y34" s="185" t="str">
        <f t="shared" si="12"/>
        <v/>
      </c>
      <c r="Z34" s="186">
        <f t="shared" si="12"/>
        <v>0.52580318430784168</v>
      </c>
      <c r="AA34" s="129"/>
      <c r="AB34" s="100">
        <f t="shared" si="7"/>
        <v>1</v>
      </c>
      <c r="AC34" s="99"/>
      <c r="AD34" s="100">
        <f t="shared" si="9"/>
        <v>1</v>
      </c>
      <c r="AE34" s="99"/>
      <c r="AF34" s="100">
        <f t="shared" si="3"/>
        <v>1</v>
      </c>
      <c r="AG34" s="196">
        <f t="shared" ref="AG34:AK34" si="13">IF(P34&lt;&gt;0,(P34-K34),"")</f>
        <v>31414.349999999991</v>
      </c>
      <c r="AH34" s="196" t="str">
        <f t="shared" si="13"/>
        <v/>
      </c>
      <c r="AI34" s="196">
        <f t="shared" si="13"/>
        <v>266.87804600599998</v>
      </c>
      <c r="AJ34" s="196" t="str">
        <f t="shared" si="13"/>
        <v/>
      </c>
      <c r="AK34" s="197">
        <f t="shared" si="13"/>
        <v>1408.9965999999999</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330</v>
      </c>
      <c r="L66" s="19">
        <f>SUM(J18:J19)</f>
        <v>0.12772222222222224</v>
      </c>
    </row>
    <row r="67" spans="6:12" x14ac:dyDescent="0.35">
      <c r="F67" s="19" t="s">
        <v>126</v>
      </c>
      <c r="G67" s="19">
        <f>F12</f>
        <v>122.5</v>
      </c>
      <c r="L67" s="19">
        <f>J22</f>
        <v>0.84</v>
      </c>
    </row>
    <row r="68" spans="6:12" x14ac:dyDescent="0.35">
      <c r="F68" s="19" t="s">
        <v>278</v>
      </c>
      <c r="G68" s="19">
        <f>SUM(F13:F15)</f>
        <v>112</v>
      </c>
      <c r="L68" s="19">
        <f>SUM(J27:J30)</f>
        <v>3.5350000000000001</v>
      </c>
    </row>
    <row r="69" spans="6:12" x14ac:dyDescent="0.35">
      <c r="F69" s="19" t="s">
        <v>127</v>
      </c>
      <c r="G69" s="19">
        <f>F18</f>
        <v>21.419999999999998</v>
      </c>
      <c r="L69" s="19">
        <f>J33</f>
        <v>2.8000000000000003</v>
      </c>
    </row>
    <row r="70" spans="6:12" x14ac:dyDescent="0.35">
      <c r="F70" s="19" t="s">
        <v>279</v>
      </c>
      <c r="G70" s="19">
        <f>SUM(F23:F24)</f>
        <v>210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B10:B13</xm:sqref>
        </x14:dataValidation>
        <x14:dataValidation type="list" allowBlank="1" showInputMessage="1" showErrorMessage="1">
          <x14:formula1>
            <xm:f>'back end data'!$A$29:$A$32</xm:f>
          </x14:formula1>
          <xm:sqref>B18:B19</xm:sqref>
        </x14:dataValidation>
        <x14:dataValidation type="list" allowBlank="1" showInputMessage="1" showErrorMessage="1">
          <x14:formula1>
            <xm:f>'back end data'!$A$37:$A$40</xm:f>
          </x14:formula1>
          <xm:sqref>B22:B24</xm:sqref>
        </x14:dataValidation>
        <x14:dataValidation type="list" allowBlank="1" showInputMessage="1" showErrorMessage="1">
          <x14:formula1>
            <xm:f>'back end data'!$A$49:$A$52</xm:f>
          </x14:formula1>
          <xm:sqref>B27:B30</xm:sqref>
        </x14:dataValidation>
        <x14:dataValidation type="list" allowBlank="1" showInputMessage="1" showErrorMessage="1">
          <x14:formula1>
            <xm:f>'back end data'!$A$66:$A$71</xm:f>
          </x14:formula1>
          <xm:sqref>B33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50"/>
  <sheetViews>
    <sheetView tabSelected="1" topLeftCell="A19" workbookViewId="0">
      <selection activeCell="I28" sqref="I28:L28"/>
    </sheetView>
  </sheetViews>
  <sheetFormatPr defaultRowHeight="14.5" x14ac:dyDescent="0.35"/>
  <cols>
    <col min="1" max="1" width="35.7265625" bestFit="1" customWidth="1"/>
    <col min="2" max="2" width="14" customWidth="1"/>
    <col min="6" max="6" width="23.1796875" customWidth="1"/>
    <col min="7" max="7" width="18.1796875" customWidth="1"/>
  </cols>
  <sheetData>
    <row r="1" spans="1:7" x14ac:dyDescent="0.35">
      <c r="A1" s="270" t="s">
        <v>617</v>
      </c>
      <c r="B1" s="259" t="str">
        <f>Start!B7</f>
        <v>Mina Mirzadeh</v>
      </c>
      <c r="E1" s="276" t="s">
        <v>636</v>
      </c>
      <c r="F1" s="277" t="s">
        <v>634</v>
      </c>
      <c r="G1" s="278" t="s">
        <v>635</v>
      </c>
    </row>
    <row r="2" spans="1:7" x14ac:dyDescent="0.35">
      <c r="A2" s="271" t="s">
        <v>618</v>
      </c>
      <c r="B2" s="263">
        <f>Start!B9</f>
        <v>1991</v>
      </c>
      <c r="E2" s="262" t="s">
        <v>665</v>
      </c>
      <c r="F2" s="73" t="str">
        <f>'Household Input'!A11</f>
        <v>Shower</v>
      </c>
      <c r="G2" s="263">
        <v>20</v>
      </c>
    </row>
    <row r="3" spans="1:7" x14ac:dyDescent="0.35">
      <c r="A3" s="271" t="s">
        <v>619</v>
      </c>
      <c r="B3" s="263" t="str">
        <f>Start!B10</f>
        <v>female</v>
      </c>
      <c r="E3" s="262" t="s">
        <v>666</v>
      </c>
      <c r="F3" s="73" t="str">
        <f>'Household Input'!A12</f>
        <v>Bath</v>
      </c>
      <c r="G3" s="263">
        <v>0</v>
      </c>
    </row>
    <row r="4" spans="1:7" x14ac:dyDescent="0.35">
      <c r="A4" s="271" t="s">
        <v>620</v>
      </c>
      <c r="B4" s="263" t="str">
        <f>Start!B11</f>
        <v>Student</v>
      </c>
      <c r="E4" s="298" t="s">
        <v>667</v>
      </c>
      <c r="F4" s="299" t="str">
        <f>'Household Input'!A13</f>
        <v>Toilet</v>
      </c>
      <c r="G4" s="300">
        <v>4</v>
      </c>
    </row>
    <row r="5" spans="1:7" x14ac:dyDescent="0.35">
      <c r="A5" s="271" t="s">
        <v>621</v>
      </c>
      <c r="B5" s="263" t="str">
        <f>Start!B14</f>
        <v xml:space="preserve"> Belgium</v>
      </c>
      <c r="E5" s="298" t="s">
        <v>668</v>
      </c>
      <c r="F5" s="299" t="str">
        <f>'Household Input'!A14</f>
        <v>Brushing teeth</v>
      </c>
      <c r="G5" s="300">
        <v>2</v>
      </c>
    </row>
    <row r="6" spans="1:7" x14ac:dyDescent="0.35">
      <c r="A6" s="271" t="s">
        <v>622</v>
      </c>
      <c r="B6" s="263" t="str">
        <f>Start!B15</f>
        <v>Electric boiler</v>
      </c>
      <c r="E6" s="298" t="s">
        <v>669</v>
      </c>
      <c r="F6" s="299" t="str">
        <f>'Household Input'!A15</f>
        <v>Washing hands</v>
      </c>
      <c r="G6" s="300">
        <v>12</v>
      </c>
    </row>
    <row r="7" spans="1:7" x14ac:dyDescent="0.35">
      <c r="A7" s="271"/>
      <c r="B7" s="263"/>
      <c r="E7" s="298" t="s">
        <v>670</v>
      </c>
      <c r="F7" s="299" t="str">
        <f>'Household Input'!A16</f>
        <v>Shaving</v>
      </c>
      <c r="G7" s="300">
        <v>1</v>
      </c>
    </row>
    <row r="8" spans="1:7" x14ac:dyDescent="0.35">
      <c r="A8" s="271" t="s">
        <v>529</v>
      </c>
      <c r="B8" s="267">
        <f>'total footprint report'!B16</f>
        <v>37123.68</v>
      </c>
      <c r="E8" s="262" t="s">
        <v>671</v>
      </c>
      <c r="F8" s="73" t="str">
        <f>'Household Input'!A19</f>
        <v>Washing</v>
      </c>
      <c r="G8" s="263">
        <v>5</v>
      </c>
    </row>
    <row r="9" spans="1:7" x14ac:dyDescent="0.35">
      <c r="A9" s="271" t="s">
        <v>126</v>
      </c>
      <c r="B9" s="267">
        <f>'total footprint report'!B17</f>
        <v>23723.7</v>
      </c>
      <c r="E9" s="262" t="s">
        <v>672</v>
      </c>
      <c r="F9" s="73" t="str">
        <f>'Household Input'!A20</f>
        <v>Drying</v>
      </c>
      <c r="G9" s="263">
        <v>5</v>
      </c>
    </row>
    <row r="10" spans="1:7" x14ac:dyDescent="0.35">
      <c r="A10" s="271" t="s">
        <v>530</v>
      </c>
      <c r="B10" s="267">
        <f>'total footprint report'!B18</f>
        <v>364.98</v>
      </c>
      <c r="E10" s="262" t="s">
        <v>673</v>
      </c>
      <c r="F10" s="73" t="str">
        <f>'Household Input'!A23</f>
        <v>Boiling water (tea/coffee)</v>
      </c>
      <c r="G10" s="263">
        <v>2</v>
      </c>
    </row>
    <row r="11" spans="1:7" x14ac:dyDescent="0.35">
      <c r="A11" s="271"/>
      <c r="B11" s="267">
        <f>'total footprint report'!B19</f>
        <v>1116.8388</v>
      </c>
      <c r="E11" s="262" t="s">
        <v>674</v>
      </c>
      <c r="F11" s="73" t="str">
        <f>'Household Input'!A24</f>
        <v>Doing the dishes manually</v>
      </c>
      <c r="G11" s="263">
        <v>14</v>
      </c>
    </row>
    <row r="12" spans="1:7" x14ac:dyDescent="0.35">
      <c r="A12" s="271" t="s">
        <v>279</v>
      </c>
      <c r="B12" s="267">
        <f>'total footprint report'!B20</f>
        <v>10949.4</v>
      </c>
      <c r="E12" s="262" t="s">
        <v>675</v>
      </c>
      <c r="F12" s="73" t="str">
        <f>'Household Input'!A25</f>
        <v>Dishwasher</v>
      </c>
      <c r="G12" s="263">
        <v>0</v>
      </c>
    </row>
    <row r="13" spans="1:7" x14ac:dyDescent="0.35">
      <c r="A13" s="271" t="s">
        <v>291</v>
      </c>
      <c r="B13" s="267">
        <f>'total footprint report'!B21</f>
        <v>73278.598800000007</v>
      </c>
      <c r="E13" s="262" t="s">
        <v>676</v>
      </c>
      <c r="F13" s="73" t="str">
        <f>'Household Input'!A28</f>
        <v>Television</v>
      </c>
      <c r="G13" s="263">
        <v>2</v>
      </c>
    </row>
    <row r="14" spans="1:7" x14ac:dyDescent="0.35">
      <c r="A14" s="271"/>
      <c r="B14" s="263"/>
      <c r="E14" s="262" t="s">
        <v>677</v>
      </c>
      <c r="F14" s="73" t="str">
        <f>'Household Input'!A29</f>
        <v>Personal computer</v>
      </c>
      <c r="G14" s="263">
        <v>10</v>
      </c>
    </row>
    <row r="15" spans="1:7" x14ac:dyDescent="0.35">
      <c r="A15" s="271" t="s">
        <v>111</v>
      </c>
      <c r="B15" s="267">
        <f>'total footprint report'!B28</f>
        <v>875.952</v>
      </c>
      <c r="E15" s="262" t="s">
        <v>678</v>
      </c>
      <c r="F15" s="73" t="str">
        <f>'Household Input'!A30</f>
        <v>Mobile phone</v>
      </c>
      <c r="G15" s="263">
        <v>2</v>
      </c>
    </row>
    <row r="16" spans="1:7" x14ac:dyDescent="0.35">
      <c r="A16" s="271" t="s">
        <v>299</v>
      </c>
      <c r="B16" s="267">
        <f>'total footprint report'!B29</f>
        <v>184.31490000000002</v>
      </c>
      <c r="E16" s="262" t="s">
        <v>679</v>
      </c>
      <c r="F16" s="73" t="str">
        <f>'Household Input'!A31</f>
        <v>Tablet</v>
      </c>
      <c r="G16" s="263">
        <v>0</v>
      </c>
    </row>
    <row r="17" spans="1:12" x14ac:dyDescent="0.35">
      <c r="A17" s="271" t="s">
        <v>298</v>
      </c>
      <c r="B17" s="267">
        <f>'total footprint report'!B30</f>
        <v>0</v>
      </c>
      <c r="E17" s="260" t="s">
        <v>680</v>
      </c>
      <c r="F17" s="138" t="str">
        <f>'Household Input'!A34</f>
        <v>Lighting technology around the house</v>
      </c>
      <c r="G17" s="261">
        <v>5</v>
      </c>
    </row>
    <row r="18" spans="1:12" x14ac:dyDescent="0.35">
      <c r="A18" s="271" t="s">
        <v>127</v>
      </c>
      <c r="B18" s="267">
        <f>'total footprint report'!B31</f>
        <v>89.562036666666671</v>
      </c>
      <c r="E18" s="55"/>
    </row>
    <row r="19" spans="1:12" x14ac:dyDescent="0.35">
      <c r="A19" s="271" t="b">
        <f>'Data Aggregation'!G32=VLOOKUP('Household Input'!B23,'back end data'!A38:B40,2,FALSE)</f>
        <v>0</v>
      </c>
      <c r="B19" s="267">
        <f>'total footprint report'!B32</f>
        <v>1529.8745000000001</v>
      </c>
      <c r="E19" s="55"/>
    </row>
    <row r="20" spans="1:12" x14ac:dyDescent="0.35">
      <c r="A20" s="271" t="s">
        <v>291</v>
      </c>
      <c r="B20" s="267">
        <f>'total footprint report'!B33</f>
        <v>2679.7034366666667</v>
      </c>
      <c r="E20" s="276" t="s">
        <v>681</v>
      </c>
      <c r="F20" s="290" t="s">
        <v>656</v>
      </c>
      <c r="G20" s="278" t="s">
        <v>657</v>
      </c>
    </row>
    <row r="21" spans="1:12" x14ac:dyDescent="0.35">
      <c r="A21" s="272"/>
      <c r="B21" s="261"/>
      <c r="E21" s="303" t="s">
        <v>682</v>
      </c>
      <c r="F21" s="73" t="s">
        <v>712</v>
      </c>
      <c r="G21" s="263">
        <f>VLOOKUP(Start!B15,'back end data'!A76:G77,4,FALSE)</f>
        <v>6.8421439506172839E-3</v>
      </c>
    </row>
    <row r="22" spans="1:12" x14ac:dyDescent="0.35">
      <c r="A22" s="264" t="s">
        <v>111</v>
      </c>
      <c r="B22" s="265">
        <f>'total footprint report'!B40</f>
        <v>165.91406832000001</v>
      </c>
      <c r="E22" s="304" t="s">
        <v>683</v>
      </c>
      <c r="F22" s="73" t="s">
        <v>658</v>
      </c>
      <c r="G22" s="263">
        <f>VLOOKUP(Start!B14,'Electricity mix footprint'!A7:D67,4,FALSE)</f>
        <v>0.18941</v>
      </c>
    </row>
    <row r="23" spans="1:12" x14ac:dyDescent="0.35">
      <c r="A23" s="266" t="s">
        <v>307</v>
      </c>
      <c r="B23" s="267">
        <f>'total footprint report'!B41</f>
        <v>34.911085208999992</v>
      </c>
      <c r="E23" s="304" t="s">
        <v>684</v>
      </c>
      <c r="F23" s="73" t="s">
        <v>128</v>
      </c>
      <c r="G23" s="263">
        <f>VLOOKUP('Style Change'!C4,'back end data'!A8:B10,2,FALSE)</f>
        <v>5.5</v>
      </c>
    </row>
    <row r="24" spans="1:12" x14ac:dyDescent="0.35">
      <c r="A24" s="266" t="s">
        <v>531</v>
      </c>
      <c r="B24" s="267">
        <f>'total footprint report'!B42</f>
        <v>289.77352904500003</v>
      </c>
      <c r="E24" s="304" t="s">
        <v>685</v>
      </c>
      <c r="F24" s="73" t="s">
        <v>659</v>
      </c>
      <c r="G24" s="263">
        <f>VLOOKUP('Style Change'!C5,'back end data'!A12:B14, 2, FALSE)</f>
        <v>0</v>
      </c>
    </row>
    <row r="25" spans="1:12" x14ac:dyDescent="0.35">
      <c r="A25" s="266" t="s">
        <v>127</v>
      </c>
      <c r="B25" s="267">
        <f>'total footprint report'!B43</f>
        <v>30.838948254400002</v>
      </c>
      <c r="E25" s="305" t="s">
        <v>686</v>
      </c>
      <c r="F25" s="299" t="s">
        <v>146</v>
      </c>
      <c r="G25" s="300">
        <f>VLOOKUP('Style Change'!C6,'back end data'!A16:B18,2,FALSE)</f>
        <v>3.5</v>
      </c>
    </row>
    <row r="26" spans="1:12" x14ac:dyDescent="0.35">
      <c r="A26" s="266" t="s">
        <v>308</v>
      </c>
      <c r="B26" s="267">
        <f>'total footprint report'!B44</f>
        <v>0</v>
      </c>
      <c r="E26" s="305" t="s">
        <v>687</v>
      </c>
      <c r="F26" s="299" t="s">
        <v>660</v>
      </c>
      <c r="G26" s="300">
        <f>VLOOKUP('Style Change'!C7,'back end data'!A22:B23,2,FALSE)</f>
        <v>3</v>
      </c>
    </row>
    <row r="27" spans="1:12" x14ac:dyDescent="0.35">
      <c r="A27" s="268" t="s">
        <v>291</v>
      </c>
      <c r="B27" s="269">
        <f>'total footprint report'!B45</f>
        <v>521.43763082839996</v>
      </c>
      <c r="E27" s="305" t="s">
        <v>688</v>
      </c>
      <c r="F27" s="299" t="s">
        <v>661</v>
      </c>
      <c r="G27" s="300">
        <v>1</v>
      </c>
    </row>
    <row r="28" spans="1:12" x14ac:dyDescent="0.35">
      <c r="A28" s="273" t="s">
        <v>629</v>
      </c>
      <c r="B28" s="259">
        <f>GreenStyleUser!M33</f>
        <v>27.652344720000002</v>
      </c>
      <c r="E28" s="305" t="s">
        <v>689</v>
      </c>
      <c r="F28" s="299" t="s">
        <v>154</v>
      </c>
      <c r="G28" s="300">
        <v>5</v>
      </c>
      <c r="I28">
        <f>B28</f>
        <v>27.652344720000002</v>
      </c>
      <c r="J28">
        <f>B29</f>
        <v>34.911085208999992</v>
      </c>
      <c r="K28">
        <f>B30</f>
        <v>176.85978810499998</v>
      </c>
      <c r="L28">
        <f>B31</f>
        <v>15.136366788400002</v>
      </c>
    </row>
    <row r="29" spans="1:12" x14ac:dyDescent="0.35">
      <c r="A29" s="274" t="s">
        <v>630</v>
      </c>
      <c r="B29" s="263">
        <f>SUM(GreenStyleUser!M27:M30)</f>
        <v>34.911085208999992</v>
      </c>
      <c r="E29" s="305" t="s">
        <v>690</v>
      </c>
      <c r="F29" s="299" t="s">
        <v>157</v>
      </c>
      <c r="G29" s="300">
        <f>VLOOKUP('Style Change'!C8,'back end data'!A30:B32,2,FALSE)</f>
        <v>7.14</v>
      </c>
    </row>
    <row r="30" spans="1:12" x14ac:dyDescent="0.35">
      <c r="A30" s="274" t="s">
        <v>631</v>
      </c>
      <c r="B30" s="263">
        <f>SUM(GreenStyleUser!M10:M15,GreenStyleUser!M22:M25)</f>
        <v>176.85978810499998</v>
      </c>
      <c r="E30" s="304" t="s">
        <v>691</v>
      </c>
      <c r="F30" s="73" t="s">
        <v>662</v>
      </c>
      <c r="G30" s="263">
        <f>VLOOKUP('Style Change'!C9,'back end data'!A34:B35,2,FALSE)</f>
        <v>0</v>
      </c>
    </row>
    <row r="31" spans="1:12" x14ac:dyDescent="0.35">
      <c r="A31" s="274" t="s">
        <v>632</v>
      </c>
      <c r="B31" s="263">
        <f>SUM(GreenStyleUser!M18:M19)</f>
        <v>15.136366788400002</v>
      </c>
      <c r="E31" s="304" t="s">
        <v>692</v>
      </c>
      <c r="F31" s="73" t="s">
        <v>625</v>
      </c>
      <c r="G31" s="263">
        <f>VLOOKUP('Style Change'!C10,'back end data'!A38:B40,2,FALSE)</f>
        <v>0.12</v>
      </c>
    </row>
    <row r="32" spans="1:12" x14ac:dyDescent="0.35">
      <c r="A32" s="274" t="s">
        <v>308</v>
      </c>
      <c r="B32" s="267">
        <f>'total footprint report'!B44</f>
        <v>0</v>
      </c>
      <c r="E32" s="304" t="s">
        <v>693</v>
      </c>
      <c r="F32" s="73" t="s">
        <v>663</v>
      </c>
      <c r="G32" s="263">
        <f>VLOOKUP('Style Change'!C11,'back end data'!A42:B43,2,FALSE)</f>
        <v>30</v>
      </c>
    </row>
    <row r="33" spans="1:10" x14ac:dyDescent="0.35">
      <c r="A33" s="275" t="s">
        <v>633</v>
      </c>
      <c r="B33" s="261">
        <f>SUM(B28:B32)</f>
        <v>254.55958482239998</v>
      </c>
      <c r="E33" s="304" t="s">
        <v>694</v>
      </c>
      <c r="F33" s="73" t="s">
        <v>185</v>
      </c>
      <c r="G33" s="263">
        <f>VLOOKUP('Style Change'!C12,'back end data'!A45:B47,2,FALSE)</f>
        <v>0</v>
      </c>
    </row>
    <row r="34" spans="1:10" x14ac:dyDescent="0.35">
      <c r="A34" s="291" t="s">
        <v>637</v>
      </c>
      <c r="B34" s="294">
        <f>GreenUser!M33</f>
        <v>13.826172360000001</v>
      </c>
      <c r="E34" s="304" t="s">
        <v>695</v>
      </c>
      <c r="F34" s="73" t="s">
        <v>298</v>
      </c>
      <c r="G34" s="263">
        <f>VLOOKUP('Style Change'!C13,'back end data'!A50:B52,2,FALSE)</f>
        <v>0.05</v>
      </c>
    </row>
    <row r="35" spans="1:10" x14ac:dyDescent="0.35">
      <c r="A35" s="292" t="s">
        <v>638</v>
      </c>
      <c r="B35" s="295">
        <f>SUM(GreenUser!M27:M30)</f>
        <v>36.244323257999994</v>
      </c>
      <c r="E35" s="304" t="s">
        <v>696</v>
      </c>
      <c r="F35" s="73" t="s">
        <v>626</v>
      </c>
      <c r="G35" s="263">
        <f>VLOOKUP('Style Change'!C14,'back end data'!A54:B55,2,FALSE)</f>
        <v>0.05</v>
      </c>
    </row>
    <row r="36" spans="1:10" x14ac:dyDescent="0.35">
      <c r="A36" s="292" t="s">
        <v>642</v>
      </c>
      <c r="B36" s="295">
        <f>SUM(GreenUser!M10:M15,GreenUser!M22:M24)</f>
        <v>157.50741413814814</v>
      </c>
      <c r="E36" s="304" t="s">
        <v>697</v>
      </c>
      <c r="F36" s="73" t="s">
        <v>664</v>
      </c>
      <c r="G36" s="263">
        <f>VLOOKUP('Style Change'!C15,'back end data'!A60:B61,2,FALSE)</f>
        <v>5.0000000000000001E-3</v>
      </c>
    </row>
    <row r="37" spans="1:10" x14ac:dyDescent="0.35">
      <c r="A37" s="292" t="s">
        <v>639</v>
      </c>
      <c r="B37" s="295">
        <f>SUM(GreenUser!M18:M19)</f>
        <v>25.227277980666667</v>
      </c>
      <c r="E37" s="304" t="s">
        <v>698</v>
      </c>
      <c r="F37" s="73" t="s">
        <v>177</v>
      </c>
      <c r="G37" s="263">
        <f>VLOOKUP('Style Change'!C16,'back end data'!A57:B58,2,FALSE)</f>
        <v>0</v>
      </c>
    </row>
    <row r="38" spans="1:10" x14ac:dyDescent="0.35">
      <c r="A38" s="292" t="s">
        <v>308</v>
      </c>
      <c r="B38" s="296">
        <f>'total footprint report'!B44</f>
        <v>0</v>
      </c>
      <c r="E38" s="304" t="s">
        <v>699</v>
      </c>
      <c r="F38" s="73" t="s">
        <v>627</v>
      </c>
      <c r="G38" s="263">
        <f>VLOOKUP('Style Change'!C17,'back end data'!A67:B71,2,FALSE)</f>
        <v>0.01</v>
      </c>
    </row>
    <row r="39" spans="1:10" x14ac:dyDescent="0.35">
      <c r="A39" s="293" t="s">
        <v>640</v>
      </c>
      <c r="B39" s="297">
        <f>SUM(B34:B38)</f>
        <v>232.80518773681479</v>
      </c>
      <c r="E39" s="304" t="s">
        <v>705</v>
      </c>
      <c r="F39" s="73" t="s">
        <v>711</v>
      </c>
      <c r="G39" s="308">
        <f>VLOOKUP(Start!B15,'back end data'!A80:I81,8,FALSE)</f>
        <v>9.6767464444444451E-2</v>
      </c>
    </row>
    <row r="40" spans="1:10" x14ac:dyDescent="0.35">
      <c r="A40" s="55" t="s">
        <v>703</v>
      </c>
      <c r="B40" s="19"/>
      <c r="E40" s="242" t="s">
        <v>709</v>
      </c>
      <c r="F40" s="306" t="s">
        <v>710</v>
      </c>
      <c r="G40" s="307">
        <f>VLOOKUP(Start!B15,'back end data'!A83:G84,4,FALSE)</f>
        <v>9.2857667901234554E-3</v>
      </c>
    </row>
    <row r="41" spans="1:10" x14ac:dyDescent="0.35">
      <c r="A41" s="55" t="s">
        <v>641</v>
      </c>
      <c r="B41" t="s">
        <v>700</v>
      </c>
    </row>
    <row r="42" spans="1:10" x14ac:dyDescent="0.35">
      <c r="A42" s="55" t="s">
        <v>644</v>
      </c>
      <c r="B42" t="s">
        <v>701</v>
      </c>
      <c r="E42" s="276" t="s">
        <v>636</v>
      </c>
      <c r="F42" s="277" t="s">
        <v>628</v>
      </c>
      <c r="G42" s="119"/>
      <c r="H42" s="119"/>
      <c r="I42" s="119"/>
      <c r="J42" s="279"/>
    </row>
    <row r="43" spans="1:10" x14ac:dyDescent="0.35">
      <c r="A43" s="55" t="s">
        <v>704</v>
      </c>
      <c r="B43" t="s">
        <v>702</v>
      </c>
      <c r="E43" s="262">
        <v>1</v>
      </c>
      <c r="F43" s="73" t="s">
        <v>128</v>
      </c>
      <c r="G43" s="73">
        <v>5.5</v>
      </c>
      <c r="H43" s="73">
        <v>7.75</v>
      </c>
      <c r="I43" s="73">
        <v>10</v>
      </c>
      <c r="J43" s="263"/>
    </row>
    <row r="44" spans="1:10" x14ac:dyDescent="0.35">
      <c r="A44" s="55" t="s">
        <v>643</v>
      </c>
      <c r="B44" t="s">
        <v>156</v>
      </c>
      <c r="E44" s="262">
        <v>7</v>
      </c>
      <c r="F44" s="73" t="s">
        <v>157</v>
      </c>
      <c r="G44" s="73"/>
      <c r="H44" s="73"/>
      <c r="I44" s="73"/>
      <c r="J44" s="263"/>
    </row>
    <row r="45" spans="1:10" x14ac:dyDescent="0.35">
      <c r="E45" s="262">
        <v>8</v>
      </c>
      <c r="F45" s="73" t="s">
        <v>158</v>
      </c>
      <c r="G45" s="73">
        <v>0</v>
      </c>
      <c r="H45" s="73">
        <v>0.53</v>
      </c>
      <c r="I45" s="73"/>
      <c r="J45" s="263"/>
    </row>
    <row r="46" spans="1:10" x14ac:dyDescent="0.35">
      <c r="E46" s="262">
        <v>9</v>
      </c>
      <c r="F46" s="73" t="s">
        <v>625</v>
      </c>
      <c r="G46" s="73">
        <v>0.12</v>
      </c>
      <c r="H46" s="73">
        <v>0.22</v>
      </c>
      <c r="I46" s="73">
        <v>0.36</v>
      </c>
      <c r="J46" s="263"/>
    </row>
    <row r="47" spans="1:10" x14ac:dyDescent="0.35">
      <c r="E47" s="262">
        <v>11</v>
      </c>
      <c r="F47" s="73" t="s">
        <v>25</v>
      </c>
      <c r="G47" s="73"/>
      <c r="H47" s="73"/>
      <c r="I47" s="73"/>
      <c r="J47" s="263"/>
    </row>
    <row r="48" spans="1:10" x14ac:dyDescent="0.35">
      <c r="E48" s="262">
        <v>12</v>
      </c>
      <c r="F48" s="73" t="s">
        <v>298</v>
      </c>
      <c r="G48" s="73">
        <v>0.18</v>
      </c>
      <c r="H48" s="73">
        <v>0.05</v>
      </c>
      <c r="I48" s="73">
        <v>0.3</v>
      </c>
      <c r="J48" s="263"/>
    </row>
    <row r="49" spans="5:10" x14ac:dyDescent="0.35">
      <c r="E49" s="262">
        <v>12</v>
      </c>
      <c r="F49" s="73" t="s">
        <v>626</v>
      </c>
      <c r="G49" s="73">
        <v>0.3</v>
      </c>
      <c r="H49" s="73">
        <f>50/1000</f>
        <v>0.05</v>
      </c>
      <c r="I49" s="73"/>
      <c r="J49" s="263"/>
    </row>
    <row r="50" spans="5:10" x14ac:dyDescent="0.35">
      <c r="E50" s="260">
        <v>16</v>
      </c>
      <c r="F50" s="138" t="s">
        <v>627</v>
      </c>
      <c r="G50" s="138">
        <f>60/1000</f>
        <v>0.06</v>
      </c>
      <c r="H50" s="138">
        <f>42/1000</f>
        <v>4.2000000000000003E-2</v>
      </c>
      <c r="I50" s="138">
        <f>13/1000</f>
        <v>1.2999999999999999E-2</v>
      </c>
      <c r="J50" s="261">
        <f>10/1000</f>
        <v>0.01</v>
      </c>
    </row>
  </sheetData>
  <conditionalFormatting sqref="A41:A44">
    <cfRule type="uniqueValues" dxfId="9" priority="1"/>
  </conditionalFormatting>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39997558519241921"/>
  </sheetPr>
  <dimension ref="A1:AM70"/>
  <sheetViews>
    <sheetView topLeftCell="C8" zoomScale="90" zoomScaleNormal="90" workbookViewId="0">
      <selection activeCell="H22" sqref="H22"/>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customWidth="1" collapsed="1"/>
    <col min="7" max="7" width="14.6328125" style="19" customWidth="1" collapsed="1"/>
    <col min="8" max="8" width="17.81640625" style="19" customWidth="1" collapsed="1"/>
    <col min="9" max="9" width="18.81640625" style="19" customWidth="1" collapsed="1"/>
    <col min="10" max="10" width="14.6328125" style="19" customWidth="1" collapsed="1"/>
    <col min="11" max="11" width="14.08984375" customWidth="1" collapsed="1"/>
    <col min="12" max="12" width="14.6328125"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GreenStyleUser!B10</f>
        <v>Water saving shower head (flow reduction)</v>
      </c>
      <c r="C10" s="152">
        <f>'Data Aggregation'!G2</f>
        <v>20</v>
      </c>
      <c r="D10" s="32" t="s">
        <v>145</v>
      </c>
      <c r="E10" s="89">
        <f>VLOOKUP(B10,'back end data'!A8:B10,2,FALSE)</f>
        <v>5.5</v>
      </c>
      <c r="F10" s="39">
        <f>C10*E10</f>
        <v>110</v>
      </c>
      <c r="G10" s="40"/>
      <c r="H10" s="40">
        <f>F10*VLOOKUP(Start!B15,'back end data'!A76:G77,4,FALSE)</f>
        <v>0.75263583456790117</v>
      </c>
      <c r="I10" s="31"/>
      <c r="J10" s="32">
        <f>F10*VLOOKUP(Start!B15,'back end data'!A76:G77,6,FALSE)</f>
        <v>3.9735802469135804</v>
      </c>
      <c r="K10" s="30">
        <f>52.14*F10</f>
        <v>5735.4</v>
      </c>
      <c r="L10" s="31">
        <f t="shared" ref="L10:O25" si="0">52.14*G10</f>
        <v>0</v>
      </c>
      <c r="M10" s="256">
        <f t="shared" si="0"/>
        <v>39.24243241437037</v>
      </c>
      <c r="N10" s="31">
        <f t="shared" si="0"/>
        <v>0</v>
      </c>
      <c r="O10" s="32">
        <f t="shared" si="0"/>
        <v>207.18247407407409</v>
      </c>
      <c r="P10" s="72">
        <f>'household calculator'!G7</f>
        <v>31284</v>
      </c>
      <c r="Q10" s="73">
        <f>'household calculator'!H7</f>
        <v>0</v>
      </c>
      <c r="R10" s="252">
        <f>'household calculator'!I7</f>
        <v>214.04963135111112</v>
      </c>
      <c r="S10" s="73">
        <f>'household calculator'!J7</f>
        <v>0</v>
      </c>
      <c r="T10" s="73">
        <f>'household calculator'!K7</f>
        <v>1130.0862222222222</v>
      </c>
      <c r="U10" s="130"/>
      <c r="V10" s="79">
        <f>IF(P10&lt;&gt;0,(P10-K10)/P10,"")</f>
        <v>0.81666666666666665</v>
      </c>
      <c r="W10" s="80" t="str">
        <f t="shared" ref="W10:Z25" si="1">IF(Q10&lt;&gt;0,(Q10-L10)/Q10,"")</f>
        <v/>
      </c>
      <c r="X10" s="80">
        <f t="shared" si="1"/>
        <v>0.81666666666666665</v>
      </c>
      <c r="Y10" s="80" t="str">
        <f t="shared" si="1"/>
        <v/>
      </c>
      <c r="Z10" s="81">
        <f t="shared" si="1"/>
        <v>0.81666666666666665</v>
      </c>
      <c r="AA10" s="56"/>
      <c r="AB10" s="101">
        <f>(P10-K10)/(P$34-K$34)</f>
        <v>0.82115565089154063</v>
      </c>
      <c r="AC10" s="102"/>
      <c r="AD10" s="102">
        <f t="shared" ref="AD10:AD25" si="2">(R10-M10)/(R$34-M$34)</f>
        <v>0.60563946680544556</v>
      </c>
      <c r="AE10" s="102"/>
      <c r="AF10" s="102">
        <f t="shared" ref="AF10:AF34" si="3">(T10-O10)/(T$34-O$34)</f>
        <v>0.58683283241574613</v>
      </c>
      <c r="AG10" s="187">
        <f>IF(P10&lt;&gt;0,(P10-K10),"")</f>
        <v>25548.6</v>
      </c>
      <c r="AH10" s="188" t="str">
        <f t="shared" ref="AH10:AK25" si="4">IF(Q10&lt;&gt;0,(Q10-L10),"")</f>
        <v/>
      </c>
      <c r="AI10" s="188">
        <f t="shared" si="4"/>
        <v>174.80719893674075</v>
      </c>
      <c r="AJ10" s="188" t="str">
        <f t="shared" si="4"/>
        <v/>
      </c>
      <c r="AK10" s="189">
        <f t="shared" si="4"/>
        <v>922.90374814814811</v>
      </c>
      <c r="AL10" s="56"/>
      <c r="AM10" s="56"/>
    </row>
    <row r="11" spans="1:39" x14ac:dyDescent="0.35">
      <c r="A11" s="89" t="s">
        <v>129</v>
      </c>
      <c r="B11" s="30" t="str">
        <f>GreenStyleUser!B11</f>
        <v>I don't take baths</v>
      </c>
      <c r="C11" s="152">
        <f>'Data Aggregation'!G3</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GreenStyleUser!B12</f>
        <v>Toilet with two flush options (urine/faeces)</v>
      </c>
      <c r="C12" s="152">
        <f>'Data Aggregation'!G4</f>
        <v>4</v>
      </c>
      <c r="D12" s="32" t="s">
        <v>149</v>
      </c>
      <c r="E12" s="89">
        <f>VLOOKUP(B12,'back end data'!A16:B18,2,FALSE)</f>
        <v>3.5</v>
      </c>
      <c r="F12" s="39">
        <f>7*C12*E12</f>
        <v>98</v>
      </c>
      <c r="G12" s="40"/>
      <c r="H12" s="40">
        <v>0</v>
      </c>
      <c r="I12" s="40"/>
      <c r="J12" s="41">
        <v>0</v>
      </c>
      <c r="K12" s="30">
        <f t="shared" si="5"/>
        <v>5109.72</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0.7846153846153846</v>
      </c>
      <c r="W12" s="80" t="str">
        <f t="shared" si="1"/>
        <v/>
      </c>
      <c r="X12" s="80" t="str">
        <f t="shared" si="1"/>
        <v/>
      </c>
      <c r="Y12" s="80" t="str">
        <f t="shared" si="1"/>
        <v/>
      </c>
      <c r="Z12" s="81" t="str">
        <f t="shared" si="1"/>
        <v/>
      </c>
      <c r="AA12" s="56"/>
      <c r="AB12" s="101">
        <f t="shared" si="7"/>
        <v>0.59827054564955107</v>
      </c>
      <c r="AC12" s="103"/>
      <c r="AD12" s="102">
        <f t="shared" si="2"/>
        <v>0</v>
      </c>
      <c r="AE12" s="103"/>
      <c r="AF12" s="102">
        <f t="shared" si="3"/>
        <v>0</v>
      </c>
      <c r="AG12" s="187">
        <f t="shared" si="8"/>
        <v>18613.98</v>
      </c>
      <c r="AH12" s="188" t="str">
        <f t="shared" si="4"/>
        <v/>
      </c>
      <c r="AI12" s="188" t="str">
        <f t="shared" si="4"/>
        <v/>
      </c>
      <c r="AJ12" s="188" t="str">
        <f t="shared" si="4"/>
        <v/>
      </c>
      <c r="AK12" s="189" t="str">
        <f t="shared" si="4"/>
        <v/>
      </c>
      <c r="AL12" s="56"/>
      <c r="AM12" s="56"/>
    </row>
    <row r="13" spans="1:39" x14ac:dyDescent="0.35">
      <c r="A13" s="89" t="s">
        <v>150</v>
      </c>
      <c r="B13" s="30" t="str">
        <f>GreenStyleUser!B13</f>
        <v>Brushing teeth closed tap</v>
      </c>
      <c r="C13" s="152">
        <f>'Data Aggregation'!G5</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2189.88</v>
      </c>
      <c r="Q13" s="73">
        <f>'household calculator'!H10</f>
        <v>0</v>
      </c>
      <c r="R13" s="252">
        <f>'household calculator'!I10</f>
        <v>0</v>
      </c>
      <c r="S13" s="73">
        <f>'household calculator'!J10</f>
        <v>0</v>
      </c>
      <c r="T13" s="73">
        <f>'household calculator'!K10</f>
        <v>0</v>
      </c>
      <c r="U13" s="130"/>
      <c r="V13" s="79">
        <f t="shared" si="6"/>
        <v>0</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f t="shared" si="8"/>
        <v>0</v>
      </c>
      <c r="AH13" s="188" t="str">
        <f t="shared" si="4"/>
        <v/>
      </c>
      <c r="AI13" s="188" t="str">
        <f t="shared" si="4"/>
        <v/>
      </c>
      <c r="AJ13" s="188" t="str">
        <f t="shared" si="4"/>
        <v/>
      </c>
      <c r="AK13" s="189" t="str">
        <f t="shared" si="4"/>
        <v/>
      </c>
      <c r="AL13" s="56"/>
      <c r="AM13" s="56"/>
    </row>
    <row r="14" spans="1:39" x14ac:dyDescent="0.35">
      <c r="A14" s="89" t="s">
        <v>153</v>
      </c>
      <c r="B14" s="30" t="str">
        <f>GreenStyleUser!B14</f>
        <v>nothing to select</v>
      </c>
      <c r="C14" s="152">
        <f>'Data Aggregation'!G6</f>
        <v>12</v>
      </c>
      <c r="D14" s="32" t="s">
        <v>149</v>
      </c>
      <c r="E14" s="89">
        <f>'back end data'!B25</f>
        <v>1</v>
      </c>
      <c r="F14" s="39">
        <f>7*C14*E14</f>
        <v>84</v>
      </c>
      <c r="G14" s="40"/>
      <c r="H14" s="40">
        <v>0</v>
      </c>
      <c r="I14" s="40"/>
      <c r="J14" s="41">
        <v>0</v>
      </c>
      <c r="K14" s="30">
        <f t="shared" si="5"/>
        <v>4379.76</v>
      </c>
      <c r="L14" s="31">
        <f t="shared" si="0"/>
        <v>0</v>
      </c>
      <c r="M14" s="256">
        <f t="shared" si="0"/>
        <v>0</v>
      </c>
      <c r="N14" s="31">
        <f t="shared" si="0"/>
        <v>0</v>
      </c>
      <c r="O14" s="32">
        <f t="shared" si="0"/>
        <v>0</v>
      </c>
      <c r="P14" s="72">
        <f>'household calculator'!G11</f>
        <v>3649.8</v>
      </c>
      <c r="Q14" s="73">
        <f>'household calculator'!H11</f>
        <v>0</v>
      </c>
      <c r="R14" s="252">
        <f>'household calculator'!I11</f>
        <v>0</v>
      </c>
      <c r="S14" s="73">
        <f>'household calculator'!J11</f>
        <v>0</v>
      </c>
      <c r="T14" s="73">
        <f>'household calculator'!K11</f>
        <v>0</v>
      </c>
      <c r="U14" s="130"/>
      <c r="V14" s="79">
        <f t="shared" si="6"/>
        <v>-0.2</v>
      </c>
      <c r="W14" s="80" t="str">
        <f t="shared" si="1"/>
        <v/>
      </c>
      <c r="X14" s="80" t="str">
        <f t="shared" si="1"/>
        <v/>
      </c>
      <c r="Y14" s="80" t="str">
        <f t="shared" si="1"/>
        <v/>
      </c>
      <c r="Z14" s="81" t="str">
        <f t="shared" si="1"/>
        <v/>
      </c>
      <c r="AA14" s="56"/>
      <c r="AB14" s="101">
        <f t="shared" si="7"/>
        <v>-2.346159002547259E-2</v>
      </c>
      <c r="AC14" s="103"/>
      <c r="AD14" s="102">
        <f t="shared" si="2"/>
        <v>0</v>
      </c>
      <c r="AE14" s="103"/>
      <c r="AF14" s="102">
        <f t="shared" si="3"/>
        <v>0</v>
      </c>
      <c r="AG14" s="187">
        <f t="shared" si="8"/>
        <v>-729.96</v>
      </c>
      <c r="AH14" s="188" t="str">
        <f t="shared" si="4"/>
        <v/>
      </c>
      <c r="AI14" s="188" t="str">
        <f t="shared" si="4"/>
        <v/>
      </c>
      <c r="AJ14" s="188" t="str">
        <f t="shared" si="4"/>
        <v/>
      </c>
      <c r="AK14" s="189" t="str">
        <f t="shared" si="4"/>
        <v/>
      </c>
      <c r="AL14" s="56"/>
      <c r="AM14" s="56"/>
    </row>
    <row r="15" spans="1:39" x14ac:dyDescent="0.35">
      <c r="A15" s="89" t="s">
        <v>154</v>
      </c>
      <c r="B15" s="30" t="str">
        <f>GreenStyleUser!B15</f>
        <v>nothing to select</v>
      </c>
      <c r="C15" s="152">
        <f>'Data Aggregation'!G7</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0</v>
      </c>
      <c r="Q15" s="73">
        <f>'household calculator'!H12</f>
        <v>0</v>
      </c>
      <c r="R15" s="252">
        <f>'household calculator'!I12</f>
        <v>0</v>
      </c>
      <c r="S15" s="73">
        <f>'household calculator'!J12</f>
        <v>0</v>
      </c>
      <c r="T15" s="73">
        <f>'household calculator'!K12</f>
        <v>0</v>
      </c>
      <c r="U15" s="130"/>
      <c r="V15" s="79" t="str">
        <f t="shared" si="6"/>
        <v/>
      </c>
      <c r="W15" s="80" t="str">
        <f t="shared" si="1"/>
        <v/>
      </c>
      <c r="X15" s="80" t="str">
        <f t="shared" si="1"/>
        <v/>
      </c>
      <c r="Y15" s="80" t="str">
        <f t="shared" si="1"/>
        <v/>
      </c>
      <c r="Z15" s="81" t="str">
        <f t="shared" si="1"/>
        <v/>
      </c>
      <c r="AA15" s="56"/>
      <c r="AB15" s="101">
        <f t="shared" si="7"/>
        <v>-8.3791392948116394E-3</v>
      </c>
      <c r="AC15" s="103"/>
      <c r="AD15" s="102">
        <f t="shared" si="2"/>
        <v>0</v>
      </c>
      <c r="AE15" s="103"/>
      <c r="AF15" s="102">
        <f t="shared" si="3"/>
        <v>0</v>
      </c>
      <c r="AG15" s="187" t="str">
        <f t="shared" si="8"/>
        <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GreenStyleUser!B18</f>
        <v>Washing machine eco mode</v>
      </c>
      <c r="C18" s="152">
        <f>'Data Aggregation'!G8</f>
        <v>5</v>
      </c>
      <c r="D18" s="32" t="s">
        <v>162</v>
      </c>
      <c r="E18" s="89">
        <f>VLOOKUP(B18,'back end data'!A30:B32,2,FALSE)</f>
        <v>7.14</v>
      </c>
      <c r="F18" s="39">
        <f>C18*E18</f>
        <v>35.699999999999996</v>
      </c>
      <c r="G18" s="40"/>
      <c r="H18" s="40">
        <f>C18*VLOOKUP(Start!B15,'back end data'!A80:I81,8,FALSE)</f>
        <v>0.48383732222222225</v>
      </c>
      <c r="I18" s="40"/>
      <c r="J18" s="41">
        <f>C18*VLOOKUP(Start!B15,'back end data'!A80:I81,6,FALSE)</f>
        <v>0.21287037037037038</v>
      </c>
      <c r="K18" s="30">
        <f t="shared" si="5"/>
        <v>1861.3979999999999</v>
      </c>
      <c r="L18" s="31">
        <f t="shared" si="0"/>
        <v>0</v>
      </c>
      <c r="M18" s="256">
        <f t="shared" si="0"/>
        <v>25.227277980666667</v>
      </c>
      <c r="N18" s="31">
        <f t="shared" si="0"/>
        <v>0</v>
      </c>
      <c r="O18" s="32">
        <f t="shared" si="0"/>
        <v>11.099061111111112</v>
      </c>
      <c r="P18" s="72">
        <f>'household calculator'!G15</f>
        <v>1116.8388</v>
      </c>
      <c r="Q18" s="73">
        <f>'household calculator'!H15</f>
        <v>0</v>
      </c>
      <c r="R18" s="252">
        <f>'household calculator'!I15</f>
        <v>15.136366788400002</v>
      </c>
      <c r="S18" s="73">
        <f>'household calculator'!J15</f>
        <v>0</v>
      </c>
      <c r="T18" s="73">
        <f>'household calculator'!K15</f>
        <v>6.6594366666666671</v>
      </c>
      <c r="U18" s="130"/>
      <c r="V18" s="79">
        <f t="shared" si="6"/>
        <v>-0.66666666666666663</v>
      </c>
      <c r="W18" s="80" t="str">
        <f t="shared" si="1"/>
        <v/>
      </c>
      <c r="X18" s="80">
        <f t="shared" si="1"/>
        <v>-0.66666666666666652</v>
      </c>
      <c r="Y18" s="80" t="str">
        <f t="shared" si="1"/>
        <v/>
      </c>
      <c r="Z18" s="81">
        <f t="shared" si="1"/>
        <v>-0.66666666666666674</v>
      </c>
      <c r="AA18" s="56"/>
      <c r="AB18" s="101">
        <f t="shared" si="7"/>
        <v>-2.3930821825982041E-2</v>
      </c>
      <c r="AC18" s="103"/>
      <c r="AD18" s="102">
        <f t="shared" si="2"/>
        <v>-3.4961112077981978E-2</v>
      </c>
      <c r="AE18" s="103"/>
      <c r="AF18" s="102">
        <f t="shared" si="3"/>
        <v>-2.8229567740116071E-3</v>
      </c>
      <c r="AG18" s="187">
        <f t="shared" si="8"/>
        <v>-744.55919999999992</v>
      </c>
      <c r="AH18" s="188" t="str">
        <f t="shared" si="4"/>
        <v/>
      </c>
      <c r="AI18" s="188">
        <f t="shared" si="4"/>
        <v>-10.090911192266665</v>
      </c>
      <c r="AJ18" s="188" t="str">
        <f t="shared" si="4"/>
        <v/>
      </c>
      <c r="AK18" s="189">
        <f t="shared" si="4"/>
        <v>-4.439624444444445</v>
      </c>
      <c r="AL18" s="56"/>
      <c r="AM18" s="56"/>
    </row>
    <row r="19" spans="1:39" x14ac:dyDescent="0.35">
      <c r="A19" s="89" t="s">
        <v>158</v>
      </c>
      <c r="B19" s="30" t="str">
        <f>GreenStyleUser!B19</f>
        <v>Dry in sun and wind</v>
      </c>
      <c r="C19" s="152">
        <f>'Data Aggregation'!G9</f>
        <v>5</v>
      </c>
      <c r="D19" s="32" t="s">
        <v>162</v>
      </c>
      <c r="E19" s="89">
        <f>VLOOKUP(B19,'back end data'!A34:B35,2,FALSE)</f>
        <v>0</v>
      </c>
      <c r="F19" s="39">
        <v>0</v>
      </c>
      <c r="G19" s="40"/>
      <c r="H19" s="40">
        <f>J19*'back end data'!B63</f>
        <v>0</v>
      </c>
      <c r="I19" s="40"/>
      <c r="J19" s="41">
        <f>C19*GreenUser!E19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15.702581466</v>
      </c>
      <c r="S19" s="73">
        <f>'household calculator'!J16</f>
        <v>0</v>
      </c>
      <c r="T19" s="73">
        <f>'household calculator'!K16</f>
        <v>82.902600000000007</v>
      </c>
      <c r="U19" s="130"/>
      <c r="V19" s="79" t="str">
        <f t="shared" si="6"/>
        <v/>
      </c>
      <c r="W19" s="80" t="str">
        <f t="shared" si="1"/>
        <v/>
      </c>
      <c r="X19" s="80">
        <f t="shared" si="1"/>
        <v>1</v>
      </c>
      <c r="Y19" s="80" t="str">
        <f t="shared" si="1"/>
        <v/>
      </c>
      <c r="Z19" s="81">
        <f t="shared" si="1"/>
        <v>1</v>
      </c>
      <c r="AA19" s="56"/>
      <c r="AB19" s="101">
        <f t="shared" si="7"/>
        <v>0</v>
      </c>
      <c r="AC19" s="103"/>
      <c r="AD19" s="102">
        <f t="shared" si="2"/>
        <v>5.4403383409734905E-2</v>
      </c>
      <c r="AE19" s="103"/>
      <c r="AF19" s="102">
        <f t="shared" si="3"/>
        <v>5.2714021012752625E-2</v>
      </c>
      <c r="AG19" s="187" t="str">
        <f t="shared" si="8"/>
        <v/>
      </c>
      <c r="AH19" s="188" t="str">
        <f t="shared" si="4"/>
        <v/>
      </c>
      <c r="AI19" s="188">
        <f t="shared" si="4"/>
        <v>15.702581466</v>
      </c>
      <c r="AJ19" s="188" t="str">
        <f t="shared" si="4"/>
        <v/>
      </c>
      <c r="AK19" s="189">
        <f t="shared" si="4"/>
        <v>82.902600000000007</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GreenStyleUser!B22</f>
        <v>Kettle</v>
      </c>
      <c r="C22" s="152">
        <f>'Data Aggregation'!G10</f>
        <v>2</v>
      </c>
      <c r="D22" s="32" t="s">
        <v>167</v>
      </c>
      <c r="E22" s="89">
        <f>VLOOKUP(B22,'back end data'!A38:B40,2,FALSE)</f>
        <v>0.12</v>
      </c>
      <c r="F22" s="39">
        <f>C22*7</f>
        <v>14</v>
      </c>
      <c r="G22" s="40"/>
      <c r="H22" s="40">
        <f>J22*'back end data'!B63</f>
        <v>0.31820879999999996</v>
      </c>
      <c r="I22" s="40"/>
      <c r="J22" s="41">
        <f>C22*7*E22</f>
        <v>1.68</v>
      </c>
      <c r="K22" s="30">
        <f t="shared" si="5"/>
        <v>729.96</v>
      </c>
      <c r="L22" s="31">
        <f t="shared" si="0"/>
        <v>0</v>
      </c>
      <c r="M22" s="256">
        <f t="shared" si="0"/>
        <v>16.591406831999997</v>
      </c>
      <c r="N22" s="31">
        <f t="shared" si="0"/>
        <v>0</v>
      </c>
      <c r="O22" s="32">
        <f t="shared" si="0"/>
        <v>87.595199999999991</v>
      </c>
      <c r="P22" s="72">
        <f>'household calculator'!G19</f>
        <v>364.98</v>
      </c>
      <c r="Q22" s="73">
        <f>'household calculator'!H19</f>
        <v>0</v>
      </c>
      <c r="R22" s="252">
        <f>'household calculator'!I19</f>
        <v>24.887110247999999</v>
      </c>
      <c r="S22" s="73">
        <f>'household calculator'!J19</f>
        <v>0</v>
      </c>
      <c r="T22" s="73">
        <f>'household calculator'!K19</f>
        <v>131.39279999999999</v>
      </c>
      <c r="U22" s="130"/>
      <c r="V22" s="79">
        <f t="shared" si="6"/>
        <v>-1</v>
      </c>
      <c r="W22" s="80" t="str">
        <f t="shared" si="1"/>
        <v/>
      </c>
      <c r="X22" s="80">
        <f t="shared" si="1"/>
        <v>0.33333333333333343</v>
      </c>
      <c r="Y22" s="80" t="str">
        <f t="shared" si="1"/>
        <v/>
      </c>
      <c r="Z22" s="81">
        <f t="shared" si="1"/>
        <v>0.33333333333333337</v>
      </c>
      <c r="AA22" s="56"/>
      <c r="AB22" s="101">
        <f t="shared" si="7"/>
        <v>-1.1730795012736295E-2</v>
      </c>
      <c r="AC22" s="103"/>
      <c r="AD22" s="102">
        <f t="shared" si="2"/>
        <v>2.8741410103256187E-2</v>
      </c>
      <c r="AE22" s="103"/>
      <c r="AF22" s="102">
        <f t="shared" si="3"/>
        <v>2.7848916761454217E-2</v>
      </c>
      <c r="AG22" s="187">
        <f t="shared" si="8"/>
        <v>-364.98</v>
      </c>
      <c r="AH22" s="188" t="str">
        <f t="shared" si="4"/>
        <v/>
      </c>
      <c r="AI22" s="188">
        <f t="shared" si="4"/>
        <v>8.2957034160000021</v>
      </c>
      <c r="AJ22" s="188" t="str">
        <f t="shared" si="4"/>
        <v/>
      </c>
      <c r="AK22" s="189">
        <f t="shared" si="4"/>
        <v>43.797600000000003</v>
      </c>
      <c r="AL22" s="56"/>
      <c r="AM22" s="56"/>
    </row>
    <row r="23" spans="1:39" x14ac:dyDescent="0.35">
      <c r="A23" s="89" t="s">
        <v>184</v>
      </c>
      <c r="B23" s="30" t="str">
        <f>GreenStyleUser!B23</f>
        <v>I (sometimes) do the dishes manually</v>
      </c>
      <c r="C23" s="152">
        <f>'Data Aggregation'!G11</f>
        <v>14</v>
      </c>
      <c r="D23" s="32" t="s">
        <v>144</v>
      </c>
      <c r="E23" s="89">
        <f>VLOOKUP(B23,'back end data'!A42:B43,2,FALSE)</f>
        <v>30</v>
      </c>
      <c r="F23" s="39">
        <f>C23*E23</f>
        <v>420</v>
      </c>
      <c r="G23" s="40"/>
      <c r="H23" s="40">
        <f>F23*0.5*VLOOKUP(Start!B15,'back end data'!A83:G84,4,FALSE)</f>
        <v>1.9500110259259256</v>
      </c>
      <c r="I23" s="40"/>
      <c r="J23" s="41">
        <f>F23*0.5*VLOOKUP(Start!B15,'back end data'!A83:G84,6,FALSE)</f>
        <v>10.295185185185185</v>
      </c>
      <c r="K23" s="30">
        <f t="shared" si="5"/>
        <v>21898.799999999999</v>
      </c>
      <c r="L23" s="31">
        <f t="shared" si="0"/>
        <v>0</v>
      </c>
      <c r="M23" s="256">
        <f t="shared" si="0"/>
        <v>101.67357489177776</v>
      </c>
      <c r="N23" s="31">
        <f t="shared" si="0"/>
        <v>0</v>
      </c>
      <c r="O23" s="32">
        <f t="shared" si="0"/>
        <v>536.79095555555557</v>
      </c>
      <c r="P23" s="72">
        <f>'household calculator'!G20</f>
        <v>10949.4</v>
      </c>
      <c r="Q23" s="73">
        <f>'household calculator'!H20</f>
        <v>0</v>
      </c>
      <c r="R23" s="252">
        <f>'household calculator'!I20</f>
        <v>50.836787445888881</v>
      </c>
      <c r="S23" s="73">
        <f>'household calculator'!J20</f>
        <v>0</v>
      </c>
      <c r="T23" s="73">
        <f>'household calculator'!K20</f>
        <v>268.39547777777778</v>
      </c>
      <c r="U23" s="130"/>
      <c r="V23" s="79">
        <f t="shared" si="6"/>
        <v>-1</v>
      </c>
      <c r="W23" s="80" t="str">
        <f t="shared" si="1"/>
        <v/>
      </c>
      <c r="X23" s="80">
        <f t="shared" si="1"/>
        <v>-1</v>
      </c>
      <c r="Y23" s="80" t="str">
        <f t="shared" si="1"/>
        <v/>
      </c>
      <c r="Z23" s="81">
        <f t="shared" si="1"/>
        <v>-1</v>
      </c>
      <c r="AA23" s="56"/>
      <c r="AB23" s="101">
        <f t="shared" si="7"/>
        <v>-0.35192385038208884</v>
      </c>
      <c r="AC23" s="103"/>
      <c r="AD23" s="102">
        <f t="shared" si="2"/>
        <v>-0.17612984493831832</v>
      </c>
      <c r="AE23" s="103"/>
      <c r="AF23" s="102">
        <f t="shared" si="3"/>
        <v>-0.1706605686107017</v>
      </c>
      <c r="AG23" s="187">
        <f t="shared" si="8"/>
        <v>-10949.4</v>
      </c>
      <c r="AH23" s="188" t="str">
        <f t="shared" si="4"/>
        <v/>
      </c>
      <c r="AI23" s="188">
        <f t="shared" si="4"/>
        <v>-50.836787445888881</v>
      </c>
      <c r="AJ23" s="188" t="str">
        <f t="shared" si="4"/>
        <v/>
      </c>
      <c r="AK23" s="189">
        <f t="shared" si="4"/>
        <v>-268.39547777777778</v>
      </c>
      <c r="AL23" s="56"/>
      <c r="AM23" s="56"/>
    </row>
    <row r="24" spans="1:39" x14ac:dyDescent="0.35">
      <c r="A24" s="89" t="s">
        <v>185</v>
      </c>
      <c r="B24" s="30" t="str">
        <f>GreenStyleUser!B24</f>
        <v>I don't have a dishwasher</v>
      </c>
      <c r="C24" s="152">
        <f>'Data Aggregation'!G12</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c r="N25" s="31">
        <f t="shared" si="0"/>
        <v>0</v>
      </c>
      <c r="O25" s="32">
        <f t="shared" si="0"/>
        <v>0</v>
      </c>
      <c r="P25" s="72">
        <f>'household calculator'!G22</f>
        <v>0</v>
      </c>
      <c r="Q25" s="73">
        <f>'household calculator'!H22</f>
        <v>0</v>
      </c>
      <c r="R25" s="252"/>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GreenStyleUser!B27</f>
        <v>LED TV</v>
      </c>
      <c r="C27" s="152">
        <f>'Data Aggregation'!G13</f>
        <v>2</v>
      </c>
      <c r="D27" s="32" t="s">
        <v>171</v>
      </c>
      <c r="E27" s="89">
        <f>VLOOKUP(B27,'back end data'!A50:B52,2,FALSE)</f>
        <v>0.05</v>
      </c>
      <c r="F27" s="39">
        <v>0</v>
      </c>
      <c r="G27" s="40"/>
      <c r="H27" s="40">
        <f>J27*'back end data'!$B$63</f>
        <v>1.8941E-2</v>
      </c>
      <c r="I27" s="40"/>
      <c r="J27" s="41">
        <f>C27*E27</f>
        <v>0.1</v>
      </c>
      <c r="K27" s="30">
        <f t="shared" si="5"/>
        <v>0</v>
      </c>
      <c r="L27" s="31">
        <f t="shared" si="5"/>
        <v>0</v>
      </c>
      <c r="M27" s="256">
        <f t="shared" si="5"/>
        <v>0.98758373999999993</v>
      </c>
      <c r="N27" s="31">
        <f t="shared" si="5"/>
        <v>0</v>
      </c>
      <c r="O27" s="32">
        <f t="shared" si="5"/>
        <v>5.2140000000000004</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-3.4215964408638305E-3</v>
      </c>
      <c r="AE27" s="103"/>
      <c r="AF27" s="102">
        <f t="shared" si="3"/>
        <v>-3.3153472335064544E-3</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GreenStyleUser!B28</f>
        <v>Laptop</v>
      </c>
      <c r="C28" s="152">
        <f>'Data Aggregation'!G14</f>
        <v>10</v>
      </c>
      <c r="D28" s="32" t="s">
        <v>178</v>
      </c>
      <c r="E28" s="89">
        <f>VLOOKUP(B28,'back end data'!A54:B55,2,FALSE)</f>
        <v>0.05</v>
      </c>
      <c r="F28" s="39">
        <v>0</v>
      </c>
      <c r="G28" s="40"/>
      <c r="H28" s="40">
        <f>J28*'back end data'!$B$63</f>
        <v>0.66293499999999994</v>
      </c>
      <c r="I28" s="40"/>
      <c r="J28" s="41">
        <f>7*C28*E28</f>
        <v>3.5</v>
      </c>
      <c r="K28" s="30">
        <f t="shared" si="5"/>
        <v>0</v>
      </c>
      <c r="L28" s="31">
        <f t="shared" si="5"/>
        <v>0</v>
      </c>
      <c r="M28" s="256">
        <f t="shared" si="5"/>
        <v>34.565430899999996</v>
      </c>
      <c r="N28" s="31">
        <f t="shared" si="5"/>
        <v>0</v>
      </c>
      <c r="O28" s="32">
        <f t="shared" si="5"/>
        <v>182.49</v>
      </c>
      <c r="P28" s="72">
        <f>'household calculator'!G25</f>
        <v>0</v>
      </c>
      <c r="Q28" s="73">
        <f>'household calculator'!H25</f>
        <v>0</v>
      </c>
      <c r="R28" s="252">
        <f>'household calculator'!I25</f>
        <v>34.565430899999996</v>
      </c>
      <c r="S28" s="73">
        <f>'household calculator'!J25</f>
        <v>0</v>
      </c>
      <c r="T28" s="73">
        <f>'household calculator'!K25</f>
        <v>182.49</v>
      </c>
      <c r="U28" s="130"/>
      <c r="V28" s="79" t="str">
        <f t="shared" si="6"/>
        <v/>
      </c>
      <c r="W28" s="80" t="str">
        <f t="shared" si="6"/>
        <v/>
      </c>
      <c r="X28" s="80">
        <f t="shared" si="6"/>
        <v>0</v>
      </c>
      <c r="Y28" s="80" t="str">
        <f t="shared" si="6"/>
        <v/>
      </c>
      <c r="Z28" s="81">
        <f t="shared" si="6"/>
        <v>0</v>
      </c>
      <c r="AA28" s="56"/>
      <c r="AB28" s="101">
        <f t="shared" si="7"/>
        <v>0</v>
      </c>
      <c r="AC28" s="103"/>
      <c r="AD28" s="102">
        <f t="shared" si="9"/>
        <v>0</v>
      </c>
      <c r="AE28" s="103"/>
      <c r="AF28" s="102">
        <f t="shared" si="3"/>
        <v>0</v>
      </c>
      <c r="AG28" s="187" t="str">
        <f t="shared" si="8"/>
        <v/>
      </c>
      <c r="AH28" s="188" t="str">
        <f t="shared" si="8"/>
        <v/>
      </c>
      <c r="AI28" s="188">
        <f t="shared" si="8"/>
        <v>0</v>
      </c>
      <c r="AJ28" s="188" t="str">
        <f t="shared" si="8"/>
        <v/>
      </c>
      <c r="AK28" s="189">
        <f t="shared" si="8"/>
        <v>0</v>
      </c>
      <c r="AL28" s="56"/>
      <c r="AM28" s="56"/>
    </row>
    <row r="29" spans="1:39" x14ac:dyDescent="0.35">
      <c r="A29" s="89" t="s">
        <v>170</v>
      </c>
      <c r="B29" s="30" t="str">
        <f>GreenStyleUser!B29</f>
        <v>Mobile phone, and I charge it…</v>
      </c>
      <c r="C29" s="152">
        <f>'Data Aggregation'!G15</f>
        <v>2</v>
      </c>
      <c r="D29" s="32" t="s">
        <v>178</v>
      </c>
      <c r="E29" s="89">
        <f>VLOOKUP(B29,'back end data'!A60:B61,2,FALSE)</f>
        <v>5.0000000000000001E-3</v>
      </c>
      <c r="F29" s="39">
        <v>0</v>
      </c>
      <c r="G29" s="40"/>
      <c r="H29" s="40">
        <f>J29*'back end data'!$B$63</f>
        <v>1.3258700000000002E-2</v>
      </c>
      <c r="I29" s="40"/>
      <c r="J29" s="41">
        <f>7*C29*E29</f>
        <v>7.0000000000000007E-2</v>
      </c>
      <c r="K29" s="30">
        <f t="shared" si="5"/>
        <v>0</v>
      </c>
      <c r="L29" s="31">
        <f t="shared" si="5"/>
        <v>0</v>
      </c>
      <c r="M29" s="256">
        <f t="shared" si="5"/>
        <v>0.6913086180000001</v>
      </c>
      <c r="N29" s="31">
        <f t="shared" si="5"/>
        <v>0</v>
      </c>
      <c r="O29" s="32">
        <f t="shared" si="5"/>
        <v>3.6498000000000004</v>
      </c>
      <c r="P29" s="72">
        <f>'household calculator'!G26</f>
        <v>0</v>
      </c>
      <c r="Q29" s="73">
        <f>'household calculator'!H26</f>
        <v>0</v>
      </c>
      <c r="R29" s="252">
        <f>'household calculator'!I26</f>
        <v>0.34565430900000005</v>
      </c>
      <c r="S29" s="73">
        <f>'household calculator'!J26</f>
        <v>0</v>
      </c>
      <c r="T29" s="73">
        <f>'household calculator'!K26</f>
        <v>1.8249000000000002</v>
      </c>
      <c r="U29" s="130"/>
      <c r="V29" s="79" t="str">
        <f t="shared" si="6"/>
        <v/>
      </c>
      <c r="W29" s="80" t="str">
        <f t="shared" si="6"/>
        <v/>
      </c>
      <c r="X29" s="80">
        <f t="shared" si="6"/>
        <v>-1</v>
      </c>
      <c r="Y29" s="80" t="str">
        <f t="shared" si="6"/>
        <v/>
      </c>
      <c r="Z29" s="81">
        <f t="shared" si="6"/>
        <v>-1</v>
      </c>
      <c r="AA29" s="56"/>
      <c r="AB29" s="101">
        <f t="shared" si="7"/>
        <v>0</v>
      </c>
      <c r="AC29" s="103"/>
      <c r="AD29" s="102">
        <f t="shared" si="9"/>
        <v>-1.1975587543023409E-3</v>
      </c>
      <c r="AE29" s="103"/>
      <c r="AF29" s="102">
        <f t="shared" si="3"/>
        <v>-1.1603715317272591E-3</v>
      </c>
      <c r="AG29" s="187" t="str">
        <f t="shared" si="8"/>
        <v/>
      </c>
      <c r="AH29" s="188" t="str">
        <f t="shared" si="8"/>
        <v/>
      </c>
      <c r="AI29" s="188">
        <f t="shared" si="8"/>
        <v>-0.34565430900000005</v>
      </c>
      <c r="AJ29" s="188" t="str">
        <f t="shared" si="8"/>
        <v/>
      </c>
      <c r="AK29" s="189">
        <f t="shared" si="8"/>
        <v>-1.8249000000000002</v>
      </c>
      <c r="AL29" s="56"/>
      <c r="AM29" s="56"/>
    </row>
    <row r="30" spans="1:39" x14ac:dyDescent="0.35">
      <c r="A30" s="89" t="s">
        <v>177</v>
      </c>
      <c r="B30" s="30" t="str">
        <f>GreenStyleUser!B30</f>
        <v>I don't have a tablet</v>
      </c>
      <c r="C30" s="152">
        <f>'Data Aggregation'!G16</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GreenStyleUser!B33</f>
        <v>mainly LED lighting</v>
      </c>
      <c r="C33" s="156">
        <f>'Data Aggregation'!G17</f>
        <v>5</v>
      </c>
      <c r="D33" s="38" t="s">
        <v>178</v>
      </c>
      <c r="E33" s="90">
        <f>VLOOKUP(B33,'back end data'!A67:B71,2,FALSE)</f>
        <v>0.01</v>
      </c>
      <c r="F33" s="42">
        <v>0</v>
      </c>
      <c r="G33" s="43"/>
      <c r="H33" s="43">
        <f>J33*'back end data'!B63</f>
        <v>0.26517400000000002</v>
      </c>
      <c r="I33" s="43"/>
      <c r="J33" s="44">
        <f>C33*4*7*E33</f>
        <v>1.4000000000000001</v>
      </c>
      <c r="K33" s="36">
        <f t="shared" si="10"/>
        <v>0</v>
      </c>
      <c r="L33" s="37">
        <f t="shared" si="10"/>
        <v>0</v>
      </c>
      <c r="M33" s="257">
        <f t="shared" si="10"/>
        <v>13.826172360000001</v>
      </c>
      <c r="N33" s="37">
        <f t="shared" si="10"/>
        <v>0</v>
      </c>
      <c r="O33" s="38">
        <f t="shared" si="10"/>
        <v>72.996000000000009</v>
      </c>
      <c r="P33" s="74">
        <f>'household calculator'!G30</f>
        <v>0</v>
      </c>
      <c r="Q33" s="75">
        <f>'household calculator'!H30</f>
        <v>0</v>
      </c>
      <c r="R33" s="253">
        <f>'household calculator'!I30</f>
        <v>165.91406832000001</v>
      </c>
      <c r="S33" s="75">
        <f>'household calculator'!J30</f>
        <v>0</v>
      </c>
      <c r="T33" s="75">
        <f>'household calculator'!K30</f>
        <v>875.952</v>
      </c>
      <c r="U33" s="130"/>
      <c r="V33" s="82" t="str">
        <f t="shared" si="6"/>
        <v/>
      </c>
      <c r="W33" s="83" t="str">
        <f t="shared" si="6"/>
        <v/>
      </c>
      <c r="X33" s="83">
        <f t="shared" si="6"/>
        <v>0.91666666666666674</v>
      </c>
      <c r="Y33" s="83" t="str">
        <f t="shared" si="6"/>
        <v/>
      </c>
      <c r="Z33" s="84">
        <f t="shared" si="6"/>
        <v>0.91666666666666674</v>
      </c>
      <c r="AA33" s="56"/>
      <c r="AB33" s="104">
        <f t="shared" si="7"/>
        <v>0</v>
      </c>
      <c r="AC33" s="105"/>
      <c r="AD33" s="106">
        <f t="shared" si="9"/>
        <v>0.52692585189302998</v>
      </c>
      <c r="AE33" s="105"/>
      <c r="AF33" s="106">
        <f t="shared" si="3"/>
        <v>0.51056347395999402</v>
      </c>
      <c r="AG33" s="193" t="str">
        <f t="shared" si="8"/>
        <v/>
      </c>
      <c r="AH33" s="194" t="str">
        <f t="shared" si="8"/>
        <v/>
      </c>
      <c r="AI33" s="194">
        <f t="shared" si="8"/>
        <v>152.08789596000003</v>
      </c>
      <c r="AJ33" s="194" t="str">
        <f t="shared" si="8"/>
        <v/>
      </c>
      <c r="AK33" s="195">
        <f t="shared" si="8"/>
        <v>802.95600000000002</v>
      </c>
      <c r="AL33" s="56"/>
      <c r="AM33" s="56"/>
    </row>
    <row r="34" spans="1:39" s="60" customFormat="1" ht="24" thickBot="1" x14ac:dyDescent="0.6">
      <c r="A34" s="58"/>
      <c r="B34" s="58"/>
      <c r="C34" s="58"/>
      <c r="D34" s="58"/>
      <c r="E34" s="58"/>
      <c r="F34" s="59">
        <f>SUM(F10:F33)</f>
        <v>808.7</v>
      </c>
      <c r="G34" s="59">
        <f t="shared" ref="G34:L34" si="11">SUM(G10:G31)</f>
        <v>0</v>
      </c>
      <c r="H34" s="59">
        <f>SUM(H10:H33)</f>
        <v>4.465001682716049</v>
      </c>
      <c r="I34" s="59">
        <f t="shared" si="11"/>
        <v>0</v>
      </c>
      <c r="J34" s="59">
        <f>SUM(J10:J33)</f>
        <v>21.231635802469135</v>
      </c>
      <c r="K34" s="59">
        <f>SUM(K10:K33)</f>
        <v>42165.618000000002</v>
      </c>
      <c r="L34" s="59">
        <f t="shared" si="11"/>
        <v>0</v>
      </c>
      <c r="M34" s="258">
        <f>SUM(M10:M33)</f>
        <v>232.80518773681479</v>
      </c>
      <c r="N34" s="59">
        <f>SUM(N10:N33)</f>
        <v>0</v>
      </c>
      <c r="O34" s="59">
        <f>SUM(O10:O33)</f>
        <v>1107.0174907407406</v>
      </c>
      <c r="P34" s="198">
        <f>'household calculator'!G31</f>
        <v>73278.598799999992</v>
      </c>
      <c r="Q34" s="76">
        <f>'household calculator'!H31</f>
        <v>0</v>
      </c>
      <c r="R34" s="254">
        <f>'household calculator'!I31</f>
        <v>521.43763082839996</v>
      </c>
      <c r="S34" s="76">
        <f>'household calculator'!J31</f>
        <v>0</v>
      </c>
      <c r="T34" s="76">
        <f>'household calculator'!K31</f>
        <v>2679.7034366666667</v>
      </c>
      <c r="U34" s="183"/>
      <c r="V34" s="184">
        <f>IF(P34&lt;&gt;0,(P34-K34)/P34,"")</f>
        <v>0.42458482161916</v>
      </c>
      <c r="W34" s="185" t="str">
        <f t="shared" ref="W34:Z34" si="12">IF(Q34&lt;&gt;0,(Q34-L34)/Q34,"")</f>
        <v/>
      </c>
      <c r="X34" s="185">
        <f t="shared" si="12"/>
        <v>0.55353205451060228</v>
      </c>
      <c r="Y34" s="185" t="str">
        <f t="shared" si="12"/>
        <v/>
      </c>
      <c r="Z34" s="186">
        <f t="shared" si="12"/>
        <v>0.58688805798682686</v>
      </c>
      <c r="AA34" s="129"/>
      <c r="AB34" s="100">
        <f t="shared" si="7"/>
        <v>1</v>
      </c>
      <c r="AC34" s="99"/>
      <c r="AD34" s="100">
        <f t="shared" si="9"/>
        <v>1</v>
      </c>
      <c r="AE34" s="99"/>
      <c r="AF34" s="100">
        <f t="shared" si="3"/>
        <v>1</v>
      </c>
      <c r="AG34" s="196">
        <f t="shared" ref="AG34:AK34" si="13">IF(P34&lt;&gt;0,(P34-K34),"")</f>
        <v>31112.98079999999</v>
      </c>
      <c r="AH34" s="196" t="str">
        <f t="shared" si="13"/>
        <v/>
      </c>
      <c r="AI34" s="196">
        <f t="shared" si="13"/>
        <v>288.63244309158517</v>
      </c>
      <c r="AJ34" s="196" t="str">
        <f t="shared" si="13"/>
        <v/>
      </c>
      <c r="AK34" s="197">
        <f t="shared" si="13"/>
        <v>1572.685945925926</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110</v>
      </c>
      <c r="L66" s="19">
        <f>SUM(J18:J19)</f>
        <v>0.21287037037037038</v>
      </c>
    </row>
    <row r="67" spans="6:12" x14ac:dyDescent="0.35">
      <c r="F67" s="19" t="s">
        <v>126</v>
      </c>
      <c r="G67" s="19">
        <f>F12</f>
        <v>98</v>
      </c>
      <c r="L67" s="19">
        <f>J22</f>
        <v>1.68</v>
      </c>
    </row>
    <row r="68" spans="6:12" x14ac:dyDescent="0.35">
      <c r="F68" s="19" t="s">
        <v>278</v>
      </c>
      <c r="G68" s="19">
        <f>SUM(F13:F15)</f>
        <v>131</v>
      </c>
      <c r="L68" s="19">
        <f>SUM(J27:J30)</f>
        <v>3.67</v>
      </c>
    </row>
    <row r="69" spans="6:12" x14ac:dyDescent="0.35">
      <c r="F69" s="19" t="s">
        <v>127</v>
      </c>
      <c r="G69" s="19">
        <f>F18</f>
        <v>35.699999999999996</v>
      </c>
      <c r="L69" s="19">
        <f>J33</f>
        <v>1.4000000000000001</v>
      </c>
    </row>
    <row r="70" spans="6:12" x14ac:dyDescent="0.35">
      <c r="F70" s="19" t="s">
        <v>279</v>
      </c>
      <c r="G70" s="19">
        <f>SUM(F23:F24)</f>
        <v>420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'back end data'!$A$66:$A$71</xm:f>
          </x14:formula1>
          <xm:sqref>B10:B33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H109"/>
  <sheetViews>
    <sheetView topLeftCell="A81" zoomScale="55" zoomScaleNormal="55" workbookViewId="0">
      <selection activeCell="D109" sqref="D109"/>
    </sheetView>
  </sheetViews>
  <sheetFormatPr defaultRowHeight="14.5" x14ac:dyDescent="0.35"/>
  <cols>
    <col min="1" max="1" width="16.453125" customWidth="1" collapsed="1"/>
    <col min="2" max="2" width="14.6328125" customWidth="1" collapsed="1"/>
    <col min="3" max="4" width="15.6328125" customWidth="1" collapsed="1"/>
    <col min="5" max="7" width="17.36328125" customWidth="1" collapsed="1"/>
  </cols>
  <sheetData>
    <row r="1" spans="1:7" ht="33.5" x14ac:dyDescent="0.75">
      <c r="A1" s="133" t="s">
        <v>449</v>
      </c>
      <c r="B1" s="56"/>
      <c r="C1" s="56"/>
      <c r="D1" s="56"/>
      <c r="E1" s="56"/>
      <c r="F1" s="56"/>
      <c r="G1" s="56"/>
    </row>
    <row r="2" spans="1:7" x14ac:dyDescent="0.35">
      <c r="A2" s="56"/>
      <c r="B2" s="56"/>
      <c r="C2" s="56"/>
      <c r="D2" s="56"/>
      <c r="E2" s="56"/>
      <c r="F2" s="56"/>
      <c r="G2" s="56"/>
    </row>
    <row r="3" spans="1:7" x14ac:dyDescent="0.35">
      <c r="A3" s="403" t="s">
        <v>364</v>
      </c>
      <c r="B3" s="403"/>
      <c r="C3" s="403"/>
      <c r="D3" s="403"/>
      <c r="E3" s="404" t="s">
        <v>421</v>
      </c>
      <c r="F3" s="405" t="s">
        <v>422</v>
      </c>
      <c r="G3" s="406" t="s">
        <v>423</v>
      </c>
    </row>
    <row r="4" spans="1:7" x14ac:dyDescent="0.35">
      <c r="A4" s="403"/>
      <c r="B4" s="403"/>
      <c r="C4" s="403"/>
      <c r="D4" s="403"/>
      <c r="E4" s="404"/>
      <c r="F4" s="405"/>
      <c r="G4" s="406"/>
    </row>
    <row r="5" spans="1:7" x14ac:dyDescent="0.35">
      <c r="A5" s="403"/>
      <c r="B5" s="403"/>
      <c r="C5" s="403"/>
      <c r="D5" s="403"/>
      <c r="E5" s="404"/>
      <c r="F5" s="405"/>
      <c r="G5" s="406"/>
    </row>
    <row r="6" spans="1:7" ht="28.5" customHeight="1" x14ac:dyDescent="0.35">
      <c r="A6" s="116" t="s">
        <v>424</v>
      </c>
      <c r="B6" s="116" t="s">
        <v>425</v>
      </c>
      <c r="C6" s="116" t="s">
        <v>371</v>
      </c>
      <c r="D6" s="116" t="s">
        <v>426</v>
      </c>
      <c r="E6" s="116" t="s">
        <v>427</v>
      </c>
      <c r="F6" s="116" t="s">
        <v>428</v>
      </c>
      <c r="G6" s="116" t="s">
        <v>429</v>
      </c>
    </row>
    <row r="7" spans="1:7" x14ac:dyDescent="0.35">
      <c r="A7" t="s">
        <v>346</v>
      </c>
      <c r="B7" t="s">
        <v>430</v>
      </c>
      <c r="C7">
        <f>Sub_Data!D10</f>
        <v>288</v>
      </c>
      <c r="D7">
        <v>0.56999999999999995</v>
      </c>
      <c r="E7" s="117">
        <v>0.1</v>
      </c>
      <c r="F7" s="117">
        <v>0.1</v>
      </c>
      <c r="G7" s="117">
        <v>0.1</v>
      </c>
    </row>
    <row r="8" spans="1:7" x14ac:dyDescent="0.35">
      <c r="A8" t="s">
        <v>88</v>
      </c>
      <c r="B8" t="s">
        <v>431</v>
      </c>
      <c r="C8">
        <f>Sub_Data!D2</f>
        <v>169</v>
      </c>
      <c r="D8">
        <v>17.649999999999999</v>
      </c>
      <c r="E8" s="117">
        <v>0</v>
      </c>
      <c r="F8" s="117">
        <v>0.2</v>
      </c>
      <c r="G8" s="117">
        <v>0</v>
      </c>
    </row>
    <row r="9" spans="1:7" x14ac:dyDescent="0.35">
      <c r="A9" t="s">
        <v>92</v>
      </c>
      <c r="B9" t="s">
        <v>432</v>
      </c>
      <c r="C9">
        <f>Sub_Data!D3</f>
        <v>608.5</v>
      </c>
      <c r="D9">
        <v>3.79</v>
      </c>
      <c r="E9" s="117">
        <v>0</v>
      </c>
      <c r="F9" s="117">
        <v>0.3</v>
      </c>
      <c r="G9" s="117">
        <v>0</v>
      </c>
    </row>
    <row r="10" spans="1:7" x14ac:dyDescent="0.35">
      <c r="A10" t="s">
        <v>402</v>
      </c>
      <c r="B10" t="s">
        <v>433</v>
      </c>
      <c r="C10">
        <f>Sub_Data!D6</f>
        <v>789.5</v>
      </c>
      <c r="D10">
        <v>0.77</v>
      </c>
      <c r="E10" s="117">
        <v>0</v>
      </c>
      <c r="F10" s="117">
        <v>0</v>
      </c>
      <c r="G10" s="117">
        <v>0</v>
      </c>
    </row>
    <row r="11" spans="1:7" x14ac:dyDescent="0.35">
      <c r="A11" t="s">
        <v>386</v>
      </c>
      <c r="B11" t="s">
        <v>434</v>
      </c>
      <c r="C11">
        <f>Sub_Data!D5</f>
        <v>297.5</v>
      </c>
      <c r="D11">
        <v>0.66</v>
      </c>
      <c r="E11" s="117">
        <v>0.2</v>
      </c>
      <c r="F11" s="117">
        <v>0.2</v>
      </c>
      <c r="G11" s="117">
        <v>0.2</v>
      </c>
    </row>
    <row r="12" spans="1:7" x14ac:dyDescent="0.35">
      <c r="A12" t="s">
        <v>407</v>
      </c>
      <c r="B12" t="s">
        <v>434</v>
      </c>
      <c r="C12">
        <f>Sub_Data!D9</f>
        <v>314</v>
      </c>
      <c r="D12">
        <v>0.39</v>
      </c>
      <c r="E12" s="117">
        <v>0.2</v>
      </c>
      <c r="F12" s="117">
        <v>0.2</v>
      </c>
      <c r="G12" s="117">
        <v>0.5</v>
      </c>
    </row>
    <row r="13" spans="1:7" x14ac:dyDescent="0.35">
      <c r="A13" t="s">
        <v>340</v>
      </c>
      <c r="B13" t="s">
        <v>434</v>
      </c>
      <c r="C13">
        <f>Sub_Data!D4</f>
        <v>285</v>
      </c>
      <c r="D13">
        <v>2.41</v>
      </c>
      <c r="E13" s="117">
        <v>0.5</v>
      </c>
      <c r="F13" s="117">
        <v>0</v>
      </c>
      <c r="G13" s="117">
        <v>0.2</v>
      </c>
    </row>
    <row r="14" spans="1:7" x14ac:dyDescent="0.35">
      <c r="A14" t="s">
        <v>291</v>
      </c>
      <c r="E14" s="117">
        <f>SUM(Table1[Case 1])</f>
        <v>1</v>
      </c>
      <c r="F14" s="117">
        <f>SUM(Table1[Case 2])</f>
        <v>1</v>
      </c>
      <c r="G14" s="117">
        <f>SUM(Table1[Case 3])</f>
        <v>1</v>
      </c>
    </row>
    <row r="15" spans="1:7" x14ac:dyDescent="0.35">
      <c r="A15" s="118" t="s">
        <v>435</v>
      </c>
      <c r="B15" s="119"/>
      <c r="C15" s="119"/>
      <c r="D15" s="119"/>
      <c r="E15" s="120" t="str">
        <f>IF(Table1[[#Totals],[Case 1]]=100%, "Correct", "Incorrect")</f>
        <v>Correct</v>
      </c>
      <c r="F15" s="120" t="str">
        <f>IF(Table1[[#Totals],[Case 2]]=100%, "Correct", "Incorrect")</f>
        <v>Correct</v>
      </c>
      <c r="G15" s="120" t="str">
        <f>IF(Table1[[#Totals],[Case 3]]=100%, "Correct", "Incorrect")</f>
        <v>Correct</v>
      </c>
    </row>
    <row r="16" spans="1:7" x14ac:dyDescent="0.35">
      <c r="A16" s="407" t="s">
        <v>436</v>
      </c>
      <c r="B16" s="407"/>
      <c r="C16" s="407"/>
      <c r="D16" s="407"/>
      <c r="E16" s="407"/>
    </row>
    <row r="18" spans="1:2" ht="16" thickBot="1" x14ac:dyDescent="0.4">
      <c r="A18" s="121" t="s">
        <v>424</v>
      </c>
      <c r="B18" s="121" t="s">
        <v>437</v>
      </c>
    </row>
    <row r="19" spans="1:2" x14ac:dyDescent="0.35">
      <c r="A19" s="122" t="s">
        <v>346</v>
      </c>
      <c r="B19" s="123">
        <f>E7*C7*D7</f>
        <v>16.416</v>
      </c>
    </row>
    <row r="20" spans="1:2" x14ac:dyDescent="0.35">
      <c r="A20" s="124" t="s">
        <v>88</v>
      </c>
      <c r="B20" s="125">
        <f t="shared" ref="B20:B25" si="0">E8*C8*D8</f>
        <v>0</v>
      </c>
    </row>
    <row r="21" spans="1:2" x14ac:dyDescent="0.35">
      <c r="A21" s="122" t="s">
        <v>92</v>
      </c>
      <c r="B21" s="123">
        <f t="shared" si="0"/>
        <v>0</v>
      </c>
    </row>
    <row r="22" spans="1:2" x14ac:dyDescent="0.35">
      <c r="A22" s="124" t="s">
        <v>402</v>
      </c>
      <c r="B22" s="125">
        <f t="shared" si="0"/>
        <v>0</v>
      </c>
    </row>
    <row r="23" spans="1:2" x14ac:dyDescent="0.35">
      <c r="A23" s="122" t="s">
        <v>386</v>
      </c>
      <c r="B23" s="123">
        <f t="shared" si="0"/>
        <v>39.270000000000003</v>
      </c>
    </row>
    <row r="24" spans="1:2" x14ac:dyDescent="0.35">
      <c r="A24" s="124" t="s">
        <v>407</v>
      </c>
      <c r="B24" s="125">
        <f t="shared" si="0"/>
        <v>24.492000000000001</v>
      </c>
    </row>
    <row r="25" spans="1:2" x14ac:dyDescent="0.35">
      <c r="A25" s="122" t="s">
        <v>340</v>
      </c>
      <c r="B25" s="123">
        <f t="shared" si="0"/>
        <v>343.42500000000001</v>
      </c>
    </row>
    <row r="26" spans="1:2" x14ac:dyDescent="0.35">
      <c r="A26" s="126" t="s">
        <v>291</v>
      </c>
      <c r="B26" s="127">
        <f>SUM(B19:B25)</f>
        <v>423.60300000000001</v>
      </c>
    </row>
    <row r="33" spans="1:2" ht="16" thickBot="1" x14ac:dyDescent="0.4">
      <c r="A33" s="121" t="s">
        <v>424</v>
      </c>
      <c r="B33" s="121" t="s">
        <v>428</v>
      </c>
    </row>
    <row r="34" spans="1:2" x14ac:dyDescent="0.35">
      <c r="A34" s="122" t="s">
        <v>346</v>
      </c>
      <c r="B34" s="123">
        <f t="shared" ref="B34:B40" si="1">F7*C7*D7</f>
        <v>16.416</v>
      </c>
    </row>
    <row r="35" spans="1:2" x14ac:dyDescent="0.35">
      <c r="A35" s="124" t="s">
        <v>88</v>
      </c>
      <c r="B35" s="128">
        <f t="shared" si="1"/>
        <v>596.57000000000005</v>
      </c>
    </row>
    <row r="36" spans="1:2" x14ac:dyDescent="0.35">
      <c r="A36" s="122" t="s">
        <v>92</v>
      </c>
      <c r="B36" s="123">
        <f t="shared" si="1"/>
        <v>691.86449999999991</v>
      </c>
    </row>
    <row r="37" spans="1:2" x14ac:dyDescent="0.35">
      <c r="A37" s="124" t="s">
        <v>402</v>
      </c>
      <c r="B37" s="128">
        <f t="shared" si="1"/>
        <v>0</v>
      </c>
    </row>
    <row r="38" spans="1:2" x14ac:dyDescent="0.35">
      <c r="A38" s="122" t="s">
        <v>386</v>
      </c>
      <c r="B38" s="123">
        <f t="shared" si="1"/>
        <v>39.270000000000003</v>
      </c>
    </row>
    <row r="39" spans="1:2" x14ac:dyDescent="0.35">
      <c r="A39" s="124" t="s">
        <v>407</v>
      </c>
      <c r="B39" s="128">
        <f t="shared" si="1"/>
        <v>24.492000000000001</v>
      </c>
    </row>
    <row r="40" spans="1:2" x14ac:dyDescent="0.35">
      <c r="A40" s="122" t="s">
        <v>340</v>
      </c>
      <c r="B40" s="123">
        <f t="shared" si="1"/>
        <v>0</v>
      </c>
    </row>
    <row r="41" spans="1:2" x14ac:dyDescent="0.35">
      <c r="A41" s="126" t="s">
        <v>291</v>
      </c>
      <c r="B41" s="127">
        <f>SUM(B34:B40)</f>
        <v>1368.6125</v>
      </c>
    </row>
    <row r="49" spans="1:2" ht="16" thickBot="1" x14ac:dyDescent="0.4">
      <c r="A49" s="121" t="s">
        <v>424</v>
      </c>
      <c r="B49" s="121" t="s">
        <v>429</v>
      </c>
    </row>
    <row r="50" spans="1:2" x14ac:dyDescent="0.35">
      <c r="A50" s="122" t="s">
        <v>346</v>
      </c>
      <c r="B50" s="123">
        <f t="shared" ref="B50:B56" si="2">G7*C7*D7</f>
        <v>16.416</v>
      </c>
    </row>
    <row r="51" spans="1:2" x14ac:dyDescent="0.35">
      <c r="A51" s="124" t="s">
        <v>88</v>
      </c>
      <c r="B51" s="128">
        <f t="shared" si="2"/>
        <v>0</v>
      </c>
    </row>
    <row r="52" spans="1:2" x14ac:dyDescent="0.35">
      <c r="A52" s="122" t="s">
        <v>92</v>
      </c>
      <c r="B52" s="123">
        <f t="shared" si="2"/>
        <v>0</v>
      </c>
    </row>
    <row r="53" spans="1:2" x14ac:dyDescent="0.35">
      <c r="A53" s="124" t="s">
        <v>402</v>
      </c>
      <c r="B53" s="128">
        <f t="shared" si="2"/>
        <v>0</v>
      </c>
    </row>
    <row r="54" spans="1:2" x14ac:dyDescent="0.35">
      <c r="A54" s="122" t="s">
        <v>386</v>
      </c>
      <c r="B54" s="123">
        <f t="shared" si="2"/>
        <v>39.270000000000003</v>
      </c>
    </row>
    <row r="55" spans="1:2" x14ac:dyDescent="0.35">
      <c r="A55" s="124" t="s">
        <v>407</v>
      </c>
      <c r="B55" s="128">
        <f t="shared" si="2"/>
        <v>61.230000000000004</v>
      </c>
    </row>
    <row r="56" spans="1:2" x14ac:dyDescent="0.35">
      <c r="A56" s="122" t="s">
        <v>340</v>
      </c>
      <c r="B56" s="123">
        <f t="shared" si="2"/>
        <v>137.37</v>
      </c>
    </row>
    <row r="57" spans="1:2" x14ac:dyDescent="0.35">
      <c r="A57" s="126" t="s">
        <v>291</v>
      </c>
      <c r="B57" s="127">
        <f>SUM(B50:B56)</f>
        <v>254.286</v>
      </c>
    </row>
    <row r="64" spans="1:2" s="75" customFormat="1" ht="15" thickBot="1" x14ac:dyDescent="0.4"/>
    <row r="66" spans="1:8" ht="14.5" customHeight="1" x14ac:dyDescent="0.35">
      <c r="A66" s="403" t="s">
        <v>438</v>
      </c>
      <c r="B66" s="403"/>
      <c r="C66" s="403"/>
      <c r="E66" s="408" t="s">
        <v>439</v>
      </c>
      <c r="F66" s="408"/>
      <c r="G66" s="408"/>
      <c r="H66" s="408"/>
    </row>
    <row r="67" spans="1:8" ht="14.5" customHeight="1" x14ac:dyDescent="0.35">
      <c r="A67" s="403"/>
      <c r="B67" s="403"/>
      <c r="C67" s="403"/>
      <c r="E67" s="408"/>
      <c r="F67" s="408"/>
      <c r="G67" s="408"/>
      <c r="H67" s="408"/>
    </row>
    <row r="68" spans="1:8" x14ac:dyDescent="0.35">
      <c r="A68" t="s">
        <v>412</v>
      </c>
      <c r="B68" t="s">
        <v>440</v>
      </c>
      <c r="C68" t="s">
        <v>441</v>
      </c>
      <c r="E68" s="401" t="s">
        <v>442</v>
      </c>
      <c r="F68" s="401"/>
      <c r="G68" s="401"/>
      <c r="H68" s="401"/>
    </row>
    <row r="69" spans="1:8" x14ac:dyDescent="0.35">
      <c r="A69" t="s">
        <v>421</v>
      </c>
      <c r="B69" t="s">
        <v>427</v>
      </c>
      <c r="C69" s="19">
        <f>B26</f>
        <v>423.60300000000001</v>
      </c>
      <c r="E69" s="401" t="s">
        <v>443</v>
      </c>
      <c r="F69" s="401"/>
      <c r="G69" s="401"/>
      <c r="H69" s="401"/>
    </row>
    <row r="70" spans="1:8" x14ac:dyDescent="0.35">
      <c r="A70" t="s">
        <v>422</v>
      </c>
      <c r="B70" t="s">
        <v>428</v>
      </c>
      <c r="C70" s="19">
        <f>B41</f>
        <v>1368.6125</v>
      </c>
      <c r="E70" s="401" t="s">
        <v>444</v>
      </c>
      <c r="F70" s="401"/>
      <c r="G70" s="401"/>
      <c r="H70" s="401"/>
    </row>
    <row r="71" spans="1:8" x14ac:dyDescent="0.35">
      <c r="A71" t="s">
        <v>423</v>
      </c>
      <c r="B71" t="s">
        <v>429</v>
      </c>
      <c r="C71" s="19">
        <f>B57</f>
        <v>254.286</v>
      </c>
      <c r="E71" s="402"/>
      <c r="F71" s="402"/>
      <c r="G71" s="402"/>
      <c r="H71" s="402"/>
    </row>
    <row r="88" spans="1:2" s="138" customFormat="1" x14ac:dyDescent="0.35"/>
    <row r="90" spans="1:2" x14ac:dyDescent="0.35">
      <c r="A90" t="e">
        <f>#REF!</f>
        <v>#REF!</v>
      </c>
      <c r="B90" t="e">
        <f>#REF!</f>
        <v>#REF!</v>
      </c>
    </row>
    <row r="91" spans="1:2" x14ac:dyDescent="0.35">
      <c r="A91" t="e">
        <f>#REF!</f>
        <v>#REF!</v>
      </c>
      <c r="B91" t="e">
        <f>#REF!</f>
        <v>#REF!</v>
      </c>
    </row>
    <row r="92" spans="1:2" x14ac:dyDescent="0.35">
      <c r="A92" t="e">
        <f>#REF!</f>
        <v>#REF!</v>
      </c>
      <c r="B92" t="e">
        <f>#REF!</f>
        <v>#REF!</v>
      </c>
    </row>
    <row r="93" spans="1:2" x14ac:dyDescent="0.35">
      <c r="A93" t="e">
        <f>#REF!</f>
        <v>#REF!</v>
      </c>
      <c r="B93" t="e">
        <f>#REF!</f>
        <v>#REF!</v>
      </c>
    </row>
    <row r="94" spans="1:2" x14ac:dyDescent="0.35">
      <c r="A94" t="e">
        <f>#REF!</f>
        <v>#REF!</v>
      </c>
      <c r="B94" t="e">
        <f>#REF!</f>
        <v>#REF!</v>
      </c>
    </row>
    <row r="95" spans="1:2" x14ac:dyDescent="0.35">
      <c r="A95" t="e">
        <f>#REF!</f>
        <v>#REF!</v>
      </c>
      <c r="B95" t="e">
        <f>#REF!</f>
        <v>#REF!</v>
      </c>
    </row>
    <row r="96" spans="1:2" x14ac:dyDescent="0.35">
      <c r="A96" t="e">
        <f>#REF!</f>
        <v>#REF!</v>
      </c>
      <c r="B96" t="e">
        <f>#REF!</f>
        <v>#REF!</v>
      </c>
    </row>
    <row r="97" spans="1:2" x14ac:dyDescent="0.35">
      <c r="A97" t="e">
        <f>#REF!</f>
        <v>#REF!</v>
      </c>
      <c r="B97" t="e">
        <f>#REF!</f>
        <v>#REF!</v>
      </c>
    </row>
    <row r="98" spans="1:2" x14ac:dyDescent="0.35">
      <c r="A98" t="e">
        <f>#REF!</f>
        <v>#REF!</v>
      </c>
      <c r="B98" t="e">
        <f>#REF!</f>
        <v>#REF!</v>
      </c>
    </row>
    <row r="99" spans="1:2" x14ac:dyDescent="0.35">
      <c r="A99" t="e">
        <f>#REF!</f>
        <v>#REF!</v>
      </c>
      <c r="B99" t="e">
        <f>#REF!</f>
        <v>#REF!</v>
      </c>
    </row>
    <row r="100" spans="1:2" x14ac:dyDescent="0.35">
      <c r="A100" t="e">
        <f>#REF!</f>
        <v>#REF!</v>
      </c>
      <c r="B100" t="e">
        <f>#REF!</f>
        <v>#REF!</v>
      </c>
    </row>
    <row r="101" spans="1:2" x14ac:dyDescent="0.35">
      <c r="A101" t="e">
        <f>#REF!</f>
        <v>#REF!</v>
      </c>
      <c r="B101" t="e">
        <f>#REF!</f>
        <v>#REF!</v>
      </c>
    </row>
    <row r="102" spans="1:2" x14ac:dyDescent="0.35">
      <c r="A102" t="e">
        <f>#REF!</f>
        <v>#REF!</v>
      </c>
      <c r="B102" t="e">
        <f>#REF!</f>
        <v>#REF!</v>
      </c>
    </row>
    <row r="103" spans="1:2" x14ac:dyDescent="0.35">
      <c r="A103" t="e">
        <f>#REF!</f>
        <v>#REF!</v>
      </c>
      <c r="B103" t="e">
        <f>#REF!</f>
        <v>#REF!</v>
      </c>
    </row>
    <row r="104" spans="1:2" x14ac:dyDescent="0.35">
      <c r="A104" t="e">
        <f>#REF!</f>
        <v>#REF!</v>
      </c>
      <c r="B104" t="e">
        <f>#REF!</f>
        <v>#REF!</v>
      </c>
    </row>
    <row r="105" spans="1:2" x14ac:dyDescent="0.35">
      <c r="A105" t="e">
        <f>#REF!</f>
        <v>#REF!</v>
      </c>
      <c r="B105" t="e">
        <f>#REF!</f>
        <v>#REF!</v>
      </c>
    </row>
    <row r="106" spans="1:2" x14ac:dyDescent="0.35">
      <c r="A106" t="e">
        <f>#REF!</f>
        <v>#REF!</v>
      </c>
      <c r="B106" t="e">
        <f>#REF!</f>
        <v>#REF!</v>
      </c>
    </row>
    <row r="107" spans="1:2" x14ac:dyDescent="0.35">
      <c r="A107" t="e">
        <f>#REF!</f>
        <v>#REF!</v>
      </c>
      <c r="B107" t="e">
        <f>#REF!</f>
        <v>#REF!</v>
      </c>
    </row>
    <row r="108" spans="1:2" x14ac:dyDescent="0.35">
      <c r="A108" t="e">
        <f>#REF!</f>
        <v>#REF!</v>
      </c>
      <c r="B108" t="e">
        <f>#REF!</f>
        <v>#REF!</v>
      </c>
    </row>
    <row r="109" spans="1:2" x14ac:dyDescent="0.35">
      <c r="A109" t="e">
        <f>#REF!</f>
        <v>#REF!</v>
      </c>
      <c r="B109" t="e">
        <f>#REF!</f>
        <v>#REF!</v>
      </c>
    </row>
  </sheetData>
  <mergeCells count="11">
    <mergeCell ref="E68:H68"/>
    <mergeCell ref="E69:H69"/>
    <mergeCell ref="E70:H70"/>
    <mergeCell ref="E71:H71"/>
    <mergeCell ref="A3:D5"/>
    <mergeCell ref="E3:E5"/>
    <mergeCell ref="F3:F5"/>
    <mergeCell ref="G3:G5"/>
    <mergeCell ref="A16:E16"/>
    <mergeCell ref="A66:C67"/>
    <mergeCell ref="E66:H67"/>
  </mergeCells>
  <pageMargins left="0.7" right="0.7" top="0.75" bottom="0.75" header="0.3" footer="0.3"/>
  <pageSetup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21"/>
  <sheetViews>
    <sheetView topLeftCell="A22" workbookViewId="0">
      <selection activeCell="G7" sqref="G7"/>
    </sheetView>
  </sheetViews>
  <sheetFormatPr defaultRowHeight="14.5" x14ac:dyDescent="0.35"/>
  <cols>
    <col min="1" max="2" width="17.7265625" customWidth="1" collapsed="1"/>
  </cols>
  <sheetData>
    <row r="1" spans="1:11" x14ac:dyDescent="0.35">
      <c r="A1" t="s">
        <v>395</v>
      </c>
      <c r="C1" t="s">
        <v>396</v>
      </c>
      <c r="D1" t="s">
        <v>371</v>
      </c>
      <c r="E1" t="s">
        <v>397</v>
      </c>
    </row>
    <row r="2" spans="1:11" x14ac:dyDescent="0.35">
      <c r="A2" s="114" t="s">
        <v>88</v>
      </c>
      <c r="B2" s="114" t="s">
        <v>398</v>
      </c>
      <c r="C2" s="114">
        <v>338</v>
      </c>
      <c r="D2" s="114">
        <f>C2/2</f>
        <v>169</v>
      </c>
    </row>
    <row r="3" spans="1:11" x14ac:dyDescent="0.35">
      <c r="A3" s="114" t="s">
        <v>92</v>
      </c>
      <c r="B3" s="114" t="s">
        <v>399</v>
      </c>
      <c r="C3" s="114">
        <v>1217</v>
      </c>
      <c r="D3" s="114">
        <f t="shared" ref="D3:D10" si="0">C3/2</f>
        <v>608.5</v>
      </c>
    </row>
    <row r="4" spans="1:11" x14ac:dyDescent="0.35">
      <c r="A4" s="114" t="s">
        <v>340</v>
      </c>
      <c r="B4" s="114" t="s">
        <v>400</v>
      </c>
      <c r="C4" s="114">
        <v>570</v>
      </c>
      <c r="D4" s="114">
        <f t="shared" si="0"/>
        <v>285</v>
      </c>
    </row>
    <row r="5" spans="1:11" x14ac:dyDescent="0.35">
      <c r="A5" s="114" t="s">
        <v>401</v>
      </c>
      <c r="B5" s="114" t="s">
        <v>399</v>
      </c>
      <c r="C5" s="114">
        <v>595</v>
      </c>
      <c r="D5" s="114">
        <f t="shared" si="0"/>
        <v>297.5</v>
      </c>
    </row>
    <row r="6" spans="1:11" x14ac:dyDescent="0.35">
      <c r="A6" s="114" t="s">
        <v>402</v>
      </c>
      <c r="B6" s="114" t="s">
        <v>403</v>
      </c>
      <c r="C6" s="114">
        <v>1579</v>
      </c>
      <c r="D6" s="114">
        <f t="shared" si="0"/>
        <v>789.5</v>
      </c>
    </row>
    <row r="7" spans="1:11" x14ac:dyDescent="0.35">
      <c r="A7" s="114" t="s">
        <v>372</v>
      </c>
      <c r="B7" s="114" t="s">
        <v>404</v>
      </c>
      <c r="C7" s="114">
        <v>830</v>
      </c>
      <c r="D7" s="114">
        <f t="shared" si="0"/>
        <v>415</v>
      </c>
    </row>
    <row r="8" spans="1:11" x14ac:dyDescent="0.35">
      <c r="A8" s="114" t="s">
        <v>405</v>
      </c>
      <c r="B8" s="114" t="s">
        <v>406</v>
      </c>
      <c r="C8" s="114">
        <v>924</v>
      </c>
      <c r="D8" s="114">
        <f t="shared" si="0"/>
        <v>462</v>
      </c>
    </row>
    <row r="9" spans="1:11" x14ac:dyDescent="0.35">
      <c r="A9" s="114" t="s">
        <v>407</v>
      </c>
      <c r="B9" s="114" t="s">
        <v>408</v>
      </c>
      <c r="C9" s="114">
        <v>628</v>
      </c>
      <c r="D9" s="114">
        <f t="shared" si="0"/>
        <v>314</v>
      </c>
    </row>
    <row r="10" spans="1:11" x14ac:dyDescent="0.35">
      <c r="A10" s="114" t="s">
        <v>346</v>
      </c>
      <c r="B10" s="114" t="s">
        <v>409</v>
      </c>
      <c r="C10" s="114">
        <v>576</v>
      </c>
      <c r="D10" s="114">
        <f t="shared" si="0"/>
        <v>288</v>
      </c>
    </row>
    <row r="12" spans="1:11" x14ac:dyDescent="0.35">
      <c r="A12" s="115" t="s">
        <v>410</v>
      </c>
    </row>
    <row r="13" spans="1:11" x14ac:dyDescent="0.35">
      <c r="A13" s="115" t="s">
        <v>411</v>
      </c>
    </row>
    <row r="14" spans="1:11" x14ac:dyDescent="0.35">
      <c r="I14" t="s">
        <v>412</v>
      </c>
      <c r="J14">
        <v>2600</v>
      </c>
      <c r="K14" t="s">
        <v>413</v>
      </c>
    </row>
    <row r="15" spans="1:11" x14ac:dyDescent="0.35">
      <c r="I15" t="s">
        <v>414</v>
      </c>
      <c r="J15">
        <v>450</v>
      </c>
    </row>
    <row r="16" spans="1:11" x14ac:dyDescent="0.35">
      <c r="I16" t="s">
        <v>415</v>
      </c>
      <c r="J16">
        <v>80</v>
      </c>
    </row>
    <row r="17" spans="9:10" x14ac:dyDescent="0.35">
      <c r="I17" t="s">
        <v>416</v>
      </c>
      <c r="J17">
        <v>50</v>
      </c>
    </row>
    <row r="18" spans="9:10" x14ac:dyDescent="0.35">
      <c r="I18" t="s">
        <v>417</v>
      </c>
      <c r="J18">
        <v>580</v>
      </c>
    </row>
    <row r="19" spans="9:10" x14ac:dyDescent="0.35">
      <c r="I19" t="s">
        <v>418</v>
      </c>
      <c r="J19">
        <v>220</v>
      </c>
    </row>
    <row r="20" spans="9:10" x14ac:dyDescent="0.35">
      <c r="I20" t="s">
        <v>419</v>
      </c>
      <c r="J20">
        <v>180</v>
      </c>
    </row>
    <row r="21" spans="9:10" x14ac:dyDescent="0.35">
      <c r="I21" t="s">
        <v>420</v>
      </c>
      <c r="J21">
        <f>J14-SUM(J15:J20)</f>
        <v>1040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R10"/>
  <sheetViews>
    <sheetView workbookViewId="0">
      <selection activeCell="A7" sqref="A7:B10"/>
    </sheetView>
  </sheetViews>
  <sheetFormatPr defaultRowHeight="14.5" x14ac:dyDescent="0.35"/>
  <cols>
    <col min="1" max="1" width="17.1796875" customWidth="1" collapsed="1"/>
    <col min="2" max="5" width="14.453125" customWidth="1" collapsed="1"/>
    <col min="15" max="15" width="8.7265625" customWidth="1" collapsed="1"/>
  </cols>
  <sheetData>
    <row r="1" spans="1:18" x14ac:dyDescent="0.35">
      <c r="B1" t="s">
        <v>350</v>
      </c>
      <c r="C1" t="s">
        <v>351</v>
      </c>
      <c r="D1" t="s">
        <v>352</v>
      </c>
      <c r="E1" t="s">
        <v>353</v>
      </c>
      <c r="G1" s="409" t="s">
        <v>354</v>
      </c>
      <c r="H1" s="409"/>
      <c r="I1" s="409"/>
      <c r="J1" s="409"/>
      <c r="K1" s="409"/>
      <c r="L1" s="409"/>
      <c r="M1" s="409"/>
      <c r="N1" s="409"/>
      <c r="O1" s="409"/>
      <c r="P1" s="409"/>
      <c r="Q1" s="409"/>
      <c r="R1" s="110"/>
    </row>
    <row r="2" spans="1:18" x14ac:dyDescent="0.35">
      <c r="A2" t="s">
        <v>355</v>
      </c>
      <c r="B2" t="s">
        <v>356</v>
      </c>
      <c r="C2" t="s">
        <v>356</v>
      </c>
      <c r="D2" t="s">
        <v>356</v>
      </c>
      <c r="E2" t="s">
        <v>356</v>
      </c>
      <c r="G2" t="s">
        <v>357</v>
      </c>
    </row>
    <row r="3" spans="1:18" x14ac:dyDescent="0.35">
      <c r="A3">
        <v>0</v>
      </c>
      <c r="B3">
        <v>0.03</v>
      </c>
      <c r="C3">
        <v>0.03</v>
      </c>
      <c r="D3">
        <v>0.03</v>
      </c>
      <c r="E3">
        <v>0.03</v>
      </c>
    </row>
    <row r="4" spans="1:18" ht="14.5" customHeight="1" x14ac:dyDescent="0.35">
      <c r="A4">
        <v>1</v>
      </c>
      <c r="B4">
        <f>(($A$4*0.15)/1000)+B3</f>
        <v>3.015E-2</v>
      </c>
      <c r="C4">
        <f>(($A$4*0.037)/1000)+C3</f>
        <v>3.0036999999999998E-2</v>
      </c>
      <c r="D4">
        <f>(($A$4*0.015)/1000)+D3</f>
        <v>3.0015E-2</v>
      </c>
      <c r="E4">
        <f>(($A$4*1)/1000)+E3</f>
        <v>3.1E-2</v>
      </c>
      <c r="G4" s="410" t="s">
        <v>358</v>
      </c>
      <c r="H4" s="410"/>
      <c r="I4" s="410"/>
      <c r="J4" s="410"/>
      <c r="K4" s="410"/>
      <c r="L4" s="410"/>
      <c r="M4" s="410"/>
      <c r="N4" s="410"/>
      <c r="O4" s="410"/>
      <c r="P4" s="410"/>
    </row>
    <row r="6" spans="1:18" x14ac:dyDescent="0.35">
      <c r="G6" s="409" t="s">
        <v>359</v>
      </c>
      <c r="H6" s="409"/>
      <c r="I6" s="409"/>
      <c r="J6" s="409"/>
      <c r="K6" s="409"/>
    </row>
    <row r="7" spans="1:18" x14ac:dyDescent="0.35">
      <c r="A7" t="s">
        <v>350</v>
      </c>
      <c r="B7">
        <f>0.15/1000</f>
        <v>1.4999999999999999E-4</v>
      </c>
    </row>
    <row r="8" spans="1:18" x14ac:dyDescent="0.35">
      <c r="A8" t="s">
        <v>351</v>
      </c>
      <c r="B8">
        <f>0.037/1000</f>
        <v>3.6999999999999998E-5</v>
      </c>
    </row>
    <row r="9" spans="1:18" x14ac:dyDescent="0.35">
      <c r="A9" t="s">
        <v>352</v>
      </c>
      <c r="B9">
        <f>0.015/1000</f>
        <v>1.4999999999999999E-5</v>
      </c>
    </row>
    <row r="10" spans="1:18" x14ac:dyDescent="0.35">
      <c r="A10" t="s">
        <v>353</v>
      </c>
      <c r="B10">
        <f>1/1000</f>
        <v>1E-3</v>
      </c>
    </row>
  </sheetData>
  <mergeCells count="3">
    <mergeCell ref="G1:Q1"/>
    <mergeCell ref="G4:P4"/>
    <mergeCell ref="G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G9"/>
  <sheetViews>
    <sheetView workbookViewId="0">
      <selection activeCell="C9" sqref="C9"/>
    </sheetView>
  </sheetViews>
  <sheetFormatPr defaultRowHeight="14.5" x14ac:dyDescent="0.35"/>
  <cols>
    <col min="1" max="1" width="8.90625" customWidth="1" collapsed="1"/>
    <col min="2" max="2" width="26" customWidth="1" collapsed="1"/>
    <col min="3" max="3" width="17.36328125" customWidth="1" collapsed="1"/>
    <col min="5" max="5" width="21.26953125" customWidth="1" collapsed="1"/>
    <col min="6" max="7" width="13.1796875" customWidth="1" collapsed="1"/>
  </cols>
  <sheetData>
    <row r="2" spans="2:5" x14ac:dyDescent="0.35">
      <c r="B2" t="s">
        <v>360</v>
      </c>
      <c r="C2" t="s">
        <v>335</v>
      </c>
      <c r="E2" t="s">
        <v>361</v>
      </c>
    </row>
    <row r="3" spans="2:5" x14ac:dyDescent="0.35">
      <c r="B3" t="s">
        <v>598</v>
      </c>
      <c r="C3" t="s">
        <v>351</v>
      </c>
      <c r="E3" t="s">
        <v>362</v>
      </c>
    </row>
    <row r="4" spans="2:5" x14ac:dyDescent="0.35">
      <c r="B4" t="s">
        <v>363</v>
      </c>
      <c r="C4" t="s">
        <v>350</v>
      </c>
      <c r="E4" t="s">
        <v>331</v>
      </c>
    </row>
    <row r="5" spans="2:5" x14ac:dyDescent="0.35">
      <c r="B5" t="s">
        <v>339</v>
      </c>
      <c r="C5" t="s">
        <v>352</v>
      </c>
    </row>
    <row r="6" spans="2:5" x14ac:dyDescent="0.35">
      <c r="B6" t="s">
        <v>337</v>
      </c>
      <c r="C6" t="s">
        <v>353</v>
      </c>
    </row>
    <row r="7" spans="2:5" x14ac:dyDescent="0.35">
      <c r="B7" t="s">
        <v>591</v>
      </c>
    </row>
    <row r="8" spans="2:5" x14ac:dyDescent="0.35">
      <c r="B8" t="s">
        <v>416</v>
      </c>
    </row>
    <row r="9" spans="2:5" x14ac:dyDescent="0.35">
      <c r="B9" t="s">
        <v>345</v>
      </c>
    </row>
  </sheetData>
  <dataValidations count="1">
    <dataValidation type="list" allowBlank="1" showInputMessage="1" showErrorMessage="1" sqref="B13 B15:B16 H3">
      <formula1>$B$3:$B$9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O70"/>
  <sheetViews>
    <sheetView showGridLines="0" showRowColHeaders="0" topLeftCell="A3" zoomScaleNormal="100" workbookViewId="0">
      <pane ySplit="7" topLeftCell="A25" activePane="bottomLeft" state="frozen"/>
      <selection activeCell="A3" sqref="A3"/>
      <selection pane="bottomLeft" activeCell="B11" sqref="B11:C34"/>
    </sheetView>
  </sheetViews>
  <sheetFormatPr defaultRowHeight="14.5" x14ac:dyDescent="0.35"/>
  <cols>
    <col min="1" max="1" width="58.453125" style="204" bestFit="1" customWidth="1" collapsed="1"/>
    <col min="2" max="2" width="29.08984375" style="204" bestFit="1" customWidth="1" collapsed="1"/>
    <col min="3" max="3" width="19.26953125" style="204" customWidth="1" collapsed="1"/>
    <col min="4" max="5" width="16" style="204" customWidth="1" collapsed="1"/>
    <col min="6" max="6" width="13.453125" style="205" customWidth="1" collapsed="1"/>
    <col min="7" max="7" width="14.54296875" style="205" customWidth="1" collapsed="1"/>
    <col min="8" max="8" width="17.6328125" style="205" customWidth="1" collapsed="1"/>
    <col min="9" max="9" width="18.7265625" style="205" customWidth="1" collapsed="1"/>
    <col min="10" max="10" width="15" style="205" customWidth="1" collapsed="1"/>
    <col min="11" max="11" width="15.81640625" style="204" customWidth="1" collapsed="1"/>
    <col min="12" max="12" width="14.6328125" style="204" customWidth="1" collapsed="1"/>
    <col min="13" max="13" width="17.81640625" style="204" customWidth="1" collapsed="1"/>
    <col min="14" max="14" width="18.81640625" style="204" customWidth="1" collapsed="1"/>
    <col min="15" max="15" width="14.6328125" style="204" customWidth="1" collapsed="1"/>
    <col min="16" max="16384" width="8.7265625" style="204"/>
  </cols>
  <sheetData>
    <row r="1" spans="1:13" ht="28.5" x14ac:dyDescent="0.65">
      <c r="A1" s="203" t="s">
        <v>267</v>
      </c>
    </row>
    <row r="2" spans="1:13" x14ac:dyDescent="0.35">
      <c r="A2" s="206" t="s">
        <v>277</v>
      </c>
      <c r="B2" s="206"/>
      <c r="C2" s="206"/>
      <c r="D2" s="206"/>
    </row>
    <row r="3" spans="1:13" ht="31" x14ac:dyDescent="0.7">
      <c r="A3" s="207" t="s">
        <v>512</v>
      </c>
      <c r="B3" s="208"/>
      <c r="C3" s="209"/>
      <c r="D3" s="209"/>
      <c r="E3" s="210"/>
      <c r="F3" s="211"/>
      <c r="G3" s="211"/>
      <c r="H3" s="211"/>
      <c r="I3" s="211"/>
      <c r="J3" s="211"/>
      <c r="K3" s="210"/>
      <c r="L3" s="210"/>
      <c r="M3" s="210"/>
    </row>
    <row r="4" spans="1:13" x14ac:dyDescent="0.35">
      <c r="A4" s="209"/>
      <c r="B4" s="209"/>
      <c r="C4" s="209"/>
      <c r="D4" s="209"/>
      <c r="E4" s="210"/>
      <c r="F4" s="211"/>
      <c r="G4" s="211"/>
      <c r="H4" s="211"/>
      <c r="I4" s="211"/>
      <c r="J4" s="211"/>
      <c r="K4" s="210"/>
      <c r="L4" s="210"/>
      <c r="M4" s="210"/>
    </row>
    <row r="5" spans="1:13" ht="15" thickBot="1" x14ac:dyDescent="0.4">
      <c r="A5" s="210"/>
      <c r="B5" s="210"/>
      <c r="C5" s="210"/>
      <c r="D5" s="210"/>
      <c r="E5" s="210"/>
      <c r="F5" s="211"/>
      <c r="G5" s="211"/>
      <c r="H5" s="211"/>
      <c r="I5" s="211"/>
      <c r="J5" s="211"/>
      <c r="K5" s="210"/>
      <c r="L5" s="210"/>
      <c r="M5" s="210"/>
    </row>
    <row r="6" spans="1:13" ht="18.5" customHeight="1" x14ac:dyDescent="0.35">
      <c r="A6" s="210"/>
      <c r="B6" s="312" t="s">
        <v>446</v>
      </c>
      <c r="C6" s="313"/>
      <c r="D6" s="314"/>
      <c r="E6" s="210"/>
      <c r="F6" s="211"/>
      <c r="G6" s="211"/>
      <c r="H6" s="211"/>
      <c r="I6" s="211"/>
      <c r="J6" s="211"/>
      <c r="K6" s="210"/>
      <c r="L6" s="210"/>
      <c r="M6" s="210"/>
    </row>
    <row r="7" spans="1:13" ht="15" thickBot="1" x14ac:dyDescent="0.4">
      <c r="A7" s="210"/>
      <c r="B7" s="315"/>
      <c r="C7" s="316"/>
      <c r="D7" s="317"/>
      <c r="E7" s="210"/>
      <c r="F7" s="211"/>
      <c r="G7" s="211"/>
      <c r="H7" s="211"/>
      <c r="I7" s="211"/>
      <c r="J7" s="211"/>
      <c r="K7" s="210"/>
      <c r="L7" s="210"/>
      <c r="M7" s="210"/>
    </row>
    <row r="8" spans="1:13" ht="21" x14ac:dyDescent="0.35">
      <c r="A8" s="212" t="s">
        <v>140</v>
      </c>
      <c r="B8" s="213" t="s">
        <v>478</v>
      </c>
      <c r="C8" s="214" t="s">
        <v>479</v>
      </c>
      <c r="D8" s="215" t="s">
        <v>143</v>
      </c>
      <c r="E8" s="210"/>
      <c r="F8" s="211"/>
      <c r="G8" s="211"/>
      <c r="H8" s="211"/>
      <c r="I8" s="211"/>
      <c r="J8" s="211"/>
      <c r="K8" s="210"/>
      <c r="L8" s="210"/>
      <c r="M8" s="210"/>
    </row>
    <row r="9" spans="1:13" ht="29.5" thickBot="1" x14ac:dyDescent="0.4">
      <c r="A9" s="216"/>
      <c r="B9" s="217" t="s">
        <v>490</v>
      </c>
      <c r="C9" s="218" t="s">
        <v>480</v>
      </c>
      <c r="D9" s="219" t="s">
        <v>481</v>
      </c>
      <c r="E9" s="210"/>
      <c r="F9" s="211"/>
      <c r="G9" s="211"/>
      <c r="H9" s="211"/>
      <c r="I9" s="211"/>
      <c r="J9" s="211"/>
      <c r="K9" s="210"/>
      <c r="L9" s="210"/>
      <c r="M9" s="210"/>
    </row>
    <row r="10" spans="1:13" x14ac:dyDescent="0.35">
      <c r="A10" s="220" t="s">
        <v>495</v>
      </c>
      <c r="B10" s="221"/>
      <c r="C10" s="222"/>
      <c r="D10" s="201"/>
      <c r="E10" s="210"/>
      <c r="F10" s="211"/>
      <c r="G10" s="211"/>
      <c r="H10" s="211"/>
      <c r="I10" s="211"/>
      <c r="J10" s="211"/>
      <c r="K10" s="210"/>
      <c r="L10" s="210"/>
      <c r="M10" s="210"/>
    </row>
    <row r="11" spans="1:13" x14ac:dyDescent="0.35">
      <c r="A11" s="223" t="s">
        <v>128</v>
      </c>
      <c r="B11" s="421" t="s">
        <v>482</v>
      </c>
      <c r="C11" s="415">
        <v>60</v>
      </c>
      <c r="D11" s="200" t="s">
        <v>145</v>
      </c>
      <c r="E11" s="210"/>
      <c r="F11" s="211"/>
      <c r="G11" s="211"/>
      <c r="H11" s="211"/>
      <c r="I11" s="211"/>
      <c r="J11" s="211"/>
      <c r="K11" s="210"/>
      <c r="L11" s="210"/>
      <c r="M11" s="210"/>
    </row>
    <row r="12" spans="1:13" x14ac:dyDescent="0.35">
      <c r="A12" s="223" t="s">
        <v>129</v>
      </c>
      <c r="B12" s="421" t="s">
        <v>486</v>
      </c>
      <c r="C12" s="415">
        <v>0</v>
      </c>
      <c r="D12" s="200" t="s">
        <v>144</v>
      </c>
      <c r="E12" s="210"/>
      <c r="F12" s="211"/>
      <c r="G12" s="211"/>
      <c r="H12" s="211"/>
      <c r="I12" s="211"/>
      <c r="J12" s="211"/>
      <c r="K12" s="210"/>
      <c r="L12" s="210"/>
      <c r="M12" s="210"/>
    </row>
    <row r="13" spans="1:13" x14ac:dyDescent="0.35">
      <c r="A13" s="223" t="s">
        <v>146</v>
      </c>
      <c r="B13" s="421" t="s">
        <v>487</v>
      </c>
      <c r="C13" s="415">
        <v>5</v>
      </c>
      <c r="D13" s="200" t="s">
        <v>149</v>
      </c>
      <c r="E13" s="210"/>
      <c r="F13" s="211"/>
      <c r="G13" s="211"/>
      <c r="H13" s="211"/>
      <c r="I13" s="211"/>
      <c r="J13" s="211"/>
      <c r="K13" s="210"/>
      <c r="L13" s="210"/>
      <c r="M13" s="210"/>
    </row>
    <row r="14" spans="1:13" x14ac:dyDescent="0.35">
      <c r="A14" s="223" t="s">
        <v>150</v>
      </c>
      <c r="B14" s="421" t="s">
        <v>151</v>
      </c>
      <c r="C14" s="415">
        <v>2</v>
      </c>
      <c r="D14" s="200" t="s">
        <v>149</v>
      </c>
      <c r="E14" s="210"/>
      <c r="F14" s="211"/>
      <c r="G14" s="211"/>
      <c r="H14" s="211"/>
      <c r="I14" s="211"/>
      <c r="J14" s="211"/>
      <c r="K14" s="210"/>
      <c r="L14" s="210"/>
      <c r="M14" s="210"/>
    </row>
    <row r="15" spans="1:13" x14ac:dyDescent="0.35">
      <c r="A15" s="223" t="s">
        <v>153</v>
      </c>
      <c r="B15" s="422" t="s">
        <v>489</v>
      </c>
      <c r="C15" s="415">
        <v>10</v>
      </c>
      <c r="D15" s="200" t="s">
        <v>149</v>
      </c>
      <c r="E15" s="210"/>
      <c r="F15" s="211"/>
      <c r="G15" s="211"/>
      <c r="H15" s="211"/>
      <c r="I15" s="211"/>
      <c r="J15" s="211"/>
      <c r="K15" s="210"/>
      <c r="L15" s="210"/>
      <c r="M15" s="210"/>
    </row>
    <row r="16" spans="1:13" x14ac:dyDescent="0.35">
      <c r="A16" s="223" t="s">
        <v>154</v>
      </c>
      <c r="B16" s="422" t="s">
        <v>489</v>
      </c>
      <c r="C16" s="415">
        <v>0</v>
      </c>
      <c r="D16" s="200" t="s">
        <v>144</v>
      </c>
      <c r="E16" s="210"/>
      <c r="F16" s="211"/>
      <c r="G16" s="211"/>
      <c r="H16" s="211"/>
      <c r="I16" s="211"/>
      <c r="J16" s="211"/>
      <c r="K16" s="210"/>
      <c r="L16" s="210"/>
      <c r="M16" s="210"/>
    </row>
    <row r="17" spans="1:13" x14ac:dyDescent="0.35">
      <c r="A17" s="223"/>
      <c r="B17" s="421"/>
      <c r="C17" s="415"/>
      <c r="D17" s="200"/>
      <c r="E17" s="210"/>
      <c r="F17" s="211"/>
      <c r="G17" s="211"/>
      <c r="H17" s="211"/>
      <c r="I17" s="211"/>
      <c r="J17" s="211"/>
      <c r="K17" s="210"/>
      <c r="L17" s="210"/>
      <c r="M17" s="210"/>
    </row>
    <row r="18" spans="1:13" x14ac:dyDescent="0.35">
      <c r="A18" s="220" t="s">
        <v>496</v>
      </c>
      <c r="B18" s="420"/>
      <c r="C18" s="416"/>
      <c r="D18" s="201"/>
      <c r="E18" s="210"/>
      <c r="F18" s="211"/>
      <c r="G18" s="211"/>
      <c r="H18" s="211"/>
      <c r="I18" s="211"/>
      <c r="J18" s="211"/>
      <c r="K18" s="210"/>
      <c r="L18" s="210"/>
      <c r="M18" s="210"/>
    </row>
    <row r="19" spans="1:13" x14ac:dyDescent="0.35">
      <c r="A19" s="223" t="s">
        <v>157</v>
      </c>
      <c r="B19" s="421" t="s">
        <v>492</v>
      </c>
      <c r="C19" s="415">
        <v>3</v>
      </c>
      <c r="D19" s="200" t="s">
        <v>162</v>
      </c>
      <c r="E19" s="210"/>
      <c r="F19" s="211"/>
      <c r="G19" s="211"/>
      <c r="H19" s="211"/>
      <c r="I19" s="211"/>
      <c r="J19" s="211"/>
      <c r="K19" s="210"/>
      <c r="L19" s="210"/>
      <c r="M19" s="210"/>
    </row>
    <row r="20" spans="1:13" x14ac:dyDescent="0.35">
      <c r="A20" s="223" t="s">
        <v>158</v>
      </c>
      <c r="B20" s="421" t="s">
        <v>523</v>
      </c>
      <c r="C20" s="415">
        <v>3</v>
      </c>
      <c r="D20" s="200" t="s">
        <v>162</v>
      </c>
      <c r="E20" s="210"/>
      <c r="F20" s="211"/>
      <c r="G20" s="211"/>
      <c r="H20" s="211"/>
      <c r="I20" s="211"/>
      <c r="J20" s="211"/>
      <c r="K20" s="210"/>
      <c r="L20" s="210"/>
      <c r="M20" s="210"/>
    </row>
    <row r="21" spans="1:13" x14ac:dyDescent="0.35">
      <c r="A21" s="223"/>
      <c r="B21" s="421"/>
      <c r="C21" s="415"/>
      <c r="D21" s="200"/>
      <c r="E21" s="210"/>
      <c r="F21" s="211"/>
      <c r="G21" s="211"/>
      <c r="H21" s="211"/>
      <c r="I21" s="211"/>
      <c r="J21" s="211"/>
      <c r="K21" s="210"/>
      <c r="L21" s="210"/>
      <c r="M21" s="210"/>
    </row>
    <row r="22" spans="1:13" x14ac:dyDescent="0.35">
      <c r="A22" s="220" t="s">
        <v>497</v>
      </c>
      <c r="B22" s="420"/>
      <c r="C22" s="416"/>
      <c r="D22" s="201"/>
      <c r="E22" s="210"/>
      <c r="F22" s="211"/>
      <c r="G22" s="211"/>
      <c r="H22" s="211"/>
      <c r="I22" s="211"/>
      <c r="J22" s="211"/>
      <c r="K22" s="210"/>
      <c r="L22" s="210"/>
      <c r="M22" s="210"/>
    </row>
    <row r="23" spans="1:13" x14ac:dyDescent="0.35">
      <c r="A23" s="223" t="s">
        <v>163</v>
      </c>
      <c r="B23" s="421" t="s">
        <v>166</v>
      </c>
      <c r="C23" s="415">
        <v>1</v>
      </c>
      <c r="D23" s="200" t="s">
        <v>167</v>
      </c>
      <c r="E23" s="210"/>
      <c r="F23" s="211"/>
      <c r="G23" s="211"/>
      <c r="H23" s="211"/>
      <c r="I23" s="211"/>
      <c r="J23" s="211"/>
      <c r="K23" s="210"/>
      <c r="L23" s="210"/>
      <c r="M23" s="210"/>
    </row>
    <row r="24" spans="1:13" x14ac:dyDescent="0.35">
      <c r="A24" s="223" t="s">
        <v>184</v>
      </c>
      <c r="B24" s="423" t="s">
        <v>504</v>
      </c>
      <c r="C24" s="415">
        <v>7</v>
      </c>
      <c r="D24" s="200" t="s">
        <v>144</v>
      </c>
      <c r="E24" s="210"/>
      <c r="F24" s="211"/>
      <c r="G24" s="211"/>
      <c r="H24" s="211"/>
      <c r="I24" s="211"/>
      <c r="J24" s="211"/>
      <c r="K24" s="210"/>
      <c r="L24" s="210"/>
      <c r="M24" s="210"/>
    </row>
    <row r="25" spans="1:13" x14ac:dyDescent="0.35">
      <c r="A25" s="223" t="s">
        <v>185</v>
      </c>
      <c r="B25" s="421" t="s">
        <v>502</v>
      </c>
      <c r="C25" s="415">
        <v>0</v>
      </c>
      <c r="D25" s="200" t="s">
        <v>183</v>
      </c>
      <c r="E25" s="210"/>
      <c r="F25" s="211"/>
      <c r="G25" s="211"/>
      <c r="H25" s="211"/>
      <c r="I25" s="211"/>
      <c r="J25" s="211"/>
      <c r="K25" s="210"/>
      <c r="L25" s="210"/>
      <c r="M25" s="210"/>
    </row>
    <row r="26" spans="1:13" x14ac:dyDescent="0.35">
      <c r="A26" s="223"/>
      <c r="B26" s="421"/>
      <c r="C26" s="415"/>
      <c r="D26" s="200"/>
      <c r="E26" s="210"/>
      <c r="F26" s="211"/>
      <c r="G26" s="211"/>
      <c r="H26" s="211"/>
      <c r="I26" s="211"/>
      <c r="J26" s="211"/>
      <c r="K26" s="210"/>
      <c r="L26" s="210"/>
      <c r="M26" s="210"/>
    </row>
    <row r="27" spans="1:13" x14ac:dyDescent="0.35">
      <c r="A27" s="220" t="s">
        <v>498</v>
      </c>
      <c r="B27" s="420"/>
      <c r="C27" s="416"/>
      <c r="D27" s="201"/>
      <c r="E27" s="210"/>
      <c r="F27" s="211"/>
      <c r="G27" s="211"/>
      <c r="H27" s="211"/>
      <c r="I27" s="211"/>
      <c r="J27" s="211"/>
      <c r="K27" s="210"/>
      <c r="L27" s="210"/>
      <c r="M27" s="210"/>
    </row>
    <row r="28" spans="1:13" x14ac:dyDescent="0.35">
      <c r="A28" s="223" t="s">
        <v>168</v>
      </c>
      <c r="B28" s="421" t="s">
        <v>173</v>
      </c>
      <c r="C28" s="415">
        <v>0</v>
      </c>
      <c r="D28" s="200" t="s">
        <v>171</v>
      </c>
      <c r="E28" s="210"/>
      <c r="F28" s="211"/>
      <c r="G28" s="211"/>
      <c r="H28" s="211"/>
      <c r="I28" s="211"/>
      <c r="J28" s="211"/>
      <c r="K28" s="210"/>
      <c r="L28" s="210"/>
      <c r="M28" s="210"/>
    </row>
    <row r="29" spans="1:13" x14ac:dyDescent="0.35">
      <c r="A29" s="223" t="s">
        <v>169</v>
      </c>
      <c r="B29" s="421" t="s">
        <v>176</v>
      </c>
      <c r="C29" s="415">
        <v>10</v>
      </c>
      <c r="D29" s="200" t="s">
        <v>178</v>
      </c>
      <c r="E29" s="210"/>
      <c r="F29" s="211"/>
      <c r="G29" s="211"/>
      <c r="H29" s="211"/>
      <c r="I29" s="211"/>
      <c r="J29" s="211"/>
      <c r="K29" s="210"/>
      <c r="L29" s="210"/>
      <c r="M29" s="210"/>
    </row>
    <row r="30" spans="1:13" x14ac:dyDescent="0.35">
      <c r="A30" s="223" t="s">
        <v>170</v>
      </c>
      <c r="B30" s="421" t="s">
        <v>507</v>
      </c>
      <c r="C30" s="415">
        <v>1</v>
      </c>
      <c r="D30" s="200" t="s">
        <v>178</v>
      </c>
      <c r="E30" s="210"/>
      <c r="F30" s="211"/>
      <c r="G30" s="211"/>
      <c r="H30" s="211"/>
      <c r="I30" s="211"/>
      <c r="J30" s="211"/>
      <c r="K30" s="210"/>
      <c r="L30" s="210"/>
      <c r="M30" s="210"/>
    </row>
    <row r="31" spans="1:13" x14ac:dyDescent="0.35">
      <c r="A31" s="223" t="s">
        <v>177</v>
      </c>
      <c r="B31" s="421" t="s">
        <v>505</v>
      </c>
      <c r="C31" s="415">
        <v>0</v>
      </c>
      <c r="D31" s="200" t="s">
        <v>178</v>
      </c>
      <c r="E31" s="210"/>
      <c r="F31" s="211"/>
      <c r="G31" s="211"/>
      <c r="H31" s="211"/>
      <c r="I31" s="211"/>
      <c r="J31" s="211"/>
      <c r="K31" s="210"/>
      <c r="L31" s="210"/>
      <c r="M31" s="210"/>
    </row>
    <row r="32" spans="1:13" x14ac:dyDescent="0.35">
      <c r="A32" s="223"/>
      <c r="B32" s="421"/>
      <c r="C32" s="417"/>
      <c r="D32" s="200"/>
      <c r="E32" s="210"/>
      <c r="F32" s="211"/>
      <c r="G32" s="211"/>
      <c r="H32" s="211"/>
      <c r="I32" s="211"/>
      <c r="J32" s="211"/>
      <c r="K32" s="210"/>
      <c r="L32" s="210"/>
      <c r="M32" s="210"/>
    </row>
    <row r="33" spans="1:13" x14ac:dyDescent="0.35">
      <c r="A33" s="220" t="s">
        <v>499</v>
      </c>
      <c r="B33" s="420"/>
      <c r="C33" s="418"/>
      <c r="D33" s="201"/>
      <c r="E33" s="210"/>
      <c r="F33" s="211"/>
      <c r="G33" s="211"/>
      <c r="H33" s="211"/>
      <c r="I33" s="211"/>
      <c r="J33" s="211"/>
      <c r="K33" s="210"/>
      <c r="L33" s="210"/>
      <c r="M33" s="210"/>
    </row>
    <row r="34" spans="1:13" ht="15" thickBot="1" x14ac:dyDescent="0.4">
      <c r="A34" s="224" t="s">
        <v>513</v>
      </c>
      <c r="B34" s="424" t="s">
        <v>508</v>
      </c>
      <c r="C34" s="419">
        <v>10</v>
      </c>
      <c r="D34" s="202" t="s">
        <v>178</v>
      </c>
      <c r="E34" s="210"/>
      <c r="F34" s="211"/>
      <c r="G34" s="211"/>
      <c r="H34" s="211"/>
      <c r="I34" s="211"/>
      <c r="J34" s="211"/>
      <c r="K34" s="210"/>
      <c r="L34" s="210"/>
      <c r="M34" s="210"/>
    </row>
    <row r="35" spans="1:13" s="227" customFormat="1" ht="23.5" x14ac:dyDescent="0.55000000000000004">
      <c r="A35" s="225"/>
      <c r="B35" s="225"/>
      <c r="C35" s="225"/>
      <c r="D35" s="225"/>
      <c r="E35" s="226"/>
      <c r="F35" s="226"/>
      <c r="G35" s="226"/>
      <c r="H35" s="226"/>
      <c r="I35" s="226"/>
      <c r="J35" s="226"/>
      <c r="K35" s="226"/>
      <c r="L35" s="226"/>
      <c r="M35" s="226"/>
    </row>
    <row r="36" spans="1:13" x14ac:dyDescent="0.35">
      <c r="A36" s="206" t="s">
        <v>447</v>
      </c>
      <c r="B36" s="228" t="s">
        <v>271</v>
      </c>
      <c r="C36" s="229"/>
      <c r="D36" s="230"/>
      <c r="E36" s="210"/>
      <c r="F36" s="211"/>
      <c r="G36" s="211"/>
      <c r="H36" s="211"/>
      <c r="I36" s="211"/>
      <c r="J36" s="211"/>
      <c r="K36" s="210"/>
      <c r="L36" s="210"/>
      <c r="M36" s="210"/>
    </row>
    <row r="37" spans="1:13" x14ac:dyDescent="0.35">
      <c r="A37" s="210"/>
      <c r="B37" s="210"/>
      <c r="C37" s="210"/>
      <c r="D37" s="210"/>
      <c r="E37" s="210"/>
      <c r="F37" s="211"/>
      <c r="G37" s="211"/>
      <c r="H37" s="211"/>
      <c r="I37" s="211"/>
      <c r="J37" s="211"/>
      <c r="K37" s="210"/>
      <c r="L37" s="210"/>
      <c r="M37" s="210"/>
    </row>
    <row r="38" spans="1:13" x14ac:dyDescent="0.35">
      <c r="A38" s="210"/>
      <c r="B38" s="210"/>
      <c r="C38" s="210"/>
      <c r="D38" s="210"/>
      <c r="E38" s="210"/>
      <c r="F38" s="211"/>
      <c r="G38" s="211"/>
      <c r="H38" s="211"/>
      <c r="I38" s="211"/>
      <c r="J38" s="211"/>
      <c r="K38" s="210"/>
      <c r="L38" s="210"/>
      <c r="M38" s="210"/>
    </row>
    <row r="39" spans="1:13" x14ac:dyDescent="0.35">
      <c r="A39" s="210"/>
      <c r="B39" s="210"/>
      <c r="C39" s="210"/>
      <c r="D39" s="210"/>
      <c r="E39" s="210"/>
      <c r="F39" s="211"/>
      <c r="G39" s="211"/>
      <c r="H39" s="211"/>
      <c r="I39" s="211"/>
      <c r="J39" s="211"/>
      <c r="K39" s="210"/>
      <c r="L39" s="210"/>
      <c r="M39" s="210"/>
    </row>
    <row r="40" spans="1:13" x14ac:dyDescent="0.35">
      <c r="A40" s="210"/>
      <c r="B40" s="210"/>
      <c r="C40" s="210"/>
      <c r="D40" s="210"/>
      <c r="E40" s="210"/>
      <c r="F40" s="211"/>
      <c r="G40" s="211"/>
      <c r="H40" s="211"/>
      <c r="I40" s="211"/>
      <c r="J40" s="211"/>
      <c r="K40" s="210"/>
      <c r="L40" s="210"/>
      <c r="M40" s="210"/>
    </row>
    <row r="41" spans="1:13" x14ac:dyDescent="0.35">
      <c r="A41" s="210"/>
      <c r="B41" s="210"/>
      <c r="C41" s="210"/>
      <c r="D41" s="210"/>
      <c r="E41" s="210"/>
      <c r="F41" s="211"/>
      <c r="G41" s="211"/>
      <c r="H41" s="211"/>
      <c r="I41" s="211"/>
      <c r="J41" s="211"/>
      <c r="K41" s="210"/>
      <c r="L41" s="210"/>
      <c r="M41" s="210"/>
    </row>
    <row r="42" spans="1:13" x14ac:dyDescent="0.35">
      <c r="A42" s="210"/>
      <c r="B42" s="210"/>
      <c r="C42" s="210"/>
      <c r="D42" s="210"/>
      <c r="E42" s="210"/>
      <c r="F42" s="211"/>
      <c r="G42" s="211"/>
      <c r="H42" s="211"/>
      <c r="I42" s="211"/>
      <c r="J42" s="211"/>
      <c r="K42" s="210"/>
      <c r="L42" s="210"/>
      <c r="M42" s="210"/>
    </row>
    <row r="43" spans="1:13" x14ac:dyDescent="0.35">
      <c r="A43" s="210"/>
      <c r="B43" s="210"/>
      <c r="C43" s="210"/>
      <c r="D43" s="210"/>
      <c r="E43" s="210"/>
      <c r="F43" s="211"/>
      <c r="G43" s="211"/>
      <c r="H43" s="211"/>
      <c r="I43" s="211"/>
      <c r="J43" s="211"/>
      <c r="K43" s="210"/>
      <c r="L43" s="210"/>
      <c r="M43" s="210"/>
    </row>
    <row r="44" spans="1:13" x14ac:dyDescent="0.35">
      <c r="A44" s="210"/>
      <c r="B44" s="210"/>
      <c r="C44" s="210"/>
      <c r="D44" s="210"/>
      <c r="E44" s="210"/>
      <c r="F44" s="211"/>
      <c r="G44" s="211"/>
      <c r="H44" s="211"/>
      <c r="I44" s="211"/>
      <c r="J44" s="211"/>
      <c r="K44" s="210"/>
      <c r="L44" s="210"/>
      <c r="M44" s="210"/>
    </row>
    <row r="45" spans="1:13" x14ac:dyDescent="0.35">
      <c r="A45" s="210"/>
      <c r="B45" s="210"/>
      <c r="C45" s="210"/>
      <c r="D45" s="210"/>
      <c r="E45" s="210"/>
      <c r="F45" s="211"/>
      <c r="G45" s="211"/>
      <c r="H45" s="211"/>
      <c r="I45" s="211"/>
      <c r="J45" s="211"/>
      <c r="K45" s="210"/>
      <c r="L45" s="210"/>
      <c r="M45" s="210"/>
    </row>
    <row r="46" spans="1:13" x14ac:dyDescent="0.35">
      <c r="E46" s="210"/>
      <c r="F46" s="211"/>
      <c r="G46" s="211"/>
      <c r="H46" s="211"/>
      <c r="I46" s="211"/>
      <c r="J46" s="211"/>
      <c r="K46" s="210"/>
      <c r="L46" s="210"/>
      <c r="M46" s="210"/>
    </row>
    <row r="47" spans="1:13" x14ac:dyDescent="0.35">
      <c r="E47" s="210"/>
      <c r="F47" s="211"/>
      <c r="G47" s="211"/>
      <c r="H47" s="211"/>
      <c r="I47" s="211"/>
      <c r="J47" s="211"/>
      <c r="K47" s="210"/>
      <c r="L47" s="210"/>
      <c r="M47" s="210"/>
    </row>
    <row r="48" spans="1:13" x14ac:dyDescent="0.35">
      <c r="E48" s="210"/>
      <c r="F48" s="211"/>
      <c r="G48" s="211"/>
      <c r="H48" s="211"/>
      <c r="I48" s="211"/>
      <c r="J48" s="211"/>
      <c r="K48" s="210"/>
      <c r="L48" s="210"/>
      <c r="M48" s="210"/>
    </row>
    <row r="49" spans="5:13" x14ac:dyDescent="0.35">
      <c r="E49" s="210"/>
      <c r="F49" s="211"/>
      <c r="G49" s="211"/>
      <c r="H49" s="211"/>
      <c r="I49" s="211"/>
      <c r="J49" s="211"/>
      <c r="K49" s="210"/>
      <c r="L49" s="210"/>
      <c r="M49" s="210"/>
    </row>
    <row r="50" spans="5:13" x14ac:dyDescent="0.35">
      <c r="E50" s="210"/>
      <c r="F50" s="211"/>
      <c r="G50" s="211"/>
      <c r="H50" s="211"/>
      <c r="I50" s="211"/>
      <c r="J50" s="211"/>
      <c r="K50" s="210"/>
      <c r="L50" s="210"/>
      <c r="M50" s="210"/>
    </row>
    <row r="51" spans="5:13" x14ac:dyDescent="0.35">
      <c r="E51" s="210"/>
      <c r="F51" s="211"/>
      <c r="G51" s="211"/>
      <c r="H51" s="211"/>
      <c r="I51" s="211"/>
      <c r="J51" s="211"/>
      <c r="K51" s="210"/>
      <c r="L51" s="210"/>
      <c r="M51" s="210"/>
    </row>
    <row r="52" spans="5:13" x14ac:dyDescent="0.35">
      <c r="E52" s="210"/>
      <c r="F52" s="211"/>
      <c r="G52" s="211"/>
      <c r="H52" s="211"/>
      <c r="I52" s="211"/>
      <c r="J52" s="211"/>
      <c r="K52" s="210"/>
      <c r="L52" s="210"/>
      <c r="M52" s="210"/>
    </row>
    <row r="53" spans="5:13" x14ac:dyDescent="0.35">
      <c r="E53" s="210"/>
      <c r="F53" s="211"/>
      <c r="G53" s="211"/>
      <c r="H53" s="211"/>
      <c r="I53" s="211"/>
      <c r="J53" s="211"/>
      <c r="K53" s="210"/>
      <c r="L53" s="210"/>
      <c r="M53" s="210"/>
    </row>
    <row r="54" spans="5:13" x14ac:dyDescent="0.35">
      <c r="E54" s="210"/>
      <c r="F54" s="211"/>
      <c r="G54" s="211"/>
      <c r="H54" s="211"/>
      <c r="I54" s="211"/>
      <c r="J54" s="211"/>
      <c r="K54" s="210"/>
      <c r="L54" s="210"/>
      <c r="M54" s="210"/>
    </row>
    <row r="55" spans="5:13" x14ac:dyDescent="0.35">
      <c r="E55" s="210"/>
      <c r="F55" s="211"/>
      <c r="G55" s="211"/>
      <c r="H55" s="211"/>
      <c r="I55" s="211"/>
      <c r="J55" s="211"/>
      <c r="K55" s="210"/>
      <c r="L55" s="210"/>
      <c r="M55" s="210"/>
    </row>
    <row r="56" spans="5:13" x14ac:dyDescent="0.35">
      <c r="E56" s="210"/>
      <c r="F56" s="211"/>
      <c r="G56" s="211"/>
      <c r="H56" s="211"/>
      <c r="I56" s="211"/>
      <c r="J56" s="211"/>
      <c r="K56" s="210"/>
      <c r="L56" s="210"/>
      <c r="M56" s="210"/>
    </row>
    <row r="57" spans="5:13" x14ac:dyDescent="0.35">
      <c r="E57" s="210"/>
      <c r="F57" s="211"/>
      <c r="G57" s="211"/>
      <c r="H57" s="211"/>
      <c r="I57" s="211"/>
      <c r="J57" s="211"/>
      <c r="K57" s="210"/>
      <c r="L57" s="210"/>
      <c r="M57" s="210"/>
    </row>
    <row r="58" spans="5:13" x14ac:dyDescent="0.35">
      <c r="E58" s="210"/>
      <c r="F58" s="211"/>
      <c r="G58" s="211"/>
      <c r="H58" s="211"/>
      <c r="I58" s="211"/>
      <c r="J58" s="211"/>
      <c r="K58" s="210"/>
      <c r="L58" s="210"/>
      <c r="M58" s="210"/>
    </row>
    <row r="59" spans="5:13" x14ac:dyDescent="0.35">
      <c r="E59" s="210"/>
      <c r="F59" s="211"/>
      <c r="G59" s="211"/>
      <c r="H59" s="211"/>
      <c r="I59" s="211"/>
      <c r="J59" s="211"/>
      <c r="K59" s="210"/>
      <c r="L59" s="210"/>
      <c r="M59" s="210"/>
    </row>
    <row r="60" spans="5:13" x14ac:dyDescent="0.35">
      <c r="E60" s="210"/>
      <c r="F60" s="211"/>
      <c r="G60" s="211"/>
      <c r="H60" s="211"/>
      <c r="I60" s="211"/>
      <c r="J60" s="211"/>
      <c r="K60" s="210"/>
      <c r="L60" s="210"/>
      <c r="M60" s="210"/>
    </row>
    <row r="61" spans="5:13" x14ac:dyDescent="0.35">
      <c r="E61" s="210"/>
      <c r="F61" s="211"/>
      <c r="G61" s="211"/>
      <c r="H61" s="211"/>
      <c r="I61" s="211"/>
      <c r="J61" s="211"/>
      <c r="K61" s="210"/>
      <c r="L61" s="210"/>
      <c r="M61" s="210"/>
    </row>
    <row r="62" spans="5:13" x14ac:dyDescent="0.35">
      <c r="E62" s="210"/>
      <c r="F62" s="211"/>
      <c r="G62" s="211"/>
      <c r="H62" s="211"/>
      <c r="I62" s="211"/>
      <c r="J62" s="211"/>
      <c r="K62" s="210"/>
      <c r="L62" s="210"/>
      <c r="M62" s="210"/>
    </row>
    <row r="63" spans="5:13" x14ac:dyDescent="0.35">
      <c r="E63" s="210"/>
      <c r="F63" s="211"/>
      <c r="G63" s="211"/>
      <c r="H63" s="211"/>
      <c r="I63" s="211"/>
      <c r="J63" s="211"/>
      <c r="K63" s="210"/>
      <c r="L63" s="210"/>
      <c r="M63" s="210"/>
    </row>
    <row r="64" spans="5:13" x14ac:dyDescent="0.35">
      <c r="E64" s="210"/>
      <c r="F64" s="211"/>
      <c r="G64" s="211"/>
      <c r="H64" s="211"/>
      <c r="I64" s="211"/>
      <c r="J64" s="211"/>
      <c r="K64" s="210"/>
      <c r="L64" s="210"/>
      <c r="M64" s="210"/>
    </row>
    <row r="65" spans="5:13" x14ac:dyDescent="0.35">
      <c r="E65" s="210"/>
      <c r="F65" s="211"/>
      <c r="G65" s="211"/>
      <c r="H65" s="211"/>
      <c r="I65" s="211"/>
      <c r="J65" s="211"/>
      <c r="K65" s="210"/>
      <c r="L65" s="210"/>
      <c r="M65" s="210"/>
    </row>
    <row r="66" spans="5:13" x14ac:dyDescent="0.35">
      <c r="E66" s="210"/>
      <c r="F66" s="211"/>
      <c r="G66" s="211"/>
      <c r="H66" s="211"/>
      <c r="I66" s="211"/>
      <c r="J66" s="211"/>
      <c r="K66" s="210"/>
      <c r="L66" s="210"/>
      <c r="M66" s="210"/>
    </row>
    <row r="67" spans="5:13" x14ac:dyDescent="0.35">
      <c r="E67" s="210"/>
      <c r="F67" s="211"/>
      <c r="G67" s="211"/>
      <c r="H67" s="211"/>
      <c r="I67" s="211"/>
      <c r="J67" s="211"/>
      <c r="K67" s="210"/>
      <c r="L67" s="211">
        <f>SUM('household calculator'!F15:F16)</f>
        <v>1.7177222222222224</v>
      </c>
      <c r="M67" s="210"/>
    </row>
    <row r="68" spans="5:13" x14ac:dyDescent="0.35">
      <c r="E68" s="210"/>
      <c r="F68" s="211"/>
      <c r="G68" s="211"/>
      <c r="H68" s="211"/>
      <c r="I68" s="211"/>
      <c r="J68" s="211"/>
      <c r="K68" s="210"/>
      <c r="L68" s="211">
        <f>'household calculator'!F19</f>
        <v>2.52</v>
      </c>
      <c r="M68" s="210"/>
    </row>
    <row r="69" spans="5:13" x14ac:dyDescent="0.35">
      <c r="L69" s="205">
        <f>SUM('household calculator'!F24:F27)</f>
        <v>3.5350000000000001</v>
      </c>
    </row>
    <row r="70" spans="5:13" x14ac:dyDescent="0.35">
      <c r="L70" s="205">
        <f>'household calculator'!F30</f>
        <v>16.8</v>
      </c>
    </row>
  </sheetData>
  <mergeCells count="1">
    <mergeCell ref="B6:D7"/>
  </mergeCells>
  <dataValidations count="1">
    <dataValidation allowBlank="1" showInputMessage="1" showErrorMessage="1" prompt="note that an average laundry machine can hold up to 5 kg of laundry" sqref="C19"/>
  </dataValidations>
  <hyperlinks>
    <hyperlink ref="B36" location="'diet inpu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B11</xm:sqref>
        </x14:dataValidation>
        <x14:dataValidation type="list" allowBlank="1" showInputMessage="1" showErrorMessage="1">
          <x14:formula1>
            <xm:f>'back end data'!$A$11:$A$14</xm:f>
          </x14:formula1>
          <xm:sqref>B12</xm:sqref>
        </x14:dataValidation>
        <x14:dataValidation type="list" allowBlank="1" showInputMessage="1" showErrorMessage="1">
          <x14:formula1>
            <xm:f>'back end data'!$A$15:$A$18</xm:f>
          </x14:formula1>
          <xm:sqref>B13</xm:sqref>
        </x14:dataValidation>
        <x14:dataValidation type="list" allowBlank="1" showInputMessage="1" showErrorMessage="1">
          <x14:formula1>
            <xm:f>'back end data'!$A$21:$A$23</xm:f>
          </x14:formula1>
          <xm:sqref>B14</xm:sqref>
        </x14:dataValidation>
        <x14:dataValidation type="list" allowBlank="1" showInputMessage="1" showErrorMessage="1">
          <x14:formula1>
            <xm:f>'back end data'!$A$29:$A$32</xm:f>
          </x14:formula1>
          <xm:sqref>B19</xm:sqref>
        </x14:dataValidation>
        <x14:dataValidation type="list" allowBlank="1" showInputMessage="1" showErrorMessage="1">
          <x14:formula1>
            <xm:f>'back end data'!$A$33:$A$35</xm:f>
          </x14:formula1>
          <xm:sqref>B20</xm:sqref>
        </x14:dataValidation>
        <x14:dataValidation type="list" allowBlank="1" showInputMessage="1" showErrorMessage="1">
          <x14:formula1>
            <xm:f>'back end data'!$A$37:$A$40</xm:f>
          </x14:formula1>
          <xm:sqref>B23</xm:sqref>
        </x14:dataValidation>
        <x14:dataValidation type="list" allowBlank="1" showInputMessage="1" showErrorMessage="1">
          <x14:formula1>
            <xm:f>'back end data'!$A$49:$A$52</xm:f>
          </x14:formula1>
          <xm:sqref>B28</xm:sqref>
        </x14:dataValidation>
        <x14:dataValidation type="list" allowBlank="1" showInputMessage="1" showErrorMessage="1">
          <x14:formula1>
            <xm:f>'back end data'!$A$56:$A$58</xm:f>
          </x14:formula1>
          <xm:sqref>B31</xm:sqref>
        </x14:dataValidation>
        <x14:dataValidation type="list" allowBlank="1" showInputMessage="1" showErrorMessage="1">
          <x14:formula1>
            <xm:f>'back end data'!$A$44:$A$47</xm:f>
          </x14:formula1>
          <xm:sqref>B25</xm:sqref>
        </x14:dataValidation>
        <x14:dataValidation type="list" allowBlank="1" showInputMessage="1" showErrorMessage="1">
          <x14:formula1>
            <xm:f>'back end data'!$A$66:$A$71</xm:f>
          </x14:formula1>
          <xm:sqref>B34</xm:sqref>
        </x14:dataValidation>
        <x14:dataValidation type="list" allowBlank="1" showInputMessage="1" showErrorMessage="1">
          <x14:formula1>
            <xm:f>'back end data'!$A$41:$A$43</xm:f>
          </x14:formula1>
          <xm:sqref>B24</xm:sqref>
        </x14:dataValidation>
        <x14:dataValidation type="list" allowBlank="1" showInputMessage="1" showErrorMessage="1">
          <x14:formula1>
            <xm:f>'back end data'!$A$59:$A$61</xm:f>
          </x14:formula1>
          <xm:sqref>B30</xm:sqref>
        </x14:dataValidation>
        <x14:dataValidation type="list" allowBlank="1" showInputMessage="1" showErrorMessage="1">
          <x14:formula1>
            <xm:f>'back end data'!$A$53:$A$55</xm:f>
          </x14:formula1>
          <xm:sqref>B29</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D67"/>
  <sheetViews>
    <sheetView topLeftCell="A14" workbookViewId="0">
      <selection activeCell="D10" sqref="D10"/>
    </sheetView>
  </sheetViews>
  <sheetFormatPr defaultRowHeight="14.5" x14ac:dyDescent="0.35"/>
  <cols>
    <col min="1" max="1" width="44.1796875" bestFit="1" customWidth="1" collapsed="1"/>
    <col min="4" max="4" width="10.36328125" bestFit="1" customWidth="1" collapsed="1"/>
  </cols>
  <sheetData>
    <row r="5" spans="1:4" x14ac:dyDescent="0.35">
      <c r="A5" s="51" t="s">
        <v>189</v>
      </c>
      <c r="B5" s="51" t="s">
        <v>190</v>
      </c>
      <c r="C5" s="52" t="s">
        <v>191</v>
      </c>
      <c r="D5" s="53" t="s">
        <v>192</v>
      </c>
    </row>
    <row r="6" spans="1:4" x14ac:dyDescent="0.35">
      <c r="A6" s="51" t="s">
        <v>519</v>
      </c>
      <c r="B6" s="51"/>
      <c r="C6" s="52"/>
      <c r="D6" s="53"/>
    </row>
    <row r="7" spans="1:4" x14ac:dyDescent="0.35">
      <c r="A7" s="52" t="s">
        <v>194</v>
      </c>
      <c r="B7" s="52" t="s">
        <v>193</v>
      </c>
      <c r="C7" s="51">
        <v>2015</v>
      </c>
      <c r="D7" s="54">
        <v>0.81359999999999999</v>
      </c>
    </row>
    <row r="8" spans="1:4" x14ac:dyDescent="0.35">
      <c r="A8" s="52" t="s">
        <v>195</v>
      </c>
      <c r="B8" s="52" t="s">
        <v>193</v>
      </c>
      <c r="C8" s="51">
        <v>2015</v>
      </c>
      <c r="D8" s="54">
        <v>0.21742</v>
      </c>
    </row>
    <row r="9" spans="1:4" x14ac:dyDescent="0.35">
      <c r="A9" s="52" t="s">
        <v>196</v>
      </c>
      <c r="B9" s="52" t="s">
        <v>193</v>
      </c>
      <c r="C9" s="51">
        <v>2015</v>
      </c>
      <c r="D9" s="54">
        <v>0.18941</v>
      </c>
    </row>
    <row r="10" spans="1:4" x14ac:dyDescent="0.35">
      <c r="A10" s="52" t="s">
        <v>197</v>
      </c>
      <c r="B10" s="52" t="s">
        <v>193</v>
      </c>
      <c r="C10" s="51">
        <v>2015</v>
      </c>
      <c r="D10" s="54">
        <v>6.9290000000000004E-2</v>
      </c>
    </row>
    <row r="11" spans="1:4" x14ac:dyDescent="0.35">
      <c r="A11" s="52" t="s">
        <v>198</v>
      </c>
      <c r="B11" s="52" t="s">
        <v>193</v>
      </c>
      <c r="C11" s="51">
        <v>2015</v>
      </c>
      <c r="D11" s="54">
        <v>0.61085999999999996</v>
      </c>
    </row>
    <row r="12" spans="1:4" x14ac:dyDescent="0.35">
      <c r="A12" s="52" t="s">
        <v>199</v>
      </c>
      <c r="B12" s="52" t="s">
        <v>193</v>
      </c>
      <c r="C12" s="51">
        <v>2015</v>
      </c>
      <c r="D12" s="54">
        <v>0.16403999999999999</v>
      </c>
    </row>
    <row r="13" spans="1:4" x14ac:dyDescent="0.35">
      <c r="A13" s="52" t="s">
        <v>200</v>
      </c>
      <c r="B13" s="52" t="s">
        <v>193</v>
      </c>
      <c r="C13" s="51">
        <v>2015</v>
      </c>
      <c r="D13" s="54">
        <v>0.59025000000000005</v>
      </c>
    </row>
    <row r="14" spans="1:4" x14ac:dyDescent="0.35">
      <c r="A14" s="52" t="s">
        <v>201</v>
      </c>
      <c r="B14" s="52" t="s">
        <v>193</v>
      </c>
      <c r="C14" s="51">
        <v>2015</v>
      </c>
      <c r="D14" s="54">
        <v>0.35048000000000001</v>
      </c>
    </row>
    <row r="15" spans="1:4" x14ac:dyDescent="0.35">
      <c r="A15" s="52" t="s">
        <v>202</v>
      </c>
      <c r="B15" s="52" t="s">
        <v>193</v>
      </c>
      <c r="C15" s="51">
        <v>2015</v>
      </c>
      <c r="D15" s="54">
        <v>0.72824999999999995</v>
      </c>
    </row>
    <row r="16" spans="1:4" x14ac:dyDescent="0.35">
      <c r="A16" s="52" t="s">
        <v>203</v>
      </c>
      <c r="B16" s="52" t="s">
        <v>193</v>
      </c>
      <c r="C16" s="51">
        <v>2015</v>
      </c>
      <c r="D16" s="54">
        <v>0.59192999999999996</v>
      </c>
    </row>
    <row r="17" spans="1:4" x14ac:dyDescent="0.35">
      <c r="A17" s="52" t="s">
        <v>204</v>
      </c>
      <c r="B17" s="52" t="s">
        <v>193</v>
      </c>
      <c r="C17" s="51">
        <v>2015</v>
      </c>
      <c r="D17" s="54">
        <v>0.29304000000000002</v>
      </c>
    </row>
    <row r="18" spans="1:4" x14ac:dyDescent="0.35">
      <c r="A18" s="52" t="s">
        <v>205</v>
      </c>
      <c r="B18" s="52" t="s">
        <v>193</v>
      </c>
      <c r="C18" s="51">
        <v>2015</v>
      </c>
      <c r="D18" s="54">
        <v>0.45421</v>
      </c>
    </row>
    <row r="19" spans="1:4" x14ac:dyDescent="0.35">
      <c r="A19" s="52" t="s">
        <v>206</v>
      </c>
      <c r="B19" s="52" t="s">
        <v>193</v>
      </c>
      <c r="C19" s="51">
        <v>2015</v>
      </c>
      <c r="D19" s="54">
        <v>1.0885899999999999</v>
      </c>
    </row>
    <row r="20" spans="1:4" x14ac:dyDescent="0.35">
      <c r="A20" s="52" t="s">
        <v>207</v>
      </c>
      <c r="B20" s="52" t="s">
        <v>193</v>
      </c>
      <c r="C20" s="51">
        <v>2015</v>
      </c>
      <c r="D20" s="54">
        <v>0.19134999999999999</v>
      </c>
    </row>
    <row r="21" spans="1:4" x14ac:dyDescent="0.35">
      <c r="A21" s="52" t="s">
        <v>208</v>
      </c>
      <c r="B21" s="52" t="s">
        <v>193</v>
      </c>
      <c r="C21" s="51">
        <v>2015</v>
      </c>
      <c r="D21" s="54">
        <v>5.8639999999999998E-2</v>
      </c>
    </row>
    <row r="22" spans="1:4" x14ac:dyDescent="0.35">
      <c r="A22" s="52" t="s">
        <v>209</v>
      </c>
      <c r="B22" s="52" t="s">
        <v>193</v>
      </c>
      <c r="C22" s="51">
        <v>2015</v>
      </c>
      <c r="D22" s="54">
        <v>0.47182000000000002</v>
      </c>
    </row>
    <row r="23" spans="1:4" x14ac:dyDescent="0.35">
      <c r="A23" s="52" t="s">
        <v>210</v>
      </c>
      <c r="B23" s="52" t="s">
        <v>193</v>
      </c>
      <c r="C23" s="51">
        <v>2015</v>
      </c>
      <c r="D23" s="54">
        <v>0.75031000000000003</v>
      </c>
    </row>
    <row r="24" spans="1:4" x14ac:dyDescent="0.35">
      <c r="A24" s="52" t="s">
        <v>211</v>
      </c>
      <c r="B24" s="52" t="s">
        <v>193</v>
      </c>
      <c r="C24" s="51">
        <v>2015</v>
      </c>
      <c r="D24" s="54">
        <v>0.71821000000000002</v>
      </c>
    </row>
    <row r="25" spans="1:4" x14ac:dyDescent="0.35">
      <c r="A25" s="52" t="s">
        <v>212</v>
      </c>
      <c r="B25" s="52" t="s">
        <v>193</v>
      </c>
      <c r="C25" s="51">
        <v>2015</v>
      </c>
      <c r="D25" s="54">
        <v>0.76968999999999999</v>
      </c>
    </row>
    <row r="26" spans="1:4" x14ac:dyDescent="0.35">
      <c r="A26" s="52" t="s">
        <v>213</v>
      </c>
      <c r="B26" s="52" t="s">
        <v>193</v>
      </c>
      <c r="C26" s="51">
        <v>2015</v>
      </c>
      <c r="D26" s="54">
        <v>0.31829000000000002</v>
      </c>
    </row>
    <row r="27" spans="1:4" x14ac:dyDescent="0.35">
      <c r="A27" s="52" t="s">
        <v>214</v>
      </c>
      <c r="B27" s="52" t="s">
        <v>193</v>
      </c>
      <c r="C27" s="51">
        <v>2015</v>
      </c>
      <c r="D27" s="54">
        <v>1.7000000000000001E-4</v>
      </c>
    </row>
    <row r="28" spans="1:4" x14ac:dyDescent="0.35">
      <c r="A28" s="52" t="s">
        <v>215</v>
      </c>
      <c r="B28" s="52" t="s">
        <v>193</v>
      </c>
      <c r="C28" s="51">
        <v>2015</v>
      </c>
      <c r="D28" s="54">
        <v>0.82908999999999999</v>
      </c>
    </row>
    <row r="29" spans="1:4" x14ac:dyDescent="0.35">
      <c r="A29" s="52" t="s">
        <v>216</v>
      </c>
      <c r="B29" s="52" t="s">
        <v>193</v>
      </c>
      <c r="C29" s="51">
        <v>2015</v>
      </c>
      <c r="D29" s="54">
        <v>0.75839000000000001</v>
      </c>
    </row>
    <row r="30" spans="1:4" x14ac:dyDescent="0.35">
      <c r="A30" s="52" t="s">
        <v>217</v>
      </c>
      <c r="B30" s="52" t="s">
        <v>193</v>
      </c>
      <c r="C30" s="51">
        <v>2015</v>
      </c>
      <c r="D30" s="54">
        <v>0.41925000000000001</v>
      </c>
    </row>
    <row r="31" spans="1:4" x14ac:dyDescent="0.35">
      <c r="A31" s="52" t="s">
        <v>218</v>
      </c>
      <c r="B31" s="52" t="s">
        <v>193</v>
      </c>
      <c r="C31" s="51">
        <v>2015</v>
      </c>
      <c r="D31" s="54">
        <v>0.73836000000000002</v>
      </c>
    </row>
    <row r="32" spans="1:4" x14ac:dyDescent="0.35">
      <c r="A32" s="52" t="s">
        <v>219</v>
      </c>
      <c r="B32" s="52" t="s">
        <v>193</v>
      </c>
      <c r="C32" s="51">
        <v>2015</v>
      </c>
      <c r="D32" s="54">
        <v>0.39899000000000001</v>
      </c>
    </row>
    <row r="33" spans="1:4" x14ac:dyDescent="0.35">
      <c r="A33" s="52" t="s">
        <v>220</v>
      </c>
      <c r="B33" s="52" t="s">
        <v>193</v>
      </c>
      <c r="C33" s="51">
        <v>2015</v>
      </c>
      <c r="D33" s="54">
        <v>0.52941000000000005</v>
      </c>
    </row>
    <row r="34" spans="1:4" x14ac:dyDescent="0.35">
      <c r="A34" s="52" t="s">
        <v>221</v>
      </c>
      <c r="B34" s="52" t="s">
        <v>193</v>
      </c>
      <c r="C34" s="51">
        <v>2015</v>
      </c>
      <c r="D34" s="54">
        <v>0.13300000000000001</v>
      </c>
    </row>
    <row r="35" spans="1:4" x14ac:dyDescent="0.35">
      <c r="A35" s="52" t="s">
        <v>222</v>
      </c>
      <c r="B35" s="52" t="s">
        <v>193</v>
      </c>
      <c r="C35" s="51">
        <v>2015</v>
      </c>
      <c r="D35" s="54">
        <v>0.27</v>
      </c>
    </row>
    <row r="36" spans="1:4" x14ac:dyDescent="0.35">
      <c r="A36" s="52" t="s">
        <v>223</v>
      </c>
      <c r="B36" s="52" t="s">
        <v>193</v>
      </c>
      <c r="C36" s="51">
        <v>2015</v>
      </c>
      <c r="D36" s="54">
        <v>0.39089000000000002</v>
      </c>
    </row>
    <row r="37" spans="1:4" x14ac:dyDescent="0.35">
      <c r="A37" s="52" t="s">
        <v>224</v>
      </c>
      <c r="B37" s="52" t="s">
        <v>193</v>
      </c>
      <c r="C37" s="51">
        <v>2015</v>
      </c>
      <c r="D37" s="54">
        <v>0.72177000000000002</v>
      </c>
    </row>
    <row r="38" spans="1:4" x14ac:dyDescent="0.35">
      <c r="A38" s="52" t="s">
        <v>225</v>
      </c>
      <c r="B38" s="52" t="s">
        <v>193</v>
      </c>
      <c r="C38" s="51">
        <v>2015</v>
      </c>
      <c r="D38" s="54">
        <v>0.86604999999999999</v>
      </c>
    </row>
    <row r="39" spans="1:4" x14ac:dyDescent="0.35">
      <c r="A39" s="52" t="s">
        <v>226</v>
      </c>
      <c r="B39" s="52" t="s">
        <v>193</v>
      </c>
      <c r="C39" s="51">
        <v>2015</v>
      </c>
      <c r="D39" s="54">
        <v>0.44835999999999998</v>
      </c>
    </row>
    <row r="40" spans="1:4" x14ac:dyDescent="0.35">
      <c r="A40" s="52" t="s">
        <v>227</v>
      </c>
      <c r="B40" s="52" t="s">
        <v>193</v>
      </c>
      <c r="C40" s="51">
        <v>2015</v>
      </c>
      <c r="D40" s="54">
        <v>0.39895000000000003</v>
      </c>
    </row>
    <row r="41" spans="1:4" x14ac:dyDescent="0.35">
      <c r="A41" s="52" t="s">
        <v>228</v>
      </c>
      <c r="B41" s="52" t="s">
        <v>193</v>
      </c>
      <c r="C41" s="51">
        <v>2015</v>
      </c>
      <c r="D41" s="54">
        <v>0.1336</v>
      </c>
    </row>
    <row r="42" spans="1:4" x14ac:dyDescent="0.35">
      <c r="A42" s="52" t="s">
        <v>229</v>
      </c>
      <c r="B42" s="52" t="s">
        <v>193</v>
      </c>
      <c r="C42" s="51">
        <v>2015</v>
      </c>
      <c r="D42" s="54">
        <v>1.372E-2</v>
      </c>
    </row>
    <row r="43" spans="1:4" x14ac:dyDescent="0.35">
      <c r="A43" s="52" t="s">
        <v>230</v>
      </c>
      <c r="B43" s="52" t="s">
        <v>193</v>
      </c>
      <c r="C43" s="51">
        <v>2015</v>
      </c>
      <c r="D43" s="54">
        <v>0.39449000000000001</v>
      </c>
    </row>
    <row r="44" spans="1:4" x14ac:dyDescent="0.35">
      <c r="A44" s="52" t="s">
        <v>231</v>
      </c>
      <c r="B44" s="52" t="s">
        <v>193</v>
      </c>
      <c r="C44" s="51">
        <v>2015</v>
      </c>
      <c r="D44" s="54">
        <v>0.75244999999999995</v>
      </c>
    </row>
    <row r="45" spans="1:4" x14ac:dyDescent="0.35">
      <c r="A45" s="52" t="s">
        <v>232</v>
      </c>
      <c r="B45" s="52" t="s">
        <v>193</v>
      </c>
      <c r="C45" s="51">
        <v>2015</v>
      </c>
      <c r="D45" s="54">
        <v>0.49780999999999997</v>
      </c>
    </row>
    <row r="46" spans="1:4" x14ac:dyDescent="0.35">
      <c r="A46" s="52" t="s">
        <v>233</v>
      </c>
      <c r="B46" s="52" t="s">
        <v>193</v>
      </c>
      <c r="C46" s="51">
        <v>2015</v>
      </c>
      <c r="D46" s="54">
        <v>0.77393000000000001</v>
      </c>
    </row>
    <row r="47" spans="1:4" x14ac:dyDescent="0.35">
      <c r="A47" s="52" t="s">
        <v>234</v>
      </c>
      <c r="B47" s="52" t="s">
        <v>193</v>
      </c>
      <c r="C47" s="51">
        <v>2015</v>
      </c>
      <c r="D47" s="54">
        <v>0.28271000000000002</v>
      </c>
    </row>
    <row r="48" spans="1:4" x14ac:dyDescent="0.35">
      <c r="A48" s="52" t="s">
        <v>235</v>
      </c>
      <c r="B48" s="52" t="s">
        <v>193</v>
      </c>
      <c r="C48" s="51">
        <v>2015</v>
      </c>
      <c r="D48" s="54">
        <v>0.50844999999999996</v>
      </c>
    </row>
    <row r="49" spans="1:4" x14ac:dyDescent="0.35">
      <c r="A49" s="52" t="s">
        <v>236</v>
      </c>
      <c r="B49" s="52" t="s">
        <v>193</v>
      </c>
      <c r="C49" s="51">
        <v>2015</v>
      </c>
      <c r="D49" s="54">
        <v>0.44982</v>
      </c>
    </row>
    <row r="50" spans="1:4" x14ac:dyDescent="0.35">
      <c r="A50" s="52" t="s">
        <v>237</v>
      </c>
      <c r="B50" s="52" t="s">
        <v>193</v>
      </c>
      <c r="C50" s="51">
        <v>2015</v>
      </c>
      <c r="D50" s="54">
        <v>0.75292999999999999</v>
      </c>
    </row>
    <row r="51" spans="1:4" x14ac:dyDescent="0.35">
      <c r="A51" s="52" t="s">
        <v>238</v>
      </c>
      <c r="B51" s="52" t="s">
        <v>193</v>
      </c>
      <c r="C51" s="51">
        <v>2015</v>
      </c>
      <c r="D51" s="54">
        <v>0.50509999999999999</v>
      </c>
    </row>
    <row r="52" spans="1:4" x14ac:dyDescent="0.35">
      <c r="A52" s="52" t="s">
        <v>239</v>
      </c>
      <c r="B52" s="52" t="s">
        <v>193</v>
      </c>
      <c r="C52" s="51">
        <v>2015</v>
      </c>
      <c r="D52" s="54">
        <v>0.19675999999999999</v>
      </c>
    </row>
    <row r="53" spans="1:4" x14ac:dyDescent="0.35">
      <c r="A53" s="52" t="s">
        <v>240</v>
      </c>
      <c r="B53" s="52" t="s">
        <v>193</v>
      </c>
      <c r="C53" s="51">
        <v>2015</v>
      </c>
      <c r="D53" s="54">
        <v>0.34490999999999999</v>
      </c>
    </row>
    <row r="54" spans="1:4" x14ac:dyDescent="0.35">
      <c r="A54" s="52" t="s">
        <v>241</v>
      </c>
      <c r="B54" s="52" t="s">
        <v>193</v>
      </c>
      <c r="C54" s="51">
        <v>2015</v>
      </c>
      <c r="D54" s="54">
        <v>0.85728000000000004</v>
      </c>
    </row>
    <row r="55" spans="1:4" x14ac:dyDescent="0.35">
      <c r="A55" s="52" t="s">
        <v>242</v>
      </c>
      <c r="B55" s="52" t="s">
        <v>193</v>
      </c>
      <c r="C55" s="51">
        <v>2015</v>
      </c>
      <c r="D55" s="54">
        <v>0.55183000000000004</v>
      </c>
    </row>
    <row r="56" spans="1:4" x14ac:dyDescent="0.35">
      <c r="A56" s="52" t="s">
        <v>243</v>
      </c>
      <c r="B56" s="52" t="s">
        <v>193</v>
      </c>
      <c r="C56" s="51">
        <v>2015</v>
      </c>
      <c r="D56" s="54">
        <v>0.28908</v>
      </c>
    </row>
    <row r="57" spans="1:4" x14ac:dyDescent="0.35">
      <c r="A57" s="52" t="s">
        <v>244</v>
      </c>
      <c r="B57" s="52" t="s">
        <v>193</v>
      </c>
      <c r="C57" s="51">
        <v>2015</v>
      </c>
      <c r="D57" s="54">
        <v>1.6500000000000001E-2</v>
      </c>
    </row>
    <row r="58" spans="1:4" x14ac:dyDescent="0.35">
      <c r="A58" s="52" t="s">
        <v>245</v>
      </c>
      <c r="B58" s="52" t="s">
        <v>193</v>
      </c>
      <c r="C58" s="51">
        <v>2015</v>
      </c>
      <c r="D58" s="54">
        <v>3.1510000000000003E-2</v>
      </c>
    </row>
    <row r="59" spans="1:4" x14ac:dyDescent="0.35">
      <c r="A59" s="52" t="s">
        <v>246</v>
      </c>
      <c r="B59" s="52" t="s">
        <v>193</v>
      </c>
      <c r="C59" s="51">
        <v>2015</v>
      </c>
      <c r="D59" s="54">
        <v>0.52492000000000005</v>
      </c>
    </row>
    <row r="60" spans="1:4" x14ac:dyDescent="0.35">
      <c r="A60" s="52" t="s">
        <v>247</v>
      </c>
      <c r="B60" s="52" t="s">
        <v>193</v>
      </c>
      <c r="C60" s="51">
        <v>2015</v>
      </c>
      <c r="D60" s="54">
        <v>0.46443000000000001</v>
      </c>
    </row>
    <row r="61" spans="1:4" x14ac:dyDescent="0.35">
      <c r="A61" s="52" t="s">
        <v>248</v>
      </c>
      <c r="B61" s="52" t="s">
        <v>193</v>
      </c>
      <c r="C61" s="51">
        <v>2015</v>
      </c>
      <c r="D61" s="54">
        <v>0.47288999999999998</v>
      </c>
    </row>
    <row r="62" spans="1:4" x14ac:dyDescent="0.35">
      <c r="A62" s="52" t="s">
        <v>249</v>
      </c>
      <c r="B62" s="52" t="s">
        <v>193</v>
      </c>
      <c r="C62" s="51">
        <v>2015</v>
      </c>
      <c r="D62" s="54">
        <v>0.49845</v>
      </c>
    </row>
    <row r="63" spans="1:4" x14ac:dyDescent="0.35">
      <c r="A63" s="52" t="s">
        <v>250</v>
      </c>
      <c r="B63" s="52" t="s">
        <v>193</v>
      </c>
      <c r="C63" s="51">
        <v>2015</v>
      </c>
      <c r="D63" s="54">
        <v>0.58198000000000005</v>
      </c>
    </row>
    <row r="64" spans="1:4" x14ac:dyDescent="0.35">
      <c r="A64" s="52" t="s">
        <v>251</v>
      </c>
      <c r="B64" s="52" t="s">
        <v>193</v>
      </c>
      <c r="C64" s="51">
        <v>2015</v>
      </c>
      <c r="D64" s="54">
        <v>0.35047</v>
      </c>
    </row>
    <row r="65" spans="1:4" x14ac:dyDescent="0.35">
      <c r="A65" s="52" t="s">
        <v>252</v>
      </c>
      <c r="B65" s="52" t="s">
        <v>193</v>
      </c>
      <c r="C65" s="51">
        <v>2015</v>
      </c>
      <c r="D65" s="54">
        <v>0.18421999999999999</v>
      </c>
    </row>
    <row r="66" spans="1:4" x14ac:dyDescent="0.35">
      <c r="A66" s="52" t="s">
        <v>253</v>
      </c>
      <c r="B66" s="52" t="s">
        <v>193</v>
      </c>
      <c r="C66" s="51">
        <v>2015</v>
      </c>
      <c r="D66" s="54">
        <v>0.66944999999999999</v>
      </c>
    </row>
    <row r="67" spans="1:4" x14ac:dyDescent="0.35">
      <c r="A67" s="52" t="s">
        <v>254</v>
      </c>
      <c r="B67" s="52" t="s">
        <v>193</v>
      </c>
      <c r="C67" s="51">
        <v>2015</v>
      </c>
      <c r="D67" s="54">
        <v>0.47173999999999999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27"/>
  <sheetViews>
    <sheetView topLeftCell="A124" zoomScale="90" zoomScaleNormal="90" workbookViewId="0">
      <selection activeCell="B50" sqref="B50"/>
    </sheetView>
  </sheetViews>
  <sheetFormatPr defaultColWidth="9.1796875" defaultRowHeight="14.5" x14ac:dyDescent="0.35"/>
  <cols>
    <col min="1" max="1" width="24.7265625" bestFit="1" customWidth="1" collapsed="1"/>
    <col min="2" max="2" width="10.54296875" bestFit="1" customWidth="1" collapsed="1"/>
    <col min="3" max="3" width="11.1796875" bestFit="1" customWidth="1" collapsed="1"/>
    <col min="10" max="10" width="10.7265625" bestFit="1" customWidth="1" collapsed="1"/>
    <col min="12" max="12" width="29" bestFit="1" customWidth="1" collapsed="1"/>
    <col min="13" max="13" width="12" bestFit="1" customWidth="1" collapsed="1"/>
    <col min="14" max="14" width="11.1796875" bestFit="1" customWidth="1" collapsed="1"/>
  </cols>
  <sheetData>
    <row r="1" spans="1:6" ht="23.5" x14ac:dyDescent="0.55000000000000004">
      <c r="A1" s="14" t="s">
        <v>0</v>
      </c>
      <c r="B1" s="13"/>
      <c r="C1" s="13"/>
      <c r="D1" s="13"/>
      <c r="E1" s="13"/>
    </row>
    <row r="2" spans="1:6" x14ac:dyDescent="0.35">
      <c r="A2" s="13"/>
      <c r="B2" s="13"/>
      <c r="C2" s="13"/>
      <c r="D2" s="13"/>
      <c r="E2" s="13"/>
    </row>
    <row r="3" spans="1:6" x14ac:dyDescent="0.35">
      <c r="A3" s="1"/>
    </row>
    <row r="5" spans="1:6" x14ac:dyDescent="0.35">
      <c r="A5" s="4" t="s">
        <v>1</v>
      </c>
      <c r="B5" s="4"/>
      <c r="C5" s="4"/>
      <c r="D5" s="4"/>
      <c r="E5" s="4"/>
    </row>
    <row r="6" spans="1:6" x14ac:dyDescent="0.35">
      <c r="A6" s="4"/>
      <c r="B6" s="4"/>
      <c r="C6" s="4"/>
      <c r="D6" s="4"/>
      <c r="E6" s="4"/>
    </row>
    <row r="7" spans="1:6" x14ac:dyDescent="0.35">
      <c r="A7" s="5" t="s">
        <v>2</v>
      </c>
      <c r="B7" s="15">
        <v>12</v>
      </c>
      <c r="C7" s="5" t="s">
        <v>3</v>
      </c>
      <c r="D7" s="5">
        <f>B7*60/(3.6*10^6)</f>
        <v>2.0000000000000001E-4</v>
      </c>
      <c r="E7" s="5" t="s">
        <v>4</v>
      </c>
    </row>
    <row r="8" spans="1:6" x14ac:dyDescent="0.35">
      <c r="A8" s="5" t="s">
        <v>5</v>
      </c>
      <c r="B8" s="15">
        <v>60</v>
      </c>
      <c r="C8" s="5" t="s">
        <v>3</v>
      </c>
      <c r="D8" s="5">
        <f t="shared" ref="D8:D9" si="0">B8*60/(3.6*10^6)</f>
        <v>1E-3</v>
      </c>
      <c r="E8" s="5" t="s">
        <v>4</v>
      </c>
    </row>
    <row r="9" spans="1:6" x14ac:dyDescent="0.35">
      <c r="A9" s="5" t="s">
        <v>6</v>
      </c>
      <c r="B9" s="15">
        <v>80</v>
      </c>
      <c r="C9" s="5" t="s">
        <v>3</v>
      </c>
      <c r="D9" s="5">
        <f t="shared" si="0"/>
        <v>1.3333333333333333E-3</v>
      </c>
      <c r="E9" s="5" t="s">
        <v>4</v>
      </c>
    </row>
    <row r="10" spans="1:6" x14ac:dyDescent="0.35">
      <c r="E10" s="2"/>
    </row>
    <row r="11" spans="1:6" x14ac:dyDescent="0.35">
      <c r="E11" s="3"/>
    </row>
    <row r="12" spans="1:6" x14ac:dyDescent="0.35">
      <c r="A12" s="12" t="s">
        <v>7</v>
      </c>
      <c r="E12" s="2"/>
    </row>
    <row r="13" spans="1:6" x14ac:dyDescent="0.35">
      <c r="A13" s="4" t="s">
        <v>8</v>
      </c>
      <c r="B13" s="4"/>
      <c r="C13" s="4"/>
      <c r="D13" s="4"/>
      <c r="E13" s="4"/>
    </row>
    <row r="14" spans="1:6" x14ac:dyDescent="0.35">
      <c r="A14" s="9" t="s">
        <v>9</v>
      </c>
      <c r="B14" s="4"/>
      <c r="C14" s="4"/>
      <c r="D14" s="4"/>
      <c r="E14" s="4"/>
    </row>
    <row r="15" spans="1:6" x14ac:dyDescent="0.35">
      <c r="A15" s="5" t="s">
        <v>10</v>
      </c>
      <c r="B15" s="10">
        <f>F32*F33*93</f>
        <v>388740</v>
      </c>
      <c r="C15" s="5" t="s">
        <v>11</v>
      </c>
      <c r="D15" s="5"/>
      <c r="E15" s="5"/>
    </row>
    <row r="16" spans="1:6" x14ac:dyDescent="0.35">
      <c r="A16" s="5" t="s">
        <v>12</v>
      </c>
      <c r="B16" s="10">
        <v>0.9</v>
      </c>
      <c r="C16" s="5"/>
      <c r="D16" s="5"/>
      <c r="E16" s="5"/>
      <c r="F16" t="s">
        <v>13</v>
      </c>
    </row>
    <row r="17" spans="1:7" x14ac:dyDescent="0.35">
      <c r="A17" s="5" t="s">
        <v>14</v>
      </c>
      <c r="B17" s="10">
        <f>B15/B16</f>
        <v>431933.33333333331</v>
      </c>
      <c r="C17" s="5" t="s">
        <v>11</v>
      </c>
      <c r="D17" s="5"/>
      <c r="E17" s="5"/>
    </row>
    <row r="18" spans="1:7" x14ac:dyDescent="0.35">
      <c r="A18" s="5"/>
      <c r="B18" s="10">
        <f>B17/(1000*3600)</f>
        <v>0.11998148148148148</v>
      </c>
      <c r="C18" s="5" t="s">
        <v>15</v>
      </c>
      <c r="D18" s="5"/>
      <c r="E18" s="5"/>
    </row>
    <row r="19" spans="1:7" x14ac:dyDescent="0.35">
      <c r="A19" s="5" t="s">
        <v>16</v>
      </c>
      <c r="B19" s="10">
        <f>B18*F34</f>
        <v>2.759574074074074E-2</v>
      </c>
      <c r="C19" s="5" t="s">
        <v>17</v>
      </c>
      <c r="D19" s="5"/>
      <c r="E19" s="5"/>
    </row>
    <row r="20" spans="1:7" x14ac:dyDescent="0.35">
      <c r="A20" s="9" t="s">
        <v>18</v>
      </c>
      <c r="B20" s="9"/>
      <c r="C20" s="9"/>
      <c r="D20" s="9"/>
      <c r="E20" s="9"/>
    </row>
    <row r="21" spans="1:7" x14ac:dyDescent="0.35">
      <c r="A21" s="11" t="s">
        <v>19</v>
      </c>
      <c r="B21" s="5"/>
      <c r="C21" s="5"/>
      <c r="D21" s="5"/>
      <c r="E21" s="5"/>
    </row>
    <row r="22" spans="1:7" x14ac:dyDescent="0.35">
      <c r="A22" s="5" t="s">
        <v>20</v>
      </c>
      <c r="B22" s="5"/>
      <c r="C22" s="5"/>
      <c r="D22" s="5"/>
      <c r="E22" s="5"/>
    </row>
    <row r="23" spans="1:7" x14ac:dyDescent="0.35">
      <c r="A23" s="5" t="s">
        <v>16</v>
      </c>
      <c r="B23" s="10">
        <f>B19</f>
        <v>2.759574074074074E-2</v>
      </c>
      <c r="C23" s="5" t="s">
        <v>17</v>
      </c>
      <c r="D23" s="5" t="s">
        <v>21</v>
      </c>
      <c r="E23" s="5"/>
    </row>
    <row r="24" spans="1:7" x14ac:dyDescent="0.35">
      <c r="A24" s="9" t="s">
        <v>22</v>
      </c>
      <c r="B24" s="4"/>
      <c r="C24" s="4"/>
      <c r="D24" s="4"/>
      <c r="E24" s="4"/>
    </row>
    <row r="25" spans="1:7" x14ac:dyDescent="0.35">
      <c r="A25" s="11" t="s">
        <v>23</v>
      </c>
      <c r="B25" s="5"/>
      <c r="C25" s="5"/>
      <c r="D25" s="5"/>
      <c r="E25" s="5"/>
    </row>
    <row r="26" spans="1:7" x14ac:dyDescent="0.35">
      <c r="A26" s="5" t="s">
        <v>16</v>
      </c>
      <c r="B26" s="10">
        <f>B19</f>
        <v>2.759574074074074E-2</v>
      </c>
      <c r="C26" s="5" t="s">
        <v>17</v>
      </c>
      <c r="D26" s="5"/>
      <c r="E26" s="5"/>
    </row>
    <row r="30" spans="1:7" x14ac:dyDescent="0.35">
      <c r="A30" s="4" t="s">
        <v>24</v>
      </c>
      <c r="B30" s="4"/>
      <c r="C30" s="4"/>
      <c r="D30" s="4"/>
      <c r="E30" s="4"/>
      <c r="F30" s="4"/>
      <c r="G30" s="4"/>
    </row>
    <row r="31" spans="1:7" x14ac:dyDescent="0.35">
      <c r="A31" s="9" t="s">
        <v>25</v>
      </c>
      <c r="B31" s="4"/>
      <c r="C31" s="4"/>
      <c r="D31" s="4"/>
      <c r="E31" s="4"/>
      <c r="F31" s="4"/>
      <c r="G31" s="4"/>
    </row>
    <row r="32" spans="1:7" x14ac:dyDescent="0.35">
      <c r="A32" s="5" t="s">
        <v>26</v>
      </c>
      <c r="B32" s="8">
        <v>7</v>
      </c>
      <c r="C32" s="7" t="s">
        <v>27</v>
      </c>
      <c r="D32" s="5"/>
      <c r="E32" s="5" t="s">
        <v>28</v>
      </c>
      <c r="F32" s="5">
        <v>4.18</v>
      </c>
      <c r="G32" s="5" t="s">
        <v>29</v>
      </c>
    </row>
    <row r="33" spans="1:11" x14ac:dyDescent="0.35">
      <c r="A33" s="5" t="s">
        <v>30</v>
      </c>
      <c r="B33" s="8">
        <v>45</v>
      </c>
      <c r="C33" s="7" t="s">
        <v>27</v>
      </c>
      <c r="D33" s="5"/>
      <c r="E33" s="5" t="s">
        <v>31</v>
      </c>
      <c r="F33" s="5">
        <v>1000</v>
      </c>
      <c r="G33" s="5" t="s">
        <v>32</v>
      </c>
    </row>
    <row r="34" spans="1:11" x14ac:dyDescent="0.35">
      <c r="A34" s="6" t="s">
        <v>33</v>
      </c>
      <c r="B34" s="8">
        <f>B33-B32</f>
        <v>38</v>
      </c>
      <c r="C34" s="7" t="s">
        <v>27</v>
      </c>
      <c r="D34" s="5"/>
      <c r="E34" s="5" t="s">
        <v>34</v>
      </c>
      <c r="F34" s="5">
        <v>0.23</v>
      </c>
      <c r="G34" s="5" t="s">
        <v>35</v>
      </c>
      <c r="H34" s="16" t="s">
        <v>36</v>
      </c>
    </row>
    <row r="35" spans="1:11" x14ac:dyDescent="0.35">
      <c r="A35" s="6" t="s">
        <v>37</v>
      </c>
      <c r="B35" s="8">
        <f>F33*F32*B34</f>
        <v>158840</v>
      </c>
      <c r="C35" s="7" t="s">
        <v>11</v>
      </c>
      <c r="D35" s="5"/>
      <c r="E35" s="5"/>
      <c r="F35" s="5"/>
      <c r="G35" s="5"/>
    </row>
    <row r="36" spans="1:11" x14ac:dyDescent="0.35">
      <c r="A36" s="5"/>
      <c r="B36" s="8">
        <f>B35/(3.6*10^3)</f>
        <v>44.12222222222222</v>
      </c>
      <c r="C36" s="7" t="s">
        <v>38</v>
      </c>
      <c r="D36" s="5"/>
      <c r="E36" s="5"/>
      <c r="F36" s="5"/>
      <c r="G36" s="5"/>
      <c r="J36">
        <f>B36/1000</f>
        <v>4.4122222222222222E-2</v>
      </c>
      <c r="K36">
        <f>J36*13</f>
        <v>0.57358888888888893</v>
      </c>
    </row>
    <row r="37" spans="1:11" x14ac:dyDescent="0.35">
      <c r="A37" s="5" t="s">
        <v>39</v>
      </c>
      <c r="B37" s="8">
        <f>B36*F34</f>
        <v>10.148111111111112</v>
      </c>
      <c r="C37" s="7" t="s">
        <v>40</v>
      </c>
      <c r="D37" s="5"/>
      <c r="E37" s="5"/>
      <c r="F37" s="5"/>
      <c r="G37" s="5"/>
    </row>
    <row r="38" spans="1:11" x14ac:dyDescent="0.35">
      <c r="A38" s="5"/>
      <c r="B38" s="8">
        <f>B37/1000</f>
        <v>1.0148111111111111E-2</v>
      </c>
      <c r="C38" s="7" t="s">
        <v>17</v>
      </c>
      <c r="D38" s="5"/>
      <c r="E38" s="5"/>
      <c r="F38" s="5"/>
      <c r="G38" s="5"/>
      <c r="H38" t="s">
        <v>41</v>
      </c>
    </row>
    <row r="39" spans="1:11" x14ac:dyDescent="0.35">
      <c r="B39">
        <f>B36*2/1000</f>
        <v>8.8244444444444445E-2</v>
      </c>
      <c r="H39">
        <f>0.015/0.277</f>
        <v>5.4151624548736454E-2</v>
      </c>
      <c r="I39" t="s">
        <v>35</v>
      </c>
      <c r="J39" s="16" t="s">
        <v>42</v>
      </c>
    </row>
    <row r="40" spans="1:11" x14ac:dyDescent="0.35">
      <c r="B40">
        <f>1.2/12</f>
        <v>9.9999999999999992E-2</v>
      </c>
    </row>
    <row r="41" spans="1:11" x14ac:dyDescent="0.35">
      <c r="A41" s="4" t="s">
        <v>24</v>
      </c>
      <c r="B41" s="4"/>
      <c r="C41" s="4"/>
      <c r="D41" s="4"/>
      <c r="E41" s="4"/>
      <c r="F41" s="4"/>
      <c r="G41" s="4"/>
    </row>
    <row r="42" spans="1:11" x14ac:dyDescent="0.35">
      <c r="A42" s="9" t="s">
        <v>43</v>
      </c>
      <c r="B42" s="4"/>
      <c r="C42" s="4"/>
      <c r="D42" s="4"/>
      <c r="E42" s="4"/>
      <c r="F42" s="4"/>
      <c r="G42" s="4"/>
    </row>
    <row r="43" spans="1:11" x14ac:dyDescent="0.35">
      <c r="A43" s="5" t="s">
        <v>26</v>
      </c>
      <c r="B43" s="8">
        <v>7</v>
      </c>
      <c r="C43" s="7" t="s">
        <v>27</v>
      </c>
      <c r="D43" s="5"/>
      <c r="E43" s="5" t="s">
        <v>28</v>
      </c>
      <c r="F43" s="5">
        <v>4.18</v>
      </c>
      <c r="G43" s="5" t="s">
        <v>29</v>
      </c>
    </row>
    <row r="44" spans="1:11" x14ac:dyDescent="0.35">
      <c r="A44" s="5" t="s">
        <v>30</v>
      </c>
      <c r="B44" s="8">
        <v>33</v>
      </c>
      <c r="C44" s="7" t="s">
        <v>27</v>
      </c>
      <c r="D44" s="5"/>
      <c r="E44" s="5" t="s">
        <v>31</v>
      </c>
      <c r="F44" s="5">
        <v>1000</v>
      </c>
      <c r="G44" s="5" t="s">
        <v>32</v>
      </c>
    </row>
    <row r="45" spans="1:11" x14ac:dyDescent="0.35">
      <c r="A45" s="6" t="s">
        <v>33</v>
      </c>
      <c r="B45" s="8">
        <f>B44-B43</f>
        <v>26</v>
      </c>
      <c r="C45" s="7" t="s">
        <v>27</v>
      </c>
      <c r="D45" s="5"/>
      <c r="E45" s="5" t="s">
        <v>34</v>
      </c>
      <c r="F45" s="5">
        <v>0.23</v>
      </c>
      <c r="G45" s="5" t="s">
        <v>35</v>
      </c>
    </row>
    <row r="46" spans="1:11" x14ac:dyDescent="0.35">
      <c r="A46" s="6" t="s">
        <v>37</v>
      </c>
      <c r="B46" s="8">
        <f>F44*F43*B45</f>
        <v>108680</v>
      </c>
      <c r="C46" s="7" t="s">
        <v>11</v>
      </c>
      <c r="D46" s="5"/>
      <c r="E46" s="5"/>
      <c r="F46" s="5"/>
      <c r="G46" s="5"/>
    </row>
    <row r="47" spans="1:11" x14ac:dyDescent="0.35">
      <c r="A47" s="5"/>
      <c r="B47" s="8">
        <f>B46/(3.6*10^3)</f>
        <v>30.18888888888889</v>
      </c>
      <c r="C47" s="7" t="s">
        <v>38</v>
      </c>
      <c r="D47" s="5"/>
      <c r="E47" s="5"/>
      <c r="F47" s="5"/>
      <c r="G47" s="5"/>
    </row>
    <row r="48" spans="1:11" x14ac:dyDescent="0.35">
      <c r="A48" s="5" t="s">
        <v>39</v>
      </c>
      <c r="B48" s="8">
        <f>B47*F45</f>
        <v>6.9434444444444452</v>
      </c>
      <c r="C48" s="7" t="s">
        <v>40</v>
      </c>
      <c r="D48" s="5"/>
      <c r="E48" s="5"/>
      <c r="F48" s="5"/>
      <c r="G48" s="5"/>
    </row>
    <row r="49" spans="1:11" x14ac:dyDescent="0.35">
      <c r="A49" s="5"/>
      <c r="B49" s="24">
        <f>B48/1000</f>
        <v>6.9434444444444448E-3</v>
      </c>
      <c r="C49" s="7" t="s">
        <v>17</v>
      </c>
      <c r="D49" s="5"/>
      <c r="E49" s="5"/>
      <c r="F49" s="5"/>
      <c r="G49" s="5"/>
    </row>
    <row r="50" spans="1:11" x14ac:dyDescent="0.35">
      <c r="H50">
        <v>7.4999999999999997E-3</v>
      </c>
      <c r="I50">
        <v>6.8999999999999999E-3</v>
      </c>
      <c r="J50">
        <f>H50-I50</f>
        <v>5.9999999999999984E-4</v>
      </c>
      <c r="K50">
        <f>J50*6500</f>
        <v>3.899999999999999</v>
      </c>
    </row>
    <row r="52" spans="1:11" x14ac:dyDescent="0.35">
      <c r="A52" s="4" t="s">
        <v>24</v>
      </c>
      <c r="B52" s="4"/>
      <c r="C52" s="4"/>
      <c r="D52" s="4"/>
      <c r="E52" s="4"/>
      <c r="F52" s="4"/>
      <c r="G52" s="4"/>
    </row>
    <row r="53" spans="1:11" x14ac:dyDescent="0.35">
      <c r="A53" s="9" t="s">
        <v>44</v>
      </c>
      <c r="B53" s="4"/>
      <c r="C53" s="4"/>
      <c r="D53" s="4"/>
      <c r="E53" s="4"/>
      <c r="F53" s="4"/>
      <c r="G53" s="4"/>
    </row>
    <row r="54" spans="1:11" x14ac:dyDescent="0.35">
      <c r="A54" s="5" t="s">
        <v>26</v>
      </c>
      <c r="B54" s="8">
        <v>7</v>
      </c>
      <c r="C54" s="7" t="s">
        <v>27</v>
      </c>
      <c r="D54" s="5"/>
      <c r="E54" s="5" t="s">
        <v>28</v>
      </c>
      <c r="F54" s="5">
        <v>4.18</v>
      </c>
      <c r="G54" s="5" t="s">
        <v>29</v>
      </c>
    </row>
    <row r="55" spans="1:11" x14ac:dyDescent="0.35">
      <c r="A55" s="5" t="s">
        <v>30</v>
      </c>
      <c r="B55" s="8">
        <v>40</v>
      </c>
      <c r="C55" s="7" t="s">
        <v>27</v>
      </c>
      <c r="D55" s="5"/>
      <c r="E55" s="5" t="s">
        <v>31</v>
      </c>
      <c r="F55" s="5">
        <v>1000</v>
      </c>
      <c r="G55" s="5" t="s">
        <v>32</v>
      </c>
    </row>
    <row r="56" spans="1:11" x14ac:dyDescent="0.35">
      <c r="A56" s="6" t="s">
        <v>33</v>
      </c>
      <c r="B56" s="8">
        <f>B55-B54</f>
        <v>33</v>
      </c>
      <c r="C56" s="7" t="s">
        <v>27</v>
      </c>
      <c r="D56" s="5"/>
      <c r="E56" s="5" t="s">
        <v>34</v>
      </c>
      <c r="F56" s="5">
        <v>0.23</v>
      </c>
      <c r="G56" s="5" t="s">
        <v>35</v>
      </c>
    </row>
    <row r="57" spans="1:11" x14ac:dyDescent="0.35">
      <c r="A57" s="6" t="s">
        <v>37</v>
      </c>
      <c r="B57" s="8">
        <f>F55*F54*B56</f>
        <v>137940</v>
      </c>
      <c r="C57" s="7" t="s">
        <v>11</v>
      </c>
      <c r="D57" s="5"/>
      <c r="E57" s="5" t="s">
        <v>45</v>
      </c>
      <c r="F57" s="5">
        <v>12</v>
      </c>
      <c r="G57" s="5" t="s">
        <v>46</v>
      </c>
      <c r="H57" t="s">
        <v>47</v>
      </c>
    </row>
    <row r="58" spans="1:11" x14ac:dyDescent="0.35">
      <c r="A58" s="5"/>
      <c r="B58" s="8">
        <f>B57/(3.6*10^3)</f>
        <v>38.31666666666667</v>
      </c>
      <c r="C58" s="7" t="s">
        <v>38</v>
      </c>
      <c r="D58" s="5"/>
      <c r="E58" s="5"/>
      <c r="F58" s="5"/>
      <c r="G58" s="5"/>
    </row>
    <row r="59" spans="1:11" x14ac:dyDescent="0.35">
      <c r="A59" s="5" t="s">
        <v>39</v>
      </c>
      <c r="B59" s="8">
        <f>B58*F56</f>
        <v>8.8128333333333337</v>
      </c>
      <c r="C59" s="7" t="s">
        <v>40</v>
      </c>
      <c r="D59" s="5"/>
      <c r="E59" s="5"/>
      <c r="F59" s="5"/>
      <c r="G59" s="5"/>
    </row>
    <row r="60" spans="1:11" x14ac:dyDescent="0.35">
      <c r="A60" s="5"/>
      <c r="B60" s="8">
        <f>B59/1000</f>
        <v>8.812833333333334E-3</v>
      </c>
      <c r="C60" s="7" t="s">
        <v>17</v>
      </c>
      <c r="D60" s="5"/>
      <c r="E60" s="5"/>
      <c r="F60" s="5"/>
      <c r="G60" s="5"/>
    </row>
    <row r="61" spans="1:11" x14ac:dyDescent="0.35">
      <c r="A61" s="5" t="s">
        <v>48</v>
      </c>
      <c r="B61" s="5">
        <f>B60*F57</f>
        <v>0.10575400000000001</v>
      </c>
      <c r="C61" s="7" t="s">
        <v>49</v>
      </c>
      <c r="D61" s="5"/>
      <c r="E61" s="5"/>
      <c r="F61" s="5"/>
      <c r="G61" s="5"/>
    </row>
    <row r="66" spans="1:7" x14ac:dyDescent="0.35">
      <c r="A66" s="4"/>
      <c r="B66" s="4"/>
      <c r="C66" s="4"/>
      <c r="D66" s="4"/>
      <c r="E66" s="4"/>
      <c r="F66" s="4"/>
      <c r="G66" s="4"/>
    </row>
    <row r="67" spans="1:7" x14ac:dyDescent="0.35">
      <c r="A67" s="9" t="s">
        <v>50</v>
      </c>
      <c r="B67" s="9"/>
      <c r="C67" s="9" t="s">
        <v>51</v>
      </c>
      <c r="D67" s="9"/>
      <c r="E67" s="4" t="s">
        <v>52</v>
      </c>
      <c r="F67" s="4"/>
      <c r="G67" s="4"/>
    </row>
    <row r="69" spans="1:7" x14ac:dyDescent="0.35">
      <c r="A69" t="s">
        <v>53</v>
      </c>
      <c r="C69" s="19">
        <v>1.1000000000000001</v>
      </c>
      <c r="E69" t="s">
        <v>54</v>
      </c>
      <c r="G69" s="1"/>
    </row>
    <row r="70" spans="1:7" x14ac:dyDescent="0.35">
      <c r="A70" t="s">
        <v>55</v>
      </c>
      <c r="C70" s="19">
        <v>1.1000000000000001</v>
      </c>
      <c r="E70" t="s">
        <v>54</v>
      </c>
    </row>
    <row r="71" spans="1:7" x14ac:dyDescent="0.35">
      <c r="A71" t="s">
        <v>56</v>
      </c>
      <c r="C71" s="19">
        <v>1.1000000000000001</v>
      </c>
      <c r="E71" t="s">
        <v>54</v>
      </c>
    </row>
    <row r="72" spans="1:7" x14ac:dyDescent="0.35">
      <c r="A72" t="s">
        <v>57</v>
      </c>
      <c r="C72" s="19">
        <v>1.1000000000000001</v>
      </c>
      <c r="E72" t="s">
        <v>54</v>
      </c>
    </row>
    <row r="74" spans="1:7" x14ac:dyDescent="0.35">
      <c r="A74" t="s">
        <v>58</v>
      </c>
      <c r="C74" s="19">
        <v>2</v>
      </c>
      <c r="E74" t="s">
        <v>54</v>
      </c>
    </row>
    <row r="75" spans="1:7" x14ac:dyDescent="0.35">
      <c r="A75" t="s">
        <v>59</v>
      </c>
      <c r="C75" s="19">
        <v>2</v>
      </c>
      <c r="E75" t="s">
        <v>54</v>
      </c>
    </row>
    <row r="76" spans="1:7" x14ac:dyDescent="0.35">
      <c r="A76" t="s">
        <v>60</v>
      </c>
      <c r="C76" s="19">
        <v>2</v>
      </c>
      <c r="E76" t="s">
        <v>54</v>
      </c>
    </row>
    <row r="77" spans="1:7" x14ac:dyDescent="0.35">
      <c r="A77" t="s">
        <v>61</v>
      </c>
      <c r="C77" s="19">
        <v>2</v>
      </c>
      <c r="E77" t="s">
        <v>54</v>
      </c>
    </row>
    <row r="78" spans="1:7" x14ac:dyDescent="0.35">
      <c r="A78" t="s">
        <v>62</v>
      </c>
      <c r="C78" s="19">
        <v>2</v>
      </c>
      <c r="E78" t="s">
        <v>54</v>
      </c>
    </row>
    <row r="79" spans="1:7" x14ac:dyDescent="0.35">
      <c r="A79" t="s">
        <v>63</v>
      </c>
      <c r="C79" s="19">
        <v>2</v>
      </c>
      <c r="E79" t="s">
        <v>54</v>
      </c>
    </row>
    <row r="80" spans="1:7" x14ac:dyDescent="0.35">
      <c r="A80" t="s">
        <v>64</v>
      </c>
      <c r="C80" s="19">
        <v>2</v>
      </c>
      <c r="E80" t="s">
        <v>54</v>
      </c>
    </row>
    <row r="81" spans="1:5" x14ac:dyDescent="0.35">
      <c r="A81" t="s">
        <v>65</v>
      </c>
      <c r="C81" s="19">
        <v>2</v>
      </c>
      <c r="E81" t="s">
        <v>54</v>
      </c>
    </row>
    <row r="82" spans="1:5" x14ac:dyDescent="0.35">
      <c r="A82" t="s">
        <v>66</v>
      </c>
      <c r="C82" s="19">
        <v>2</v>
      </c>
      <c r="E82" t="s">
        <v>54</v>
      </c>
    </row>
    <row r="84" spans="1:5" x14ac:dyDescent="0.35">
      <c r="A84" t="s">
        <v>67</v>
      </c>
      <c r="C84" s="19">
        <v>2.9</v>
      </c>
      <c r="E84" t="s">
        <v>54</v>
      </c>
    </row>
    <row r="85" spans="1:5" x14ac:dyDescent="0.35">
      <c r="A85" t="s">
        <v>68</v>
      </c>
      <c r="C85" s="19">
        <v>2.7</v>
      </c>
      <c r="E85" t="s">
        <v>54</v>
      </c>
    </row>
    <row r="86" spans="1:5" x14ac:dyDescent="0.35">
      <c r="A86" t="s">
        <v>69</v>
      </c>
    </row>
    <row r="87" spans="1:5" x14ac:dyDescent="0.35">
      <c r="A87" t="s">
        <v>70</v>
      </c>
      <c r="C87">
        <v>0.4</v>
      </c>
      <c r="E87" t="s">
        <v>71</v>
      </c>
    </row>
    <row r="88" spans="1:5" x14ac:dyDescent="0.35">
      <c r="A88" t="s">
        <v>72</v>
      </c>
      <c r="C88">
        <v>0.7</v>
      </c>
      <c r="E88" t="s">
        <v>71</v>
      </c>
    </row>
    <row r="91" spans="1:5" x14ac:dyDescent="0.35">
      <c r="A91" t="s">
        <v>73</v>
      </c>
      <c r="C91" s="19">
        <v>1.9</v>
      </c>
      <c r="E91" t="s">
        <v>54</v>
      </c>
    </row>
    <row r="92" spans="1:5" x14ac:dyDescent="0.35">
      <c r="A92" t="s">
        <v>74</v>
      </c>
      <c r="C92">
        <v>0.3</v>
      </c>
      <c r="E92" t="s">
        <v>75</v>
      </c>
    </row>
    <row r="93" spans="1:5" x14ac:dyDescent="0.35">
      <c r="A93" t="s">
        <v>76</v>
      </c>
      <c r="C93">
        <v>0.21</v>
      </c>
      <c r="E93" t="s">
        <v>77</v>
      </c>
    </row>
    <row r="94" spans="1:5" x14ac:dyDescent="0.35">
      <c r="A94" t="s">
        <v>78</v>
      </c>
      <c r="C94">
        <v>0.61</v>
      </c>
      <c r="E94" t="s">
        <v>79</v>
      </c>
    </row>
    <row r="95" spans="1:5" x14ac:dyDescent="0.35">
      <c r="A95" t="s">
        <v>80</v>
      </c>
      <c r="C95">
        <v>1.01</v>
      </c>
      <c r="E95" t="s">
        <v>81</v>
      </c>
    </row>
    <row r="97" spans="1:5" x14ac:dyDescent="0.35">
      <c r="A97" t="s">
        <v>82</v>
      </c>
      <c r="C97" s="19">
        <v>4.8</v>
      </c>
      <c r="E97" t="s">
        <v>54</v>
      </c>
    </row>
    <row r="98" spans="1:5" x14ac:dyDescent="0.35">
      <c r="A98" t="s">
        <v>83</v>
      </c>
      <c r="C98" s="19">
        <v>6.1</v>
      </c>
      <c r="E98" t="s">
        <v>54</v>
      </c>
    </row>
    <row r="99" spans="1:5" x14ac:dyDescent="0.35">
      <c r="A99" t="s">
        <v>84</v>
      </c>
      <c r="C99" s="19">
        <v>0.9</v>
      </c>
      <c r="E99" t="s">
        <v>54</v>
      </c>
    </row>
    <row r="100" spans="1:5" x14ac:dyDescent="0.35">
      <c r="A100" t="s">
        <v>85</v>
      </c>
      <c r="C100" s="19">
        <v>2</v>
      </c>
      <c r="E100" t="s">
        <v>54</v>
      </c>
    </row>
    <row r="101" spans="1:5" x14ac:dyDescent="0.35">
      <c r="C101" s="19"/>
    </row>
    <row r="102" spans="1:5" x14ac:dyDescent="0.35">
      <c r="A102" t="s">
        <v>86</v>
      </c>
      <c r="C102" s="19">
        <v>39.200000000000003</v>
      </c>
      <c r="E102" t="s">
        <v>87</v>
      </c>
    </row>
    <row r="103" spans="1:5" x14ac:dyDescent="0.35">
      <c r="A103" t="s">
        <v>88</v>
      </c>
      <c r="C103" s="19">
        <v>27</v>
      </c>
      <c r="E103" t="s">
        <v>87</v>
      </c>
    </row>
    <row r="104" spans="1:5" x14ac:dyDescent="0.35">
      <c r="A104" t="s">
        <v>89</v>
      </c>
      <c r="C104" s="19">
        <v>13.5</v>
      </c>
      <c r="E104" t="s">
        <v>87</v>
      </c>
    </row>
    <row r="105" spans="1:5" x14ac:dyDescent="0.35">
      <c r="A105" t="s">
        <v>90</v>
      </c>
      <c r="C105" s="19">
        <v>12.1</v>
      </c>
      <c r="E105" t="s">
        <v>87</v>
      </c>
    </row>
    <row r="106" spans="1:5" x14ac:dyDescent="0.35">
      <c r="A106" t="s">
        <v>91</v>
      </c>
      <c r="C106" s="19">
        <v>10.9</v>
      </c>
      <c r="E106" t="s">
        <v>87</v>
      </c>
    </row>
    <row r="107" spans="1:5" x14ac:dyDescent="0.35">
      <c r="A107" t="s">
        <v>92</v>
      </c>
      <c r="C107" s="19">
        <v>6.9</v>
      </c>
      <c r="E107" t="s">
        <v>87</v>
      </c>
    </row>
    <row r="108" spans="1:5" x14ac:dyDescent="0.35">
      <c r="C108" s="19"/>
    </row>
    <row r="112" spans="1:5" x14ac:dyDescent="0.35">
      <c r="A112" s="17" t="s">
        <v>93</v>
      </c>
      <c r="B112" s="13"/>
      <c r="C112" s="13"/>
      <c r="D112" s="13"/>
    </row>
    <row r="113" spans="1:6" x14ac:dyDescent="0.35">
      <c r="A113" s="5" t="s">
        <v>94</v>
      </c>
      <c r="B113" s="5"/>
      <c r="C113" s="5">
        <v>0.28908</v>
      </c>
      <c r="D113" s="5"/>
    </row>
    <row r="114" spans="1:6" x14ac:dyDescent="0.35">
      <c r="A114" s="5"/>
      <c r="B114" s="5"/>
      <c r="C114" s="5"/>
      <c r="D114" s="5"/>
    </row>
    <row r="118" spans="1:6" x14ac:dyDescent="0.35">
      <c r="A118" s="20" t="s">
        <v>95</v>
      </c>
      <c r="B118" s="21"/>
      <c r="C118" s="21"/>
      <c r="D118" s="21"/>
    </row>
    <row r="119" spans="1:6" x14ac:dyDescent="0.35">
      <c r="A119" s="22" t="s">
        <v>96</v>
      </c>
      <c r="B119" s="22"/>
      <c r="C119" s="23">
        <f>12570000</f>
        <v>12570000</v>
      </c>
      <c r="D119" s="22" t="s">
        <v>97</v>
      </c>
      <c r="E119" s="16" t="s">
        <v>98</v>
      </c>
    </row>
    <row r="120" spans="1:6" x14ac:dyDescent="0.35">
      <c r="A120" s="22" t="s">
        <v>99</v>
      </c>
      <c r="B120" s="22"/>
      <c r="C120" s="23">
        <v>110756000</v>
      </c>
      <c r="D120" s="22" t="s">
        <v>100</v>
      </c>
      <c r="E120" s="16" t="s">
        <v>101</v>
      </c>
    </row>
    <row r="121" spans="1:6" x14ac:dyDescent="0.35">
      <c r="A121" t="s">
        <v>102</v>
      </c>
      <c r="C121" s="18">
        <f>C120/C119</f>
        <v>8.8111376292760539</v>
      </c>
      <c r="D121" t="s">
        <v>103</v>
      </c>
    </row>
    <row r="123" spans="1:6" x14ac:dyDescent="0.35">
      <c r="A123" t="s">
        <v>104</v>
      </c>
      <c r="C123">
        <f xml:space="preserve"> (187.41+255.49+2.98)*10^5</f>
        <v>44588000</v>
      </c>
      <c r="D123" t="s">
        <v>105</v>
      </c>
      <c r="E123" t="s">
        <v>106</v>
      </c>
      <c r="F123" s="16" t="s">
        <v>107</v>
      </c>
    </row>
    <row r="124" spans="1:6" x14ac:dyDescent="0.35">
      <c r="A124" t="s">
        <v>108</v>
      </c>
      <c r="C124">
        <v>63593000</v>
      </c>
      <c r="D124" t="s">
        <v>109</v>
      </c>
    </row>
    <row r="125" spans="1:6" x14ac:dyDescent="0.35">
      <c r="A125" t="s">
        <v>102</v>
      </c>
      <c r="C125" s="18">
        <f>C124/C123</f>
        <v>1.4262357585000449</v>
      </c>
      <c r="D125" t="s">
        <v>17</v>
      </c>
    </row>
    <row r="127" spans="1:6" x14ac:dyDescent="0.35">
      <c r="A127" t="s">
        <v>110</v>
      </c>
    </row>
  </sheetData>
  <hyperlinks>
    <hyperlink ref="E119" r:id="rId1"/>
    <hyperlink ref="E120" r:id="rId2"/>
    <hyperlink ref="F123" r:id="rId3"/>
    <hyperlink ref="J39" r:id="rId4"/>
    <hyperlink ref="H34" r:id="rId5"/>
  </hyperlinks>
  <pageMargins left="0.7" right="0.7" top="0.75" bottom="0.75" header="0.3" footer="0.3"/>
  <pageSetup paperSize="9" orientation="portrait" horizontalDpi="1200" verticalDpi="1200"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5:A32"/>
  <sheetViews>
    <sheetView workbookViewId="0">
      <selection activeCell="A33" sqref="A33"/>
    </sheetView>
  </sheetViews>
  <sheetFormatPr defaultColWidth="9.1796875" defaultRowHeight="14.5" x14ac:dyDescent="0.35"/>
  <sheetData>
    <row r="5" spans="1:1" x14ac:dyDescent="0.35">
      <c r="A5" t="s">
        <v>112</v>
      </c>
    </row>
    <row r="6" spans="1:1" x14ac:dyDescent="0.35">
      <c r="A6" t="s">
        <v>113</v>
      </c>
    </row>
    <row r="7" spans="1:1" x14ac:dyDescent="0.35">
      <c r="A7" t="s">
        <v>114</v>
      </c>
    </row>
    <row r="9" spans="1:1" x14ac:dyDescent="0.35">
      <c r="A9" t="s">
        <v>115</v>
      </c>
    </row>
    <row r="10" spans="1:1" x14ac:dyDescent="0.35">
      <c r="A10" t="s">
        <v>116</v>
      </c>
    </row>
    <row r="11" spans="1:1" x14ac:dyDescent="0.35">
      <c r="A11" t="s">
        <v>117</v>
      </c>
    </row>
    <row r="12" spans="1:1" x14ac:dyDescent="0.35">
      <c r="A12" t="s">
        <v>118</v>
      </c>
    </row>
    <row r="13" spans="1:1" x14ac:dyDescent="0.35">
      <c r="A13" t="s">
        <v>119</v>
      </c>
    </row>
    <row r="16" spans="1:1" x14ac:dyDescent="0.35">
      <c r="A16" t="s">
        <v>13</v>
      </c>
    </row>
    <row r="17" spans="1:1" x14ac:dyDescent="0.35">
      <c r="A17" s="16" t="s">
        <v>120</v>
      </c>
    </row>
    <row r="22" spans="1:1" x14ac:dyDescent="0.35">
      <c r="A22" s="16" t="s">
        <v>121</v>
      </c>
    </row>
    <row r="24" spans="1:1" x14ac:dyDescent="0.35">
      <c r="A24" t="s">
        <v>122</v>
      </c>
    </row>
    <row r="26" spans="1:1" x14ac:dyDescent="0.35">
      <c r="A26" t="s">
        <v>123</v>
      </c>
    </row>
    <row r="30" spans="1:1" x14ac:dyDescent="0.35">
      <c r="A30" t="s">
        <v>124</v>
      </c>
    </row>
    <row r="32" spans="1:1" x14ac:dyDescent="0.35">
      <c r="A32" t="s">
        <v>125</v>
      </c>
    </row>
  </sheetData>
  <hyperlinks>
    <hyperlink ref="A17" r:id="rId1"/>
    <hyperlink ref="A2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1"/>
  <sheetViews>
    <sheetView showGridLines="0" showRowColHeaders="0" workbookViewId="0"/>
  </sheetViews>
  <sheetFormatPr defaultRowHeight="14.5" x14ac:dyDescent="0.35"/>
  <cols>
    <col min="1" max="1" width="83.7265625" customWidth="1"/>
    <col min="2" max="2" width="13" customWidth="1"/>
  </cols>
  <sheetData>
    <row r="1" spans="1:5" ht="31" x14ac:dyDescent="0.7">
      <c r="A1" s="141" t="s">
        <v>460</v>
      </c>
      <c r="B1" s="140"/>
      <c r="C1" s="140"/>
      <c r="D1" s="140"/>
      <c r="E1" s="140"/>
    </row>
    <row r="2" spans="1:5" x14ac:dyDescent="0.35">
      <c r="A2" s="140"/>
      <c r="B2" s="140"/>
      <c r="C2" s="140"/>
      <c r="D2" s="140"/>
      <c r="E2" s="140"/>
    </row>
    <row r="3" spans="1:5" ht="29" customHeight="1" x14ac:dyDescent="0.35">
      <c r="A3" s="318" t="s">
        <v>542</v>
      </c>
      <c r="B3" s="318"/>
      <c r="C3" s="142"/>
      <c r="D3" s="142"/>
      <c r="E3" s="142"/>
    </row>
    <row r="4" spans="1:5" ht="38.5" customHeight="1" x14ac:dyDescent="0.35">
      <c r="A4" s="319" t="s">
        <v>455</v>
      </c>
      <c r="B4" s="319"/>
      <c r="C4" s="143"/>
      <c r="D4" s="143"/>
      <c r="E4" s="143"/>
    </row>
    <row r="5" spans="1:5" x14ac:dyDescent="0.35">
      <c r="A5" s="140"/>
      <c r="B5" s="140"/>
      <c r="C5" s="140"/>
      <c r="D5" s="140"/>
      <c r="E5" s="140"/>
    </row>
    <row r="6" spans="1:5" x14ac:dyDescent="0.35">
      <c r="B6" s="140"/>
      <c r="C6" s="140"/>
      <c r="D6" s="140"/>
      <c r="E6" s="140"/>
    </row>
    <row r="7" spans="1:5" x14ac:dyDescent="0.35">
      <c r="A7" s="144" t="s">
        <v>454</v>
      </c>
      <c r="B7" s="25"/>
      <c r="C7" s="140"/>
      <c r="D7" s="140"/>
      <c r="E7" s="140"/>
    </row>
    <row r="8" spans="1:5" x14ac:dyDescent="0.35">
      <c r="A8" s="150"/>
      <c r="B8" s="149"/>
      <c r="C8" s="140"/>
      <c r="D8" s="140"/>
      <c r="E8" s="140"/>
    </row>
    <row r="9" spans="1:5" ht="29" x14ac:dyDescent="0.35">
      <c r="A9" s="146" t="s">
        <v>543</v>
      </c>
      <c r="B9" s="177" t="s">
        <v>468</v>
      </c>
      <c r="C9" s="140"/>
      <c r="D9" s="140"/>
      <c r="E9" s="140"/>
    </row>
    <row r="10" spans="1:5" ht="29" x14ac:dyDescent="0.35">
      <c r="A10" s="146" t="s">
        <v>462</v>
      </c>
      <c r="B10" s="177" t="s">
        <v>468</v>
      </c>
      <c r="C10" s="140"/>
      <c r="D10" s="140"/>
      <c r="E10" s="140"/>
    </row>
    <row r="11" spans="1:5" x14ac:dyDescent="0.35">
      <c r="A11" s="146"/>
      <c r="B11" s="177"/>
      <c r="C11" s="140"/>
      <c r="D11" s="140"/>
      <c r="E11" s="140"/>
    </row>
    <row r="12" spans="1:5" x14ac:dyDescent="0.35">
      <c r="A12" s="146"/>
      <c r="B12" s="145"/>
      <c r="C12" s="140"/>
      <c r="D12" s="140"/>
      <c r="E12" s="140"/>
    </row>
    <row r="13" spans="1:5" x14ac:dyDescent="0.35">
      <c r="A13" s="146" t="s">
        <v>456</v>
      </c>
      <c r="B13" s="177" t="s">
        <v>468</v>
      </c>
      <c r="C13" s="140"/>
      <c r="D13" s="140"/>
      <c r="E13" s="140"/>
    </row>
    <row r="14" spans="1:5" ht="31" customHeight="1" x14ac:dyDescent="0.35">
      <c r="A14" s="146" t="s">
        <v>457</v>
      </c>
      <c r="B14" s="177" t="s">
        <v>468</v>
      </c>
      <c r="C14" s="140"/>
      <c r="D14" s="140"/>
      <c r="E14" s="140"/>
    </row>
    <row r="15" spans="1:5" x14ac:dyDescent="0.35">
      <c r="A15" s="146" t="s">
        <v>458</v>
      </c>
      <c r="B15" s="177" t="s">
        <v>468</v>
      </c>
      <c r="C15" s="140"/>
      <c r="D15" s="140"/>
      <c r="E15" s="140"/>
    </row>
    <row r="16" spans="1:5" ht="18.5" customHeight="1" x14ac:dyDescent="0.35">
      <c r="A16" s="146" t="s">
        <v>459</v>
      </c>
      <c r="B16" s="177" t="s">
        <v>468</v>
      </c>
      <c r="C16" s="140"/>
      <c r="D16" s="140"/>
      <c r="E16" s="140"/>
    </row>
    <row r="17" spans="1:5" x14ac:dyDescent="0.35">
      <c r="A17" s="147"/>
      <c r="B17" s="145"/>
      <c r="C17" s="140"/>
      <c r="D17" s="140"/>
      <c r="E17" s="140"/>
    </row>
    <row r="18" spans="1:5" x14ac:dyDescent="0.35">
      <c r="A18" s="147"/>
      <c r="B18" s="145"/>
      <c r="C18" s="140"/>
      <c r="D18" s="140"/>
      <c r="E18" s="140"/>
    </row>
    <row r="19" spans="1:5" x14ac:dyDescent="0.35">
      <c r="A19" s="147"/>
      <c r="B19" s="145"/>
      <c r="C19" s="140"/>
      <c r="D19" s="140"/>
      <c r="E19" s="140"/>
    </row>
    <row r="20" spans="1:5" x14ac:dyDescent="0.35">
      <c r="A20" s="144" t="s">
        <v>461</v>
      </c>
      <c r="B20" s="144"/>
      <c r="C20" s="140"/>
      <c r="D20" s="140"/>
      <c r="E20" s="140"/>
    </row>
    <row r="21" spans="1:5" x14ac:dyDescent="0.35">
      <c r="A21" s="148"/>
      <c r="B21" s="149"/>
      <c r="C21" s="140"/>
      <c r="D21" s="140"/>
      <c r="E21" s="140"/>
    </row>
    <row r="22" spans="1:5" x14ac:dyDescent="0.35">
      <c r="A22" s="148" t="s">
        <v>465</v>
      </c>
      <c r="B22" s="149" t="s">
        <v>468</v>
      </c>
      <c r="C22" s="140"/>
      <c r="D22" s="140"/>
      <c r="E22" s="140"/>
    </row>
    <row r="23" spans="1:5" x14ac:dyDescent="0.35">
      <c r="A23" s="148" t="s">
        <v>466</v>
      </c>
      <c r="B23" s="149" t="s">
        <v>468</v>
      </c>
      <c r="C23" s="140"/>
      <c r="D23" s="140"/>
      <c r="E23" s="140"/>
    </row>
    <row r="24" spans="1:5" x14ac:dyDescent="0.35">
      <c r="A24" s="148" t="s">
        <v>467</v>
      </c>
      <c r="B24" s="178" t="s">
        <v>468</v>
      </c>
      <c r="C24" s="140"/>
      <c r="D24" s="140"/>
      <c r="E24" s="140"/>
    </row>
    <row r="25" spans="1:5" x14ac:dyDescent="0.35">
      <c r="A25" s="148" t="s">
        <v>469</v>
      </c>
      <c r="B25" s="149" t="s">
        <v>468</v>
      </c>
      <c r="C25" s="140"/>
      <c r="D25" s="140"/>
      <c r="E25" s="140"/>
    </row>
    <row r="26" spans="1:5" x14ac:dyDescent="0.35">
      <c r="A26" s="148" t="s">
        <v>470</v>
      </c>
      <c r="B26" s="149" t="s">
        <v>468</v>
      </c>
      <c r="C26" s="140"/>
      <c r="D26" s="140"/>
      <c r="E26" s="140"/>
    </row>
    <row r="27" spans="1:5" x14ac:dyDescent="0.35">
      <c r="A27" s="148" t="s">
        <v>471</v>
      </c>
      <c r="B27" s="149" t="s">
        <v>468</v>
      </c>
      <c r="C27" s="140"/>
      <c r="D27" s="140"/>
      <c r="E27" s="140"/>
    </row>
    <row r="28" spans="1:5" x14ac:dyDescent="0.35">
      <c r="A28" s="324" t="s">
        <v>525</v>
      </c>
      <c r="B28" s="325"/>
      <c r="C28" s="140"/>
      <c r="D28" s="140"/>
      <c r="E28" s="140"/>
    </row>
    <row r="29" spans="1:5" x14ac:dyDescent="0.35">
      <c r="A29" s="320"/>
      <c r="B29" s="321"/>
      <c r="C29" s="140"/>
      <c r="D29" s="140"/>
      <c r="E29" s="140"/>
    </row>
    <row r="30" spans="1:5" x14ac:dyDescent="0.35">
      <c r="A30" s="322"/>
      <c r="B30" s="323"/>
      <c r="C30" s="140"/>
      <c r="D30" s="140"/>
      <c r="E30" s="140"/>
    </row>
    <row r="31" spans="1:5" ht="18.5" x14ac:dyDescent="0.45">
      <c r="A31" s="231"/>
      <c r="B31" s="232"/>
    </row>
  </sheetData>
  <mergeCells count="4">
    <mergeCell ref="A3:B3"/>
    <mergeCell ref="A4:B4"/>
    <mergeCell ref="A29:B30"/>
    <mergeCell ref="A28:B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he data you provided is wongly formatted" promptTitle="Dropdown list" prompt="please select from dropdown list">
          <x14:formula1>
            <xm:f>'back end data'!$A$100:$A$101</xm:f>
          </x14:formula1>
          <xm:sqref>B21</xm:sqref>
        </x14:dataValidation>
        <x14:dataValidation type="list" showInputMessage="1" showErrorMessage="1">
          <x14:formula1>
            <xm:f>'back end data'!$A$99:$A$101</xm:f>
          </x14:formula1>
          <xm:sqref>B22:B23 B25:B27</xm:sqref>
        </x14:dataValidation>
        <x14:dataValidation type="list" allowBlank="1" showInputMessage="1" showErrorMessage="1">
          <x14:formula1>
            <xm:f>'back end data'!$A$102:$A$106</xm:f>
          </x14:formula1>
          <xm:sqref>B24</xm:sqref>
        </x14:dataValidation>
        <x14:dataValidation type="list" allowBlank="1" showInputMessage="1" showErrorMessage="1">
          <x14:formula1>
            <xm:f>'back end data'!$A$107:$A$109</xm:f>
          </x14:formula1>
          <xm:sqref>B9:B11 B13:B16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F17" sqref="F17"/>
    </sheetView>
  </sheetViews>
  <sheetFormatPr defaultRowHeight="14.5" x14ac:dyDescent="0.35"/>
  <cols>
    <col min="1" max="1" width="12.08984375" customWidth="1"/>
    <col min="2" max="5" width="11.1796875" customWidth="1"/>
  </cols>
  <sheetData>
    <row r="1" spans="1:9" ht="28.5" x14ac:dyDescent="0.65">
      <c r="A1" s="132" t="s">
        <v>448</v>
      </c>
      <c r="B1" s="56"/>
      <c r="C1" s="56"/>
      <c r="D1" s="56"/>
      <c r="E1" s="56"/>
      <c r="F1" s="56"/>
      <c r="G1" s="250"/>
      <c r="H1" s="250"/>
    </row>
    <row r="2" spans="1:9" ht="15" thickBot="1" x14ac:dyDescent="0.4">
      <c r="A2" s="136"/>
      <c r="B2" s="130"/>
      <c r="C2" s="56"/>
      <c r="D2" s="56"/>
      <c r="E2" s="56"/>
      <c r="F2" s="56"/>
      <c r="G2" s="250"/>
      <c r="H2" s="250"/>
    </row>
    <row r="3" spans="1:9" ht="15" thickBot="1" x14ac:dyDescent="0.4">
      <c r="A3" s="332" t="s">
        <v>590</v>
      </c>
      <c r="B3" s="333"/>
      <c r="C3" s="333"/>
      <c r="D3" s="333"/>
      <c r="E3" s="333"/>
      <c r="F3" s="246"/>
      <c r="G3" s="245"/>
      <c r="H3" s="245"/>
    </row>
    <row r="4" spans="1:9" ht="15" thickBot="1" x14ac:dyDescent="0.4">
      <c r="F4" s="245"/>
      <c r="G4" s="244"/>
      <c r="H4" s="244"/>
      <c r="I4" s="18"/>
    </row>
    <row r="5" spans="1:9" ht="15" thickBot="1" x14ac:dyDescent="0.4">
      <c r="A5" s="247"/>
      <c r="B5" s="326" t="s">
        <v>623</v>
      </c>
      <c r="C5" s="327"/>
      <c r="D5" s="328">
        <f>SUM(B9:E9)</f>
        <v>0</v>
      </c>
      <c r="E5" s="329"/>
      <c r="F5" s="248"/>
      <c r="G5" s="244"/>
      <c r="H5" s="244"/>
      <c r="I5" s="18"/>
    </row>
    <row r="6" spans="1:9" ht="15" thickBot="1" x14ac:dyDescent="0.4">
      <c r="A6" s="249"/>
      <c r="B6" s="330" t="s">
        <v>624</v>
      </c>
      <c r="C6" s="331"/>
      <c r="D6" s="328">
        <f>7*D5</f>
        <v>0</v>
      </c>
      <c r="E6" s="329"/>
      <c r="F6" s="248"/>
      <c r="G6" s="244"/>
      <c r="H6" s="244"/>
      <c r="I6" s="18"/>
    </row>
    <row r="7" spans="1:9" ht="15" thickBot="1" x14ac:dyDescent="0.4"/>
    <row r="8" spans="1:9" ht="15" thickBot="1" x14ac:dyDescent="0.4">
      <c r="B8" s="135" t="s">
        <v>581</v>
      </c>
      <c r="C8" s="135" t="s">
        <v>584</v>
      </c>
      <c r="D8" s="135" t="s">
        <v>585</v>
      </c>
      <c r="E8" s="135" t="s">
        <v>418</v>
      </c>
    </row>
    <row r="9" spans="1:9" x14ac:dyDescent="0.35">
      <c r="A9" t="s">
        <v>589</v>
      </c>
      <c r="B9">
        <f>'Diet Calculator'!B8/'Diet Input'!C3</f>
        <v>0</v>
      </c>
      <c r="C9">
        <f>'Diet Calculator'!B16/'Diet Input'!C3</f>
        <v>0</v>
      </c>
      <c r="D9">
        <f>'Diet Calculator'!B24/'Diet Input'!C3</f>
        <v>0</v>
      </c>
      <c r="E9">
        <f>'Diet Calculator'!B32/'Diet Input'!C3</f>
        <v>0</v>
      </c>
    </row>
    <row r="10" spans="1:9" ht="15" thickBot="1" x14ac:dyDescent="0.4"/>
    <row r="11" spans="1:9" ht="15" thickBot="1" x14ac:dyDescent="0.4">
      <c r="A11" s="135" t="s">
        <v>581</v>
      </c>
    </row>
    <row r="12" spans="1:9" x14ac:dyDescent="0.35">
      <c r="A12" t="s">
        <v>333</v>
      </c>
      <c r="B12" s="237">
        <f>'Diet Input'!B7</f>
        <v>0</v>
      </c>
      <c r="C12" s="237">
        <f>'Diet Input'!C7</f>
        <v>0</v>
      </c>
      <c r="D12" s="237">
        <f>'Diet Input'!D7</f>
        <v>0</v>
      </c>
      <c r="E12" s="237">
        <f>'Diet Input'!E7</f>
        <v>0</v>
      </c>
      <c r="F12" s="237">
        <f>'Diet Input'!F7</f>
        <v>0</v>
      </c>
    </row>
    <row r="13" spans="1:9" x14ac:dyDescent="0.35">
      <c r="A13" t="s">
        <v>587</v>
      </c>
      <c r="B13" s="237">
        <f>'Diet Calculator'!B7</f>
        <v>0</v>
      </c>
      <c r="C13" s="237">
        <f>'Diet Calculator'!C7</f>
        <v>0</v>
      </c>
      <c r="D13" s="237">
        <f>'Diet Calculator'!D7</f>
        <v>0</v>
      </c>
      <c r="E13" s="237">
        <f>'Diet Calculator'!E7</f>
        <v>0</v>
      </c>
      <c r="F13" s="237">
        <f>'Diet Calculator'!F7</f>
        <v>0</v>
      </c>
    </row>
    <row r="14" spans="1:9" ht="15" thickBot="1" x14ac:dyDescent="0.4"/>
    <row r="15" spans="1:9" ht="15" thickBot="1" x14ac:dyDescent="0.4">
      <c r="A15" s="135" t="s">
        <v>588</v>
      </c>
    </row>
    <row r="16" spans="1:9" x14ac:dyDescent="0.35">
      <c r="A16" t="s">
        <v>333</v>
      </c>
      <c r="B16" s="237">
        <f>'Diet Input'!B13</f>
        <v>0</v>
      </c>
      <c r="C16" s="237">
        <f>'Diet Input'!C13</f>
        <v>0</v>
      </c>
      <c r="D16" s="237">
        <f>'Diet Input'!D13</f>
        <v>0</v>
      </c>
      <c r="E16" s="237">
        <f>'Diet Input'!E13</f>
        <v>0</v>
      </c>
      <c r="F16" s="237">
        <f>'Diet Input'!F13</f>
        <v>0</v>
      </c>
    </row>
    <row r="17" spans="1:6" x14ac:dyDescent="0.35">
      <c r="A17" t="s">
        <v>587</v>
      </c>
      <c r="B17" s="237">
        <f>'Diet Calculator'!B15</f>
        <v>0</v>
      </c>
      <c r="C17" s="237">
        <f>'Diet Calculator'!C15</f>
        <v>0</v>
      </c>
      <c r="D17" s="237">
        <f>'Diet Calculator'!D15</f>
        <v>0</v>
      </c>
      <c r="E17" s="237">
        <f>'Diet Calculator'!E15</f>
        <v>0</v>
      </c>
      <c r="F17" s="237">
        <f>'Diet Calculator'!F15</f>
        <v>0</v>
      </c>
    </row>
    <row r="18" spans="1:6" ht="15" thickBot="1" x14ac:dyDescent="0.4"/>
    <row r="19" spans="1:6" ht="15" thickBot="1" x14ac:dyDescent="0.4">
      <c r="A19" s="135" t="s">
        <v>585</v>
      </c>
    </row>
    <row r="20" spans="1:6" x14ac:dyDescent="0.35">
      <c r="A20" t="s">
        <v>333</v>
      </c>
      <c r="B20" s="237">
        <f>'Diet Input'!B19</f>
        <v>0</v>
      </c>
      <c r="C20" s="237">
        <f>'Diet Input'!C19</f>
        <v>0</v>
      </c>
      <c r="D20" s="237">
        <f>'Diet Input'!D19</f>
        <v>0</v>
      </c>
      <c r="E20" s="237">
        <f>'Diet Input'!E19</f>
        <v>0</v>
      </c>
      <c r="F20" s="237">
        <f>'Diet Input'!F19</f>
        <v>0</v>
      </c>
    </row>
    <row r="21" spans="1:6" x14ac:dyDescent="0.35">
      <c r="A21" t="s">
        <v>587</v>
      </c>
      <c r="B21" s="237">
        <f>'Diet Calculator'!B23</f>
        <v>0</v>
      </c>
      <c r="C21" s="237">
        <f>'Diet Calculator'!C23</f>
        <v>0</v>
      </c>
      <c r="D21" s="237">
        <f>'Diet Calculator'!D23</f>
        <v>0</v>
      </c>
      <c r="E21" s="237">
        <f>'Diet Calculator'!E23</f>
        <v>0</v>
      </c>
      <c r="F21" s="237">
        <f>'Diet Calculator'!F23</f>
        <v>0</v>
      </c>
    </row>
    <row r="22" spans="1:6" ht="15" thickBot="1" x14ac:dyDescent="0.4"/>
    <row r="23" spans="1:6" ht="15" thickBot="1" x14ac:dyDescent="0.4">
      <c r="A23" s="135" t="s">
        <v>418</v>
      </c>
    </row>
    <row r="24" spans="1:6" x14ac:dyDescent="0.35">
      <c r="A24" t="s">
        <v>333</v>
      </c>
      <c r="B24" s="237">
        <f>'Diet Input'!B25</f>
        <v>0</v>
      </c>
      <c r="C24" s="237">
        <f>'Diet Input'!C25</f>
        <v>0</v>
      </c>
      <c r="D24" s="237">
        <f>'Diet Input'!D25</f>
        <v>0</v>
      </c>
      <c r="E24" s="237">
        <f>'Diet Input'!E25</f>
        <v>0</v>
      </c>
      <c r="F24" s="237">
        <f>'Diet Input'!F25</f>
        <v>0</v>
      </c>
    </row>
    <row r="25" spans="1:6" x14ac:dyDescent="0.35">
      <c r="A25" t="s">
        <v>587</v>
      </c>
      <c r="B25" s="237">
        <f>'Diet Calculator'!B31</f>
        <v>0</v>
      </c>
      <c r="C25" s="237">
        <f>'Diet Calculator'!C31</f>
        <v>0</v>
      </c>
      <c r="D25" s="237">
        <f>'Diet Calculator'!D31</f>
        <v>0</v>
      </c>
      <c r="E25" s="237">
        <f>'Diet Calculator'!E31</f>
        <v>0</v>
      </c>
      <c r="F25" s="237">
        <f>'Diet Calculator'!F31</f>
        <v>0</v>
      </c>
    </row>
  </sheetData>
  <mergeCells count="5">
    <mergeCell ref="B5:C5"/>
    <mergeCell ref="D5:E5"/>
    <mergeCell ref="B6:C6"/>
    <mergeCell ref="D6:E6"/>
    <mergeCell ref="A3:E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A14" workbookViewId="0">
      <selection activeCell="B32" sqref="B32"/>
    </sheetView>
  </sheetViews>
  <sheetFormatPr defaultRowHeight="14.5" x14ac:dyDescent="0.35"/>
  <cols>
    <col min="1" max="1" width="11.90625" customWidth="1"/>
  </cols>
  <sheetData>
    <row r="1" spans="1:26" ht="15" thickBot="1" x14ac:dyDescent="0.4">
      <c r="A1" s="238" t="s">
        <v>586</v>
      </c>
      <c r="B1" s="238">
        <f>B8+B16+B24+B32</f>
        <v>0</v>
      </c>
    </row>
    <row r="2" spans="1:26" ht="15" thickBot="1" x14ac:dyDescent="0.4">
      <c r="A2" s="135" t="s">
        <v>581</v>
      </c>
    </row>
    <row r="3" spans="1:26" x14ac:dyDescent="0.35">
      <c r="A3" t="s">
        <v>333</v>
      </c>
      <c r="B3">
        <f>'Diet Input'!B7</f>
        <v>0</v>
      </c>
      <c r="C3">
        <f>'Diet Input'!C7</f>
        <v>0</v>
      </c>
      <c r="D3">
        <f>'Diet Input'!D7</f>
        <v>0</v>
      </c>
      <c r="E3">
        <f>'Diet Input'!E7</f>
        <v>0</v>
      </c>
      <c r="F3">
        <f>'Diet Input'!F7</f>
        <v>0</v>
      </c>
      <c r="G3">
        <f>'Diet Input'!G7</f>
        <v>0</v>
      </c>
      <c r="H3">
        <f>'Diet Input'!H7</f>
        <v>0</v>
      </c>
      <c r="I3">
        <f>'Diet Input'!I7</f>
        <v>0</v>
      </c>
      <c r="J3">
        <f>'Diet Input'!J7</f>
        <v>0</v>
      </c>
      <c r="K3">
        <f>'Diet Input'!K7</f>
        <v>0</v>
      </c>
      <c r="L3">
        <f>'Diet Input'!L7</f>
        <v>0</v>
      </c>
      <c r="M3">
        <f>'Diet Input'!M7</f>
        <v>0</v>
      </c>
      <c r="N3">
        <f>'Diet Input'!N7</f>
        <v>0</v>
      </c>
      <c r="O3">
        <f>'Diet Input'!O7</f>
        <v>0</v>
      </c>
      <c r="P3">
        <f>'Diet Input'!P7</f>
        <v>0</v>
      </c>
      <c r="Q3">
        <f>'Diet Input'!Q7</f>
        <v>0</v>
      </c>
      <c r="R3">
        <f>'Diet Input'!R7</f>
        <v>0</v>
      </c>
      <c r="S3">
        <f>'Diet Input'!S7</f>
        <v>0</v>
      </c>
      <c r="T3">
        <f>'Diet Input'!T7</f>
        <v>0</v>
      </c>
      <c r="U3">
        <f>'Diet Input'!U7</f>
        <v>0</v>
      </c>
      <c r="V3">
        <f>'Diet Input'!V7</f>
        <v>0</v>
      </c>
      <c r="W3">
        <f>'Diet Input'!W7</f>
        <v>0</v>
      </c>
      <c r="X3">
        <f>'Diet Input'!X7</f>
        <v>0</v>
      </c>
      <c r="Y3">
        <f>'Diet Input'!Y7</f>
        <v>0</v>
      </c>
      <c r="Z3">
        <f>'Diet Input'!Z7</f>
        <v>0</v>
      </c>
    </row>
    <row r="4" spans="1:26" x14ac:dyDescent="0.35">
      <c r="A4" t="s">
        <v>583</v>
      </c>
      <c r="B4">
        <f>'Diet Input'!B9</f>
        <v>0</v>
      </c>
      <c r="C4">
        <f>'Diet Input'!C9</f>
        <v>0</v>
      </c>
      <c r="D4">
        <f>'Diet Input'!D9</f>
        <v>0</v>
      </c>
      <c r="E4">
        <f>'Diet Input'!E9</f>
        <v>0</v>
      </c>
      <c r="F4">
        <f>'Diet Input'!F9</f>
        <v>0</v>
      </c>
      <c r="G4">
        <f>'Diet Input'!G9</f>
        <v>0</v>
      </c>
      <c r="H4">
        <f>'Diet Input'!H9</f>
        <v>0</v>
      </c>
      <c r="I4">
        <f>'Diet Input'!I9</f>
        <v>0</v>
      </c>
      <c r="J4">
        <f>'Diet Input'!J9</f>
        <v>0</v>
      </c>
      <c r="K4">
        <f>'Diet Input'!K9</f>
        <v>0</v>
      </c>
      <c r="L4">
        <f>'Diet Input'!L9</f>
        <v>0</v>
      </c>
      <c r="M4">
        <f>'Diet Input'!M9</f>
        <v>0</v>
      </c>
      <c r="N4">
        <f>'Diet Input'!N9</f>
        <v>0</v>
      </c>
      <c r="O4">
        <f>'Diet Input'!O9</f>
        <v>0</v>
      </c>
      <c r="P4">
        <f>'Diet Input'!P9</f>
        <v>0</v>
      </c>
      <c r="Q4">
        <f>'Diet Input'!Q9</f>
        <v>0</v>
      </c>
      <c r="R4">
        <f>'Diet Input'!R9</f>
        <v>0</v>
      </c>
      <c r="S4">
        <f>'Diet Input'!S9</f>
        <v>0</v>
      </c>
      <c r="T4">
        <f>'Diet Input'!T9</f>
        <v>0</v>
      </c>
      <c r="U4">
        <f>'Diet Input'!U9</f>
        <v>0</v>
      </c>
      <c r="V4">
        <f>'Diet Input'!V9</f>
        <v>0</v>
      </c>
      <c r="W4">
        <f>'Diet Input'!W9</f>
        <v>0</v>
      </c>
      <c r="X4">
        <f>'Diet Input'!X9</f>
        <v>0</v>
      </c>
      <c r="Y4">
        <f>'Diet Input'!Y9</f>
        <v>0</v>
      </c>
      <c r="Z4">
        <f>'Diet Input'!Z9</f>
        <v>0</v>
      </c>
    </row>
    <row r="5" spans="1:26" x14ac:dyDescent="0.35">
      <c r="A5" t="s">
        <v>365</v>
      </c>
      <c r="B5" t="e">
        <f t="shared" ref="B5:Z5" si="0">B4*VLOOKUP(B3, FoodEmission, 5,FALSE)*VLOOKUP(B3, FoodEmission, 4,FALSE)</f>
        <v>#N/A</v>
      </c>
      <c r="C5" t="e">
        <f t="shared" si="0"/>
        <v>#N/A</v>
      </c>
      <c r="D5" t="e">
        <f t="shared" si="0"/>
        <v>#N/A</v>
      </c>
      <c r="E5" t="e">
        <f t="shared" si="0"/>
        <v>#N/A</v>
      </c>
      <c r="F5" t="e">
        <f t="shared" si="0"/>
        <v>#N/A</v>
      </c>
      <c r="G5" t="e">
        <f t="shared" si="0"/>
        <v>#N/A</v>
      </c>
      <c r="H5" t="e">
        <f t="shared" si="0"/>
        <v>#N/A</v>
      </c>
      <c r="I5" t="e">
        <f t="shared" si="0"/>
        <v>#N/A</v>
      </c>
      <c r="J5" t="e">
        <f t="shared" si="0"/>
        <v>#N/A</v>
      </c>
      <c r="K5" t="e">
        <f t="shared" si="0"/>
        <v>#N/A</v>
      </c>
      <c r="L5" t="e">
        <f t="shared" si="0"/>
        <v>#N/A</v>
      </c>
      <c r="M5" t="e">
        <f t="shared" si="0"/>
        <v>#N/A</v>
      </c>
      <c r="N5" t="e">
        <f t="shared" si="0"/>
        <v>#N/A</v>
      </c>
      <c r="O5" t="e">
        <f t="shared" si="0"/>
        <v>#N/A</v>
      </c>
      <c r="P5" t="e">
        <f t="shared" si="0"/>
        <v>#N/A</v>
      </c>
      <c r="Q5" t="e">
        <f t="shared" si="0"/>
        <v>#N/A</v>
      </c>
      <c r="R5" t="e">
        <f t="shared" si="0"/>
        <v>#N/A</v>
      </c>
      <c r="S5" t="e">
        <f t="shared" si="0"/>
        <v>#N/A</v>
      </c>
      <c r="T5" t="e">
        <f t="shared" si="0"/>
        <v>#N/A</v>
      </c>
      <c r="U5" t="e">
        <f t="shared" si="0"/>
        <v>#N/A</v>
      </c>
      <c r="V5" t="e">
        <f t="shared" si="0"/>
        <v>#N/A</v>
      </c>
      <c r="W5" t="e">
        <f t="shared" si="0"/>
        <v>#N/A</v>
      </c>
      <c r="X5" t="e">
        <f t="shared" si="0"/>
        <v>#N/A</v>
      </c>
      <c r="Y5" t="e">
        <f t="shared" si="0"/>
        <v>#N/A</v>
      </c>
      <c r="Z5" t="e">
        <f t="shared" si="0"/>
        <v>#N/A</v>
      </c>
    </row>
    <row r="6" spans="1:26" x14ac:dyDescent="0.35">
      <c r="A6" t="s">
        <v>366</v>
      </c>
      <c r="B6" t="e">
        <f t="shared" ref="B6:Z6" si="1">VLOOKUP(B3, FoodEmission, 8,FALSE)</f>
        <v>#N/A</v>
      </c>
      <c r="C6" t="e">
        <f t="shared" si="1"/>
        <v>#N/A</v>
      </c>
      <c r="D6" t="e">
        <f t="shared" si="1"/>
        <v>#N/A</v>
      </c>
      <c r="E6" t="e">
        <f t="shared" si="1"/>
        <v>#N/A</v>
      </c>
      <c r="F6" t="e">
        <f t="shared" si="1"/>
        <v>#N/A</v>
      </c>
      <c r="G6" t="e">
        <f t="shared" si="1"/>
        <v>#N/A</v>
      </c>
      <c r="H6" t="e">
        <f t="shared" si="1"/>
        <v>#N/A</v>
      </c>
      <c r="I6" t="e">
        <f t="shared" si="1"/>
        <v>#N/A</v>
      </c>
      <c r="J6" t="e">
        <f t="shared" si="1"/>
        <v>#N/A</v>
      </c>
      <c r="K6" t="e">
        <f t="shared" si="1"/>
        <v>#N/A</v>
      </c>
      <c r="L6" t="e">
        <f t="shared" si="1"/>
        <v>#N/A</v>
      </c>
      <c r="M6" t="e">
        <f t="shared" si="1"/>
        <v>#N/A</v>
      </c>
      <c r="N6" t="e">
        <f t="shared" si="1"/>
        <v>#N/A</v>
      </c>
      <c r="O6" t="e">
        <f t="shared" si="1"/>
        <v>#N/A</v>
      </c>
      <c r="P6" t="e">
        <f t="shared" si="1"/>
        <v>#N/A</v>
      </c>
      <c r="Q6" t="e">
        <f t="shared" si="1"/>
        <v>#N/A</v>
      </c>
      <c r="R6" t="e">
        <f t="shared" si="1"/>
        <v>#N/A</v>
      </c>
      <c r="S6" t="e">
        <f t="shared" si="1"/>
        <v>#N/A</v>
      </c>
      <c r="T6" t="e">
        <f t="shared" si="1"/>
        <v>#N/A</v>
      </c>
      <c r="U6" t="e">
        <f t="shared" si="1"/>
        <v>#N/A</v>
      </c>
      <c r="V6" t="e">
        <f t="shared" si="1"/>
        <v>#N/A</v>
      </c>
      <c r="W6" t="e">
        <f t="shared" si="1"/>
        <v>#N/A</v>
      </c>
      <c r="X6" t="e">
        <f t="shared" si="1"/>
        <v>#N/A</v>
      </c>
      <c r="Y6" t="e">
        <f t="shared" si="1"/>
        <v>#N/A</v>
      </c>
      <c r="Z6" t="e">
        <f t="shared" si="1"/>
        <v>#N/A</v>
      </c>
    </row>
    <row r="7" spans="1:26" x14ac:dyDescent="0.35">
      <c r="A7" t="s">
        <v>587</v>
      </c>
      <c r="B7">
        <f>IFERROR(B6+B5, 0)</f>
        <v>0</v>
      </c>
      <c r="C7">
        <f>IFERROR(C6+C5, 0)</f>
        <v>0</v>
      </c>
      <c r="D7">
        <f t="shared" ref="D7:Z7" si="2">IFERROR(D6+D5, 0)</f>
        <v>0</v>
      </c>
      <c r="E7">
        <f t="shared" si="2"/>
        <v>0</v>
      </c>
      <c r="F7">
        <f t="shared" si="2"/>
        <v>0</v>
      </c>
      <c r="G7">
        <f t="shared" si="2"/>
        <v>0</v>
      </c>
      <c r="H7">
        <f t="shared" si="2"/>
        <v>0</v>
      </c>
      <c r="I7">
        <f t="shared" si="2"/>
        <v>0</v>
      </c>
      <c r="J7">
        <f t="shared" si="2"/>
        <v>0</v>
      </c>
      <c r="K7">
        <f t="shared" si="2"/>
        <v>0</v>
      </c>
      <c r="L7">
        <f t="shared" si="2"/>
        <v>0</v>
      </c>
      <c r="M7">
        <f t="shared" si="2"/>
        <v>0</v>
      </c>
      <c r="N7">
        <f t="shared" si="2"/>
        <v>0</v>
      </c>
      <c r="O7">
        <f t="shared" si="2"/>
        <v>0</v>
      </c>
      <c r="P7">
        <f t="shared" si="2"/>
        <v>0</v>
      </c>
      <c r="Q7">
        <f t="shared" si="2"/>
        <v>0</v>
      </c>
      <c r="R7">
        <f t="shared" si="2"/>
        <v>0</v>
      </c>
      <c r="S7">
        <f t="shared" si="2"/>
        <v>0</v>
      </c>
      <c r="T7">
        <f t="shared" si="2"/>
        <v>0</v>
      </c>
      <c r="U7">
        <f t="shared" si="2"/>
        <v>0</v>
      </c>
      <c r="V7">
        <f t="shared" si="2"/>
        <v>0</v>
      </c>
      <c r="W7">
        <f t="shared" si="2"/>
        <v>0</v>
      </c>
      <c r="X7">
        <f t="shared" si="2"/>
        <v>0</v>
      </c>
      <c r="Y7">
        <f t="shared" si="2"/>
        <v>0</v>
      </c>
      <c r="Z7">
        <f t="shared" si="2"/>
        <v>0</v>
      </c>
    </row>
    <row r="8" spans="1:26" x14ac:dyDescent="0.35">
      <c r="A8" t="s">
        <v>291</v>
      </c>
      <c r="B8">
        <f>IFERROR(SUM(B7:Z7),0)</f>
        <v>0</v>
      </c>
    </row>
    <row r="9" spans="1:26" ht="15" thickBot="1" x14ac:dyDescent="0.4"/>
    <row r="10" spans="1:26" ht="15" thickBot="1" x14ac:dyDescent="0.4">
      <c r="A10" s="135" t="s">
        <v>588</v>
      </c>
    </row>
    <row r="11" spans="1:26" x14ac:dyDescent="0.35">
      <c r="A11" t="s">
        <v>333</v>
      </c>
      <c r="B11">
        <f>'Diet Input'!B13</f>
        <v>0</v>
      </c>
      <c r="C11">
        <f>'Diet Input'!C13</f>
        <v>0</v>
      </c>
      <c r="D11">
        <f>'Diet Input'!D13</f>
        <v>0</v>
      </c>
      <c r="E11">
        <f>'Diet Input'!E13</f>
        <v>0</v>
      </c>
      <c r="F11">
        <f>'Diet Input'!F13</f>
        <v>0</v>
      </c>
      <c r="G11">
        <f>'Diet Input'!G13</f>
        <v>0</v>
      </c>
      <c r="H11">
        <f>'Diet Input'!H13</f>
        <v>0</v>
      </c>
      <c r="I11">
        <f>'Diet Input'!I13</f>
        <v>0</v>
      </c>
      <c r="J11">
        <f>'Diet Input'!J13</f>
        <v>0</v>
      </c>
      <c r="K11">
        <f>'Diet Input'!K13</f>
        <v>0</v>
      </c>
      <c r="L11">
        <f>'Diet Input'!L13</f>
        <v>0</v>
      </c>
      <c r="M11">
        <f>'Diet Input'!M13</f>
        <v>0</v>
      </c>
      <c r="N11">
        <f>'Diet Input'!N13</f>
        <v>0</v>
      </c>
      <c r="O11">
        <f>'Diet Input'!O13</f>
        <v>0</v>
      </c>
      <c r="P11">
        <f>'Diet Input'!P13</f>
        <v>0</v>
      </c>
      <c r="Q11">
        <f>'Diet Input'!Q13</f>
        <v>0</v>
      </c>
      <c r="R11">
        <f>'Diet Input'!R13</f>
        <v>0</v>
      </c>
      <c r="S11">
        <f>'Diet Input'!S13</f>
        <v>0</v>
      </c>
      <c r="T11">
        <f>'Diet Input'!T13</f>
        <v>0</v>
      </c>
      <c r="U11">
        <f>'Diet Input'!U13</f>
        <v>0</v>
      </c>
      <c r="V11">
        <f>'Diet Input'!V13</f>
        <v>0</v>
      </c>
      <c r="W11">
        <f>'Diet Input'!W13</f>
        <v>0</v>
      </c>
      <c r="X11">
        <f>'Diet Input'!X13</f>
        <v>0</v>
      </c>
      <c r="Y11">
        <f>'Diet Input'!Y13</f>
        <v>0</v>
      </c>
      <c r="Z11">
        <f>'Diet Input'!Z13</f>
        <v>0</v>
      </c>
    </row>
    <row r="12" spans="1:26" x14ac:dyDescent="0.35">
      <c r="A12" t="s">
        <v>583</v>
      </c>
      <c r="B12">
        <f>'Diet Input'!B15</f>
        <v>0</v>
      </c>
      <c r="C12">
        <f>'Diet Input'!C15</f>
        <v>0</v>
      </c>
      <c r="D12">
        <f>'Diet Input'!D15</f>
        <v>0</v>
      </c>
      <c r="E12">
        <f>'Diet Input'!E15</f>
        <v>0</v>
      </c>
      <c r="F12">
        <f>'Diet Input'!F15</f>
        <v>0</v>
      </c>
      <c r="G12">
        <f>'Diet Input'!G15</f>
        <v>0</v>
      </c>
      <c r="H12">
        <f>'Diet Input'!H15</f>
        <v>0</v>
      </c>
      <c r="I12">
        <f>'Diet Input'!I15</f>
        <v>0</v>
      </c>
      <c r="J12">
        <f>'Diet Input'!J15</f>
        <v>0</v>
      </c>
      <c r="K12">
        <f>'Diet Input'!K15</f>
        <v>0</v>
      </c>
      <c r="L12">
        <f>'Diet Input'!L15</f>
        <v>0</v>
      </c>
      <c r="M12">
        <f>'Diet Input'!M15</f>
        <v>0</v>
      </c>
      <c r="N12">
        <f>'Diet Input'!N15</f>
        <v>0</v>
      </c>
      <c r="O12">
        <f>'Diet Input'!O15</f>
        <v>0</v>
      </c>
      <c r="P12">
        <f>'Diet Input'!P15</f>
        <v>0</v>
      </c>
      <c r="Q12">
        <f>'Diet Input'!Q15</f>
        <v>0</v>
      </c>
      <c r="R12">
        <f>'Diet Input'!R15</f>
        <v>0</v>
      </c>
      <c r="S12">
        <f>'Diet Input'!S15</f>
        <v>0</v>
      </c>
      <c r="T12">
        <f>'Diet Input'!T15</f>
        <v>0</v>
      </c>
      <c r="U12">
        <f>'Diet Input'!U15</f>
        <v>0</v>
      </c>
      <c r="V12">
        <f>'Diet Input'!V15</f>
        <v>0</v>
      </c>
      <c r="W12">
        <f>'Diet Input'!W15</f>
        <v>0</v>
      </c>
      <c r="X12">
        <f>'Diet Input'!X15</f>
        <v>0</v>
      </c>
      <c r="Y12">
        <f>'Diet Input'!Y15</f>
        <v>0</v>
      </c>
      <c r="Z12">
        <f>'Diet Input'!Z15</f>
        <v>0</v>
      </c>
    </row>
    <row r="13" spans="1:26" x14ac:dyDescent="0.35">
      <c r="A13" t="s">
        <v>365</v>
      </c>
      <c r="B13" t="e">
        <f t="shared" ref="B13:Z13" si="3">B12*VLOOKUP(B11, FoodEmission, 5,FALSE)*VLOOKUP(B11, FoodEmission, 4,FALSE)</f>
        <v>#N/A</v>
      </c>
      <c r="C13" t="e">
        <f t="shared" si="3"/>
        <v>#N/A</v>
      </c>
      <c r="D13" t="e">
        <f t="shared" si="3"/>
        <v>#N/A</v>
      </c>
      <c r="E13" t="e">
        <f t="shared" si="3"/>
        <v>#N/A</v>
      </c>
      <c r="F13" t="e">
        <f t="shared" si="3"/>
        <v>#N/A</v>
      </c>
      <c r="G13" t="e">
        <f t="shared" si="3"/>
        <v>#N/A</v>
      </c>
      <c r="H13" t="e">
        <f t="shared" si="3"/>
        <v>#N/A</v>
      </c>
      <c r="I13" t="e">
        <f t="shared" si="3"/>
        <v>#N/A</v>
      </c>
      <c r="J13" t="e">
        <f t="shared" si="3"/>
        <v>#N/A</v>
      </c>
      <c r="K13" t="e">
        <f t="shared" si="3"/>
        <v>#N/A</v>
      </c>
      <c r="L13" t="e">
        <f t="shared" si="3"/>
        <v>#N/A</v>
      </c>
      <c r="M13" t="e">
        <f t="shared" si="3"/>
        <v>#N/A</v>
      </c>
      <c r="N13" t="e">
        <f t="shared" si="3"/>
        <v>#N/A</v>
      </c>
      <c r="O13" t="e">
        <f t="shared" si="3"/>
        <v>#N/A</v>
      </c>
      <c r="P13" t="e">
        <f t="shared" si="3"/>
        <v>#N/A</v>
      </c>
      <c r="Q13" t="e">
        <f t="shared" si="3"/>
        <v>#N/A</v>
      </c>
      <c r="R13" t="e">
        <f t="shared" si="3"/>
        <v>#N/A</v>
      </c>
      <c r="S13" t="e">
        <f t="shared" si="3"/>
        <v>#N/A</v>
      </c>
      <c r="T13" t="e">
        <f t="shared" si="3"/>
        <v>#N/A</v>
      </c>
      <c r="U13" t="e">
        <f t="shared" si="3"/>
        <v>#N/A</v>
      </c>
      <c r="V13" t="e">
        <f t="shared" si="3"/>
        <v>#N/A</v>
      </c>
      <c r="W13" t="e">
        <f t="shared" si="3"/>
        <v>#N/A</v>
      </c>
      <c r="X13" t="e">
        <f t="shared" si="3"/>
        <v>#N/A</v>
      </c>
      <c r="Y13" t="e">
        <f t="shared" si="3"/>
        <v>#N/A</v>
      </c>
      <c r="Z13" t="e">
        <f t="shared" si="3"/>
        <v>#N/A</v>
      </c>
    </row>
    <row r="14" spans="1:26" x14ac:dyDescent="0.35">
      <c r="A14" t="s">
        <v>366</v>
      </c>
      <c r="B14" t="e">
        <f t="shared" ref="B14:Z14" si="4">VLOOKUP(B11, FoodEmission, 8,FALSE)</f>
        <v>#N/A</v>
      </c>
      <c r="C14" t="e">
        <f t="shared" si="4"/>
        <v>#N/A</v>
      </c>
      <c r="D14" t="e">
        <f t="shared" si="4"/>
        <v>#N/A</v>
      </c>
      <c r="E14" t="e">
        <f t="shared" si="4"/>
        <v>#N/A</v>
      </c>
      <c r="F14" t="e">
        <f t="shared" si="4"/>
        <v>#N/A</v>
      </c>
      <c r="G14" t="e">
        <f t="shared" si="4"/>
        <v>#N/A</v>
      </c>
      <c r="H14" t="e">
        <f t="shared" si="4"/>
        <v>#N/A</v>
      </c>
      <c r="I14" t="e">
        <f t="shared" si="4"/>
        <v>#N/A</v>
      </c>
      <c r="J14" t="e">
        <f t="shared" si="4"/>
        <v>#N/A</v>
      </c>
      <c r="K14" t="e">
        <f t="shared" si="4"/>
        <v>#N/A</v>
      </c>
      <c r="L14" t="e">
        <f t="shared" si="4"/>
        <v>#N/A</v>
      </c>
      <c r="M14" t="e">
        <f t="shared" si="4"/>
        <v>#N/A</v>
      </c>
      <c r="N14" t="e">
        <f t="shared" si="4"/>
        <v>#N/A</v>
      </c>
      <c r="O14" t="e">
        <f t="shared" si="4"/>
        <v>#N/A</v>
      </c>
      <c r="P14" t="e">
        <f t="shared" si="4"/>
        <v>#N/A</v>
      </c>
      <c r="Q14" t="e">
        <f t="shared" si="4"/>
        <v>#N/A</v>
      </c>
      <c r="R14" t="e">
        <f t="shared" si="4"/>
        <v>#N/A</v>
      </c>
      <c r="S14" t="e">
        <f t="shared" si="4"/>
        <v>#N/A</v>
      </c>
      <c r="T14" t="e">
        <f t="shared" si="4"/>
        <v>#N/A</v>
      </c>
      <c r="U14" t="e">
        <f t="shared" si="4"/>
        <v>#N/A</v>
      </c>
      <c r="V14" t="e">
        <f t="shared" si="4"/>
        <v>#N/A</v>
      </c>
      <c r="W14" t="e">
        <f t="shared" si="4"/>
        <v>#N/A</v>
      </c>
      <c r="X14" t="e">
        <f t="shared" si="4"/>
        <v>#N/A</v>
      </c>
      <c r="Y14" t="e">
        <f t="shared" si="4"/>
        <v>#N/A</v>
      </c>
      <c r="Z14" t="e">
        <f t="shared" si="4"/>
        <v>#N/A</v>
      </c>
    </row>
    <row r="15" spans="1:26" x14ac:dyDescent="0.35">
      <c r="A15" t="s">
        <v>587</v>
      </c>
      <c r="B15">
        <f>IFERROR(B13+B14, 0)</f>
        <v>0</v>
      </c>
      <c r="C15">
        <f t="shared" ref="C15:Z15" si="5">IFERROR(C13+C14, 0)</f>
        <v>0</v>
      </c>
      <c r="D15">
        <f t="shared" si="5"/>
        <v>0</v>
      </c>
      <c r="E15">
        <f t="shared" si="5"/>
        <v>0</v>
      </c>
      <c r="F15">
        <f t="shared" si="5"/>
        <v>0</v>
      </c>
      <c r="G15">
        <f t="shared" si="5"/>
        <v>0</v>
      </c>
      <c r="H15">
        <f t="shared" si="5"/>
        <v>0</v>
      </c>
      <c r="I15">
        <f t="shared" si="5"/>
        <v>0</v>
      </c>
      <c r="J15">
        <f t="shared" si="5"/>
        <v>0</v>
      </c>
      <c r="K15">
        <f t="shared" si="5"/>
        <v>0</v>
      </c>
      <c r="L15">
        <f t="shared" si="5"/>
        <v>0</v>
      </c>
      <c r="M15">
        <f t="shared" si="5"/>
        <v>0</v>
      </c>
      <c r="N15">
        <f t="shared" si="5"/>
        <v>0</v>
      </c>
      <c r="O15">
        <f t="shared" si="5"/>
        <v>0</v>
      </c>
      <c r="P15">
        <f t="shared" si="5"/>
        <v>0</v>
      </c>
      <c r="Q15">
        <f t="shared" si="5"/>
        <v>0</v>
      </c>
      <c r="R15">
        <f t="shared" si="5"/>
        <v>0</v>
      </c>
      <c r="S15">
        <f t="shared" si="5"/>
        <v>0</v>
      </c>
      <c r="T15">
        <f t="shared" si="5"/>
        <v>0</v>
      </c>
      <c r="U15">
        <f t="shared" si="5"/>
        <v>0</v>
      </c>
      <c r="V15">
        <f t="shared" si="5"/>
        <v>0</v>
      </c>
      <c r="W15">
        <f t="shared" si="5"/>
        <v>0</v>
      </c>
      <c r="X15">
        <f t="shared" si="5"/>
        <v>0</v>
      </c>
      <c r="Y15">
        <f t="shared" si="5"/>
        <v>0</v>
      </c>
      <c r="Z15">
        <f t="shared" si="5"/>
        <v>0</v>
      </c>
    </row>
    <row r="16" spans="1:26" x14ac:dyDescent="0.35">
      <c r="A16" t="s">
        <v>291</v>
      </c>
      <c r="B16">
        <f>IFERROR(SUM(B15:Z15),0)</f>
        <v>0</v>
      </c>
    </row>
    <row r="17" spans="1:26" ht="15" thickBot="1" x14ac:dyDescent="0.4"/>
    <row r="18" spans="1:26" ht="15" thickBot="1" x14ac:dyDescent="0.4">
      <c r="A18" s="135" t="s">
        <v>585</v>
      </c>
    </row>
    <row r="19" spans="1:26" x14ac:dyDescent="0.35">
      <c r="A19" t="s">
        <v>333</v>
      </c>
      <c r="B19">
        <f>'Diet Input'!B19</f>
        <v>0</v>
      </c>
      <c r="C19">
        <f>'Diet Input'!C19</f>
        <v>0</v>
      </c>
      <c r="D19">
        <f>'Diet Input'!D19</f>
        <v>0</v>
      </c>
      <c r="E19">
        <f>'Diet Input'!E19</f>
        <v>0</v>
      </c>
      <c r="F19">
        <f>'Diet Input'!F19</f>
        <v>0</v>
      </c>
      <c r="G19">
        <f>'Diet Input'!G19</f>
        <v>0</v>
      </c>
      <c r="H19">
        <f>'Diet Input'!H19</f>
        <v>0</v>
      </c>
      <c r="I19">
        <f>'Diet Input'!I19</f>
        <v>0</v>
      </c>
      <c r="J19">
        <f>'Diet Input'!J19</f>
        <v>0</v>
      </c>
      <c r="K19">
        <f>'Diet Input'!K19</f>
        <v>0</v>
      </c>
      <c r="L19">
        <f>'Diet Input'!L19</f>
        <v>0</v>
      </c>
      <c r="M19">
        <f>'Diet Input'!M19</f>
        <v>0</v>
      </c>
      <c r="N19">
        <f>'Diet Input'!N19</f>
        <v>0</v>
      </c>
      <c r="O19">
        <f>'Diet Input'!O19</f>
        <v>0</v>
      </c>
      <c r="P19">
        <f>'Diet Input'!P19</f>
        <v>0</v>
      </c>
      <c r="Q19">
        <f>'Diet Input'!Q19</f>
        <v>0</v>
      </c>
      <c r="R19">
        <f>'Diet Input'!R19</f>
        <v>0</v>
      </c>
      <c r="S19">
        <f>'Diet Input'!S19</f>
        <v>0</v>
      </c>
      <c r="T19">
        <f>'Diet Input'!T19</f>
        <v>0</v>
      </c>
      <c r="U19">
        <f>'Diet Input'!U19</f>
        <v>0</v>
      </c>
      <c r="V19">
        <f>'Diet Input'!V19</f>
        <v>0</v>
      </c>
      <c r="W19">
        <f>'Diet Input'!W19</f>
        <v>0</v>
      </c>
      <c r="X19">
        <f>'Diet Input'!X19</f>
        <v>0</v>
      </c>
      <c r="Y19">
        <f>'Diet Input'!Y19</f>
        <v>0</v>
      </c>
      <c r="Z19">
        <f>'Diet Input'!Z19</f>
        <v>0</v>
      </c>
    </row>
    <row r="20" spans="1:26" x14ac:dyDescent="0.35">
      <c r="A20" t="s">
        <v>583</v>
      </c>
      <c r="B20">
        <f>'Diet Input'!B21</f>
        <v>0</v>
      </c>
      <c r="C20">
        <f>'Diet Input'!C21</f>
        <v>0</v>
      </c>
      <c r="D20">
        <f>'Diet Input'!D21</f>
        <v>0</v>
      </c>
      <c r="E20">
        <f>'Diet Input'!E21</f>
        <v>0</v>
      </c>
      <c r="F20">
        <f>'Diet Input'!F21</f>
        <v>0</v>
      </c>
      <c r="G20">
        <f>'Diet Input'!G21</f>
        <v>0</v>
      </c>
      <c r="H20">
        <f>'Diet Input'!H21</f>
        <v>0</v>
      </c>
      <c r="I20">
        <f>'Diet Input'!I21</f>
        <v>0</v>
      </c>
      <c r="J20">
        <f>'Diet Input'!J21</f>
        <v>0</v>
      </c>
      <c r="K20">
        <f>'Diet Input'!K21</f>
        <v>0</v>
      </c>
      <c r="L20">
        <f>'Diet Input'!L21</f>
        <v>0</v>
      </c>
      <c r="M20">
        <f>'Diet Input'!M21</f>
        <v>0</v>
      </c>
      <c r="N20">
        <f>'Diet Input'!N21</f>
        <v>0</v>
      </c>
      <c r="O20">
        <f>'Diet Input'!O21</f>
        <v>0</v>
      </c>
      <c r="P20">
        <f>'Diet Input'!P21</f>
        <v>0</v>
      </c>
      <c r="Q20">
        <f>'Diet Input'!Q21</f>
        <v>0</v>
      </c>
      <c r="R20">
        <f>'Diet Input'!R21</f>
        <v>0</v>
      </c>
      <c r="S20">
        <f>'Diet Input'!S21</f>
        <v>0</v>
      </c>
      <c r="T20">
        <f>'Diet Input'!T21</f>
        <v>0</v>
      </c>
      <c r="U20">
        <f>'Diet Input'!U21</f>
        <v>0</v>
      </c>
      <c r="V20">
        <f>'Diet Input'!V21</f>
        <v>0</v>
      </c>
      <c r="W20">
        <f>'Diet Input'!W21</f>
        <v>0</v>
      </c>
      <c r="X20">
        <f>'Diet Input'!X21</f>
        <v>0</v>
      </c>
      <c r="Y20">
        <f>'Diet Input'!Y21</f>
        <v>0</v>
      </c>
      <c r="Z20">
        <f>'Diet Input'!Z21</f>
        <v>0</v>
      </c>
    </row>
    <row r="21" spans="1:26" x14ac:dyDescent="0.35">
      <c r="A21" t="s">
        <v>365</v>
      </c>
      <c r="B21" t="e">
        <f t="shared" ref="B21:Z21" si="6">B20*VLOOKUP(B19, FoodEmission, 5,FALSE)*VLOOKUP(B19, FoodEmission, 4,FALSE)</f>
        <v>#N/A</v>
      </c>
      <c r="C21" t="e">
        <f t="shared" si="6"/>
        <v>#N/A</v>
      </c>
      <c r="D21" t="e">
        <f t="shared" si="6"/>
        <v>#N/A</v>
      </c>
      <c r="E21" t="e">
        <f t="shared" si="6"/>
        <v>#N/A</v>
      </c>
      <c r="F21" t="e">
        <f t="shared" si="6"/>
        <v>#N/A</v>
      </c>
      <c r="G21" t="e">
        <f t="shared" si="6"/>
        <v>#N/A</v>
      </c>
      <c r="H21" t="e">
        <f t="shared" si="6"/>
        <v>#N/A</v>
      </c>
      <c r="I21" t="e">
        <f t="shared" si="6"/>
        <v>#N/A</v>
      </c>
      <c r="J21" t="e">
        <f t="shared" si="6"/>
        <v>#N/A</v>
      </c>
      <c r="K21" t="e">
        <f t="shared" si="6"/>
        <v>#N/A</v>
      </c>
      <c r="L21" t="e">
        <f t="shared" si="6"/>
        <v>#N/A</v>
      </c>
      <c r="M21" t="e">
        <f t="shared" si="6"/>
        <v>#N/A</v>
      </c>
      <c r="N21" t="e">
        <f t="shared" si="6"/>
        <v>#N/A</v>
      </c>
      <c r="O21" t="e">
        <f t="shared" si="6"/>
        <v>#N/A</v>
      </c>
      <c r="P21" t="e">
        <f t="shared" si="6"/>
        <v>#N/A</v>
      </c>
      <c r="Q21" t="e">
        <f t="shared" si="6"/>
        <v>#N/A</v>
      </c>
      <c r="R21" t="e">
        <f t="shared" si="6"/>
        <v>#N/A</v>
      </c>
      <c r="S21" t="e">
        <f t="shared" si="6"/>
        <v>#N/A</v>
      </c>
      <c r="T21" t="e">
        <f t="shared" si="6"/>
        <v>#N/A</v>
      </c>
      <c r="U21" t="e">
        <f t="shared" si="6"/>
        <v>#N/A</v>
      </c>
      <c r="V21" t="e">
        <f t="shared" si="6"/>
        <v>#N/A</v>
      </c>
      <c r="W21" t="e">
        <f t="shared" si="6"/>
        <v>#N/A</v>
      </c>
      <c r="X21" t="e">
        <f t="shared" si="6"/>
        <v>#N/A</v>
      </c>
      <c r="Y21" t="e">
        <f t="shared" si="6"/>
        <v>#N/A</v>
      </c>
      <c r="Z21" t="e">
        <f t="shared" si="6"/>
        <v>#N/A</v>
      </c>
    </row>
    <row r="22" spans="1:26" x14ac:dyDescent="0.35">
      <c r="A22" t="s">
        <v>366</v>
      </c>
      <c r="B22" t="e">
        <f t="shared" ref="B22:Z22" si="7">VLOOKUP(B19, FoodEmission, 8,FALSE)</f>
        <v>#N/A</v>
      </c>
      <c r="C22" t="e">
        <f t="shared" si="7"/>
        <v>#N/A</v>
      </c>
      <c r="D22" t="e">
        <f t="shared" si="7"/>
        <v>#N/A</v>
      </c>
      <c r="E22" t="e">
        <f t="shared" si="7"/>
        <v>#N/A</v>
      </c>
      <c r="F22" t="e">
        <f t="shared" si="7"/>
        <v>#N/A</v>
      </c>
      <c r="G22" t="e">
        <f t="shared" si="7"/>
        <v>#N/A</v>
      </c>
      <c r="H22" t="e">
        <f t="shared" si="7"/>
        <v>#N/A</v>
      </c>
      <c r="I22" t="e">
        <f t="shared" si="7"/>
        <v>#N/A</v>
      </c>
      <c r="J22" t="e">
        <f t="shared" si="7"/>
        <v>#N/A</v>
      </c>
      <c r="K22" t="e">
        <f t="shared" si="7"/>
        <v>#N/A</v>
      </c>
      <c r="L22" t="e">
        <f t="shared" si="7"/>
        <v>#N/A</v>
      </c>
      <c r="M22" t="e">
        <f t="shared" si="7"/>
        <v>#N/A</v>
      </c>
      <c r="N22" t="e">
        <f t="shared" si="7"/>
        <v>#N/A</v>
      </c>
      <c r="O22" t="e">
        <f t="shared" si="7"/>
        <v>#N/A</v>
      </c>
      <c r="P22" t="e">
        <f t="shared" si="7"/>
        <v>#N/A</v>
      </c>
      <c r="Q22" t="e">
        <f t="shared" si="7"/>
        <v>#N/A</v>
      </c>
      <c r="R22" t="e">
        <f t="shared" si="7"/>
        <v>#N/A</v>
      </c>
      <c r="S22" t="e">
        <f t="shared" si="7"/>
        <v>#N/A</v>
      </c>
      <c r="T22" t="e">
        <f t="shared" si="7"/>
        <v>#N/A</v>
      </c>
      <c r="U22" t="e">
        <f t="shared" si="7"/>
        <v>#N/A</v>
      </c>
      <c r="V22" t="e">
        <f t="shared" si="7"/>
        <v>#N/A</v>
      </c>
      <c r="W22" t="e">
        <f t="shared" si="7"/>
        <v>#N/A</v>
      </c>
      <c r="X22" t="e">
        <f t="shared" si="7"/>
        <v>#N/A</v>
      </c>
      <c r="Y22" t="e">
        <f t="shared" si="7"/>
        <v>#N/A</v>
      </c>
      <c r="Z22" t="e">
        <f t="shared" si="7"/>
        <v>#N/A</v>
      </c>
    </row>
    <row r="23" spans="1:26" x14ac:dyDescent="0.35">
      <c r="A23" t="s">
        <v>587</v>
      </c>
      <c r="B23">
        <f t="shared" ref="B23:Z23" si="8">IFERROR(B21+B22, 0)</f>
        <v>0</v>
      </c>
      <c r="C23">
        <f t="shared" si="8"/>
        <v>0</v>
      </c>
      <c r="D23">
        <f t="shared" si="8"/>
        <v>0</v>
      </c>
      <c r="E23">
        <f t="shared" si="8"/>
        <v>0</v>
      </c>
      <c r="F23">
        <f t="shared" si="8"/>
        <v>0</v>
      </c>
      <c r="G23">
        <f t="shared" si="8"/>
        <v>0</v>
      </c>
      <c r="H23">
        <f t="shared" si="8"/>
        <v>0</v>
      </c>
      <c r="I23">
        <f t="shared" si="8"/>
        <v>0</v>
      </c>
      <c r="J23">
        <f t="shared" si="8"/>
        <v>0</v>
      </c>
      <c r="K23">
        <f t="shared" si="8"/>
        <v>0</v>
      </c>
      <c r="L23">
        <f t="shared" si="8"/>
        <v>0</v>
      </c>
      <c r="M23">
        <f t="shared" si="8"/>
        <v>0</v>
      </c>
      <c r="N23">
        <f t="shared" si="8"/>
        <v>0</v>
      </c>
      <c r="O23">
        <f t="shared" si="8"/>
        <v>0</v>
      </c>
      <c r="P23">
        <f t="shared" si="8"/>
        <v>0</v>
      </c>
      <c r="Q23">
        <f t="shared" si="8"/>
        <v>0</v>
      </c>
      <c r="R23">
        <f t="shared" si="8"/>
        <v>0</v>
      </c>
      <c r="S23">
        <f t="shared" si="8"/>
        <v>0</v>
      </c>
      <c r="T23">
        <f t="shared" si="8"/>
        <v>0</v>
      </c>
      <c r="U23">
        <f t="shared" si="8"/>
        <v>0</v>
      </c>
      <c r="V23">
        <f t="shared" si="8"/>
        <v>0</v>
      </c>
      <c r="W23">
        <f t="shared" si="8"/>
        <v>0</v>
      </c>
      <c r="X23">
        <f t="shared" si="8"/>
        <v>0</v>
      </c>
      <c r="Y23">
        <f t="shared" si="8"/>
        <v>0</v>
      </c>
      <c r="Z23">
        <f t="shared" si="8"/>
        <v>0</v>
      </c>
    </row>
    <row r="24" spans="1:26" x14ac:dyDescent="0.35">
      <c r="A24" t="s">
        <v>291</v>
      </c>
      <c r="B24">
        <f t="shared" ref="B24" si="9">IFERROR(SUM(B23:Z23),0)</f>
        <v>0</v>
      </c>
    </row>
    <row r="25" spans="1:26" ht="15" thickBot="1" x14ac:dyDescent="0.4"/>
    <row r="26" spans="1:26" ht="15" thickBot="1" x14ac:dyDescent="0.4">
      <c r="A26" s="135" t="s">
        <v>418</v>
      </c>
    </row>
    <row r="27" spans="1:26" x14ac:dyDescent="0.35">
      <c r="A27" t="s">
        <v>333</v>
      </c>
      <c r="B27">
        <f>'Diet Input'!B25</f>
        <v>0</v>
      </c>
      <c r="C27">
        <f>'Diet Input'!C25</f>
        <v>0</v>
      </c>
      <c r="D27">
        <f>'Diet Input'!D25</f>
        <v>0</v>
      </c>
      <c r="E27">
        <f>'Diet Input'!E25</f>
        <v>0</v>
      </c>
      <c r="F27">
        <f>'Diet Input'!F25</f>
        <v>0</v>
      </c>
      <c r="G27">
        <f>'Diet Input'!G25</f>
        <v>0</v>
      </c>
      <c r="H27">
        <f>'Diet Input'!H25</f>
        <v>0</v>
      </c>
      <c r="I27">
        <f>'Diet Input'!I25</f>
        <v>0</v>
      </c>
      <c r="J27">
        <f>'Diet Input'!J25</f>
        <v>0</v>
      </c>
      <c r="K27">
        <f>'Diet Input'!K25</f>
        <v>0</v>
      </c>
      <c r="L27">
        <f>'Diet Input'!L25</f>
        <v>0</v>
      </c>
      <c r="M27">
        <f>'Diet Input'!M25</f>
        <v>0</v>
      </c>
      <c r="N27">
        <f>'Diet Input'!N25</f>
        <v>0</v>
      </c>
      <c r="O27">
        <f>'Diet Input'!O25</f>
        <v>0</v>
      </c>
      <c r="P27">
        <f>'Diet Input'!P25</f>
        <v>0</v>
      </c>
      <c r="Q27">
        <f>'Diet Input'!Q25</f>
        <v>0</v>
      </c>
      <c r="R27">
        <f>'Diet Input'!R25</f>
        <v>0</v>
      </c>
      <c r="S27">
        <f>'Diet Input'!S25</f>
        <v>0</v>
      </c>
      <c r="T27">
        <f>'Diet Input'!T25</f>
        <v>0</v>
      </c>
      <c r="U27">
        <f>'Diet Input'!U25</f>
        <v>0</v>
      </c>
      <c r="V27">
        <f>'Diet Input'!V25</f>
        <v>0</v>
      </c>
      <c r="W27">
        <f>'Diet Input'!W25</f>
        <v>0</v>
      </c>
      <c r="X27">
        <f>'Diet Input'!X25</f>
        <v>0</v>
      </c>
      <c r="Y27">
        <f>'Diet Input'!Y25</f>
        <v>0</v>
      </c>
      <c r="Z27">
        <f>'Diet Input'!Z25</f>
        <v>0</v>
      </c>
    </row>
    <row r="28" spans="1:26" x14ac:dyDescent="0.35">
      <c r="A28" t="s">
        <v>583</v>
      </c>
      <c r="B28">
        <f>'Diet Input'!B27</f>
        <v>0</v>
      </c>
      <c r="C28">
        <f>'Diet Input'!C27</f>
        <v>0</v>
      </c>
      <c r="D28">
        <f>'Diet Input'!D27</f>
        <v>0</v>
      </c>
      <c r="E28">
        <f>'Diet Input'!E27</f>
        <v>0</v>
      </c>
      <c r="F28">
        <f>'Diet Input'!F27</f>
        <v>0</v>
      </c>
      <c r="G28">
        <f>'Diet Input'!G27</f>
        <v>0</v>
      </c>
      <c r="H28">
        <f>'Diet Input'!H27</f>
        <v>0</v>
      </c>
      <c r="I28">
        <f>'Diet Input'!I27</f>
        <v>0</v>
      </c>
      <c r="J28">
        <f>'Diet Input'!J27</f>
        <v>0</v>
      </c>
      <c r="K28">
        <f>'Diet Input'!K27</f>
        <v>0</v>
      </c>
      <c r="L28">
        <f>'Diet Input'!L27</f>
        <v>0</v>
      </c>
      <c r="M28">
        <f>'Diet Input'!M27</f>
        <v>0</v>
      </c>
      <c r="N28">
        <f>'Diet Input'!N27</f>
        <v>0</v>
      </c>
      <c r="O28">
        <f>'Diet Input'!O27</f>
        <v>0</v>
      </c>
      <c r="P28">
        <f>'Diet Input'!P27</f>
        <v>0</v>
      </c>
      <c r="Q28">
        <f>'Diet Input'!Q27</f>
        <v>0</v>
      </c>
      <c r="R28">
        <f>'Diet Input'!R27</f>
        <v>0</v>
      </c>
      <c r="S28">
        <f>'Diet Input'!S27</f>
        <v>0</v>
      </c>
      <c r="T28">
        <f>'Diet Input'!T27</f>
        <v>0</v>
      </c>
      <c r="U28">
        <f>'Diet Input'!U27</f>
        <v>0</v>
      </c>
      <c r="V28">
        <f>'Diet Input'!V27</f>
        <v>0</v>
      </c>
      <c r="W28">
        <f>'Diet Input'!W27</f>
        <v>0</v>
      </c>
      <c r="X28">
        <f>'Diet Input'!X27</f>
        <v>0</v>
      </c>
      <c r="Y28">
        <f>'Diet Input'!Y27</f>
        <v>0</v>
      </c>
      <c r="Z28">
        <f>'Diet Input'!Z27</f>
        <v>0</v>
      </c>
    </row>
    <row r="29" spans="1:26" x14ac:dyDescent="0.35">
      <c r="A29" t="s">
        <v>365</v>
      </c>
      <c r="B29" t="e">
        <f t="shared" ref="B29:Z29" si="10">B28*VLOOKUP(B27, FoodEmission, 5,FALSE)*VLOOKUP(B27, FoodEmission, 4,FALSE)</f>
        <v>#N/A</v>
      </c>
      <c r="C29" t="e">
        <f t="shared" si="10"/>
        <v>#N/A</v>
      </c>
      <c r="D29" t="e">
        <f t="shared" si="10"/>
        <v>#N/A</v>
      </c>
      <c r="E29" t="e">
        <f t="shared" si="10"/>
        <v>#N/A</v>
      </c>
      <c r="F29" t="e">
        <f t="shared" si="10"/>
        <v>#N/A</v>
      </c>
      <c r="G29" t="e">
        <f t="shared" si="10"/>
        <v>#N/A</v>
      </c>
      <c r="H29" t="e">
        <f t="shared" si="10"/>
        <v>#N/A</v>
      </c>
      <c r="I29" t="e">
        <f t="shared" si="10"/>
        <v>#N/A</v>
      </c>
      <c r="J29" t="e">
        <f t="shared" si="10"/>
        <v>#N/A</v>
      </c>
      <c r="K29" t="e">
        <f t="shared" si="10"/>
        <v>#N/A</v>
      </c>
      <c r="L29" t="e">
        <f t="shared" si="10"/>
        <v>#N/A</v>
      </c>
      <c r="M29" t="e">
        <f t="shared" si="10"/>
        <v>#N/A</v>
      </c>
      <c r="N29" t="e">
        <f t="shared" si="10"/>
        <v>#N/A</v>
      </c>
      <c r="O29" t="e">
        <f t="shared" si="10"/>
        <v>#N/A</v>
      </c>
      <c r="P29" t="e">
        <f t="shared" si="10"/>
        <v>#N/A</v>
      </c>
      <c r="Q29" t="e">
        <f t="shared" si="10"/>
        <v>#N/A</v>
      </c>
      <c r="R29" t="e">
        <f t="shared" si="10"/>
        <v>#N/A</v>
      </c>
      <c r="S29" t="e">
        <f t="shared" si="10"/>
        <v>#N/A</v>
      </c>
      <c r="T29" t="e">
        <f t="shared" si="10"/>
        <v>#N/A</v>
      </c>
      <c r="U29" t="e">
        <f t="shared" si="10"/>
        <v>#N/A</v>
      </c>
      <c r="V29" t="e">
        <f t="shared" si="10"/>
        <v>#N/A</v>
      </c>
      <c r="W29" t="e">
        <f t="shared" si="10"/>
        <v>#N/A</v>
      </c>
      <c r="X29" t="e">
        <f t="shared" si="10"/>
        <v>#N/A</v>
      </c>
      <c r="Y29" t="e">
        <f t="shared" si="10"/>
        <v>#N/A</v>
      </c>
      <c r="Z29" t="e">
        <f t="shared" si="10"/>
        <v>#N/A</v>
      </c>
    </row>
    <row r="30" spans="1:26" x14ac:dyDescent="0.35">
      <c r="A30" t="s">
        <v>366</v>
      </c>
      <c r="B30" t="e">
        <f t="shared" ref="B30:Z30" si="11">VLOOKUP(B27, FoodEmission, 8,FALSE)</f>
        <v>#N/A</v>
      </c>
      <c r="C30" t="e">
        <f t="shared" si="11"/>
        <v>#N/A</v>
      </c>
      <c r="D30" t="e">
        <f t="shared" si="11"/>
        <v>#N/A</v>
      </c>
      <c r="E30" t="e">
        <f t="shared" si="11"/>
        <v>#N/A</v>
      </c>
      <c r="F30" t="e">
        <f t="shared" si="11"/>
        <v>#N/A</v>
      </c>
      <c r="G30" t="e">
        <f t="shared" si="11"/>
        <v>#N/A</v>
      </c>
      <c r="H30" t="e">
        <f t="shared" si="11"/>
        <v>#N/A</v>
      </c>
      <c r="I30" t="e">
        <f t="shared" si="11"/>
        <v>#N/A</v>
      </c>
      <c r="J30" t="e">
        <f t="shared" si="11"/>
        <v>#N/A</v>
      </c>
      <c r="K30" t="e">
        <f t="shared" si="11"/>
        <v>#N/A</v>
      </c>
      <c r="L30" t="e">
        <f t="shared" si="11"/>
        <v>#N/A</v>
      </c>
      <c r="M30" t="e">
        <f t="shared" si="11"/>
        <v>#N/A</v>
      </c>
      <c r="N30" t="e">
        <f t="shared" si="11"/>
        <v>#N/A</v>
      </c>
      <c r="O30" t="e">
        <f t="shared" si="11"/>
        <v>#N/A</v>
      </c>
      <c r="P30" t="e">
        <f t="shared" si="11"/>
        <v>#N/A</v>
      </c>
      <c r="Q30" t="e">
        <f t="shared" si="11"/>
        <v>#N/A</v>
      </c>
      <c r="R30" t="e">
        <f t="shared" si="11"/>
        <v>#N/A</v>
      </c>
      <c r="S30" t="e">
        <f t="shared" si="11"/>
        <v>#N/A</v>
      </c>
      <c r="T30" t="e">
        <f t="shared" si="11"/>
        <v>#N/A</v>
      </c>
      <c r="U30" t="e">
        <f t="shared" si="11"/>
        <v>#N/A</v>
      </c>
      <c r="V30" t="e">
        <f t="shared" si="11"/>
        <v>#N/A</v>
      </c>
      <c r="W30" t="e">
        <f t="shared" si="11"/>
        <v>#N/A</v>
      </c>
      <c r="X30" t="e">
        <f t="shared" si="11"/>
        <v>#N/A</v>
      </c>
      <c r="Y30" t="e">
        <f t="shared" si="11"/>
        <v>#N/A</v>
      </c>
      <c r="Z30" t="e">
        <f t="shared" si="11"/>
        <v>#N/A</v>
      </c>
    </row>
    <row r="31" spans="1:26" x14ac:dyDescent="0.35">
      <c r="A31" t="s">
        <v>587</v>
      </c>
      <c r="B31">
        <f t="shared" ref="B31:Z31" si="12">IFERROR(B29+B30, 0)</f>
        <v>0</v>
      </c>
      <c r="C31">
        <f t="shared" si="12"/>
        <v>0</v>
      </c>
      <c r="D31">
        <f t="shared" si="12"/>
        <v>0</v>
      </c>
      <c r="E31">
        <f t="shared" si="12"/>
        <v>0</v>
      </c>
      <c r="F31">
        <f t="shared" si="12"/>
        <v>0</v>
      </c>
      <c r="G31">
        <f t="shared" si="12"/>
        <v>0</v>
      </c>
      <c r="H31">
        <f t="shared" si="12"/>
        <v>0</v>
      </c>
      <c r="I31">
        <f t="shared" si="12"/>
        <v>0</v>
      </c>
      <c r="J31">
        <f t="shared" si="12"/>
        <v>0</v>
      </c>
      <c r="K31">
        <f t="shared" si="12"/>
        <v>0</v>
      </c>
      <c r="L31">
        <f t="shared" si="12"/>
        <v>0</v>
      </c>
      <c r="M31">
        <f t="shared" si="12"/>
        <v>0</v>
      </c>
      <c r="N31">
        <f t="shared" si="12"/>
        <v>0</v>
      </c>
      <c r="O31">
        <f t="shared" si="12"/>
        <v>0</v>
      </c>
      <c r="P31">
        <f t="shared" si="12"/>
        <v>0</v>
      </c>
      <c r="Q31">
        <f t="shared" si="12"/>
        <v>0</v>
      </c>
      <c r="R31">
        <f t="shared" si="12"/>
        <v>0</v>
      </c>
      <c r="S31">
        <f t="shared" si="12"/>
        <v>0</v>
      </c>
      <c r="T31">
        <f t="shared" si="12"/>
        <v>0</v>
      </c>
      <c r="U31">
        <f t="shared" si="12"/>
        <v>0</v>
      </c>
      <c r="V31">
        <f t="shared" si="12"/>
        <v>0</v>
      </c>
      <c r="W31">
        <f t="shared" si="12"/>
        <v>0</v>
      </c>
      <c r="X31">
        <f t="shared" si="12"/>
        <v>0</v>
      </c>
      <c r="Y31">
        <f t="shared" si="12"/>
        <v>0</v>
      </c>
      <c r="Z31">
        <f t="shared" si="12"/>
        <v>0</v>
      </c>
    </row>
    <row r="32" spans="1:26" x14ac:dyDescent="0.35">
      <c r="A32" t="s">
        <v>291</v>
      </c>
      <c r="B32">
        <f t="shared" ref="B32" si="13">IFERROR(SUM(B31:Z31),0)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59"/>
  <sheetViews>
    <sheetView topLeftCell="A37" workbookViewId="0">
      <selection activeCell="C50" sqref="C50"/>
    </sheetView>
  </sheetViews>
  <sheetFormatPr defaultRowHeight="14.5" x14ac:dyDescent="0.35"/>
  <cols>
    <col min="1" max="1" width="17.54296875" customWidth="1"/>
    <col min="2" max="2" width="17.90625" customWidth="1"/>
    <col min="3" max="3" width="20.81640625" customWidth="1"/>
    <col min="4" max="4" width="18.81640625" customWidth="1"/>
    <col min="5" max="5" width="19.08984375" customWidth="1"/>
    <col min="6" max="6" width="16.7265625" customWidth="1"/>
    <col min="7" max="8" width="12.90625" customWidth="1"/>
    <col min="9" max="9" width="11.54296875" customWidth="1"/>
    <col min="10" max="10" width="14" customWidth="1"/>
    <col min="12" max="12" width="12.6328125" customWidth="1"/>
  </cols>
  <sheetData>
    <row r="1" spans="1:9" ht="15" thickBot="1" x14ac:dyDescent="0.4">
      <c r="A1" s="334" t="s">
        <v>367</v>
      </c>
      <c r="B1" s="334"/>
      <c r="C1" s="334"/>
      <c r="D1" s="334"/>
      <c r="E1" s="334"/>
      <c r="F1" s="334"/>
      <c r="G1" s="334"/>
      <c r="H1" s="334"/>
      <c r="I1" s="334"/>
    </row>
    <row r="2" spans="1:9" ht="15" thickBot="1" x14ac:dyDescent="0.4">
      <c r="A2" s="111" t="s">
        <v>333</v>
      </c>
      <c r="B2" s="111" t="s">
        <v>332</v>
      </c>
      <c r="C2" s="111" t="s">
        <v>334</v>
      </c>
      <c r="D2" s="111" t="s">
        <v>368</v>
      </c>
      <c r="E2" s="111" t="s">
        <v>369</v>
      </c>
      <c r="F2" s="111" t="s">
        <v>370</v>
      </c>
      <c r="G2" s="111" t="s">
        <v>355</v>
      </c>
      <c r="H2" s="233" t="s">
        <v>544</v>
      </c>
      <c r="I2" s="112" t="s">
        <v>371</v>
      </c>
    </row>
    <row r="3" spans="1:9" x14ac:dyDescent="0.35">
      <c r="A3" s="113" t="s">
        <v>348</v>
      </c>
      <c r="B3" s="113" t="s">
        <v>591</v>
      </c>
      <c r="C3" s="113" t="s">
        <v>573</v>
      </c>
      <c r="D3" s="113">
        <v>0.33</v>
      </c>
      <c r="E3" s="113">
        <v>0.38</v>
      </c>
      <c r="F3" s="113" t="s">
        <v>350</v>
      </c>
      <c r="G3" s="113">
        <v>250</v>
      </c>
      <c r="H3" s="113">
        <v>6.7500000000000004E-2</v>
      </c>
      <c r="I3" s="113"/>
    </row>
    <row r="4" spans="1:9" x14ac:dyDescent="0.35">
      <c r="A4" s="114" t="s">
        <v>391</v>
      </c>
      <c r="B4" s="114" t="s">
        <v>591</v>
      </c>
      <c r="C4" s="114" t="s">
        <v>576</v>
      </c>
      <c r="D4" s="113">
        <f>30/1000</f>
        <v>0.03</v>
      </c>
      <c r="E4" s="239">
        <v>2.5099999999999998</v>
      </c>
      <c r="F4" s="113" t="s">
        <v>351</v>
      </c>
      <c r="G4" s="113">
        <v>250</v>
      </c>
      <c r="H4" s="113">
        <v>3.925E-2</v>
      </c>
      <c r="I4" s="114"/>
    </row>
    <row r="5" spans="1:9" x14ac:dyDescent="0.35">
      <c r="A5" s="114" t="s">
        <v>338</v>
      </c>
      <c r="B5" s="114" t="s">
        <v>591</v>
      </c>
      <c r="C5" s="114" t="s">
        <v>551</v>
      </c>
      <c r="D5" s="114">
        <v>0.25</v>
      </c>
      <c r="E5" s="114">
        <v>0.79</v>
      </c>
      <c r="F5" s="113" t="s">
        <v>350</v>
      </c>
      <c r="G5" s="113">
        <v>250</v>
      </c>
      <c r="H5" s="113">
        <v>6.7500000000000004E-2</v>
      </c>
      <c r="I5" s="114"/>
    </row>
    <row r="6" spans="1:9" x14ac:dyDescent="0.35">
      <c r="A6" s="114" t="s">
        <v>390</v>
      </c>
      <c r="B6" s="114" t="s">
        <v>591</v>
      </c>
      <c r="C6" s="114" t="s">
        <v>573</v>
      </c>
      <c r="D6" s="240">
        <v>0.33</v>
      </c>
      <c r="E6" s="239">
        <v>1.72</v>
      </c>
      <c r="F6" s="113" t="s">
        <v>352</v>
      </c>
      <c r="G6" s="113">
        <v>250</v>
      </c>
      <c r="H6" s="241">
        <v>3.3750000000000002E-2</v>
      </c>
      <c r="I6" s="114"/>
    </row>
    <row r="7" spans="1:9" x14ac:dyDescent="0.35">
      <c r="A7" s="114" t="s">
        <v>594</v>
      </c>
      <c r="B7" s="114" t="s">
        <v>591</v>
      </c>
      <c r="C7" s="114" t="s">
        <v>551</v>
      </c>
      <c r="D7" s="114">
        <v>0.25</v>
      </c>
      <c r="E7" s="239">
        <v>0.69</v>
      </c>
      <c r="F7" s="113" t="s">
        <v>350</v>
      </c>
      <c r="G7" s="113">
        <v>250</v>
      </c>
      <c r="H7" s="113">
        <v>6.7500000000000004E-2</v>
      </c>
      <c r="I7" s="114"/>
    </row>
    <row r="8" spans="1:9" x14ac:dyDescent="0.35">
      <c r="A8" s="114" t="s">
        <v>592</v>
      </c>
      <c r="B8" s="114" t="s">
        <v>591</v>
      </c>
      <c r="C8" s="114" t="s">
        <v>576</v>
      </c>
      <c r="D8" s="114">
        <f>30/1000</f>
        <v>0.03</v>
      </c>
      <c r="E8" s="239">
        <v>1.26</v>
      </c>
      <c r="F8" s="114" t="s">
        <v>351</v>
      </c>
      <c r="G8" s="113">
        <v>250</v>
      </c>
      <c r="H8" s="113">
        <v>3.925E-2</v>
      </c>
      <c r="I8" s="114"/>
    </row>
    <row r="9" spans="1:9" x14ac:dyDescent="0.35">
      <c r="A9" s="114" t="s">
        <v>394</v>
      </c>
      <c r="B9" s="114" t="s">
        <v>591</v>
      </c>
      <c r="C9" s="114" t="s">
        <v>578</v>
      </c>
      <c r="D9" s="114">
        <f>80/1000</f>
        <v>0.08</v>
      </c>
      <c r="E9" s="239">
        <v>2.73</v>
      </c>
      <c r="F9" s="114" t="s">
        <v>350</v>
      </c>
      <c r="G9" s="113">
        <v>250</v>
      </c>
      <c r="H9" s="113">
        <v>6.7500000000000004E-2</v>
      </c>
      <c r="I9" s="114"/>
    </row>
    <row r="10" spans="1:9" x14ac:dyDescent="0.35">
      <c r="A10" s="114" t="s">
        <v>593</v>
      </c>
      <c r="B10" s="114" t="s">
        <v>591</v>
      </c>
      <c r="C10" s="114" t="s">
        <v>595</v>
      </c>
      <c r="D10" s="114">
        <f>150/1000</f>
        <v>0.15</v>
      </c>
      <c r="E10" s="239">
        <v>0.64</v>
      </c>
      <c r="F10" s="113" t="s">
        <v>351</v>
      </c>
      <c r="G10" s="113">
        <v>250</v>
      </c>
      <c r="H10" s="113">
        <v>3.925E-2</v>
      </c>
      <c r="I10" s="114"/>
    </row>
    <row r="11" spans="1:9" x14ac:dyDescent="0.35">
      <c r="A11" s="114" t="s">
        <v>372</v>
      </c>
      <c r="B11" s="114" t="s">
        <v>337</v>
      </c>
      <c r="C11" s="114" t="s">
        <v>545</v>
      </c>
      <c r="D11" s="114">
        <f>40/1000</f>
        <v>0.04</v>
      </c>
      <c r="E11" s="239">
        <v>0.83</v>
      </c>
      <c r="F11" s="113" t="s">
        <v>350</v>
      </c>
      <c r="G11" s="113">
        <v>250</v>
      </c>
      <c r="H11" s="113">
        <v>6.7500000000000004E-2</v>
      </c>
      <c r="I11" s="114"/>
    </row>
    <row r="12" spans="1:9" x14ac:dyDescent="0.35">
      <c r="A12" s="114" t="s">
        <v>373</v>
      </c>
      <c r="B12" s="114" t="s">
        <v>337</v>
      </c>
      <c r="C12" s="114" t="s">
        <v>546</v>
      </c>
      <c r="D12" s="114">
        <f>15/1000</f>
        <v>1.4999999999999999E-2</v>
      </c>
      <c r="E12" s="239">
        <v>0.45</v>
      </c>
      <c r="F12" s="114" t="s">
        <v>350</v>
      </c>
      <c r="G12" s="113">
        <v>250</v>
      </c>
      <c r="H12" s="113">
        <v>6.7500000000000004E-2</v>
      </c>
      <c r="I12" s="114"/>
    </row>
    <row r="13" spans="1:9" x14ac:dyDescent="0.35">
      <c r="A13" s="114" t="s">
        <v>349</v>
      </c>
      <c r="B13" s="114" t="s">
        <v>337</v>
      </c>
      <c r="C13" s="114" t="s">
        <v>547</v>
      </c>
      <c r="D13" s="114">
        <f>20/1000</f>
        <v>0.02</v>
      </c>
      <c r="E13" s="239">
        <v>9.82</v>
      </c>
      <c r="F13" s="114" t="s">
        <v>350</v>
      </c>
      <c r="G13" s="113">
        <v>250</v>
      </c>
      <c r="H13" s="113">
        <v>6.7500000000000004E-2</v>
      </c>
      <c r="I13" s="114"/>
    </row>
    <row r="14" spans="1:9" x14ac:dyDescent="0.35">
      <c r="A14" s="114" t="s">
        <v>374</v>
      </c>
      <c r="B14" s="114" t="s">
        <v>337</v>
      </c>
      <c r="C14" s="114" t="s">
        <v>548</v>
      </c>
      <c r="D14" s="114">
        <f>60/1000</f>
        <v>0.06</v>
      </c>
      <c r="E14" s="239">
        <v>1.85</v>
      </c>
      <c r="F14" s="114" t="s">
        <v>350</v>
      </c>
      <c r="G14" s="113">
        <v>250</v>
      </c>
      <c r="H14" s="113">
        <v>6.7500000000000004E-2</v>
      </c>
      <c r="I14" s="114"/>
    </row>
    <row r="15" spans="1:9" x14ac:dyDescent="0.35">
      <c r="A15" s="114" t="s">
        <v>549</v>
      </c>
      <c r="B15" s="114" t="s">
        <v>337</v>
      </c>
      <c r="C15" s="114" t="s">
        <v>550</v>
      </c>
      <c r="D15" s="114">
        <f>40/1000</f>
        <v>0.04</v>
      </c>
      <c r="E15" s="239">
        <v>1.85</v>
      </c>
      <c r="F15" s="114" t="s">
        <v>350</v>
      </c>
      <c r="G15" s="113">
        <v>250</v>
      </c>
      <c r="H15" s="113">
        <v>6.7500000000000004E-2</v>
      </c>
      <c r="I15" s="114"/>
    </row>
    <row r="16" spans="1:9" x14ac:dyDescent="0.35">
      <c r="A16" s="114" t="s">
        <v>338</v>
      </c>
      <c r="B16" s="114" t="s">
        <v>337</v>
      </c>
      <c r="C16" s="114" t="s">
        <v>551</v>
      </c>
      <c r="D16" s="114">
        <v>0.25</v>
      </c>
      <c r="E16" s="239">
        <v>0.79</v>
      </c>
      <c r="F16" s="114" t="s">
        <v>350</v>
      </c>
      <c r="G16" s="113">
        <v>250</v>
      </c>
      <c r="H16" s="113">
        <v>6.7500000000000004E-2</v>
      </c>
      <c r="I16" s="114"/>
    </row>
    <row r="17" spans="1:9" x14ac:dyDescent="0.35">
      <c r="A17" s="114" t="s">
        <v>347</v>
      </c>
      <c r="B17" s="114" t="s">
        <v>337</v>
      </c>
      <c r="C17" s="114" t="s">
        <v>545</v>
      </c>
      <c r="D17" s="114">
        <f>40/1000</f>
        <v>0.04</v>
      </c>
      <c r="E17" s="239">
        <v>0.83</v>
      </c>
      <c r="F17" s="114" t="s">
        <v>350</v>
      </c>
      <c r="G17" s="113">
        <v>250</v>
      </c>
      <c r="H17" s="113">
        <v>6.7500000000000004E-2</v>
      </c>
      <c r="I17" s="114"/>
    </row>
    <row r="18" spans="1:9" x14ac:dyDescent="0.35">
      <c r="A18" s="114" t="s">
        <v>344</v>
      </c>
      <c r="B18" s="114" t="s">
        <v>337</v>
      </c>
      <c r="C18" s="114" t="s">
        <v>552</v>
      </c>
      <c r="D18" s="114">
        <v>0.2</v>
      </c>
      <c r="E18" s="239">
        <v>0.9</v>
      </c>
      <c r="F18" s="114" t="s">
        <v>350</v>
      </c>
      <c r="G18" s="113">
        <v>250</v>
      </c>
      <c r="H18" s="113">
        <v>6.7500000000000004E-2</v>
      </c>
      <c r="I18" s="114"/>
    </row>
    <row r="19" spans="1:9" x14ac:dyDescent="0.35">
      <c r="A19" s="114" t="s">
        <v>336</v>
      </c>
      <c r="B19" s="114" t="s">
        <v>598</v>
      </c>
      <c r="C19" s="114" t="s">
        <v>553</v>
      </c>
      <c r="D19" s="114">
        <v>0.15</v>
      </c>
      <c r="E19" s="239">
        <v>0.23</v>
      </c>
      <c r="F19" s="114" t="s">
        <v>350</v>
      </c>
      <c r="G19" s="113">
        <v>250</v>
      </c>
      <c r="H19" s="113">
        <v>3.925E-2</v>
      </c>
      <c r="I19" s="114"/>
    </row>
    <row r="20" spans="1:9" x14ac:dyDescent="0.35">
      <c r="A20" s="114" t="s">
        <v>376</v>
      </c>
      <c r="B20" s="114" t="s">
        <v>598</v>
      </c>
      <c r="C20" s="114" t="s">
        <v>553</v>
      </c>
      <c r="D20" s="114">
        <v>0.15</v>
      </c>
      <c r="E20" s="239">
        <v>0.27</v>
      </c>
      <c r="F20" s="114" t="s">
        <v>350</v>
      </c>
      <c r="G20" s="113">
        <v>250</v>
      </c>
      <c r="H20" s="113">
        <v>3.925E-2</v>
      </c>
      <c r="I20" s="114"/>
    </row>
    <row r="21" spans="1:9" x14ac:dyDescent="0.35">
      <c r="A21" s="114" t="s">
        <v>597</v>
      </c>
      <c r="B21" s="114" t="s">
        <v>598</v>
      </c>
      <c r="C21" s="114" t="s">
        <v>558</v>
      </c>
      <c r="D21" s="114">
        <v>0.15</v>
      </c>
      <c r="E21" s="239">
        <v>0.83</v>
      </c>
      <c r="F21" s="114" t="s">
        <v>350</v>
      </c>
      <c r="G21" s="113">
        <v>250</v>
      </c>
      <c r="H21" s="113">
        <v>3.925E-2</v>
      </c>
      <c r="I21" s="114"/>
    </row>
    <row r="22" spans="1:9" x14ac:dyDescent="0.35">
      <c r="A22" s="114" t="s">
        <v>599</v>
      </c>
      <c r="B22" s="114" t="s">
        <v>598</v>
      </c>
      <c r="C22" s="114" t="s">
        <v>558</v>
      </c>
      <c r="D22" s="114">
        <v>0.15</v>
      </c>
      <c r="E22" s="239">
        <v>0.14000000000000001</v>
      </c>
      <c r="F22" s="114" t="s">
        <v>350</v>
      </c>
      <c r="G22" s="113">
        <v>250</v>
      </c>
      <c r="H22" s="113">
        <v>3.925E-2</v>
      </c>
      <c r="I22" s="114"/>
    </row>
    <row r="23" spans="1:9" x14ac:dyDescent="0.35">
      <c r="A23" s="114" t="s">
        <v>387</v>
      </c>
      <c r="B23" s="114" t="s">
        <v>339</v>
      </c>
      <c r="C23" s="114" t="s">
        <v>561</v>
      </c>
      <c r="D23" s="114">
        <f>60/1000</f>
        <v>0.06</v>
      </c>
      <c r="E23" s="239">
        <v>2.16</v>
      </c>
      <c r="F23" s="114" t="s">
        <v>352</v>
      </c>
      <c r="G23" s="113">
        <v>250</v>
      </c>
      <c r="H23" s="113">
        <v>3.3750000000000002E-2</v>
      </c>
      <c r="I23" s="114"/>
    </row>
    <row r="24" spans="1:9" x14ac:dyDescent="0.35">
      <c r="A24" s="114" t="s">
        <v>372</v>
      </c>
      <c r="B24" s="114" t="s">
        <v>339</v>
      </c>
      <c r="C24" s="114" t="s">
        <v>545</v>
      </c>
      <c r="D24" s="114">
        <f>40/1000</f>
        <v>0.04</v>
      </c>
      <c r="E24" s="239">
        <v>0.83</v>
      </c>
      <c r="F24" s="114" t="s">
        <v>350</v>
      </c>
      <c r="G24" s="113">
        <v>250</v>
      </c>
      <c r="H24" s="113">
        <v>6.7500000000000004E-2</v>
      </c>
      <c r="I24" s="114"/>
    </row>
    <row r="25" spans="1:9" ht="15" customHeight="1" x14ac:dyDescent="0.35">
      <c r="A25" s="114" t="s">
        <v>564</v>
      </c>
      <c r="B25" s="114" t="s">
        <v>339</v>
      </c>
      <c r="C25" s="114" t="s">
        <v>565</v>
      </c>
      <c r="D25" s="114">
        <f>80/1000</f>
        <v>0.08</v>
      </c>
      <c r="E25" s="239">
        <v>0.26</v>
      </c>
      <c r="F25" s="114" t="s">
        <v>351</v>
      </c>
      <c r="G25" s="113">
        <v>250</v>
      </c>
      <c r="H25" s="113">
        <v>3.925E-2</v>
      </c>
      <c r="I25" s="114"/>
    </row>
    <row r="26" spans="1:9" x14ac:dyDescent="0.35">
      <c r="A26" s="114" t="s">
        <v>386</v>
      </c>
      <c r="B26" s="114" t="s">
        <v>339</v>
      </c>
      <c r="C26" s="114" t="s">
        <v>385</v>
      </c>
      <c r="D26" s="114">
        <v>0.25</v>
      </c>
      <c r="E26" s="239">
        <v>0.6</v>
      </c>
      <c r="F26" s="114" t="s">
        <v>351</v>
      </c>
      <c r="G26" s="113">
        <v>250</v>
      </c>
      <c r="H26" s="113">
        <v>3.925E-2</v>
      </c>
      <c r="I26" s="114">
        <v>297.5</v>
      </c>
    </row>
    <row r="27" spans="1:9" x14ac:dyDescent="0.35">
      <c r="A27" s="114" t="s">
        <v>562</v>
      </c>
      <c r="B27" s="114" t="s">
        <v>339</v>
      </c>
      <c r="C27" s="114" t="s">
        <v>563</v>
      </c>
      <c r="D27" s="114">
        <v>0.12</v>
      </c>
      <c r="E27" s="239">
        <v>2.35</v>
      </c>
      <c r="F27" s="114" t="s">
        <v>352</v>
      </c>
      <c r="G27" s="113">
        <v>250</v>
      </c>
      <c r="H27" s="113">
        <v>3.3750000000000002E-2</v>
      </c>
      <c r="I27" s="114">
        <v>285</v>
      </c>
    </row>
    <row r="28" spans="1:9" x14ac:dyDescent="0.35">
      <c r="A28" s="114" t="s">
        <v>347</v>
      </c>
      <c r="B28" s="114" t="s">
        <v>339</v>
      </c>
      <c r="C28" s="114" t="s">
        <v>545</v>
      </c>
      <c r="D28" s="114">
        <f>40/1000</f>
        <v>0.04</v>
      </c>
      <c r="E28" s="239">
        <v>0.83</v>
      </c>
      <c r="F28" s="114" t="s">
        <v>350</v>
      </c>
      <c r="G28" s="113">
        <v>250</v>
      </c>
      <c r="H28" s="113">
        <v>6.7500000000000004E-2</v>
      </c>
      <c r="I28" s="114"/>
    </row>
    <row r="29" spans="1:9" x14ac:dyDescent="0.35">
      <c r="A29" s="114" t="s">
        <v>566</v>
      </c>
      <c r="B29" s="114" t="s">
        <v>363</v>
      </c>
      <c r="C29" s="113" t="s">
        <v>567</v>
      </c>
      <c r="D29" s="114">
        <f>65/1000</f>
        <v>6.5000000000000002E-2</v>
      </c>
      <c r="E29" s="239">
        <v>17.59</v>
      </c>
      <c r="F29" s="113" t="s">
        <v>350</v>
      </c>
      <c r="G29" s="113">
        <v>250</v>
      </c>
      <c r="H29" s="113">
        <v>6.7500000000000004E-2</v>
      </c>
      <c r="I29" s="114">
        <v>169</v>
      </c>
    </row>
    <row r="30" spans="1:9" x14ac:dyDescent="0.35">
      <c r="A30" s="113" t="s">
        <v>568</v>
      </c>
      <c r="B30" s="114" t="s">
        <v>363</v>
      </c>
      <c r="C30" s="113" t="s">
        <v>569</v>
      </c>
      <c r="D30" s="114">
        <f>80/1000</f>
        <v>0.08</v>
      </c>
      <c r="E30" s="242">
        <v>3.73</v>
      </c>
      <c r="F30" s="113" t="s">
        <v>350</v>
      </c>
      <c r="G30" s="113">
        <v>250</v>
      </c>
      <c r="H30" s="113">
        <v>6.7500000000000004E-2</v>
      </c>
      <c r="I30" s="114">
        <v>608.5</v>
      </c>
    </row>
    <row r="31" spans="1:9" x14ac:dyDescent="0.35">
      <c r="A31" s="114" t="s">
        <v>610</v>
      </c>
      <c r="B31" s="114" t="s">
        <v>363</v>
      </c>
      <c r="C31" s="114" t="s">
        <v>570</v>
      </c>
      <c r="D31" s="114">
        <v>0.115</v>
      </c>
      <c r="E31" s="239">
        <v>1.1200000000000001</v>
      </c>
      <c r="F31" s="114" t="s">
        <v>350</v>
      </c>
      <c r="G31" s="113">
        <v>250</v>
      </c>
      <c r="H31" s="113">
        <v>6.7500000000000004E-2</v>
      </c>
      <c r="I31" s="114"/>
    </row>
    <row r="32" spans="1:9" x14ac:dyDescent="0.35">
      <c r="A32" s="114" t="s">
        <v>571</v>
      </c>
      <c r="B32" s="114" t="s">
        <v>363</v>
      </c>
      <c r="C32" s="114" t="s">
        <v>567</v>
      </c>
      <c r="D32" s="114">
        <v>0.1</v>
      </c>
      <c r="E32" s="239">
        <v>24.89</v>
      </c>
      <c r="F32" s="114" t="s">
        <v>350</v>
      </c>
      <c r="G32" s="113">
        <v>250</v>
      </c>
      <c r="H32" s="113">
        <v>6.7500000000000004E-2</v>
      </c>
      <c r="I32" s="114"/>
    </row>
    <row r="33" spans="1:9" x14ac:dyDescent="0.35">
      <c r="A33" s="114" t="s">
        <v>572</v>
      </c>
      <c r="B33" s="114" t="s">
        <v>363</v>
      </c>
      <c r="C33" s="114" t="s">
        <v>567</v>
      </c>
      <c r="D33" s="114">
        <v>0.1</v>
      </c>
      <c r="E33" s="239">
        <v>5.45</v>
      </c>
      <c r="F33" s="114" t="s">
        <v>350</v>
      </c>
      <c r="G33" s="113">
        <v>250</v>
      </c>
      <c r="H33" s="113">
        <v>6.7500000000000004E-2</v>
      </c>
      <c r="I33" s="114"/>
    </row>
    <row r="34" spans="1:9" x14ac:dyDescent="0.35">
      <c r="A34" s="114" t="s">
        <v>611</v>
      </c>
      <c r="B34" s="114" t="s">
        <v>363</v>
      </c>
      <c r="C34" s="114" t="s">
        <v>570</v>
      </c>
      <c r="D34" s="240">
        <v>2.88</v>
      </c>
      <c r="E34" s="114">
        <v>1.1200000000000001</v>
      </c>
      <c r="F34" s="114" t="s">
        <v>350</v>
      </c>
      <c r="G34" s="113">
        <v>250</v>
      </c>
      <c r="H34" s="241">
        <v>6.7500000000000004E-2</v>
      </c>
      <c r="I34" s="114"/>
    </row>
    <row r="35" spans="1:9" x14ac:dyDescent="0.35">
      <c r="A35" s="114" t="s">
        <v>604</v>
      </c>
      <c r="B35" s="114" t="s">
        <v>363</v>
      </c>
      <c r="C35" s="114" t="s">
        <v>605</v>
      </c>
      <c r="D35" s="240">
        <f>75/1000</f>
        <v>7.4999999999999997E-2</v>
      </c>
      <c r="E35" s="114">
        <v>9.34</v>
      </c>
      <c r="F35" s="114" t="s">
        <v>351</v>
      </c>
      <c r="G35" s="113">
        <v>250</v>
      </c>
      <c r="H35" s="241">
        <v>3.925E-2</v>
      </c>
      <c r="I35" s="114"/>
    </row>
    <row r="36" spans="1:9" x14ac:dyDescent="0.35">
      <c r="A36" s="114" t="s">
        <v>388</v>
      </c>
      <c r="B36" s="114" t="s">
        <v>363</v>
      </c>
      <c r="C36" s="114" t="s">
        <v>567</v>
      </c>
      <c r="D36" s="114">
        <v>0.1</v>
      </c>
      <c r="E36" s="239">
        <v>7.05</v>
      </c>
      <c r="F36" s="114" t="s">
        <v>350</v>
      </c>
      <c r="G36" s="113">
        <v>250</v>
      </c>
      <c r="H36" s="113">
        <v>6.7500000000000004E-2</v>
      </c>
      <c r="I36" s="114"/>
    </row>
    <row r="37" spans="1:9" x14ac:dyDescent="0.35">
      <c r="A37" s="114" t="s">
        <v>601</v>
      </c>
      <c r="B37" s="114" t="s">
        <v>345</v>
      </c>
      <c r="C37" s="114" t="s">
        <v>554</v>
      </c>
      <c r="D37" s="240">
        <f>75/1000</f>
        <v>7.4999999999999997E-2</v>
      </c>
      <c r="E37" s="114">
        <v>3.56</v>
      </c>
      <c r="F37" s="114" t="s">
        <v>352</v>
      </c>
      <c r="G37" s="113">
        <v>250</v>
      </c>
      <c r="H37" s="241">
        <v>3.3750000000000002E-2</v>
      </c>
      <c r="I37" s="114"/>
    </row>
    <row r="38" spans="1:9" x14ac:dyDescent="0.35">
      <c r="A38" s="114" t="s">
        <v>596</v>
      </c>
      <c r="B38" s="114" t="s">
        <v>345</v>
      </c>
      <c r="C38" s="114" t="s">
        <v>554</v>
      </c>
      <c r="D38" s="240">
        <f>75/1000</f>
        <v>7.4999999999999997E-2</v>
      </c>
      <c r="E38" s="239">
        <v>0.95</v>
      </c>
      <c r="F38" s="114" t="s">
        <v>352</v>
      </c>
      <c r="G38" s="113">
        <v>250</v>
      </c>
      <c r="H38" s="113">
        <v>3.3750000000000002E-2</v>
      </c>
      <c r="I38" s="114"/>
    </row>
    <row r="39" spans="1:9" x14ac:dyDescent="0.35">
      <c r="A39" s="114" t="s">
        <v>392</v>
      </c>
      <c r="B39" s="114" t="s">
        <v>345</v>
      </c>
      <c r="C39" s="114" t="s">
        <v>546</v>
      </c>
      <c r="D39" s="114">
        <f>15/1000</f>
        <v>1.4999999999999999E-2</v>
      </c>
      <c r="E39" s="239">
        <v>1.7</v>
      </c>
      <c r="F39" s="114" t="s">
        <v>351</v>
      </c>
      <c r="G39" s="113">
        <v>250</v>
      </c>
      <c r="H39" s="113">
        <v>3.925E-2</v>
      </c>
      <c r="I39" s="114"/>
    </row>
    <row r="40" spans="1:9" x14ac:dyDescent="0.35">
      <c r="A40" s="114" t="s">
        <v>389</v>
      </c>
      <c r="B40" s="114" t="s">
        <v>345</v>
      </c>
      <c r="C40" s="114" t="s">
        <v>554</v>
      </c>
      <c r="D40" s="114">
        <f>75/1000</f>
        <v>7.4999999999999997E-2</v>
      </c>
      <c r="E40" s="239">
        <v>0</v>
      </c>
      <c r="F40" s="114" t="s">
        <v>350</v>
      </c>
      <c r="G40" s="113">
        <v>250</v>
      </c>
      <c r="H40" s="113">
        <v>6.7500000000000004E-2</v>
      </c>
      <c r="I40" s="114"/>
    </row>
    <row r="41" spans="1:9" x14ac:dyDescent="0.35">
      <c r="A41" s="114" t="s">
        <v>574</v>
      </c>
      <c r="B41" s="114" t="s">
        <v>345</v>
      </c>
      <c r="C41" s="114" t="s">
        <v>575</v>
      </c>
      <c r="D41" s="240">
        <f>120/1000</f>
        <v>0.12</v>
      </c>
      <c r="E41" s="239">
        <v>1.24</v>
      </c>
      <c r="F41" s="114" t="s">
        <v>351</v>
      </c>
      <c r="G41" s="114">
        <v>250</v>
      </c>
      <c r="H41" s="240">
        <v>3.925E-2</v>
      </c>
      <c r="I41" s="114">
        <v>288</v>
      </c>
    </row>
    <row r="42" spans="1:9" x14ac:dyDescent="0.35">
      <c r="A42" s="114" t="s">
        <v>603</v>
      </c>
      <c r="B42" s="114" t="s">
        <v>345</v>
      </c>
      <c r="C42" s="114" t="s">
        <v>546</v>
      </c>
      <c r="D42" s="240">
        <f>15/1000</f>
        <v>1.4999999999999999E-2</v>
      </c>
      <c r="E42" s="114">
        <v>1.53</v>
      </c>
      <c r="F42" s="114" t="s">
        <v>351</v>
      </c>
      <c r="G42" s="114">
        <v>250</v>
      </c>
      <c r="H42" s="240">
        <v>3.925E-2</v>
      </c>
      <c r="I42" s="114"/>
    </row>
    <row r="43" spans="1:9" x14ac:dyDescent="0.35">
      <c r="A43" s="114" t="s">
        <v>606</v>
      </c>
      <c r="B43" s="114" t="s">
        <v>345</v>
      </c>
      <c r="C43" s="114" t="s">
        <v>607</v>
      </c>
      <c r="D43" s="240">
        <f>50/1000</f>
        <v>0.05</v>
      </c>
      <c r="E43" s="114">
        <v>3.43</v>
      </c>
      <c r="F43" s="114" t="s">
        <v>352</v>
      </c>
      <c r="G43" s="114">
        <v>250</v>
      </c>
      <c r="H43" s="240">
        <v>3.3750000000000002E-2</v>
      </c>
      <c r="I43" s="114"/>
    </row>
    <row r="44" spans="1:9" x14ac:dyDescent="0.35">
      <c r="A44" s="114" t="s">
        <v>602</v>
      </c>
      <c r="B44" s="114" t="s">
        <v>345</v>
      </c>
      <c r="C44" s="114" t="s">
        <v>546</v>
      </c>
      <c r="D44" s="240">
        <f>15/1000</f>
        <v>1.4999999999999999E-2</v>
      </c>
      <c r="E44" s="114">
        <v>1.48</v>
      </c>
      <c r="F44" s="114" t="s">
        <v>351</v>
      </c>
      <c r="G44" s="114">
        <v>250</v>
      </c>
      <c r="H44" s="240">
        <v>3.925E-2</v>
      </c>
      <c r="I44" s="114"/>
    </row>
    <row r="45" spans="1:9" x14ac:dyDescent="0.35">
      <c r="A45" s="114" t="s">
        <v>608</v>
      </c>
      <c r="B45" s="114" t="s">
        <v>345</v>
      </c>
      <c r="C45" s="114" t="s">
        <v>609</v>
      </c>
      <c r="D45" s="240">
        <f>15/1000</f>
        <v>1.4999999999999999E-2</v>
      </c>
      <c r="E45" s="114">
        <v>3.93</v>
      </c>
      <c r="F45" s="114" t="s">
        <v>350</v>
      </c>
      <c r="G45" s="114">
        <v>250</v>
      </c>
      <c r="H45" s="240">
        <v>3.3750000000000002E-2</v>
      </c>
      <c r="I45" s="114"/>
    </row>
    <row r="46" spans="1:9" x14ac:dyDescent="0.35">
      <c r="A46" s="114" t="s">
        <v>393</v>
      </c>
      <c r="B46" s="114" t="s">
        <v>345</v>
      </c>
      <c r="C46" s="114" t="s">
        <v>577</v>
      </c>
      <c r="D46" s="240">
        <v>0.17</v>
      </c>
      <c r="E46" s="239">
        <v>0.71</v>
      </c>
      <c r="F46" s="114" t="s">
        <v>350</v>
      </c>
      <c r="G46" s="114">
        <v>250</v>
      </c>
      <c r="H46" s="240">
        <v>6.7500000000000004E-2</v>
      </c>
      <c r="I46" s="114">
        <v>789.5</v>
      </c>
    </row>
    <row r="47" spans="1:9" x14ac:dyDescent="0.35">
      <c r="A47" s="114" t="s">
        <v>613</v>
      </c>
      <c r="B47" s="114" t="s">
        <v>345</v>
      </c>
      <c r="C47" s="243" t="s">
        <v>614</v>
      </c>
      <c r="D47" s="240">
        <v>1</v>
      </c>
      <c r="E47" s="239">
        <v>0</v>
      </c>
      <c r="F47" s="114" t="s">
        <v>350</v>
      </c>
      <c r="G47" s="114">
        <v>250</v>
      </c>
      <c r="H47" s="240">
        <v>6.7500000000000004E-2</v>
      </c>
      <c r="I47" s="114"/>
    </row>
    <row r="48" spans="1:9" x14ac:dyDescent="0.35">
      <c r="A48" s="114" t="s">
        <v>600</v>
      </c>
      <c r="B48" s="114" t="s">
        <v>345</v>
      </c>
      <c r="C48" s="114" t="s">
        <v>554</v>
      </c>
      <c r="D48" s="240">
        <f>75/1000</f>
        <v>7.4999999999999997E-2</v>
      </c>
      <c r="E48" s="114">
        <v>0.76</v>
      </c>
      <c r="F48" s="114" t="s">
        <v>352</v>
      </c>
      <c r="G48" s="114">
        <v>250</v>
      </c>
      <c r="H48" s="240">
        <v>3.3750000000000002E-2</v>
      </c>
      <c r="I48" s="114"/>
    </row>
    <row r="49" spans="1:9" x14ac:dyDescent="0.35">
      <c r="A49" s="114" t="s">
        <v>342</v>
      </c>
      <c r="B49" s="114" t="s">
        <v>416</v>
      </c>
      <c r="C49" s="114" t="s">
        <v>554</v>
      </c>
      <c r="D49" s="114">
        <v>7.4999999999999997E-2</v>
      </c>
      <c r="E49" s="239">
        <v>0.05</v>
      </c>
      <c r="F49" s="114" t="s">
        <v>351</v>
      </c>
      <c r="G49" s="114">
        <v>250</v>
      </c>
      <c r="H49" s="114">
        <v>3.925E-2</v>
      </c>
      <c r="I49" s="114"/>
    </row>
    <row r="50" spans="1:9" x14ac:dyDescent="0.35">
      <c r="A50" s="114" t="s">
        <v>377</v>
      </c>
      <c r="B50" s="114" t="s">
        <v>416</v>
      </c>
      <c r="C50" s="114" t="s">
        <v>554</v>
      </c>
      <c r="D50" s="240">
        <v>7.4999999999999997E-2</v>
      </c>
      <c r="E50" s="239">
        <v>0.36</v>
      </c>
      <c r="F50" s="114" t="s">
        <v>351</v>
      </c>
      <c r="G50" s="114">
        <v>250</v>
      </c>
      <c r="H50" s="240">
        <v>3.925E-2</v>
      </c>
      <c r="I50" s="114"/>
    </row>
    <row r="51" spans="1:9" x14ac:dyDescent="0.35">
      <c r="A51" s="114" t="s">
        <v>343</v>
      </c>
      <c r="B51" s="114" t="s">
        <v>416</v>
      </c>
      <c r="C51" s="114" t="s">
        <v>554</v>
      </c>
      <c r="D51" s="240">
        <v>7.4999999999999997E-2</v>
      </c>
      <c r="E51" s="239">
        <v>0.11</v>
      </c>
      <c r="F51" s="114" t="s">
        <v>351</v>
      </c>
      <c r="G51" s="114">
        <v>250</v>
      </c>
      <c r="H51" s="240">
        <v>3.925E-2</v>
      </c>
      <c r="I51" s="114"/>
    </row>
    <row r="52" spans="1:9" x14ac:dyDescent="0.35">
      <c r="A52" s="114" t="s">
        <v>375</v>
      </c>
      <c r="B52" s="114" t="s">
        <v>416</v>
      </c>
      <c r="C52" s="114" t="s">
        <v>554</v>
      </c>
      <c r="D52" s="240">
        <v>7.4999999999999997E-2</v>
      </c>
      <c r="E52" s="239">
        <v>0.09</v>
      </c>
      <c r="F52" s="114" t="s">
        <v>351</v>
      </c>
      <c r="G52" s="114">
        <v>250</v>
      </c>
      <c r="H52" s="240">
        <v>3.925E-2</v>
      </c>
      <c r="I52" s="114"/>
    </row>
    <row r="53" spans="1:9" x14ac:dyDescent="0.35">
      <c r="A53" s="114" t="s">
        <v>378</v>
      </c>
      <c r="B53" s="114" t="s">
        <v>416</v>
      </c>
      <c r="C53" s="114" t="s">
        <v>379</v>
      </c>
      <c r="D53" s="240">
        <v>0.01</v>
      </c>
      <c r="E53" s="239">
        <v>0.95</v>
      </c>
      <c r="F53" s="114" t="s">
        <v>351</v>
      </c>
      <c r="G53" s="114">
        <v>250</v>
      </c>
      <c r="H53" s="240">
        <v>3.925E-2</v>
      </c>
      <c r="I53" s="114"/>
    </row>
    <row r="54" spans="1:9" x14ac:dyDescent="0.35">
      <c r="A54" s="114" t="s">
        <v>380</v>
      </c>
      <c r="B54" s="114" t="s">
        <v>416</v>
      </c>
      <c r="C54" s="114" t="s">
        <v>555</v>
      </c>
      <c r="D54" s="240">
        <v>7.4999999999999997E-2</v>
      </c>
      <c r="E54" s="239">
        <v>0.09</v>
      </c>
      <c r="F54" s="114" t="s">
        <v>351</v>
      </c>
      <c r="G54" s="114">
        <v>250</v>
      </c>
      <c r="H54" s="240">
        <v>3.925E-2</v>
      </c>
      <c r="I54" s="114"/>
    </row>
    <row r="55" spans="1:9" x14ac:dyDescent="0.35">
      <c r="A55" s="114" t="s">
        <v>381</v>
      </c>
      <c r="B55" s="114" t="s">
        <v>416</v>
      </c>
      <c r="C55" s="114" t="s">
        <v>557</v>
      </c>
      <c r="D55" s="240">
        <v>7.4999999999999997E-2</v>
      </c>
      <c r="E55" s="239">
        <v>0.13</v>
      </c>
      <c r="F55" s="114" t="s">
        <v>351</v>
      </c>
      <c r="G55" s="114">
        <v>250</v>
      </c>
      <c r="H55" s="240">
        <v>3.925E-2</v>
      </c>
      <c r="I55" s="114"/>
    </row>
    <row r="56" spans="1:9" x14ac:dyDescent="0.35">
      <c r="A56" s="114" t="s">
        <v>382</v>
      </c>
      <c r="B56" s="114" t="s">
        <v>416</v>
      </c>
      <c r="C56" s="114" t="s">
        <v>557</v>
      </c>
      <c r="D56" s="240">
        <v>7.4999999999999997E-2</v>
      </c>
      <c r="E56" s="239">
        <v>0.28999999999999998</v>
      </c>
      <c r="F56" s="114" t="s">
        <v>351</v>
      </c>
      <c r="G56" s="114">
        <v>250</v>
      </c>
      <c r="H56" s="240">
        <v>3.925E-2</v>
      </c>
      <c r="I56" s="114"/>
    </row>
    <row r="57" spans="1:9" x14ac:dyDescent="0.35">
      <c r="A57" s="114" t="s">
        <v>341</v>
      </c>
      <c r="B57" s="114" t="s">
        <v>416</v>
      </c>
      <c r="C57" s="114" t="s">
        <v>553</v>
      </c>
      <c r="D57" s="240">
        <v>0.15</v>
      </c>
      <c r="E57" s="239">
        <v>0.33</v>
      </c>
      <c r="F57" s="114" t="s">
        <v>351</v>
      </c>
      <c r="G57" s="114">
        <v>250</v>
      </c>
      <c r="H57" s="240">
        <v>3.925E-2</v>
      </c>
      <c r="I57" s="114">
        <v>314</v>
      </c>
    </row>
    <row r="58" spans="1:9" x14ac:dyDescent="0.35">
      <c r="A58" s="114" t="s">
        <v>556</v>
      </c>
      <c r="B58" s="114" t="s">
        <v>416</v>
      </c>
      <c r="C58" s="114" t="s">
        <v>557</v>
      </c>
      <c r="D58" s="240">
        <v>7.4999999999999997E-2</v>
      </c>
      <c r="E58" s="239">
        <v>0.34</v>
      </c>
      <c r="F58" s="114" t="s">
        <v>351</v>
      </c>
      <c r="G58" s="114">
        <v>250</v>
      </c>
      <c r="H58" s="240">
        <v>3.925E-2</v>
      </c>
      <c r="I58" s="114"/>
    </row>
    <row r="59" spans="1:9" x14ac:dyDescent="0.35">
      <c r="A59" s="114" t="s">
        <v>383</v>
      </c>
      <c r="B59" s="114" t="s">
        <v>416</v>
      </c>
      <c r="C59" s="114" t="s">
        <v>559</v>
      </c>
      <c r="D59" s="240">
        <v>7.4999999999999997E-2</v>
      </c>
      <c r="E59" s="239">
        <v>0.43</v>
      </c>
      <c r="F59" s="114" t="s">
        <v>351</v>
      </c>
      <c r="G59" s="114">
        <v>250</v>
      </c>
      <c r="H59" s="240">
        <v>3.925E-2</v>
      </c>
      <c r="I59" s="114"/>
    </row>
    <row r="60" spans="1:9" x14ac:dyDescent="0.35">
      <c r="A60" s="114" t="s">
        <v>384</v>
      </c>
      <c r="B60" s="114" t="s">
        <v>416</v>
      </c>
      <c r="C60" s="114" t="s">
        <v>560</v>
      </c>
      <c r="D60" s="240">
        <v>7.4999999999999997E-2</v>
      </c>
      <c r="E60" s="239">
        <v>0.23</v>
      </c>
      <c r="F60" s="114" t="s">
        <v>351</v>
      </c>
      <c r="G60" s="114">
        <v>250</v>
      </c>
      <c r="H60" s="240">
        <v>3.925E-2</v>
      </c>
      <c r="I60" s="114"/>
    </row>
    <row r="61" spans="1:9" x14ac:dyDescent="0.35">
      <c r="A61" s="114"/>
      <c r="B61" s="114"/>
      <c r="C61" s="114"/>
      <c r="D61" s="240"/>
      <c r="E61" s="114"/>
      <c r="F61" s="114"/>
      <c r="G61" s="114"/>
      <c r="H61" s="240"/>
      <c r="I61" s="114"/>
    </row>
    <row r="62" spans="1:9" x14ac:dyDescent="0.35">
      <c r="A62" s="114"/>
      <c r="B62" s="114"/>
      <c r="C62" s="114"/>
      <c r="D62" s="114"/>
      <c r="E62" s="114"/>
      <c r="F62" s="114"/>
      <c r="G62" s="114"/>
      <c r="H62" s="114"/>
      <c r="I62" s="114"/>
    </row>
    <row r="63" spans="1:9" x14ac:dyDescent="0.35">
      <c r="A63" s="114"/>
      <c r="B63" s="114"/>
      <c r="C63" s="114"/>
      <c r="D63" s="114"/>
      <c r="E63" s="114"/>
      <c r="F63" s="114"/>
      <c r="G63" s="114"/>
      <c r="H63" s="114"/>
      <c r="I63" s="114"/>
    </row>
    <row r="64" spans="1:9" x14ac:dyDescent="0.35">
      <c r="A64" s="114"/>
      <c r="B64" s="114"/>
      <c r="C64" s="114"/>
      <c r="D64" s="114"/>
      <c r="E64" s="114"/>
      <c r="F64" s="114"/>
      <c r="G64" s="114"/>
      <c r="H64" s="114"/>
      <c r="I64" s="114"/>
    </row>
    <row r="65" spans="1:9" x14ac:dyDescent="0.35">
      <c r="A65" s="114"/>
      <c r="B65" s="114"/>
      <c r="C65" s="114"/>
      <c r="D65" s="114"/>
      <c r="E65" s="114"/>
      <c r="F65" s="114"/>
      <c r="G65" s="114"/>
      <c r="H65" s="114"/>
      <c r="I65" s="114"/>
    </row>
    <row r="66" spans="1:9" x14ac:dyDescent="0.35">
      <c r="A66" s="114"/>
      <c r="B66" s="114"/>
      <c r="C66" s="114"/>
      <c r="D66" s="114"/>
      <c r="E66" s="114"/>
      <c r="F66" s="114"/>
      <c r="G66" s="114"/>
      <c r="H66" s="114"/>
      <c r="I66" s="114"/>
    </row>
    <row r="67" spans="1:9" x14ac:dyDescent="0.35">
      <c r="A67" s="114"/>
      <c r="B67" s="114"/>
      <c r="C67" s="114"/>
      <c r="D67" s="114"/>
      <c r="E67" s="114"/>
      <c r="F67" s="114"/>
      <c r="G67" s="114"/>
      <c r="H67" s="114"/>
      <c r="I67" s="114"/>
    </row>
    <row r="68" spans="1:9" x14ac:dyDescent="0.35">
      <c r="A68" s="114"/>
      <c r="B68" s="114"/>
      <c r="C68" s="114"/>
      <c r="D68" s="114"/>
      <c r="E68" s="114"/>
      <c r="F68" s="114"/>
      <c r="G68" s="114"/>
      <c r="H68" s="114"/>
      <c r="I68" s="114"/>
    </row>
    <row r="69" spans="1:9" x14ac:dyDescent="0.35">
      <c r="A69" s="114"/>
      <c r="B69" s="114"/>
      <c r="C69" s="114"/>
      <c r="D69" s="114"/>
      <c r="E69" s="114"/>
      <c r="F69" s="114"/>
      <c r="G69" s="114"/>
      <c r="H69" s="114"/>
      <c r="I69" s="114"/>
    </row>
    <row r="70" spans="1:9" x14ac:dyDescent="0.35">
      <c r="A70" s="114"/>
      <c r="B70" s="114"/>
      <c r="C70" s="114"/>
      <c r="D70" s="114"/>
      <c r="E70" s="114"/>
      <c r="F70" s="114"/>
      <c r="G70" s="114"/>
      <c r="H70" s="114"/>
      <c r="I70" s="114"/>
    </row>
    <row r="71" spans="1:9" x14ac:dyDescent="0.35">
      <c r="A71" s="114"/>
      <c r="B71" s="114"/>
      <c r="C71" s="114"/>
      <c r="D71" s="114"/>
      <c r="E71" s="114"/>
      <c r="F71" s="114"/>
      <c r="G71" s="114"/>
      <c r="H71" s="114"/>
      <c r="I71" s="114"/>
    </row>
    <row r="72" spans="1:9" x14ac:dyDescent="0.35">
      <c r="A72" s="114"/>
      <c r="B72" s="114"/>
      <c r="C72" s="114"/>
      <c r="D72" s="114"/>
      <c r="E72" s="114"/>
      <c r="F72" s="114"/>
      <c r="G72" s="114"/>
      <c r="H72" s="114"/>
      <c r="I72" s="114"/>
    </row>
    <row r="73" spans="1:9" x14ac:dyDescent="0.35">
      <c r="A73" s="114"/>
      <c r="B73" s="114"/>
      <c r="C73" s="114"/>
      <c r="D73" s="114"/>
      <c r="E73" s="114"/>
      <c r="F73" s="114"/>
      <c r="G73" s="114"/>
      <c r="H73" s="114"/>
      <c r="I73" s="114"/>
    </row>
    <row r="74" spans="1:9" x14ac:dyDescent="0.35">
      <c r="A74" s="114"/>
      <c r="B74" s="114"/>
      <c r="C74" s="114"/>
      <c r="D74" s="114"/>
      <c r="E74" s="114"/>
      <c r="F74" s="114"/>
      <c r="G74" s="114"/>
      <c r="H74" s="114"/>
      <c r="I74" s="114"/>
    </row>
    <row r="75" spans="1:9" x14ac:dyDescent="0.35">
      <c r="A75" s="114"/>
      <c r="B75" s="114"/>
      <c r="C75" s="114"/>
      <c r="D75" s="114"/>
      <c r="E75" s="114"/>
      <c r="F75" s="114"/>
      <c r="G75" s="114"/>
      <c r="H75" s="114"/>
      <c r="I75" s="114"/>
    </row>
    <row r="76" spans="1:9" x14ac:dyDescent="0.35">
      <c r="A76" s="114"/>
      <c r="B76" s="114"/>
      <c r="C76" s="114"/>
      <c r="D76" s="114"/>
      <c r="E76" s="114"/>
      <c r="F76" s="114"/>
      <c r="G76" s="114"/>
      <c r="H76" s="114"/>
      <c r="I76" s="114"/>
    </row>
    <row r="77" spans="1:9" x14ac:dyDescent="0.35">
      <c r="A77" s="114"/>
      <c r="B77" s="114"/>
      <c r="C77" s="114"/>
      <c r="D77" s="114"/>
      <c r="E77" s="114"/>
      <c r="F77" s="114"/>
      <c r="G77" s="114"/>
      <c r="H77" s="114"/>
      <c r="I77" s="114"/>
    </row>
    <row r="78" spans="1:9" x14ac:dyDescent="0.35">
      <c r="A78" s="114"/>
      <c r="B78" s="114"/>
      <c r="C78" s="114"/>
      <c r="D78" s="114"/>
      <c r="E78" s="114"/>
      <c r="F78" s="114"/>
      <c r="G78" s="114"/>
      <c r="H78" s="114"/>
      <c r="I78" s="114"/>
    </row>
    <row r="79" spans="1:9" x14ac:dyDescent="0.35">
      <c r="A79" s="114"/>
      <c r="B79" s="114"/>
      <c r="C79" s="114"/>
      <c r="D79" s="114"/>
      <c r="E79" s="114"/>
      <c r="F79" s="114"/>
      <c r="G79" s="114"/>
      <c r="H79" s="114"/>
      <c r="I79" s="114"/>
    </row>
    <row r="80" spans="1:9" x14ac:dyDescent="0.35">
      <c r="A80" s="114"/>
      <c r="B80" s="114"/>
      <c r="C80" s="114"/>
      <c r="D80" s="114"/>
      <c r="E80" s="114"/>
      <c r="F80" s="114"/>
      <c r="G80" s="114"/>
      <c r="H80" s="114"/>
      <c r="I80" s="114"/>
    </row>
    <row r="81" spans="1:9" x14ac:dyDescent="0.35">
      <c r="A81" s="114"/>
      <c r="B81" s="114"/>
      <c r="C81" s="114"/>
      <c r="D81" s="114"/>
      <c r="E81" s="114"/>
      <c r="F81" s="114"/>
      <c r="G81" s="114"/>
      <c r="H81" s="114"/>
      <c r="I81" s="114"/>
    </row>
    <row r="82" spans="1:9" x14ac:dyDescent="0.35">
      <c r="A82" s="114"/>
      <c r="B82" s="114"/>
      <c r="C82" s="114"/>
      <c r="D82" s="114"/>
      <c r="E82" s="114"/>
      <c r="F82" s="114"/>
      <c r="G82" s="114"/>
      <c r="H82" s="114"/>
      <c r="I82" s="114"/>
    </row>
    <row r="83" spans="1:9" x14ac:dyDescent="0.35">
      <c r="A83" s="114"/>
      <c r="B83" s="114"/>
      <c r="C83" s="114"/>
      <c r="D83" s="114"/>
      <c r="E83" s="114"/>
      <c r="F83" s="114"/>
      <c r="G83" s="114"/>
      <c r="H83" s="114"/>
      <c r="I83" s="114"/>
    </row>
    <row r="84" spans="1:9" x14ac:dyDescent="0.35">
      <c r="A84" s="114"/>
      <c r="B84" s="114"/>
      <c r="C84" s="114"/>
      <c r="D84" s="114"/>
      <c r="E84" s="114"/>
      <c r="F84" s="114"/>
      <c r="G84" s="114"/>
      <c r="H84" s="114"/>
      <c r="I84" s="114"/>
    </row>
    <row r="85" spans="1:9" x14ac:dyDescent="0.35">
      <c r="A85" s="114"/>
      <c r="B85" s="114"/>
      <c r="C85" s="114"/>
      <c r="D85" s="114"/>
      <c r="E85" s="114"/>
      <c r="F85" s="114"/>
      <c r="G85" s="114"/>
      <c r="H85" s="114"/>
      <c r="I85" s="114"/>
    </row>
    <row r="86" spans="1:9" x14ac:dyDescent="0.35">
      <c r="A86" s="114"/>
      <c r="B86" s="114"/>
      <c r="C86" s="114"/>
      <c r="D86" s="114"/>
      <c r="E86" s="114"/>
      <c r="F86" s="114"/>
      <c r="G86" s="114"/>
      <c r="H86" s="114"/>
      <c r="I86" s="114"/>
    </row>
    <row r="87" spans="1:9" x14ac:dyDescent="0.35">
      <c r="A87" s="114"/>
      <c r="B87" s="114"/>
      <c r="C87" s="114"/>
      <c r="D87" s="114"/>
      <c r="E87" s="114"/>
      <c r="F87" s="114"/>
      <c r="G87" s="114"/>
      <c r="H87" s="114"/>
      <c r="I87" s="114"/>
    </row>
    <row r="88" spans="1:9" x14ac:dyDescent="0.35">
      <c r="A88" s="114"/>
      <c r="B88" s="114"/>
      <c r="C88" s="114"/>
      <c r="D88" s="114"/>
      <c r="E88" s="114"/>
      <c r="F88" s="114"/>
      <c r="G88" s="114"/>
      <c r="H88" s="114"/>
      <c r="I88" s="114"/>
    </row>
    <row r="89" spans="1:9" x14ac:dyDescent="0.35">
      <c r="A89" s="114"/>
      <c r="B89" s="114"/>
      <c r="C89" s="114"/>
      <c r="D89" s="114"/>
      <c r="E89" s="114"/>
      <c r="F89" s="114"/>
      <c r="G89" s="114"/>
      <c r="H89" s="114"/>
      <c r="I89" s="114"/>
    </row>
    <row r="90" spans="1:9" x14ac:dyDescent="0.35">
      <c r="A90" s="114"/>
      <c r="B90" s="114"/>
      <c r="C90" s="114"/>
      <c r="D90" s="114"/>
      <c r="E90" s="114"/>
      <c r="F90" s="114"/>
      <c r="G90" s="114"/>
      <c r="H90" s="114"/>
      <c r="I90" s="114"/>
    </row>
    <row r="91" spans="1:9" x14ac:dyDescent="0.35">
      <c r="A91" s="114"/>
      <c r="B91" s="114"/>
      <c r="C91" s="114"/>
      <c r="D91" s="114"/>
      <c r="E91" s="114"/>
      <c r="F91" s="114"/>
      <c r="G91" s="114"/>
      <c r="H91" s="114"/>
      <c r="I91" s="114"/>
    </row>
    <row r="92" spans="1:9" x14ac:dyDescent="0.35">
      <c r="A92" s="114"/>
      <c r="B92" s="114"/>
      <c r="C92" s="114"/>
      <c r="D92" s="114"/>
      <c r="E92" s="114"/>
      <c r="F92" s="114"/>
      <c r="G92" s="114"/>
      <c r="H92" s="114"/>
      <c r="I92" s="114"/>
    </row>
    <row r="93" spans="1:9" x14ac:dyDescent="0.35">
      <c r="A93" s="114"/>
      <c r="B93" s="114"/>
      <c r="C93" s="114"/>
      <c r="D93" s="114"/>
      <c r="E93" s="114"/>
      <c r="F93" s="114"/>
      <c r="G93" s="114"/>
      <c r="H93" s="114"/>
      <c r="I93" s="114"/>
    </row>
    <row r="94" spans="1:9" x14ac:dyDescent="0.35">
      <c r="A94" s="114"/>
      <c r="B94" s="114"/>
      <c r="C94" s="114"/>
      <c r="D94" s="114"/>
      <c r="E94" s="114"/>
      <c r="F94" s="114"/>
      <c r="G94" s="114"/>
      <c r="H94" s="114"/>
      <c r="I94" s="114"/>
    </row>
    <row r="95" spans="1:9" x14ac:dyDescent="0.35">
      <c r="A95" s="114"/>
      <c r="B95" s="114"/>
      <c r="C95" s="114"/>
      <c r="D95" s="114"/>
      <c r="E95" s="114"/>
      <c r="F95" s="114"/>
      <c r="G95" s="114"/>
      <c r="H95" s="114"/>
      <c r="I95" s="114"/>
    </row>
    <row r="96" spans="1:9" x14ac:dyDescent="0.35">
      <c r="A96" s="114"/>
      <c r="B96" s="114"/>
      <c r="C96" s="114"/>
      <c r="D96" s="114"/>
      <c r="E96" s="114"/>
      <c r="F96" s="114"/>
      <c r="G96" s="114"/>
      <c r="H96" s="114"/>
      <c r="I96" s="114"/>
    </row>
    <row r="97" spans="1:9" x14ac:dyDescent="0.35">
      <c r="A97" s="114"/>
      <c r="B97" s="114"/>
      <c r="C97" s="114"/>
      <c r="D97" s="114"/>
      <c r="E97" s="114"/>
      <c r="F97" s="114"/>
      <c r="G97" s="114"/>
      <c r="H97" s="114"/>
      <c r="I97" s="114"/>
    </row>
    <row r="98" spans="1:9" x14ac:dyDescent="0.35">
      <c r="A98" s="114"/>
      <c r="B98" s="114"/>
      <c r="C98" s="114"/>
      <c r="D98" s="114"/>
      <c r="E98" s="114"/>
      <c r="F98" s="114"/>
      <c r="G98" s="114"/>
      <c r="H98" s="114"/>
      <c r="I98" s="114"/>
    </row>
    <row r="99" spans="1:9" x14ac:dyDescent="0.35">
      <c r="A99" s="114"/>
      <c r="B99" s="114"/>
      <c r="C99" s="114"/>
      <c r="D99" s="114"/>
      <c r="E99" s="114"/>
      <c r="F99" s="114"/>
      <c r="G99" s="114"/>
      <c r="H99" s="114"/>
      <c r="I99" s="114"/>
    </row>
    <row r="100" spans="1:9" x14ac:dyDescent="0.35">
      <c r="A100" s="114"/>
      <c r="B100" s="114"/>
      <c r="C100" s="114"/>
      <c r="D100" s="114"/>
      <c r="E100" s="114"/>
      <c r="F100" s="114"/>
      <c r="G100" s="114"/>
      <c r="H100" s="114"/>
      <c r="I100" s="114"/>
    </row>
    <row r="101" spans="1:9" x14ac:dyDescent="0.35">
      <c r="A101" s="114"/>
      <c r="B101" s="114"/>
      <c r="C101" s="114"/>
      <c r="D101" s="114"/>
      <c r="E101" s="114"/>
      <c r="F101" s="114"/>
      <c r="G101" s="114"/>
      <c r="H101" s="114"/>
      <c r="I101" s="114"/>
    </row>
    <row r="102" spans="1:9" x14ac:dyDescent="0.35">
      <c r="A102" s="114"/>
      <c r="B102" s="114"/>
      <c r="C102" s="114"/>
      <c r="D102" s="114"/>
      <c r="E102" s="114"/>
      <c r="F102" s="114"/>
      <c r="G102" s="114"/>
      <c r="H102" s="114"/>
      <c r="I102" s="114"/>
    </row>
    <row r="103" spans="1:9" x14ac:dyDescent="0.35">
      <c r="A103" s="114"/>
      <c r="B103" s="114"/>
      <c r="C103" s="114"/>
      <c r="D103" s="114"/>
      <c r="E103" s="114"/>
      <c r="F103" s="114"/>
      <c r="G103" s="114"/>
      <c r="H103" s="114"/>
      <c r="I103" s="114"/>
    </row>
    <row r="104" spans="1:9" x14ac:dyDescent="0.35">
      <c r="A104" s="114"/>
      <c r="B104" s="114"/>
      <c r="C104" s="114"/>
      <c r="D104" s="114"/>
      <c r="E104" s="114"/>
      <c r="F104" s="114"/>
      <c r="G104" s="114"/>
      <c r="H104" s="114"/>
      <c r="I104" s="114"/>
    </row>
    <row r="105" spans="1:9" x14ac:dyDescent="0.35">
      <c r="A105" s="114"/>
      <c r="B105" s="114"/>
      <c r="C105" s="114"/>
      <c r="D105" s="114"/>
      <c r="E105" s="114"/>
      <c r="F105" s="114"/>
      <c r="G105" s="114"/>
      <c r="H105" s="114"/>
      <c r="I105" s="114"/>
    </row>
    <row r="106" spans="1:9" x14ac:dyDescent="0.35">
      <c r="A106" s="114"/>
      <c r="B106" s="114"/>
      <c r="C106" s="114"/>
      <c r="D106" s="114"/>
      <c r="E106" s="114"/>
      <c r="F106" s="114"/>
      <c r="G106" s="114"/>
      <c r="H106" s="114"/>
      <c r="I106" s="114"/>
    </row>
    <row r="107" spans="1:9" x14ac:dyDescent="0.35">
      <c r="A107" s="114"/>
      <c r="B107" s="114"/>
      <c r="C107" s="114"/>
      <c r="D107" s="114"/>
      <c r="E107" s="114"/>
      <c r="F107" s="114"/>
      <c r="G107" s="114"/>
      <c r="H107" s="114"/>
      <c r="I107" s="114"/>
    </row>
    <row r="108" spans="1:9" x14ac:dyDescent="0.35">
      <c r="A108" s="114"/>
      <c r="B108" s="114"/>
      <c r="C108" s="114"/>
      <c r="D108" s="114"/>
      <c r="E108" s="114"/>
      <c r="F108" s="114"/>
      <c r="G108" s="114"/>
      <c r="H108" s="114"/>
      <c r="I108" s="114"/>
    </row>
    <row r="109" spans="1:9" x14ac:dyDescent="0.35">
      <c r="A109" s="114"/>
      <c r="B109" s="114"/>
      <c r="C109" s="114"/>
      <c r="D109" s="114"/>
      <c r="E109" s="114"/>
      <c r="F109" s="114"/>
      <c r="G109" s="114"/>
      <c r="H109" s="114"/>
      <c r="I109" s="114"/>
    </row>
    <row r="110" spans="1:9" x14ac:dyDescent="0.35">
      <c r="A110" s="114"/>
      <c r="B110" s="114"/>
      <c r="C110" s="114"/>
      <c r="D110" s="114"/>
      <c r="E110" s="114"/>
      <c r="F110" s="114"/>
      <c r="G110" s="114"/>
      <c r="H110" s="114"/>
      <c r="I110" s="114"/>
    </row>
    <row r="111" spans="1:9" x14ac:dyDescent="0.35">
      <c r="A111" s="114"/>
      <c r="B111" s="114"/>
      <c r="C111" s="114"/>
      <c r="D111" s="114"/>
      <c r="E111" s="114"/>
      <c r="F111" s="114"/>
      <c r="G111" s="114"/>
      <c r="H111" s="114"/>
      <c r="I111" s="114"/>
    </row>
    <row r="112" spans="1:9" x14ac:dyDescent="0.35">
      <c r="A112" s="114"/>
      <c r="B112" s="114"/>
      <c r="C112" s="114"/>
      <c r="D112" s="114"/>
      <c r="E112" s="114"/>
      <c r="F112" s="114"/>
      <c r="G112" s="114"/>
      <c r="H112" s="114"/>
      <c r="I112" s="114"/>
    </row>
    <row r="113" spans="1:9" x14ac:dyDescent="0.35">
      <c r="A113" s="114"/>
      <c r="B113" s="114"/>
      <c r="C113" s="114"/>
      <c r="D113" s="114"/>
      <c r="E113" s="114"/>
      <c r="F113" s="114"/>
      <c r="G113" s="114"/>
      <c r="H113" s="114"/>
      <c r="I113" s="114"/>
    </row>
    <row r="114" spans="1:9" x14ac:dyDescent="0.35">
      <c r="A114" s="114"/>
      <c r="B114" s="114"/>
      <c r="C114" s="114"/>
      <c r="D114" s="114"/>
      <c r="E114" s="114"/>
      <c r="F114" s="114"/>
      <c r="G114" s="114"/>
      <c r="H114" s="114"/>
      <c r="I114" s="114"/>
    </row>
    <row r="115" spans="1:9" x14ac:dyDescent="0.35">
      <c r="A115" s="114"/>
      <c r="B115" s="114"/>
      <c r="C115" s="114"/>
      <c r="D115" s="114"/>
      <c r="E115" s="114"/>
      <c r="F115" s="114"/>
      <c r="G115" s="114"/>
      <c r="H115" s="114"/>
      <c r="I115" s="114"/>
    </row>
    <row r="116" spans="1:9" x14ac:dyDescent="0.35">
      <c r="A116" s="114"/>
      <c r="B116" s="114"/>
      <c r="C116" s="114"/>
      <c r="D116" s="114"/>
      <c r="E116" s="114"/>
      <c r="F116" s="114"/>
      <c r="G116" s="114"/>
      <c r="H116" s="114"/>
      <c r="I116" s="114"/>
    </row>
    <row r="117" spans="1:9" x14ac:dyDescent="0.35">
      <c r="A117" s="114"/>
      <c r="B117" s="114"/>
      <c r="C117" s="114"/>
      <c r="D117" s="114"/>
      <c r="E117" s="114"/>
      <c r="F117" s="114"/>
      <c r="G117" s="114"/>
      <c r="H117" s="114"/>
      <c r="I117" s="114"/>
    </row>
    <row r="118" spans="1:9" x14ac:dyDescent="0.35">
      <c r="A118" s="114"/>
      <c r="B118" s="114"/>
      <c r="C118" s="114"/>
      <c r="D118" s="114"/>
      <c r="E118" s="114"/>
      <c r="F118" s="114"/>
      <c r="G118" s="114"/>
      <c r="H118" s="114"/>
      <c r="I118" s="114"/>
    </row>
    <row r="119" spans="1:9" x14ac:dyDescent="0.35">
      <c r="A119" s="114"/>
      <c r="B119" s="114"/>
      <c r="C119" s="114"/>
      <c r="D119" s="114"/>
      <c r="E119" s="114"/>
      <c r="F119" s="114"/>
      <c r="G119" s="114"/>
      <c r="H119" s="114"/>
      <c r="I119" s="114"/>
    </row>
    <row r="120" spans="1:9" x14ac:dyDescent="0.35">
      <c r="A120" s="114"/>
      <c r="B120" s="114"/>
      <c r="C120" s="114"/>
      <c r="D120" s="114"/>
      <c r="E120" s="114"/>
      <c r="F120" s="114"/>
      <c r="G120" s="114"/>
      <c r="H120" s="114"/>
      <c r="I120" s="114"/>
    </row>
    <row r="121" spans="1:9" x14ac:dyDescent="0.35">
      <c r="A121" s="114"/>
      <c r="B121" s="114"/>
      <c r="C121" s="114"/>
      <c r="D121" s="114"/>
      <c r="E121" s="114"/>
      <c r="F121" s="114"/>
      <c r="G121" s="114"/>
      <c r="H121" s="114"/>
      <c r="I121" s="114"/>
    </row>
    <row r="122" spans="1:9" x14ac:dyDescent="0.35">
      <c r="A122" s="114"/>
      <c r="B122" s="114"/>
      <c r="C122" s="114"/>
      <c r="D122" s="114"/>
      <c r="E122" s="114"/>
      <c r="F122" s="114"/>
      <c r="G122" s="114"/>
      <c r="H122" s="114"/>
      <c r="I122" s="114"/>
    </row>
    <row r="123" spans="1:9" x14ac:dyDescent="0.35">
      <c r="A123" s="114"/>
      <c r="B123" s="114"/>
      <c r="C123" s="114"/>
      <c r="D123" s="114"/>
      <c r="E123" s="114"/>
      <c r="F123" s="114"/>
      <c r="G123" s="114"/>
      <c r="H123" s="114"/>
      <c r="I123" s="114"/>
    </row>
    <row r="124" spans="1:9" x14ac:dyDescent="0.35">
      <c r="A124" s="114"/>
      <c r="B124" s="114"/>
      <c r="C124" s="114"/>
      <c r="D124" s="114"/>
      <c r="E124" s="114"/>
      <c r="F124" s="114"/>
      <c r="G124" s="114"/>
      <c r="H124" s="114"/>
      <c r="I124" s="114"/>
    </row>
    <row r="125" spans="1:9" x14ac:dyDescent="0.35">
      <c r="A125" s="114"/>
      <c r="B125" s="114"/>
      <c r="C125" s="114"/>
      <c r="D125" s="114"/>
      <c r="E125" s="114"/>
      <c r="F125" s="114"/>
      <c r="G125" s="114"/>
      <c r="H125" s="114"/>
      <c r="I125" s="114"/>
    </row>
    <row r="126" spans="1:9" x14ac:dyDescent="0.35">
      <c r="A126" s="114"/>
      <c r="B126" s="114"/>
      <c r="C126" s="114"/>
      <c r="D126" s="114"/>
      <c r="E126" s="114"/>
      <c r="F126" s="114"/>
      <c r="G126" s="114"/>
      <c r="H126" s="114"/>
      <c r="I126" s="114"/>
    </row>
    <row r="127" spans="1:9" x14ac:dyDescent="0.35">
      <c r="A127" s="114"/>
      <c r="B127" s="114"/>
      <c r="C127" s="114"/>
      <c r="D127" s="114"/>
      <c r="E127" s="114"/>
      <c r="F127" s="114"/>
      <c r="G127" s="114"/>
      <c r="H127" s="114"/>
      <c r="I127" s="114"/>
    </row>
    <row r="128" spans="1:9" x14ac:dyDescent="0.35">
      <c r="A128" s="114"/>
      <c r="B128" s="114"/>
      <c r="C128" s="114"/>
      <c r="D128" s="114"/>
      <c r="E128" s="114"/>
      <c r="F128" s="114"/>
      <c r="G128" s="114"/>
      <c r="H128" s="114"/>
      <c r="I128" s="114"/>
    </row>
    <row r="129" spans="1:9" x14ac:dyDescent="0.35">
      <c r="A129" s="114"/>
      <c r="B129" s="114"/>
      <c r="C129" s="114"/>
      <c r="D129" s="114"/>
      <c r="E129" s="114"/>
      <c r="F129" s="114"/>
      <c r="G129" s="114"/>
      <c r="H129" s="114"/>
      <c r="I129" s="114"/>
    </row>
    <row r="130" spans="1:9" x14ac:dyDescent="0.35">
      <c r="A130" s="114"/>
      <c r="B130" s="114"/>
      <c r="C130" s="114"/>
      <c r="D130" s="114"/>
      <c r="E130" s="114"/>
      <c r="F130" s="114"/>
      <c r="G130" s="114"/>
      <c r="H130" s="114"/>
      <c r="I130" s="114"/>
    </row>
    <row r="131" spans="1:9" x14ac:dyDescent="0.35">
      <c r="A131" s="114"/>
      <c r="B131" s="114"/>
      <c r="C131" s="114"/>
      <c r="D131" s="114"/>
      <c r="E131" s="114"/>
      <c r="F131" s="114"/>
      <c r="G131" s="114"/>
      <c r="H131" s="114"/>
      <c r="I131" s="114"/>
    </row>
    <row r="132" spans="1:9" x14ac:dyDescent="0.35">
      <c r="A132" s="114"/>
      <c r="B132" s="114"/>
      <c r="C132" s="114"/>
      <c r="D132" s="114"/>
      <c r="E132" s="114"/>
      <c r="F132" s="114"/>
      <c r="G132" s="114"/>
      <c r="H132" s="114"/>
      <c r="I132" s="114"/>
    </row>
    <row r="133" spans="1:9" x14ac:dyDescent="0.35">
      <c r="A133" s="114"/>
      <c r="B133" s="114"/>
      <c r="C133" s="114"/>
      <c r="D133" s="114"/>
      <c r="E133" s="114"/>
      <c r="F133" s="114"/>
      <c r="G133" s="114"/>
      <c r="H133" s="114"/>
      <c r="I133" s="114"/>
    </row>
    <row r="134" spans="1:9" x14ac:dyDescent="0.35">
      <c r="A134" s="114"/>
      <c r="B134" s="114"/>
      <c r="C134" s="114"/>
      <c r="D134" s="114"/>
      <c r="E134" s="114"/>
      <c r="F134" s="114"/>
      <c r="G134" s="114"/>
      <c r="H134" s="114"/>
      <c r="I134" s="114"/>
    </row>
    <row r="135" spans="1:9" x14ac:dyDescent="0.35">
      <c r="A135" s="114"/>
      <c r="B135" s="114"/>
      <c r="C135" s="114"/>
      <c r="D135" s="114"/>
      <c r="E135" s="114"/>
      <c r="F135" s="114"/>
      <c r="G135" s="114"/>
      <c r="H135" s="114"/>
      <c r="I135" s="114"/>
    </row>
    <row r="136" spans="1:9" x14ac:dyDescent="0.35">
      <c r="A136" s="114"/>
      <c r="B136" s="114"/>
      <c r="C136" s="114"/>
      <c r="D136" s="114"/>
      <c r="E136" s="114"/>
      <c r="F136" s="114"/>
      <c r="G136" s="114"/>
      <c r="H136" s="114"/>
      <c r="I136" s="114"/>
    </row>
    <row r="137" spans="1:9" x14ac:dyDescent="0.35">
      <c r="A137" s="114"/>
      <c r="B137" s="114"/>
      <c r="C137" s="114"/>
      <c r="D137" s="114"/>
      <c r="E137" s="114"/>
      <c r="F137" s="114"/>
      <c r="G137" s="114"/>
      <c r="H137" s="114"/>
      <c r="I137" s="114"/>
    </row>
    <row r="138" spans="1:9" x14ac:dyDescent="0.35">
      <c r="A138" s="114"/>
      <c r="B138" s="114"/>
      <c r="C138" s="114"/>
      <c r="D138" s="114"/>
      <c r="E138" s="114"/>
      <c r="F138" s="114"/>
      <c r="G138" s="114"/>
      <c r="H138" s="114"/>
      <c r="I138" s="114"/>
    </row>
    <row r="139" spans="1:9" x14ac:dyDescent="0.35">
      <c r="A139" s="114"/>
      <c r="B139" s="114"/>
      <c r="C139" s="114"/>
      <c r="D139" s="114"/>
      <c r="E139" s="114"/>
      <c r="F139" s="114"/>
      <c r="G139" s="114"/>
      <c r="H139" s="114"/>
      <c r="I139" s="114"/>
    </row>
    <row r="140" spans="1:9" x14ac:dyDescent="0.35">
      <c r="A140" s="114"/>
      <c r="B140" s="114"/>
      <c r="C140" s="114"/>
      <c r="D140" s="114"/>
      <c r="E140" s="114"/>
      <c r="F140" s="114"/>
      <c r="G140" s="114"/>
      <c r="H140" s="114"/>
      <c r="I140" s="114"/>
    </row>
    <row r="141" spans="1:9" x14ac:dyDescent="0.35">
      <c r="A141" s="114"/>
      <c r="B141" s="114"/>
      <c r="C141" s="114"/>
      <c r="D141" s="114"/>
      <c r="E141" s="114"/>
      <c r="F141" s="114"/>
      <c r="G141" s="114"/>
      <c r="H141" s="114"/>
      <c r="I141" s="114"/>
    </row>
    <row r="142" spans="1:9" x14ac:dyDescent="0.35">
      <c r="A142" s="114"/>
      <c r="B142" s="114"/>
      <c r="C142" s="114"/>
      <c r="D142" s="114"/>
      <c r="E142" s="114"/>
      <c r="F142" s="114"/>
      <c r="G142" s="114"/>
      <c r="H142" s="114"/>
      <c r="I142" s="114"/>
    </row>
    <row r="143" spans="1:9" x14ac:dyDescent="0.35">
      <c r="A143" s="114"/>
      <c r="B143" s="114"/>
      <c r="C143" s="114"/>
      <c r="D143" s="114"/>
      <c r="E143" s="114"/>
      <c r="F143" s="114"/>
      <c r="G143" s="114"/>
      <c r="H143" s="114"/>
      <c r="I143" s="114"/>
    </row>
    <row r="144" spans="1:9" x14ac:dyDescent="0.35">
      <c r="A144" s="114"/>
      <c r="B144" s="114"/>
      <c r="C144" s="114"/>
      <c r="D144" s="114"/>
      <c r="E144" s="114"/>
      <c r="F144" s="114"/>
      <c r="G144" s="114"/>
      <c r="H144" s="114"/>
      <c r="I144" s="114"/>
    </row>
    <row r="145" spans="1:9" x14ac:dyDescent="0.35">
      <c r="A145" s="114"/>
      <c r="B145" s="114"/>
      <c r="C145" s="114"/>
      <c r="D145" s="114"/>
      <c r="E145" s="114"/>
      <c r="F145" s="114"/>
      <c r="G145" s="114"/>
      <c r="H145" s="114"/>
      <c r="I145" s="114"/>
    </row>
    <row r="146" spans="1:9" x14ac:dyDescent="0.35">
      <c r="A146" s="114"/>
      <c r="B146" s="114"/>
      <c r="C146" s="114"/>
      <c r="D146" s="114"/>
      <c r="E146" s="114"/>
      <c r="F146" s="114"/>
      <c r="G146" s="114"/>
      <c r="H146" s="114"/>
      <c r="I146" s="114"/>
    </row>
    <row r="147" spans="1:9" x14ac:dyDescent="0.35">
      <c r="A147" s="114"/>
      <c r="B147" s="114"/>
      <c r="C147" s="114"/>
      <c r="D147" s="114"/>
      <c r="E147" s="114"/>
      <c r="F147" s="114"/>
      <c r="G147" s="114"/>
      <c r="H147" s="114"/>
      <c r="I147" s="114"/>
    </row>
    <row r="148" spans="1:9" x14ac:dyDescent="0.35">
      <c r="A148" s="114"/>
      <c r="B148" s="114"/>
      <c r="C148" s="114"/>
      <c r="D148" s="114"/>
      <c r="E148" s="114"/>
      <c r="F148" s="114"/>
      <c r="G148" s="114"/>
      <c r="H148" s="114"/>
      <c r="I148" s="114"/>
    </row>
    <row r="149" spans="1:9" x14ac:dyDescent="0.35">
      <c r="A149" s="114"/>
      <c r="B149" s="114"/>
      <c r="C149" s="114"/>
      <c r="D149" s="114"/>
      <c r="E149" s="114"/>
      <c r="F149" s="114"/>
      <c r="G149" s="114"/>
      <c r="H149" s="114"/>
      <c r="I149" s="114"/>
    </row>
    <row r="150" spans="1:9" x14ac:dyDescent="0.35">
      <c r="A150" s="114"/>
      <c r="B150" s="114"/>
      <c r="C150" s="114"/>
      <c r="D150" s="114"/>
      <c r="E150" s="114"/>
      <c r="F150" s="114"/>
      <c r="G150" s="114"/>
      <c r="H150" s="114"/>
      <c r="I150" s="114"/>
    </row>
    <row r="151" spans="1:9" x14ac:dyDescent="0.35">
      <c r="A151" s="114"/>
      <c r="B151" s="114"/>
      <c r="C151" s="114"/>
      <c r="D151" s="114"/>
      <c r="E151" s="114"/>
      <c r="F151" s="114"/>
      <c r="G151" s="114"/>
      <c r="H151" s="114"/>
      <c r="I151" s="114"/>
    </row>
    <row r="152" spans="1:9" x14ac:dyDescent="0.35">
      <c r="A152" s="114"/>
      <c r="B152" s="114"/>
      <c r="C152" s="114"/>
      <c r="D152" s="114"/>
      <c r="E152" s="114"/>
      <c r="F152" s="114"/>
      <c r="G152" s="114"/>
      <c r="H152" s="114"/>
      <c r="I152" s="114"/>
    </row>
    <row r="153" spans="1:9" x14ac:dyDescent="0.35">
      <c r="A153" s="114"/>
      <c r="B153" s="114"/>
      <c r="C153" s="114"/>
      <c r="D153" s="114"/>
      <c r="E153" s="114"/>
      <c r="F153" s="114"/>
      <c r="G153" s="114"/>
      <c r="H153" s="114"/>
      <c r="I153" s="114"/>
    </row>
    <row r="154" spans="1:9" x14ac:dyDescent="0.35">
      <c r="A154" s="114"/>
      <c r="B154" s="114"/>
      <c r="C154" s="114"/>
      <c r="D154" s="114"/>
      <c r="E154" s="114"/>
      <c r="F154" s="114"/>
      <c r="G154" s="114"/>
      <c r="H154" s="114"/>
      <c r="I154" s="114"/>
    </row>
    <row r="155" spans="1:9" x14ac:dyDescent="0.35">
      <c r="A155" s="114"/>
      <c r="B155" s="114"/>
      <c r="C155" s="114"/>
      <c r="D155" s="114"/>
      <c r="E155" s="114"/>
      <c r="F155" s="114"/>
      <c r="G155" s="114"/>
      <c r="H155" s="114"/>
      <c r="I155" s="114"/>
    </row>
    <row r="156" spans="1:9" x14ac:dyDescent="0.35">
      <c r="A156" s="114"/>
      <c r="B156" s="114"/>
      <c r="C156" s="114"/>
      <c r="D156" s="114"/>
      <c r="E156" s="114"/>
      <c r="F156" s="114"/>
      <c r="G156" s="114"/>
      <c r="H156" s="114"/>
      <c r="I156" s="114"/>
    </row>
    <row r="157" spans="1:9" x14ac:dyDescent="0.35">
      <c r="A157" s="114"/>
      <c r="B157" s="114"/>
      <c r="C157" s="114"/>
      <c r="D157" s="114"/>
      <c r="E157" s="114"/>
      <c r="F157" s="114"/>
      <c r="G157" s="114"/>
      <c r="H157" s="114"/>
      <c r="I157" s="114"/>
    </row>
    <row r="158" spans="1:9" x14ac:dyDescent="0.35">
      <c r="A158" s="114"/>
      <c r="B158" s="114"/>
      <c r="C158" s="114"/>
      <c r="D158" s="114"/>
      <c r="E158" s="114"/>
      <c r="F158" s="114"/>
      <c r="G158" s="114"/>
      <c r="H158" s="114"/>
      <c r="I158" s="114"/>
    </row>
    <row r="159" spans="1:9" x14ac:dyDescent="0.35">
      <c r="A159" s="114"/>
      <c r="B159" s="114"/>
      <c r="C159" s="114"/>
      <c r="D159" s="114"/>
      <c r="E159" s="114"/>
      <c r="F159" s="114"/>
      <c r="G159" s="114"/>
      <c r="H159" s="114"/>
      <c r="I159" s="114"/>
    </row>
    <row r="160" spans="1:9" x14ac:dyDescent="0.35">
      <c r="A160" s="114"/>
      <c r="B160" s="114"/>
      <c r="C160" s="114"/>
      <c r="D160" s="114"/>
      <c r="E160" s="114"/>
      <c r="F160" s="114"/>
      <c r="G160" s="114"/>
      <c r="H160" s="114"/>
      <c r="I160" s="114"/>
    </row>
    <row r="161" spans="1:9" x14ac:dyDescent="0.35">
      <c r="A161" s="114"/>
      <c r="B161" s="114"/>
      <c r="C161" s="114"/>
      <c r="D161" s="114"/>
      <c r="E161" s="114"/>
      <c r="F161" s="114"/>
      <c r="G161" s="114"/>
      <c r="H161" s="114"/>
      <c r="I161" s="114"/>
    </row>
    <row r="162" spans="1:9" x14ac:dyDescent="0.35">
      <c r="A162" s="114"/>
      <c r="B162" s="114"/>
      <c r="C162" s="114"/>
      <c r="D162" s="114"/>
      <c r="E162" s="114"/>
      <c r="F162" s="114"/>
      <c r="G162" s="114"/>
      <c r="H162" s="114"/>
      <c r="I162" s="114"/>
    </row>
    <row r="163" spans="1:9" x14ac:dyDescent="0.35">
      <c r="A163" s="114"/>
      <c r="B163" s="114"/>
      <c r="C163" s="114"/>
      <c r="D163" s="114"/>
      <c r="E163" s="114"/>
      <c r="F163" s="114"/>
      <c r="G163" s="114"/>
      <c r="H163" s="114"/>
      <c r="I163" s="114"/>
    </row>
    <row r="164" spans="1:9" x14ac:dyDescent="0.35">
      <c r="A164" s="114"/>
      <c r="B164" s="114"/>
      <c r="C164" s="114"/>
      <c r="D164" s="114"/>
      <c r="E164" s="114"/>
      <c r="F164" s="114"/>
      <c r="G164" s="114"/>
      <c r="H164" s="114"/>
      <c r="I164" s="114"/>
    </row>
    <row r="165" spans="1:9" x14ac:dyDescent="0.35">
      <c r="A165" s="114"/>
      <c r="B165" s="114"/>
      <c r="C165" s="114"/>
      <c r="D165" s="114"/>
      <c r="E165" s="114"/>
      <c r="F165" s="114"/>
      <c r="G165" s="114"/>
      <c r="H165" s="114"/>
      <c r="I165" s="114"/>
    </row>
    <row r="166" spans="1:9" x14ac:dyDescent="0.35">
      <c r="A166" s="114"/>
      <c r="B166" s="114"/>
      <c r="C166" s="114"/>
      <c r="D166" s="114"/>
      <c r="E166" s="114"/>
      <c r="F166" s="114"/>
      <c r="G166" s="114"/>
      <c r="H166" s="114"/>
      <c r="I166" s="114"/>
    </row>
    <row r="167" spans="1:9" x14ac:dyDescent="0.35">
      <c r="A167" s="114"/>
      <c r="B167" s="114"/>
      <c r="C167" s="114"/>
      <c r="D167" s="114"/>
      <c r="E167" s="114"/>
      <c r="F167" s="114"/>
      <c r="G167" s="114"/>
      <c r="H167" s="114"/>
      <c r="I167" s="114"/>
    </row>
    <row r="168" spans="1:9" x14ac:dyDescent="0.35">
      <c r="A168" s="114"/>
      <c r="B168" s="114"/>
      <c r="C168" s="114"/>
      <c r="D168" s="114"/>
      <c r="E168" s="114"/>
      <c r="F168" s="114"/>
      <c r="G168" s="114"/>
      <c r="H168" s="114"/>
      <c r="I168" s="114"/>
    </row>
    <row r="169" spans="1:9" x14ac:dyDescent="0.35">
      <c r="A169" s="114"/>
      <c r="B169" s="114"/>
      <c r="C169" s="114"/>
      <c r="D169" s="114"/>
      <c r="E169" s="114"/>
      <c r="F169" s="114"/>
      <c r="G169" s="114"/>
      <c r="H169" s="114"/>
      <c r="I169" s="114"/>
    </row>
    <row r="170" spans="1:9" x14ac:dyDescent="0.35">
      <c r="A170" s="114"/>
      <c r="B170" s="114"/>
      <c r="C170" s="114"/>
      <c r="D170" s="114"/>
      <c r="E170" s="114"/>
      <c r="F170" s="114"/>
      <c r="G170" s="114"/>
      <c r="H170" s="114"/>
      <c r="I170" s="114"/>
    </row>
    <row r="171" spans="1:9" x14ac:dyDescent="0.35">
      <c r="A171" s="114"/>
      <c r="B171" s="114"/>
      <c r="C171" s="114"/>
      <c r="D171" s="114"/>
      <c r="E171" s="114"/>
      <c r="F171" s="114"/>
      <c r="G171" s="114"/>
      <c r="H171" s="114"/>
      <c r="I171" s="114"/>
    </row>
    <row r="172" spans="1:9" x14ac:dyDescent="0.35">
      <c r="A172" s="114"/>
      <c r="B172" s="114"/>
      <c r="C172" s="114"/>
      <c r="D172" s="114"/>
      <c r="E172" s="114"/>
      <c r="F172" s="114"/>
      <c r="G172" s="114"/>
      <c r="H172" s="114"/>
      <c r="I172" s="114"/>
    </row>
    <row r="173" spans="1:9" x14ac:dyDescent="0.35">
      <c r="A173" s="114"/>
      <c r="B173" s="114"/>
      <c r="C173" s="114"/>
      <c r="D173" s="114"/>
      <c r="E173" s="114"/>
      <c r="F173" s="114"/>
      <c r="G173" s="114"/>
      <c r="H173" s="114"/>
      <c r="I173" s="114"/>
    </row>
    <row r="174" spans="1:9" x14ac:dyDescent="0.35">
      <c r="A174" s="114"/>
      <c r="B174" s="114"/>
      <c r="C174" s="114"/>
      <c r="D174" s="114"/>
      <c r="E174" s="114"/>
      <c r="F174" s="114"/>
      <c r="G174" s="114"/>
      <c r="H174" s="114"/>
      <c r="I174" s="114"/>
    </row>
    <row r="175" spans="1:9" x14ac:dyDescent="0.35">
      <c r="A175" s="114"/>
      <c r="B175" s="114"/>
      <c r="C175" s="114"/>
      <c r="D175" s="114"/>
      <c r="E175" s="114"/>
      <c r="F175" s="114"/>
      <c r="G175" s="114"/>
      <c r="H175" s="114"/>
      <c r="I175" s="114"/>
    </row>
    <row r="176" spans="1:9" x14ac:dyDescent="0.35">
      <c r="A176" s="114"/>
      <c r="B176" s="114"/>
      <c r="C176" s="114"/>
      <c r="D176" s="114"/>
      <c r="E176" s="114"/>
      <c r="F176" s="114"/>
      <c r="G176" s="114"/>
      <c r="H176" s="114"/>
      <c r="I176" s="114"/>
    </row>
    <row r="177" spans="1:9" x14ac:dyDescent="0.35">
      <c r="A177" s="114"/>
      <c r="B177" s="114"/>
      <c r="C177" s="114"/>
      <c r="D177" s="114"/>
      <c r="E177" s="114"/>
      <c r="F177" s="114"/>
      <c r="G177" s="114"/>
      <c r="H177" s="114"/>
      <c r="I177" s="114"/>
    </row>
    <row r="178" spans="1:9" x14ac:dyDescent="0.35">
      <c r="A178" s="114"/>
      <c r="B178" s="114"/>
      <c r="C178" s="114"/>
      <c r="D178" s="114"/>
      <c r="E178" s="114"/>
      <c r="F178" s="114"/>
      <c r="G178" s="114"/>
      <c r="H178" s="114"/>
      <c r="I178" s="114"/>
    </row>
    <row r="179" spans="1:9" x14ac:dyDescent="0.35">
      <c r="A179" s="114"/>
      <c r="B179" s="114"/>
      <c r="C179" s="114"/>
      <c r="D179" s="114"/>
      <c r="E179" s="114"/>
      <c r="F179" s="114"/>
      <c r="G179" s="114"/>
      <c r="H179" s="114"/>
      <c r="I179" s="114"/>
    </row>
    <row r="180" spans="1:9" x14ac:dyDescent="0.35">
      <c r="A180" s="114"/>
      <c r="B180" s="114"/>
      <c r="C180" s="114"/>
      <c r="D180" s="114"/>
      <c r="E180" s="114"/>
      <c r="F180" s="114"/>
      <c r="G180" s="114"/>
      <c r="H180" s="114"/>
      <c r="I180" s="114"/>
    </row>
    <row r="181" spans="1:9" x14ac:dyDescent="0.35">
      <c r="A181" s="114"/>
      <c r="B181" s="114"/>
      <c r="C181" s="114"/>
      <c r="D181" s="114"/>
      <c r="E181" s="114"/>
      <c r="F181" s="114"/>
      <c r="G181" s="114"/>
      <c r="H181" s="114"/>
      <c r="I181" s="114"/>
    </row>
    <row r="182" spans="1:9" x14ac:dyDescent="0.35">
      <c r="A182" s="114"/>
      <c r="B182" s="114"/>
      <c r="C182" s="114"/>
      <c r="D182" s="114"/>
      <c r="E182" s="114"/>
      <c r="F182" s="114"/>
      <c r="G182" s="114"/>
      <c r="H182" s="114"/>
      <c r="I182" s="114"/>
    </row>
    <row r="183" spans="1:9" x14ac:dyDescent="0.35">
      <c r="A183" s="114"/>
      <c r="B183" s="114"/>
      <c r="C183" s="114"/>
      <c r="D183" s="114"/>
      <c r="E183" s="114"/>
      <c r="F183" s="114"/>
      <c r="G183" s="114"/>
      <c r="H183" s="114"/>
      <c r="I183" s="114"/>
    </row>
    <row r="184" spans="1:9" x14ac:dyDescent="0.35">
      <c r="A184" s="114"/>
      <c r="B184" s="114"/>
      <c r="C184" s="114"/>
      <c r="D184" s="114"/>
      <c r="E184" s="114"/>
      <c r="F184" s="114"/>
      <c r="G184" s="114"/>
      <c r="H184" s="114"/>
      <c r="I184" s="114"/>
    </row>
    <row r="185" spans="1:9" x14ac:dyDescent="0.35">
      <c r="A185" s="114"/>
      <c r="B185" s="114"/>
      <c r="C185" s="114"/>
      <c r="D185" s="114"/>
      <c r="E185" s="114"/>
      <c r="F185" s="114"/>
      <c r="G185" s="114"/>
      <c r="H185" s="114"/>
      <c r="I185" s="114"/>
    </row>
    <row r="186" spans="1:9" x14ac:dyDescent="0.35">
      <c r="A186" s="114"/>
      <c r="B186" s="114"/>
      <c r="C186" s="114"/>
      <c r="D186" s="114"/>
      <c r="E186" s="114"/>
      <c r="F186" s="114"/>
      <c r="G186" s="114"/>
      <c r="H186" s="114"/>
      <c r="I186" s="114"/>
    </row>
    <row r="187" spans="1:9" x14ac:dyDescent="0.35">
      <c r="A187" s="114"/>
      <c r="B187" s="114"/>
      <c r="C187" s="114"/>
      <c r="D187" s="114"/>
      <c r="E187" s="114"/>
      <c r="F187" s="114"/>
      <c r="G187" s="114"/>
      <c r="H187" s="114"/>
      <c r="I187" s="114"/>
    </row>
    <row r="188" spans="1:9" x14ac:dyDescent="0.35">
      <c r="A188" s="114"/>
      <c r="B188" s="114"/>
      <c r="C188" s="114"/>
      <c r="D188" s="114"/>
      <c r="E188" s="114"/>
      <c r="F188" s="114"/>
      <c r="G188" s="114"/>
      <c r="H188" s="114"/>
      <c r="I188" s="114"/>
    </row>
    <row r="189" spans="1:9" x14ac:dyDescent="0.35">
      <c r="A189" s="114"/>
      <c r="B189" s="114"/>
      <c r="C189" s="114"/>
      <c r="D189" s="114"/>
      <c r="E189" s="114"/>
      <c r="F189" s="114"/>
      <c r="G189" s="114"/>
      <c r="H189" s="114"/>
      <c r="I189" s="114"/>
    </row>
    <row r="190" spans="1:9" x14ac:dyDescent="0.35">
      <c r="A190" s="114"/>
      <c r="B190" s="114"/>
      <c r="C190" s="114"/>
      <c r="D190" s="114"/>
      <c r="E190" s="114"/>
      <c r="F190" s="114"/>
      <c r="G190" s="114"/>
      <c r="H190" s="114"/>
      <c r="I190" s="114"/>
    </row>
    <row r="191" spans="1:9" x14ac:dyDescent="0.35">
      <c r="A191" s="114"/>
      <c r="B191" s="114"/>
      <c r="C191" s="114"/>
      <c r="D191" s="114"/>
      <c r="E191" s="114"/>
      <c r="F191" s="114"/>
      <c r="G191" s="114"/>
      <c r="H191" s="114"/>
      <c r="I191" s="114"/>
    </row>
    <row r="192" spans="1:9" x14ac:dyDescent="0.35">
      <c r="A192" s="114"/>
      <c r="B192" s="114"/>
      <c r="C192" s="114"/>
      <c r="D192" s="114"/>
      <c r="E192" s="114"/>
      <c r="F192" s="114"/>
      <c r="G192" s="114"/>
      <c r="H192" s="114"/>
      <c r="I192" s="114"/>
    </row>
    <row r="193" spans="1:9" x14ac:dyDescent="0.35">
      <c r="A193" s="114"/>
      <c r="B193" s="114"/>
      <c r="C193" s="114"/>
      <c r="D193" s="114"/>
      <c r="E193" s="114"/>
      <c r="F193" s="114"/>
      <c r="G193" s="114"/>
      <c r="H193" s="114"/>
      <c r="I193" s="114"/>
    </row>
    <row r="194" spans="1:9" x14ac:dyDescent="0.35">
      <c r="A194" s="114"/>
      <c r="B194" s="114"/>
      <c r="C194" s="114"/>
      <c r="D194" s="114"/>
      <c r="E194" s="114"/>
      <c r="F194" s="114"/>
      <c r="G194" s="114"/>
      <c r="H194" s="114"/>
      <c r="I194" s="114"/>
    </row>
    <row r="195" spans="1:9" x14ac:dyDescent="0.35">
      <c r="A195" s="114"/>
      <c r="B195" s="114"/>
      <c r="C195" s="114"/>
      <c r="D195" s="114"/>
      <c r="E195" s="114"/>
      <c r="F195" s="114"/>
      <c r="G195" s="114"/>
      <c r="H195" s="114"/>
      <c r="I195" s="114"/>
    </row>
    <row r="196" spans="1:9" x14ac:dyDescent="0.35">
      <c r="A196" s="114"/>
      <c r="B196" s="114"/>
      <c r="C196" s="114"/>
      <c r="D196" s="114"/>
      <c r="E196" s="114"/>
      <c r="F196" s="114"/>
      <c r="G196" s="114"/>
      <c r="H196" s="114"/>
      <c r="I196" s="114"/>
    </row>
    <row r="197" spans="1:9" x14ac:dyDescent="0.35">
      <c r="A197" s="114"/>
      <c r="B197" s="114"/>
      <c r="C197" s="114"/>
      <c r="D197" s="114"/>
      <c r="E197" s="114"/>
      <c r="F197" s="114"/>
      <c r="G197" s="114"/>
      <c r="H197" s="114"/>
      <c r="I197" s="114"/>
    </row>
    <row r="198" spans="1:9" x14ac:dyDescent="0.35">
      <c r="A198" s="114"/>
      <c r="B198" s="114"/>
      <c r="C198" s="114"/>
      <c r="D198" s="114"/>
      <c r="E198" s="114"/>
      <c r="F198" s="114"/>
      <c r="G198" s="114"/>
      <c r="H198" s="114"/>
      <c r="I198" s="114"/>
    </row>
    <row r="199" spans="1:9" x14ac:dyDescent="0.35">
      <c r="A199" s="114"/>
      <c r="B199" s="114"/>
      <c r="C199" s="114"/>
      <c r="D199" s="114"/>
      <c r="E199" s="114"/>
      <c r="F199" s="114"/>
      <c r="G199" s="114"/>
      <c r="H199" s="114"/>
      <c r="I199" s="114"/>
    </row>
    <row r="200" spans="1:9" x14ac:dyDescent="0.35">
      <c r="A200" s="114"/>
      <c r="B200" s="114"/>
      <c r="C200" s="114"/>
      <c r="D200" s="114"/>
      <c r="E200" s="114"/>
      <c r="F200" s="114"/>
      <c r="G200" s="114"/>
      <c r="H200" s="114"/>
      <c r="I200" s="114"/>
    </row>
    <row r="201" spans="1:9" x14ac:dyDescent="0.35">
      <c r="A201" s="114"/>
      <c r="B201" s="114"/>
      <c r="C201" s="114"/>
      <c r="D201" s="114"/>
      <c r="E201" s="114"/>
      <c r="F201" s="114"/>
      <c r="G201" s="114"/>
      <c r="H201" s="114"/>
      <c r="I201" s="114"/>
    </row>
    <row r="202" spans="1:9" x14ac:dyDescent="0.35">
      <c r="A202" s="114"/>
      <c r="B202" s="114"/>
      <c r="C202" s="114"/>
      <c r="D202" s="114"/>
      <c r="E202" s="114"/>
      <c r="F202" s="114"/>
      <c r="G202" s="114"/>
      <c r="H202" s="114"/>
      <c r="I202" s="114"/>
    </row>
    <row r="203" spans="1:9" x14ac:dyDescent="0.35">
      <c r="A203" s="114"/>
      <c r="B203" s="114"/>
      <c r="C203" s="114"/>
      <c r="D203" s="114"/>
      <c r="E203" s="114"/>
      <c r="F203" s="114"/>
      <c r="G203" s="114"/>
      <c r="H203" s="114"/>
      <c r="I203" s="114"/>
    </row>
    <row r="204" spans="1:9" x14ac:dyDescent="0.35">
      <c r="A204" s="114"/>
      <c r="B204" s="114"/>
      <c r="C204" s="114"/>
      <c r="D204" s="114"/>
      <c r="E204" s="114"/>
      <c r="F204" s="114"/>
      <c r="G204" s="114"/>
      <c r="H204" s="114"/>
      <c r="I204" s="114"/>
    </row>
    <row r="205" spans="1:9" x14ac:dyDescent="0.35">
      <c r="A205" s="114"/>
      <c r="B205" s="114"/>
      <c r="C205" s="114"/>
      <c r="D205" s="114"/>
      <c r="E205" s="114"/>
      <c r="F205" s="114"/>
      <c r="G205" s="114"/>
      <c r="H205" s="114"/>
      <c r="I205" s="114"/>
    </row>
    <row r="206" spans="1:9" x14ac:dyDescent="0.35">
      <c r="A206" s="114"/>
      <c r="B206" s="114"/>
      <c r="C206" s="114"/>
      <c r="D206" s="114"/>
      <c r="E206" s="114"/>
      <c r="F206" s="114"/>
      <c r="G206" s="114"/>
      <c r="H206" s="114"/>
      <c r="I206" s="114"/>
    </row>
    <row r="207" spans="1:9" x14ac:dyDescent="0.35">
      <c r="A207" s="114"/>
      <c r="B207" s="114"/>
      <c r="C207" s="114"/>
      <c r="D207" s="114"/>
      <c r="E207" s="114"/>
      <c r="F207" s="114"/>
      <c r="G207" s="114"/>
      <c r="H207" s="114"/>
      <c r="I207" s="114"/>
    </row>
    <row r="208" spans="1:9" x14ac:dyDescent="0.35">
      <c r="A208" s="114"/>
      <c r="B208" s="114"/>
      <c r="C208" s="114"/>
      <c r="D208" s="114"/>
      <c r="E208" s="114"/>
      <c r="F208" s="114"/>
      <c r="G208" s="114"/>
      <c r="H208" s="114"/>
      <c r="I208" s="114"/>
    </row>
    <row r="209" spans="1:9" x14ac:dyDescent="0.35">
      <c r="A209" s="114"/>
      <c r="B209" s="114"/>
      <c r="C209" s="114"/>
      <c r="D209" s="114"/>
      <c r="E209" s="114"/>
      <c r="F209" s="114"/>
      <c r="G209" s="114"/>
      <c r="H209" s="114"/>
      <c r="I209" s="114"/>
    </row>
    <row r="210" spans="1:9" x14ac:dyDescent="0.35">
      <c r="A210" s="114"/>
      <c r="B210" s="114"/>
      <c r="C210" s="114"/>
      <c r="D210" s="114"/>
      <c r="E210" s="114"/>
      <c r="F210" s="114"/>
      <c r="G210" s="114"/>
      <c r="H210" s="114"/>
      <c r="I210" s="114"/>
    </row>
    <row r="211" spans="1:9" x14ac:dyDescent="0.35">
      <c r="A211" s="114"/>
      <c r="B211" s="114"/>
      <c r="C211" s="114"/>
      <c r="D211" s="114"/>
      <c r="E211" s="114"/>
      <c r="F211" s="114"/>
      <c r="G211" s="114"/>
      <c r="H211" s="114"/>
      <c r="I211" s="114"/>
    </row>
    <row r="212" spans="1:9" x14ac:dyDescent="0.35">
      <c r="A212" s="114"/>
      <c r="B212" s="114"/>
      <c r="C212" s="114"/>
      <c r="D212" s="114"/>
      <c r="E212" s="114"/>
      <c r="F212" s="114"/>
      <c r="G212" s="114"/>
      <c r="H212" s="114"/>
      <c r="I212" s="114"/>
    </row>
    <row r="213" spans="1:9" x14ac:dyDescent="0.35">
      <c r="A213" s="114"/>
      <c r="B213" s="114"/>
      <c r="C213" s="114"/>
      <c r="D213" s="114"/>
      <c r="E213" s="114"/>
      <c r="F213" s="114"/>
      <c r="G213" s="114"/>
      <c r="H213" s="114"/>
      <c r="I213" s="114"/>
    </row>
    <row r="214" spans="1:9" x14ac:dyDescent="0.35">
      <c r="A214" s="114"/>
      <c r="B214" s="114"/>
      <c r="C214" s="114"/>
      <c r="D214" s="114"/>
      <c r="E214" s="114"/>
      <c r="F214" s="114"/>
      <c r="G214" s="114"/>
      <c r="H214" s="114"/>
      <c r="I214" s="114"/>
    </row>
    <row r="215" spans="1:9" x14ac:dyDescent="0.35">
      <c r="A215" s="114"/>
      <c r="B215" s="114"/>
      <c r="C215" s="114"/>
      <c r="D215" s="114"/>
      <c r="E215" s="114"/>
      <c r="F215" s="114"/>
      <c r="G215" s="114"/>
      <c r="H215" s="114"/>
      <c r="I215" s="114"/>
    </row>
    <row r="216" spans="1:9" x14ac:dyDescent="0.35">
      <c r="A216" s="114"/>
      <c r="B216" s="114"/>
      <c r="C216" s="114"/>
      <c r="D216" s="114"/>
      <c r="E216" s="114"/>
      <c r="F216" s="114"/>
      <c r="G216" s="114"/>
      <c r="H216" s="114"/>
      <c r="I216" s="114"/>
    </row>
    <row r="217" spans="1:9" x14ac:dyDescent="0.35">
      <c r="A217" s="114"/>
      <c r="B217" s="114"/>
      <c r="C217" s="114"/>
      <c r="D217" s="114"/>
      <c r="E217" s="114"/>
      <c r="F217" s="114"/>
      <c r="G217" s="114"/>
      <c r="H217" s="114"/>
      <c r="I217" s="114"/>
    </row>
    <row r="218" spans="1:9" x14ac:dyDescent="0.35">
      <c r="A218" s="114"/>
      <c r="B218" s="114"/>
      <c r="C218" s="114"/>
      <c r="D218" s="114"/>
      <c r="E218" s="114"/>
      <c r="F218" s="114"/>
      <c r="G218" s="114"/>
      <c r="H218" s="114"/>
      <c r="I218" s="114"/>
    </row>
    <row r="219" spans="1:9" x14ac:dyDescent="0.35">
      <c r="A219" s="114"/>
      <c r="B219" s="114"/>
      <c r="C219" s="114"/>
      <c r="D219" s="114"/>
      <c r="E219" s="114"/>
      <c r="F219" s="114"/>
      <c r="G219" s="114"/>
      <c r="H219" s="114"/>
      <c r="I219" s="114"/>
    </row>
    <row r="220" spans="1:9" x14ac:dyDescent="0.35">
      <c r="A220" s="114"/>
      <c r="B220" s="114"/>
      <c r="C220" s="114"/>
      <c r="D220" s="114"/>
      <c r="E220" s="114"/>
      <c r="F220" s="114"/>
      <c r="G220" s="114"/>
      <c r="H220" s="114"/>
      <c r="I220" s="114"/>
    </row>
    <row r="221" spans="1:9" x14ac:dyDescent="0.35">
      <c r="A221" s="114"/>
      <c r="B221" s="114"/>
      <c r="C221" s="114"/>
      <c r="D221" s="114"/>
      <c r="E221" s="114"/>
      <c r="F221" s="114"/>
      <c r="G221" s="114"/>
      <c r="H221" s="114"/>
      <c r="I221" s="114"/>
    </row>
    <row r="222" spans="1:9" x14ac:dyDescent="0.35">
      <c r="A222" s="114"/>
      <c r="B222" s="114"/>
      <c r="C222" s="114"/>
      <c r="D222" s="114"/>
      <c r="E222" s="114"/>
      <c r="F222" s="114"/>
      <c r="G222" s="114"/>
      <c r="H222" s="114"/>
      <c r="I222" s="114"/>
    </row>
    <row r="223" spans="1:9" x14ac:dyDescent="0.35">
      <c r="A223" s="114"/>
      <c r="B223" s="114"/>
      <c r="C223" s="114"/>
      <c r="D223" s="114"/>
      <c r="E223" s="114"/>
      <c r="F223" s="114"/>
      <c r="G223" s="114"/>
      <c r="H223" s="114"/>
      <c r="I223" s="114"/>
    </row>
    <row r="224" spans="1:9" x14ac:dyDescent="0.35">
      <c r="A224" s="114"/>
      <c r="B224" s="114"/>
      <c r="C224" s="114"/>
      <c r="D224" s="114"/>
      <c r="E224" s="114"/>
      <c r="F224" s="114"/>
      <c r="G224" s="114"/>
      <c r="H224" s="114"/>
      <c r="I224" s="114"/>
    </row>
    <row r="225" spans="1:9" x14ac:dyDescent="0.35">
      <c r="A225" s="114"/>
      <c r="B225" s="114"/>
      <c r="C225" s="114"/>
      <c r="D225" s="114"/>
      <c r="E225" s="114"/>
      <c r="F225" s="114"/>
      <c r="G225" s="114"/>
      <c r="H225" s="114"/>
      <c r="I225" s="114"/>
    </row>
    <row r="226" spans="1:9" x14ac:dyDescent="0.35">
      <c r="A226" s="114"/>
      <c r="B226" s="114"/>
      <c r="C226" s="114"/>
      <c r="D226" s="114"/>
      <c r="E226" s="114"/>
      <c r="F226" s="114"/>
      <c r="G226" s="114"/>
      <c r="H226" s="114"/>
      <c r="I226" s="114"/>
    </row>
    <row r="227" spans="1:9" x14ac:dyDescent="0.35">
      <c r="A227" s="114"/>
      <c r="B227" s="114"/>
      <c r="C227" s="114"/>
      <c r="D227" s="114"/>
      <c r="E227" s="114"/>
      <c r="F227" s="114"/>
      <c r="G227" s="114"/>
      <c r="H227" s="114"/>
      <c r="I227" s="114"/>
    </row>
    <row r="228" spans="1:9" x14ac:dyDescent="0.35">
      <c r="A228" s="114"/>
      <c r="B228" s="114"/>
      <c r="C228" s="114"/>
      <c r="D228" s="114"/>
      <c r="E228" s="114"/>
      <c r="F228" s="114"/>
      <c r="G228" s="114"/>
      <c r="H228" s="114"/>
      <c r="I228" s="114"/>
    </row>
    <row r="229" spans="1:9" x14ac:dyDescent="0.35">
      <c r="A229" s="114"/>
      <c r="B229" s="114"/>
      <c r="C229" s="114"/>
      <c r="D229" s="114"/>
      <c r="E229" s="114"/>
      <c r="F229" s="114"/>
      <c r="G229" s="114"/>
      <c r="H229" s="114"/>
      <c r="I229" s="114"/>
    </row>
    <row r="230" spans="1:9" x14ac:dyDescent="0.35">
      <c r="A230" s="114"/>
      <c r="B230" s="114"/>
      <c r="C230" s="114"/>
      <c r="D230" s="114"/>
      <c r="E230" s="114"/>
      <c r="F230" s="114"/>
      <c r="G230" s="114"/>
      <c r="H230" s="114"/>
      <c r="I230" s="114"/>
    </row>
    <row r="231" spans="1:9" x14ac:dyDescent="0.35">
      <c r="A231" s="114"/>
      <c r="B231" s="114"/>
      <c r="C231" s="114"/>
      <c r="D231" s="114"/>
      <c r="E231" s="114"/>
      <c r="F231" s="114"/>
      <c r="G231" s="114"/>
      <c r="H231" s="114"/>
      <c r="I231" s="114"/>
    </row>
    <row r="232" spans="1:9" x14ac:dyDescent="0.35">
      <c r="A232" s="114"/>
      <c r="B232" s="114"/>
      <c r="C232" s="114"/>
      <c r="D232" s="114"/>
      <c r="E232" s="114"/>
      <c r="F232" s="114"/>
      <c r="G232" s="114"/>
      <c r="H232" s="114"/>
      <c r="I232" s="114"/>
    </row>
    <row r="233" spans="1:9" x14ac:dyDescent="0.35">
      <c r="A233" s="114"/>
      <c r="B233" s="114"/>
      <c r="C233" s="114"/>
      <c r="D233" s="114"/>
      <c r="E233" s="114"/>
      <c r="F233" s="114"/>
      <c r="G233" s="114"/>
      <c r="H233" s="114"/>
      <c r="I233" s="114"/>
    </row>
    <row r="234" spans="1:9" x14ac:dyDescent="0.35">
      <c r="A234" s="114"/>
      <c r="B234" s="114"/>
      <c r="C234" s="114"/>
      <c r="D234" s="114"/>
      <c r="E234" s="114"/>
      <c r="F234" s="114"/>
      <c r="G234" s="114"/>
      <c r="H234" s="114"/>
      <c r="I234" s="114"/>
    </row>
    <row r="235" spans="1:9" x14ac:dyDescent="0.35">
      <c r="A235" s="114"/>
      <c r="B235" s="114"/>
      <c r="C235" s="114"/>
      <c r="D235" s="114"/>
      <c r="E235" s="114"/>
      <c r="F235" s="114"/>
      <c r="G235" s="114"/>
      <c r="H235" s="114"/>
      <c r="I235" s="114"/>
    </row>
    <row r="236" spans="1:9" x14ac:dyDescent="0.35">
      <c r="A236" s="114"/>
      <c r="B236" s="114"/>
      <c r="C236" s="114"/>
      <c r="D236" s="114"/>
      <c r="E236" s="114"/>
      <c r="F236" s="114"/>
      <c r="G236" s="114"/>
      <c r="H236" s="114"/>
      <c r="I236" s="114"/>
    </row>
    <row r="237" spans="1:9" x14ac:dyDescent="0.35">
      <c r="A237" s="114"/>
      <c r="B237" s="114"/>
      <c r="C237" s="114"/>
      <c r="D237" s="114"/>
      <c r="E237" s="114"/>
      <c r="F237" s="114"/>
      <c r="G237" s="114"/>
      <c r="H237" s="114"/>
      <c r="I237" s="114"/>
    </row>
    <row r="238" spans="1:9" x14ac:dyDescent="0.35">
      <c r="A238" s="114"/>
      <c r="B238" s="114"/>
      <c r="C238" s="114"/>
      <c r="D238" s="114"/>
      <c r="E238" s="114"/>
      <c r="F238" s="114"/>
      <c r="G238" s="114"/>
      <c r="H238" s="114"/>
      <c r="I238" s="114"/>
    </row>
    <row r="239" spans="1:9" x14ac:dyDescent="0.35">
      <c r="A239" s="114"/>
      <c r="B239" s="114"/>
      <c r="C239" s="114"/>
      <c r="D239" s="114"/>
      <c r="E239" s="114"/>
      <c r="F239" s="114"/>
      <c r="G239" s="114"/>
      <c r="H239" s="114"/>
      <c r="I239" s="114"/>
    </row>
    <row r="240" spans="1:9" x14ac:dyDescent="0.35">
      <c r="A240" s="114"/>
      <c r="B240" s="114"/>
      <c r="C240" s="114"/>
      <c r="D240" s="114"/>
      <c r="E240" s="114"/>
      <c r="F240" s="114"/>
      <c r="G240" s="114"/>
      <c r="H240" s="114"/>
      <c r="I240" s="114"/>
    </row>
    <row r="241" spans="1:9" x14ac:dyDescent="0.35">
      <c r="A241" s="114"/>
      <c r="B241" s="114"/>
      <c r="C241" s="114"/>
      <c r="D241" s="114"/>
      <c r="E241" s="114"/>
      <c r="F241" s="114"/>
      <c r="G241" s="114"/>
      <c r="H241" s="114"/>
      <c r="I241" s="114"/>
    </row>
    <row r="242" spans="1:9" x14ac:dyDescent="0.35">
      <c r="A242" s="114"/>
      <c r="B242" s="114"/>
      <c r="C242" s="114"/>
      <c r="D242" s="114"/>
      <c r="E242" s="114"/>
      <c r="F242" s="114"/>
      <c r="G242" s="114"/>
      <c r="H242" s="114"/>
      <c r="I242" s="114"/>
    </row>
    <row r="243" spans="1:9" x14ac:dyDescent="0.35">
      <c r="A243" s="114"/>
      <c r="B243" s="114"/>
      <c r="C243" s="114"/>
      <c r="D243" s="114"/>
      <c r="E243" s="114"/>
      <c r="F243" s="114"/>
      <c r="G243" s="114"/>
      <c r="H243" s="114"/>
      <c r="I243" s="114"/>
    </row>
    <row r="244" spans="1:9" x14ac:dyDescent="0.35">
      <c r="A244" s="114"/>
      <c r="B244" s="114"/>
      <c r="C244" s="114"/>
      <c r="D244" s="114"/>
      <c r="E244" s="114"/>
      <c r="F244" s="114"/>
      <c r="G244" s="114"/>
      <c r="H244" s="114"/>
      <c r="I244" s="114"/>
    </row>
    <row r="245" spans="1:9" x14ac:dyDescent="0.35">
      <c r="A245" s="114"/>
      <c r="B245" s="114"/>
      <c r="C245" s="114"/>
      <c r="D245" s="114"/>
      <c r="E245" s="114"/>
      <c r="F245" s="114"/>
      <c r="G245" s="114"/>
      <c r="H245" s="114"/>
      <c r="I245" s="114"/>
    </row>
    <row r="246" spans="1:9" x14ac:dyDescent="0.35">
      <c r="A246" s="114"/>
      <c r="B246" s="114"/>
      <c r="C246" s="114"/>
      <c r="D246" s="114"/>
      <c r="E246" s="114"/>
      <c r="F246" s="114"/>
      <c r="G246" s="114"/>
      <c r="H246" s="114"/>
      <c r="I246" s="114"/>
    </row>
    <row r="247" spans="1:9" x14ac:dyDescent="0.35">
      <c r="A247" s="114"/>
      <c r="B247" s="114"/>
      <c r="C247" s="114"/>
      <c r="D247" s="114"/>
      <c r="E247" s="114"/>
      <c r="F247" s="114"/>
      <c r="G247" s="114"/>
      <c r="H247" s="114"/>
      <c r="I247" s="114"/>
    </row>
    <row r="248" spans="1:9" x14ac:dyDescent="0.35">
      <c r="A248" s="114"/>
      <c r="B248" s="114"/>
      <c r="C248" s="114"/>
      <c r="D248" s="114"/>
      <c r="E248" s="114"/>
      <c r="F248" s="114"/>
      <c r="G248" s="114"/>
      <c r="H248" s="114"/>
      <c r="I248" s="114"/>
    </row>
    <row r="249" spans="1:9" x14ac:dyDescent="0.35">
      <c r="A249" s="114"/>
      <c r="B249" s="114"/>
      <c r="C249" s="114"/>
      <c r="D249" s="114"/>
      <c r="E249" s="114"/>
      <c r="F249" s="114"/>
      <c r="G249" s="114"/>
      <c r="H249" s="114"/>
      <c r="I249" s="114"/>
    </row>
    <row r="250" spans="1:9" x14ac:dyDescent="0.35">
      <c r="A250" s="114"/>
      <c r="B250" s="114"/>
      <c r="C250" s="114"/>
      <c r="D250" s="114"/>
      <c r="E250" s="114"/>
      <c r="F250" s="114"/>
      <c r="G250" s="114"/>
      <c r="H250" s="114"/>
      <c r="I250" s="114"/>
    </row>
    <row r="251" spans="1:9" x14ac:dyDescent="0.35">
      <c r="A251" s="114"/>
      <c r="B251" s="114"/>
      <c r="C251" s="114"/>
      <c r="D251" s="114"/>
      <c r="E251" s="114"/>
      <c r="F251" s="114"/>
      <c r="G251" s="114"/>
      <c r="H251" s="114"/>
      <c r="I251" s="114"/>
    </row>
    <row r="252" spans="1:9" x14ac:dyDescent="0.35">
      <c r="A252" s="114"/>
      <c r="B252" s="114"/>
      <c r="C252" s="114"/>
      <c r="D252" s="114"/>
      <c r="E252" s="114"/>
      <c r="F252" s="114"/>
      <c r="G252" s="114"/>
      <c r="H252" s="114"/>
      <c r="I252" s="114"/>
    </row>
    <row r="253" spans="1:9" x14ac:dyDescent="0.35">
      <c r="A253" s="114"/>
      <c r="B253" s="114"/>
      <c r="C253" s="114"/>
      <c r="D253" s="114"/>
      <c r="E253" s="114"/>
      <c r="F253" s="114"/>
      <c r="G253" s="114"/>
      <c r="H253" s="114"/>
      <c r="I253" s="114"/>
    </row>
    <row r="254" spans="1:9" x14ac:dyDescent="0.35">
      <c r="A254" s="114"/>
      <c r="B254" s="114"/>
      <c r="C254" s="114"/>
      <c r="D254" s="114"/>
      <c r="E254" s="114"/>
      <c r="F254" s="114"/>
      <c r="G254" s="114"/>
      <c r="H254" s="114"/>
      <c r="I254" s="114"/>
    </row>
    <row r="255" spans="1:9" x14ac:dyDescent="0.35">
      <c r="A255" s="114"/>
      <c r="B255" s="114"/>
      <c r="C255" s="114"/>
      <c r="D255" s="114"/>
      <c r="E255" s="114"/>
      <c r="F255" s="114"/>
      <c r="G255" s="114"/>
      <c r="H255" s="114"/>
      <c r="I255" s="114"/>
    </row>
    <row r="256" spans="1:9" x14ac:dyDescent="0.35">
      <c r="A256" s="114"/>
      <c r="B256" s="114"/>
      <c r="C256" s="114"/>
      <c r="D256" s="114"/>
      <c r="E256" s="114"/>
      <c r="F256" s="114"/>
      <c r="G256" s="114"/>
      <c r="H256" s="114"/>
      <c r="I256" s="114"/>
    </row>
    <row r="257" spans="1:9" x14ac:dyDescent="0.35">
      <c r="A257" s="114"/>
      <c r="B257" s="114"/>
      <c r="C257" s="114"/>
      <c r="D257" s="114"/>
      <c r="E257" s="114"/>
      <c r="F257" s="114"/>
      <c r="G257" s="114"/>
      <c r="H257" s="114"/>
      <c r="I257" s="114"/>
    </row>
    <row r="258" spans="1:9" x14ac:dyDescent="0.35">
      <c r="A258" s="114"/>
      <c r="B258" s="114"/>
      <c r="C258" s="114"/>
      <c r="D258" s="114"/>
      <c r="E258" s="114"/>
      <c r="F258" s="114"/>
      <c r="G258" s="114"/>
      <c r="H258" s="114"/>
      <c r="I258" s="114"/>
    </row>
    <row r="259" spans="1:9" x14ac:dyDescent="0.35">
      <c r="A259" s="114"/>
      <c r="B259" s="114"/>
      <c r="C259" s="114"/>
      <c r="D259" s="114"/>
      <c r="E259" s="114"/>
      <c r="F259" s="114"/>
      <c r="G259" s="114"/>
      <c r="H259" s="114"/>
      <c r="I259" s="114"/>
    </row>
  </sheetData>
  <mergeCells count="1">
    <mergeCell ref="A1:I1"/>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'E:\Bala\KTH\LEDSafari\[CO2 calculator_food_3.2.xlsm]Dropdown'!#REF!</xm:f>
          </x14:formula1>
          <xm:sqref>B102:B258</xm:sqref>
        </x14:dataValidation>
        <x14:dataValidation type="list" allowBlank="1" showInputMessage="1" showErrorMessage="1">
          <x14:formula1>
            <xm:f>Dropdown!$B$3:$B$9</xm:f>
          </x14:formula1>
          <xm:sqref>B3:B60 B62:B101</xm:sqref>
        </x14:dataValidation>
        <x14:dataValidation type="list" allowBlank="1" showInputMessage="1" showErrorMessage="1">
          <x14:formula1>
            <xm:f>Dropdown!$C$3:$C$6</xm:f>
          </x14:formula1>
          <xm:sqref>F62:F259 F52:F60 F3:F50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pageSetUpPr fitToPage="1"/>
  </sheetPr>
  <dimension ref="A1:O92"/>
  <sheetViews>
    <sheetView view="pageBreakPreview" topLeftCell="A25" zoomScale="80" zoomScaleNormal="55" zoomScaleSheetLayoutView="80" workbookViewId="0">
      <selection activeCell="B6" sqref="B6"/>
    </sheetView>
  </sheetViews>
  <sheetFormatPr defaultRowHeight="14.5" x14ac:dyDescent="0.35"/>
  <cols>
    <col min="1" max="1" width="28.7265625" customWidth="1" collapsed="1"/>
    <col min="2" max="2" width="13.54296875" customWidth="1" collapsed="1"/>
    <col min="3" max="5" width="17.08984375" customWidth="1" collapsed="1"/>
    <col min="6" max="15" width="8.7265625" customWidth="1" collapsed="1"/>
  </cols>
  <sheetData>
    <row r="1" spans="1:6" ht="36" x14ac:dyDescent="0.8">
      <c r="A1" s="134" t="s">
        <v>281</v>
      </c>
      <c r="B1" s="56"/>
      <c r="C1" s="137" t="str">
        <f>Start!B7</f>
        <v>Mina Mirzadeh</v>
      </c>
      <c r="D1" s="137"/>
      <c r="E1" s="56"/>
      <c r="F1" s="56"/>
    </row>
    <row r="2" spans="1:6" x14ac:dyDescent="0.35">
      <c r="A2" s="131" t="s">
        <v>282</v>
      </c>
      <c r="B2" s="56"/>
      <c r="C2" s="56"/>
      <c r="D2" s="56"/>
      <c r="E2" s="56"/>
      <c r="F2" s="56"/>
    </row>
    <row r="3" spans="1:6" x14ac:dyDescent="0.35">
      <c r="A3" s="56"/>
      <c r="B3" s="56"/>
      <c r="C3" s="56"/>
      <c r="D3" s="56"/>
      <c r="E3" s="56"/>
      <c r="F3" s="56"/>
    </row>
    <row r="4" spans="1:6" x14ac:dyDescent="0.35">
      <c r="A4" s="61" t="s">
        <v>288</v>
      </c>
      <c r="B4" s="26"/>
      <c r="C4" s="26"/>
      <c r="D4" s="26"/>
      <c r="E4" s="26"/>
      <c r="F4" s="26"/>
    </row>
    <row r="5" spans="1:6" x14ac:dyDescent="0.35">
      <c r="A5" s="56" t="s">
        <v>283</v>
      </c>
      <c r="B5" s="64">
        <f>'household calculator'!G31</f>
        <v>73278.598799999992</v>
      </c>
      <c r="C5" s="56" t="s">
        <v>286</v>
      </c>
      <c r="D5" s="56"/>
      <c r="E5" s="56"/>
      <c r="F5" s="56"/>
    </row>
    <row r="6" spans="1:6" x14ac:dyDescent="0.35">
      <c r="A6" s="56" t="s">
        <v>284</v>
      </c>
      <c r="B6" s="64">
        <f>'household calculator'!I31+B44</f>
        <v>521.43763082839996</v>
      </c>
      <c r="C6" s="56" t="s">
        <v>287</v>
      </c>
      <c r="D6" s="56"/>
      <c r="E6" s="56"/>
      <c r="F6" s="56"/>
    </row>
    <row r="7" spans="1:6" x14ac:dyDescent="0.35">
      <c r="A7" s="56" t="s">
        <v>285</v>
      </c>
      <c r="B7" s="64">
        <f>'household calculator'!K31</f>
        <v>2679.7034366666667</v>
      </c>
      <c r="C7" s="56" t="s">
        <v>193</v>
      </c>
      <c r="D7" s="56"/>
      <c r="E7" s="56"/>
      <c r="F7" s="56"/>
    </row>
    <row r="8" spans="1:6" x14ac:dyDescent="0.35">
      <c r="A8" s="56"/>
      <c r="B8" s="56"/>
      <c r="C8" s="56"/>
      <c r="D8" s="56"/>
      <c r="E8" s="56"/>
      <c r="F8" s="56"/>
    </row>
    <row r="9" spans="1:6" x14ac:dyDescent="0.35">
      <c r="A9" s="56"/>
      <c r="B9" s="56"/>
      <c r="C9" s="56"/>
      <c r="D9" s="56"/>
      <c r="E9" s="56"/>
      <c r="F9" s="56"/>
    </row>
    <row r="10" spans="1:6" x14ac:dyDescent="0.35">
      <c r="A10" s="61" t="s">
        <v>289</v>
      </c>
      <c r="B10" s="26"/>
      <c r="C10" s="26"/>
      <c r="D10" s="69"/>
      <c r="E10" s="69"/>
      <c r="F10" s="26"/>
    </row>
    <row r="11" spans="1:6" x14ac:dyDescent="0.35">
      <c r="A11" s="56"/>
      <c r="B11" s="56"/>
      <c r="C11" s="56"/>
      <c r="D11" s="56"/>
      <c r="E11" s="56"/>
      <c r="F11" s="56"/>
    </row>
    <row r="12" spans="1:6" x14ac:dyDescent="0.35">
      <c r="A12" s="56"/>
      <c r="B12" s="56"/>
      <c r="C12" s="56"/>
      <c r="D12" s="56"/>
      <c r="E12" s="56"/>
      <c r="F12" s="56"/>
    </row>
    <row r="13" spans="1:6" x14ac:dyDescent="0.35">
      <c r="A13" s="56"/>
      <c r="B13" s="56"/>
      <c r="C13" s="56"/>
      <c r="D13" s="56"/>
      <c r="E13" s="56"/>
      <c r="F13" s="56"/>
    </row>
    <row r="14" spans="1:6" x14ac:dyDescent="0.35">
      <c r="A14" s="66" t="s">
        <v>325</v>
      </c>
      <c r="B14" s="65"/>
      <c r="C14" s="335" t="s">
        <v>296</v>
      </c>
      <c r="D14" s="335"/>
      <c r="E14" s="335"/>
      <c r="F14" s="56"/>
    </row>
    <row r="15" spans="1:6" ht="43.5" x14ac:dyDescent="0.35">
      <c r="A15" s="65"/>
      <c r="B15" s="68" t="s">
        <v>297</v>
      </c>
      <c r="C15" s="95" t="s">
        <v>323</v>
      </c>
      <c r="D15" s="95" t="s">
        <v>324</v>
      </c>
      <c r="E15" s="95" t="s">
        <v>295</v>
      </c>
      <c r="F15" s="56"/>
    </row>
    <row r="16" spans="1:6" x14ac:dyDescent="0.35">
      <c r="A16" s="64" t="s">
        <v>529</v>
      </c>
      <c r="B16" s="64">
        <f>'household calculator'!G7+'household calculator'!G8 + 'household calculator'!G10+'household calculator'!G11+'household calculator'!G12</f>
        <v>37123.68</v>
      </c>
      <c r="C16" s="91">
        <f>B16/'back end data'!$B$87</f>
        <v>371.23680000000002</v>
      </c>
      <c r="D16" s="93">
        <f>B16/'back end data'!$B$88</f>
        <v>3.7123679999999999E-2</v>
      </c>
      <c r="E16" s="91">
        <f>B16/'back end data'!$B$89</f>
        <v>11249.6</v>
      </c>
      <c r="F16" s="56"/>
    </row>
    <row r="17" spans="1:6" x14ac:dyDescent="0.35">
      <c r="A17" s="64" t="s">
        <v>126</v>
      </c>
      <c r="B17" s="64">
        <f>'household calculator'!G9</f>
        <v>23723.7</v>
      </c>
      <c r="C17" s="91">
        <f>B17/'back end data'!$B$87</f>
        <v>237.23699999999999</v>
      </c>
      <c r="D17" s="93">
        <f>B17/'back end data'!$B$88</f>
        <v>2.37237E-2</v>
      </c>
      <c r="E17" s="91">
        <f>B17/'back end data'!$B$89</f>
        <v>7189.0000000000009</v>
      </c>
      <c r="F17" s="56"/>
    </row>
    <row r="18" spans="1:6" x14ac:dyDescent="0.35">
      <c r="A18" s="64" t="s">
        <v>530</v>
      </c>
      <c r="B18" s="64">
        <f>'household calculator'!G19</f>
        <v>364.98</v>
      </c>
      <c r="C18" s="91">
        <f>B18/'back end data'!$B$87</f>
        <v>3.6498000000000004</v>
      </c>
      <c r="D18" s="93">
        <f>B18/'back end data'!$B$88</f>
        <v>3.6497999999999999E-4</v>
      </c>
      <c r="E18" s="91">
        <f>B18/'back end data'!$B$89</f>
        <v>110.60000000000001</v>
      </c>
      <c r="F18" s="56"/>
    </row>
    <row r="19" spans="1:6" x14ac:dyDescent="0.35">
      <c r="A19" s="64" t="s">
        <v>127</v>
      </c>
      <c r="B19" s="64">
        <f>'household calculator'!G15</f>
        <v>1116.8388</v>
      </c>
      <c r="C19" s="91">
        <f>B19/'back end data'!$B$87</f>
        <v>11.168388</v>
      </c>
      <c r="D19" s="93">
        <f>B19/'back end data'!$B$88</f>
        <v>1.1168388E-3</v>
      </c>
      <c r="E19" s="91">
        <f>B19/'back end data'!$B$89</f>
        <v>338.43600000000004</v>
      </c>
      <c r="F19" s="56"/>
    </row>
    <row r="20" spans="1:6" x14ac:dyDescent="0.35">
      <c r="A20" s="64" t="s">
        <v>279</v>
      </c>
      <c r="B20" s="64">
        <f>'household calculator'!G20+'household calculator'!G21</f>
        <v>10949.4</v>
      </c>
      <c r="C20" s="91">
        <f>B20/'back end data'!$B$87</f>
        <v>109.494</v>
      </c>
      <c r="D20" s="93">
        <f>B20/'back end data'!$B$88</f>
        <v>1.09494E-2</v>
      </c>
      <c r="E20" s="91">
        <f>B20/'back end data'!$B$89</f>
        <v>3318</v>
      </c>
      <c r="F20" s="56"/>
    </row>
    <row r="21" spans="1:6" x14ac:dyDescent="0.35">
      <c r="A21" s="67" t="s">
        <v>291</v>
      </c>
      <c r="B21" s="67">
        <f>SUM(B16:B20)</f>
        <v>73278.598800000007</v>
      </c>
      <c r="C21" s="92">
        <f>B21/'back end data'!$B$87</f>
        <v>732.78598800000009</v>
      </c>
      <c r="D21" s="94">
        <f>B21/'back end data'!$B$88</f>
        <v>7.3278598800000011E-2</v>
      </c>
      <c r="E21" s="92">
        <f>B21/'back end data'!$B$89</f>
        <v>22205.636000000002</v>
      </c>
      <c r="F21" s="56"/>
    </row>
    <row r="22" spans="1:6" x14ac:dyDescent="0.35">
      <c r="A22" s="56"/>
      <c r="B22" s="56"/>
      <c r="C22" s="56"/>
      <c r="D22" s="56"/>
      <c r="E22" s="56"/>
      <c r="F22" s="56"/>
    </row>
    <row r="23" spans="1:6" x14ac:dyDescent="0.35">
      <c r="A23" s="56"/>
      <c r="B23" s="56"/>
      <c r="C23" s="56"/>
      <c r="D23" s="56"/>
      <c r="E23" s="56"/>
      <c r="F23" s="56"/>
    </row>
    <row r="24" spans="1:6" x14ac:dyDescent="0.35">
      <c r="A24" s="56"/>
      <c r="B24" s="56"/>
      <c r="C24" s="56"/>
      <c r="D24" s="56"/>
      <c r="E24" s="56"/>
      <c r="F24" s="56"/>
    </row>
    <row r="25" spans="1:6" x14ac:dyDescent="0.35">
      <c r="A25" s="56"/>
      <c r="B25" s="56"/>
      <c r="C25" s="56"/>
      <c r="D25" s="56"/>
      <c r="E25" s="56"/>
      <c r="F25" s="56"/>
    </row>
    <row r="26" spans="1:6" x14ac:dyDescent="0.35">
      <c r="A26" s="66" t="s">
        <v>326</v>
      </c>
      <c r="B26" s="65"/>
      <c r="C26" s="335" t="s">
        <v>296</v>
      </c>
      <c r="D26" s="335"/>
      <c r="E26" s="335"/>
      <c r="F26" s="56"/>
    </row>
    <row r="27" spans="1:6" ht="29" x14ac:dyDescent="0.35">
      <c r="A27" s="65"/>
      <c r="B27" s="68" t="s">
        <v>193</v>
      </c>
      <c r="C27" s="95" t="s">
        <v>327</v>
      </c>
      <c r="D27" s="95" t="s">
        <v>300</v>
      </c>
      <c r="E27" s="95" t="s">
        <v>301</v>
      </c>
      <c r="F27" s="56"/>
    </row>
    <row r="28" spans="1:6" x14ac:dyDescent="0.35">
      <c r="A28" s="56" t="s">
        <v>111</v>
      </c>
      <c r="B28" s="64">
        <f>'household calculator'!K30</f>
        <v>875.952</v>
      </c>
      <c r="C28" s="91">
        <f>B28/'back end data'!$B$91</f>
        <v>456.22500000000002</v>
      </c>
      <c r="D28" s="96">
        <f>B28/'back end data'!$B$93</f>
        <v>83424</v>
      </c>
      <c r="E28" s="91">
        <f>B28/'back end data'!$B$92</f>
        <v>5474.7</v>
      </c>
      <c r="F28" s="56"/>
    </row>
    <row r="29" spans="1:6" x14ac:dyDescent="0.35">
      <c r="A29" s="56" t="s">
        <v>299</v>
      </c>
      <c r="B29" s="64">
        <f>SUM('household calculator'!K25:K27)</f>
        <v>184.31490000000002</v>
      </c>
      <c r="C29" s="91">
        <f>B29/'back end data'!$B$91</f>
        <v>95.997343750000013</v>
      </c>
      <c r="D29" s="96">
        <f>B29/'back end data'!$B$93</f>
        <v>17553.8</v>
      </c>
      <c r="E29" s="91">
        <f>B29/'back end data'!$B$92</f>
        <v>1151.9681250000001</v>
      </c>
      <c r="F29" s="56"/>
    </row>
    <row r="30" spans="1:6" x14ac:dyDescent="0.35">
      <c r="A30" s="56" t="s">
        <v>298</v>
      </c>
      <c r="B30" s="64">
        <f>'household calculator'!K24</f>
        <v>0</v>
      </c>
      <c r="C30" s="91">
        <f>B30/'back end data'!$B$91</f>
        <v>0</v>
      </c>
      <c r="D30" s="96">
        <f>B30/'back end data'!$B$93</f>
        <v>0</v>
      </c>
      <c r="E30" s="91">
        <f>B30/'back end data'!$B$92</f>
        <v>0</v>
      </c>
      <c r="F30" s="56"/>
    </row>
    <row r="31" spans="1:6" x14ac:dyDescent="0.35">
      <c r="A31" s="56" t="s">
        <v>127</v>
      </c>
      <c r="B31" s="64">
        <f>SUM('household calculator'!K15:K16)</f>
        <v>89.562036666666671</v>
      </c>
      <c r="C31" s="91">
        <f>B31/'back end data'!$B$91</f>
        <v>46.646894097222223</v>
      </c>
      <c r="D31" s="96">
        <f>B31/'back end data'!$B$93</f>
        <v>8529.7177777777779</v>
      </c>
      <c r="E31" s="91">
        <f>B31/'back end data'!$B$92</f>
        <v>559.76272916666665</v>
      </c>
      <c r="F31" s="56"/>
    </row>
    <row r="32" spans="1:6" x14ac:dyDescent="0.35">
      <c r="A32" s="64" t="s">
        <v>305</v>
      </c>
      <c r="B32" s="64">
        <f>SUM('household calculator'!K7:K8,'household calculator'!K19:K21)</f>
        <v>1529.8745000000001</v>
      </c>
      <c r="C32" s="91">
        <f>B32/'back end data'!$B$91</f>
        <v>796.80963541666677</v>
      </c>
      <c r="D32" s="96">
        <f>B32/'back end data'!$B$93</f>
        <v>145702.33333333334</v>
      </c>
      <c r="E32" s="91">
        <f>B32/'back end data'!$B$92</f>
        <v>9561.7156250000007</v>
      </c>
      <c r="F32" s="56"/>
    </row>
    <row r="33" spans="1:6" x14ac:dyDescent="0.35">
      <c r="A33" s="67" t="s">
        <v>291</v>
      </c>
      <c r="B33" s="67">
        <f>SUM(B28:B32)</f>
        <v>2679.7034366666667</v>
      </c>
      <c r="C33" s="92">
        <f>B33/'back end data'!$B$91</f>
        <v>1395.678873263889</v>
      </c>
      <c r="D33" s="97">
        <f>B33/'back end data'!$B$93</f>
        <v>255209.85111111109</v>
      </c>
      <c r="E33" s="92">
        <f>B33/'back end data'!$B$92</f>
        <v>16748.146479166666</v>
      </c>
      <c r="F33" s="56"/>
    </row>
    <row r="34" spans="1:6" x14ac:dyDescent="0.35">
      <c r="A34" s="56"/>
      <c r="B34" s="56"/>
      <c r="C34" s="56"/>
      <c r="D34" s="56"/>
      <c r="E34" s="56"/>
      <c r="F34" s="56"/>
    </row>
    <row r="35" spans="1:6" x14ac:dyDescent="0.35">
      <c r="A35" s="56"/>
      <c r="B35" s="56"/>
      <c r="C35" s="56"/>
      <c r="D35" s="56"/>
      <c r="E35" s="56"/>
      <c r="F35" s="56"/>
    </row>
    <row r="36" spans="1:6" x14ac:dyDescent="0.35">
      <c r="A36" s="56"/>
      <c r="B36" s="56"/>
      <c r="C36" s="56"/>
      <c r="D36" s="56"/>
      <c r="E36" s="56"/>
      <c r="F36" s="56"/>
    </row>
    <row r="37" spans="1:6" x14ac:dyDescent="0.35">
      <c r="A37" s="56"/>
      <c r="B37" s="56"/>
      <c r="C37" s="56"/>
      <c r="D37" s="56"/>
      <c r="E37" s="56"/>
      <c r="F37" s="56"/>
    </row>
    <row r="38" spans="1:6" x14ac:dyDescent="0.35">
      <c r="A38" s="66" t="s">
        <v>306</v>
      </c>
      <c r="B38" s="65"/>
      <c r="C38" s="335" t="s">
        <v>296</v>
      </c>
      <c r="D38" s="335"/>
      <c r="E38" s="335"/>
      <c r="F38" s="56"/>
    </row>
    <row r="39" spans="1:6" ht="43.5" x14ac:dyDescent="0.35">
      <c r="A39" s="65"/>
      <c r="B39" s="68" t="s">
        <v>287</v>
      </c>
      <c r="C39" s="98" t="s">
        <v>328</v>
      </c>
      <c r="D39" s="98" t="s">
        <v>314</v>
      </c>
      <c r="E39" s="98" t="s">
        <v>315</v>
      </c>
      <c r="F39" s="56"/>
    </row>
    <row r="40" spans="1:6" x14ac:dyDescent="0.35">
      <c r="A40" s="56" t="s">
        <v>111</v>
      </c>
      <c r="B40" s="64">
        <f>'household calculator'!I30</f>
        <v>165.91406832000001</v>
      </c>
      <c r="C40" s="91">
        <f>B40/'back end data'!$B$95</f>
        <v>55.675861852348994</v>
      </c>
      <c r="D40" s="96">
        <f>B40/'back end data'!$B$96</f>
        <v>41.406056481157982</v>
      </c>
      <c r="E40" s="91">
        <f>B40/'back end data'!$B$97</f>
        <v>82.957034160000006</v>
      </c>
      <c r="F40" s="56"/>
    </row>
    <row r="41" spans="1:6" x14ac:dyDescent="0.35">
      <c r="A41" s="56" t="s">
        <v>307</v>
      </c>
      <c r="B41" s="64">
        <f>SUM('household calculator'!I24:I27)</f>
        <v>34.911085208999992</v>
      </c>
      <c r="C41" s="91">
        <f>B41/'back end data'!$B$95</f>
        <v>11.715129264765098</v>
      </c>
      <c r="D41" s="96">
        <f>B41/'back end data'!$B$96</f>
        <v>8.7125243845769891</v>
      </c>
      <c r="E41" s="91">
        <f>B41/'back end data'!$B$97</f>
        <v>17.455542604499996</v>
      </c>
      <c r="F41" s="56"/>
    </row>
    <row r="42" spans="1:6" x14ac:dyDescent="0.35">
      <c r="A42" s="56" t="s">
        <v>531</v>
      </c>
      <c r="B42" s="64">
        <f>SUM('household calculator'!I19:I21)+SUM('household calculator'!I7:I8)</f>
        <v>289.77352904500003</v>
      </c>
      <c r="C42" s="91">
        <f>B42/'back end data'!$B$95</f>
        <v>97.239439276845644</v>
      </c>
      <c r="D42" s="96">
        <f>B42/'back end data'!$B$96</f>
        <v>72.316827812577998</v>
      </c>
      <c r="E42" s="91">
        <f>B42/'back end data'!$B$97</f>
        <v>144.88676452250002</v>
      </c>
      <c r="F42" s="56"/>
    </row>
    <row r="43" spans="1:6" x14ac:dyDescent="0.35">
      <c r="A43" s="64" t="s">
        <v>127</v>
      </c>
      <c r="B43" s="64">
        <f>'household calculator'!I15+'household calculator'!I16</f>
        <v>30.838948254400002</v>
      </c>
      <c r="C43" s="91">
        <f>B43/'back end data'!$B$95</f>
        <v>10.348640353825504</v>
      </c>
      <c r="D43" s="96">
        <f>B43/'back end data'!$B$96</f>
        <v>7.6962685935612685</v>
      </c>
      <c r="E43" s="91">
        <f>B43/'back end data'!$B$97</f>
        <v>15.419474127200001</v>
      </c>
      <c r="F43" s="56"/>
    </row>
    <row r="44" spans="1:6" x14ac:dyDescent="0.35">
      <c r="A44" s="56" t="s">
        <v>308</v>
      </c>
      <c r="B44" s="64">
        <f>365*(SUM('Food Footprint Report'!B9:E9))</f>
        <v>0</v>
      </c>
      <c r="C44" s="91">
        <f>B44/'back end data'!$B$95</f>
        <v>0</v>
      </c>
      <c r="D44" s="96">
        <f>B44/'back end data'!$B$96</f>
        <v>0</v>
      </c>
      <c r="E44" s="91">
        <f>B44/'back end data'!$B$97</f>
        <v>0</v>
      </c>
      <c r="F44" s="56"/>
    </row>
    <row r="45" spans="1:6" x14ac:dyDescent="0.35">
      <c r="A45" s="67" t="s">
        <v>291</v>
      </c>
      <c r="B45" s="67">
        <f>SUM(B40:B44)</f>
        <v>521.43763082839996</v>
      </c>
      <c r="C45" s="92">
        <f>B45/'back end data'!$B$95</f>
        <v>174.97907074778522</v>
      </c>
      <c r="D45" s="97">
        <f>B45/'back end data'!$B$96</f>
        <v>130.13167727187422</v>
      </c>
      <c r="E45" s="92">
        <f>B45/'back end data'!$B$97</f>
        <v>260.71881541419998</v>
      </c>
      <c r="F45" s="56"/>
    </row>
    <row r="46" spans="1:6" x14ac:dyDescent="0.35">
      <c r="A46" s="56"/>
      <c r="B46" s="56"/>
      <c r="C46" s="56"/>
      <c r="D46" s="56"/>
      <c r="E46" s="56"/>
      <c r="F46" s="56"/>
    </row>
    <row r="47" spans="1:6" x14ac:dyDescent="0.35">
      <c r="A47" s="56"/>
      <c r="B47" s="56"/>
      <c r="C47" s="56"/>
      <c r="D47" s="56"/>
      <c r="E47" s="56"/>
      <c r="F47" s="56"/>
    </row>
    <row r="48" spans="1:6" x14ac:dyDescent="0.35">
      <c r="A48" s="56"/>
      <c r="B48" s="56"/>
      <c r="C48" s="56"/>
      <c r="D48" s="56"/>
      <c r="E48" s="56"/>
      <c r="F48" s="56"/>
    </row>
    <row r="49" spans="1:6" x14ac:dyDescent="0.35">
      <c r="A49" s="56"/>
      <c r="B49" s="56"/>
      <c r="C49" s="56"/>
      <c r="D49" s="56"/>
      <c r="E49" s="56"/>
      <c r="F49" s="56"/>
    </row>
    <row r="50" spans="1:6" x14ac:dyDescent="0.35">
      <c r="A50" s="56"/>
      <c r="B50" s="56"/>
      <c r="C50" s="56"/>
      <c r="D50" s="56"/>
      <c r="E50" s="56"/>
      <c r="F50" s="56"/>
    </row>
    <row r="51" spans="1:6" x14ac:dyDescent="0.35">
      <c r="A51" s="56"/>
      <c r="B51" s="56"/>
      <c r="C51" s="56"/>
      <c r="D51" s="56"/>
      <c r="E51" s="56"/>
      <c r="F51" s="56"/>
    </row>
    <row r="52" spans="1:6" x14ac:dyDescent="0.35">
      <c r="A52" s="56"/>
      <c r="B52" s="56"/>
      <c r="C52" s="56"/>
      <c r="D52" s="56"/>
      <c r="E52" s="56"/>
      <c r="F52" s="56"/>
    </row>
    <row r="53" spans="1:6" x14ac:dyDescent="0.35">
      <c r="A53" s="56"/>
      <c r="B53" s="56"/>
      <c r="C53" s="56"/>
      <c r="D53" s="56"/>
      <c r="E53" s="56"/>
      <c r="F53" s="56"/>
    </row>
    <row r="54" spans="1:6" x14ac:dyDescent="0.35">
      <c r="A54" s="56"/>
      <c r="B54" s="56"/>
      <c r="C54" s="56"/>
      <c r="D54" s="56"/>
      <c r="E54" s="56"/>
      <c r="F54" s="56"/>
    </row>
    <row r="55" spans="1:6" x14ac:dyDescent="0.35">
      <c r="A55" s="56"/>
      <c r="B55" s="56"/>
      <c r="C55" s="56"/>
      <c r="D55" s="56"/>
      <c r="E55" s="56"/>
      <c r="F55" s="56"/>
    </row>
    <row r="56" spans="1:6" x14ac:dyDescent="0.35">
      <c r="A56" s="56"/>
      <c r="B56" s="56"/>
      <c r="C56" s="56"/>
      <c r="D56" s="56"/>
      <c r="E56" s="56"/>
      <c r="F56" s="56"/>
    </row>
    <row r="57" spans="1:6" x14ac:dyDescent="0.35">
      <c r="A57" s="56"/>
      <c r="B57" s="56"/>
      <c r="C57" s="56"/>
      <c r="D57" s="56"/>
      <c r="E57" s="56"/>
      <c r="F57" s="56"/>
    </row>
    <row r="58" spans="1:6" x14ac:dyDescent="0.35">
      <c r="A58" s="56"/>
      <c r="B58" s="56"/>
      <c r="C58" s="56"/>
      <c r="D58" s="56"/>
      <c r="E58" s="56"/>
      <c r="F58" s="56"/>
    </row>
    <row r="59" spans="1:6" x14ac:dyDescent="0.35">
      <c r="A59" s="56"/>
      <c r="B59" s="56"/>
      <c r="C59" s="56"/>
      <c r="D59" s="56"/>
      <c r="E59" s="56"/>
      <c r="F59" s="56"/>
    </row>
    <row r="60" spans="1:6" x14ac:dyDescent="0.35">
      <c r="A60" s="56"/>
      <c r="B60" s="56"/>
      <c r="C60" s="56"/>
      <c r="D60" s="56"/>
      <c r="E60" s="56"/>
      <c r="F60" s="56"/>
    </row>
    <row r="61" spans="1:6" x14ac:dyDescent="0.35">
      <c r="A61" s="56"/>
      <c r="B61" s="56"/>
      <c r="C61" s="56"/>
      <c r="D61" s="56"/>
      <c r="E61" s="56"/>
      <c r="F61" s="56"/>
    </row>
    <row r="62" spans="1:6" x14ac:dyDescent="0.35">
      <c r="A62" s="56"/>
      <c r="B62" s="56"/>
      <c r="C62" s="56"/>
      <c r="D62" s="56"/>
      <c r="E62" s="56"/>
      <c r="F62" s="56"/>
    </row>
    <row r="63" spans="1:6" x14ac:dyDescent="0.35">
      <c r="A63" s="56"/>
      <c r="B63" s="56"/>
      <c r="C63" s="56"/>
      <c r="D63" s="56"/>
      <c r="E63" s="56"/>
      <c r="F63" s="56"/>
    </row>
    <row r="64" spans="1:6" x14ac:dyDescent="0.35">
      <c r="A64" s="56"/>
      <c r="B64" s="56"/>
      <c r="C64" s="56"/>
      <c r="D64" s="56"/>
      <c r="E64" s="56"/>
      <c r="F64" s="56"/>
    </row>
    <row r="65" spans="1:6" x14ac:dyDescent="0.35">
      <c r="A65" s="56"/>
      <c r="B65" s="56"/>
      <c r="C65" s="56"/>
      <c r="D65" s="56"/>
      <c r="E65" s="56"/>
      <c r="F65" s="56"/>
    </row>
    <row r="66" spans="1:6" x14ac:dyDescent="0.35">
      <c r="A66" s="56"/>
      <c r="B66" s="56"/>
      <c r="C66" s="56"/>
      <c r="D66" s="56"/>
      <c r="E66" s="56"/>
      <c r="F66" s="56"/>
    </row>
    <row r="67" spans="1:6" x14ac:dyDescent="0.35">
      <c r="A67" s="56"/>
      <c r="B67" s="56"/>
      <c r="C67" s="56"/>
      <c r="D67" s="56"/>
      <c r="E67" s="56"/>
      <c r="F67" s="56"/>
    </row>
    <row r="68" spans="1:6" x14ac:dyDescent="0.35">
      <c r="A68" s="56"/>
      <c r="B68" s="56"/>
      <c r="C68" s="56"/>
      <c r="D68" s="56"/>
      <c r="E68" s="56"/>
      <c r="F68" s="56"/>
    </row>
    <row r="69" spans="1:6" x14ac:dyDescent="0.35">
      <c r="A69" s="56"/>
      <c r="B69" s="56"/>
      <c r="C69" s="56"/>
      <c r="D69" s="56"/>
      <c r="E69" s="56"/>
      <c r="F69" s="56"/>
    </row>
    <row r="70" spans="1:6" x14ac:dyDescent="0.35">
      <c r="A70" s="56"/>
      <c r="B70" s="56"/>
      <c r="C70" s="56"/>
      <c r="D70" s="56"/>
      <c r="E70" s="56"/>
      <c r="F70" s="56"/>
    </row>
    <row r="71" spans="1:6" x14ac:dyDescent="0.35">
      <c r="A71" s="56"/>
      <c r="B71" s="56"/>
      <c r="C71" s="56"/>
      <c r="D71" s="56"/>
      <c r="E71" s="56"/>
      <c r="F71" s="56"/>
    </row>
    <row r="72" spans="1:6" x14ac:dyDescent="0.35">
      <c r="A72" s="56"/>
      <c r="B72" s="56"/>
      <c r="C72" s="56"/>
      <c r="D72" s="56"/>
      <c r="E72" s="56"/>
      <c r="F72" s="56"/>
    </row>
    <row r="73" spans="1:6" x14ac:dyDescent="0.35">
      <c r="A73" s="56"/>
      <c r="B73" s="56"/>
      <c r="C73" s="56"/>
      <c r="D73" s="56"/>
      <c r="E73" s="56"/>
      <c r="F73" s="56"/>
    </row>
    <row r="74" spans="1:6" x14ac:dyDescent="0.35">
      <c r="A74" s="56"/>
      <c r="B74" s="56"/>
      <c r="C74" s="56"/>
      <c r="D74" s="56"/>
      <c r="E74" s="56"/>
      <c r="F74" s="56"/>
    </row>
    <row r="75" spans="1:6" x14ac:dyDescent="0.35">
      <c r="A75" s="56"/>
      <c r="B75" s="56"/>
      <c r="C75" s="56"/>
      <c r="D75" s="56"/>
      <c r="E75" s="56"/>
      <c r="F75" s="56"/>
    </row>
    <row r="76" spans="1:6" x14ac:dyDescent="0.35">
      <c r="A76" s="56"/>
      <c r="B76" s="56"/>
      <c r="C76" s="56"/>
      <c r="D76" s="56"/>
      <c r="E76" s="56"/>
      <c r="F76" s="56"/>
    </row>
    <row r="77" spans="1:6" x14ac:dyDescent="0.35">
      <c r="A77" s="56"/>
      <c r="B77" s="56"/>
      <c r="C77" s="56"/>
      <c r="D77" s="56"/>
      <c r="E77" s="56"/>
      <c r="F77" s="56"/>
    </row>
    <row r="78" spans="1:6" x14ac:dyDescent="0.35">
      <c r="A78" s="56"/>
      <c r="B78" s="56"/>
      <c r="C78" s="56"/>
      <c r="D78" s="56"/>
      <c r="E78" s="56"/>
      <c r="F78" s="56"/>
    </row>
    <row r="79" spans="1:6" x14ac:dyDescent="0.35">
      <c r="A79" s="56"/>
      <c r="B79" s="56"/>
      <c r="C79" s="56"/>
      <c r="D79" s="56"/>
      <c r="E79" s="56"/>
      <c r="F79" s="56"/>
    </row>
    <row r="80" spans="1:6" x14ac:dyDescent="0.35">
      <c r="A80" s="56"/>
      <c r="B80" s="56"/>
      <c r="C80" s="56"/>
      <c r="D80" s="56"/>
      <c r="E80" s="56"/>
      <c r="F80" s="56"/>
    </row>
    <row r="81" spans="1:6" x14ac:dyDescent="0.35">
      <c r="A81" s="56"/>
      <c r="B81" s="56"/>
      <c r="C81" s="56"/>
      <c r="D81" s="56"/>
      <c r="E81" s="56"/>
      <c r="F81" s="56"/>
    </row>
    <row r="82" spans="1:6" x14ac:dyDescent="0.35">
      <c r="A82" s="56"/>
      <c r="B82" s="56"/>
      <c r="C82" s="56"/>
      <c r="D82" s="56"/>
      <c r="E82" s="56"/>
      <c r="F82" s="56"/>
    </row>
    <row r="83" spans="1:6" x14ac:dyDescent="0.35">
      <c r="A83" s="56"/>
      <c r="B83" s="56"/>
      <c r="C83" s="56"/>
      <c r="D83" s="56"/>
      <c r="E83" s="56"/>
      <c r="F83" s="56"/>
    </row>
    <row r="84" spans="1:6" x14ac:dyDescent="0.35">
      <c r="A84" s="56"/>
      <c r="B84" s="56"/>
      <c r="C84" s="56"/>
      <c r="D84" s="56"/>
      <c r="E84" s="56"/>
      <c r="F84" s="56"/>
    </row>
    <row r="85" spans="1:6" x14ac:dyDescent="0.35">
      <c r="A85" s="56"/>
      <c r="B85" s="56"/>
      <c r="C85" s="56"/>
      <c r="D85" s="56"/>
      <c r="E85" s="56"/>
      <c r="F85" s="56"/>
    </row>
    <row r="86" spans="1:6" x14ac:dyDescent="0.35">
      <c r="A86" s="56"/>
      <c r="B86" s="56"/>
      <c r="C86" s="56"/>
      <c r="D86" s="56"/>
      <c r="E86" s="56"/>
      <c r="F86" s="56"/>
    </row>
    <row r="87" spans="1:6" x14ac:dyDescent="0.35">
      <c r="A87" s="56"/>
      <c r="B87" s="56"/>
      <c r="C87" s="56"/>
      <c r="D87" s="56"/>
      <c r="E87" s="56"/>
      <c r="F87" s="56"/>
    </row>
    <row r="88" spans="1:6" x14ac:dyDescent="0.35">
      <c r="A88" s="56"/>
      <c r="B88" s="56"/>
      <c r="C88" s="56"/>
      <c r="D88" s="56"/>
      <c r="E88" s="56"/>
      <c r="F88" s="56"/>
    </row>
    <row r="89" spans="1:6" x14ac:dyDescent="0.35">
      <c r="F89" s="56"/>
    </row>
    <row r="90" spans="1:6" x14ac:dyDescent="0.35">
      <c r="F90" s="56"/>
    </row>
    <row r="91" spans="1:6" x14ac:dyDescent="0.35">
      <c r="F91" s="56"/>
    </row>
    <row r="92" spans="1:6" ht="45" customHeight="1" x14ac:dyDescent="0.35"/>
  </sheetData>
  <mergeCells count="3">
    <mergeCell ref="C14:E14"/>
    <mergeCell ref="C26:E26"/>
    <mergeCell ref="C38:E38"/>
  </mergeCells>
  <pageMargins left="0.7" right="0.7" top="0.75" bottom="0.75" header="0.3" footer="0.3"/>
  <pageSetup paperSize="9" scale="86" fitToHeight="0" orientation="portrait" r:id="rId1"/>
  <headerFooter>
    <oddHeader>&amp;LLEDsafari footprint report&amp;R&amp;P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sheetPr>
  <dimension ref="A1:AM70"/>
  <sheetViews>
    <sheetView topLeftCell="A4" zoomScale="90" zoomScaleNormal="90" workbookViewId="0">
      <selection activeCell="C11" sqref="C11"/>
    </sheetView>
  </sheetViews>
  <sheetFormatPr defaultRowHeight="14.5" x14ac:dyDescent="0.35"/>
  <cols>
    <col min="1" max="1" width="45.453125" customWidth="1" collapsed="1"/>
    <col min="2" max="2" width="24.26953125" bestFit="1" customWidth="1" collapsed="1"/>
    <col min="3" max="3" width="14.36328125" bestFit="1"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hidden="1"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hidden="1" customWidth="1" collapsed="1"/>
    <col min="19" max="19" width="18.7265625" hidden="1" customWidth="1" collapsed="1"/>
    <col min="20" max="20" width="16.26953125" hidden="1" customWidth="1" collapsed="1"/>
    <col min="21" max="21" width="14.36328125" customWidth="1" collapsed="1"/>
    <col min="22" max="22" width="13.6328125" bestFit="1" customWidth="1" collapsed="1"/>
    <col min="23" max="23" width="5.90625" customWidth="1" collapsed="1"/>
    <col min="24" max="24" width="17.81640625" bestFit="1" customWidth="1" collapsed="1"/>
    <col min="25" max="25" width="6.6328125" customWidth="1" collapsed="1"/>
    <col min="26" max="26" width="14.6328125" bestFit="1" customWidth="1" collapsed="1"/>
    <col min="28" max="28" width="14" hidden="1" customWidth="1" collapsed="1"/>
    <col min="29" max="29" width="0" hidden="1" customWidth="1" collapsed="1"/>
    <col min="30" max="30" width="18" hidden="1" customWidth="1" collapsed="1"/>
    <col min="31" max="31" width="0" hidden="1" customWidth="1" collapsed="1"/>
    <col min="32" max="32" width="14.81640625" hidden="1" customWidth="1" collapsed="1"/>
    <col min="33" max="33" width="15.453125" customWidth="1"/>
    <col min="34" max="34" width="6.6328125" customWidth="1"/>
    <col min="35" max="35" width="18.26953125" customWidth="1"/>
    <col min="36" max="36" width="8.08984375" customWidth="1"/>
    <col min="37" max="37" width="13.1796875"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61" t="s">
        <v>317</v>
      </c>
      <c r="L6" s="362"/>
      <c r="M6" s="362"/>
      <c r="N6" s="362"/>
      <c r="O6" s="363"/>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64"/>
      <c r="L7" s="365"/>
      <c r="M7" s="365"/>
      <c r="N7" s="365"/>
      <c r="O7" s="366"/>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8"/>
      <c r="N9" s="28"/>
      <c r="O9" s="29"/>
      <c r="P9" s="33">
        <f>'household calculator'!G6</f>
        <v>0</v>
      </c>
      <c r="Q9" s="34">
        <f>'household calculator'!H6</f>
        <v>0</v>
      </c>
      <c r="R9" s="34">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
        <v>483</v>
      </c>
      <c r="C10" s="152">
        <v>0</v>
      </c>
      <c r="D10" s="32" t="s">
        <v>145</v>
      </c>
      <c r="E10" s="89">
        <f>VLOOKUP(B10,'back end data'!A8:B10,2,FALSE)</f>
        <v>5.5</v>
      </c>
      <c r="F10" s="39">
        <f>C10*E10</f>
        <v>0</v>
      </c>
      <c r="G10" s="40"/>
      <c r="H10" s="40">
        <f>F10*VLOOKUP(Start!B15,'back end data'!A76:G77,4,FALSE)</f>
        <v>0</v>
      </c>
      <c r="I10" s="31"/>
      <c r="J10" s="32">
        <f>F10*VLOOKUP(Start!B15,'back end data'!A76:G77,6,FALSE)</f>
        <v>0</v>
      </c>
      <c r="K10" s="30">
        <f>52.14*F10</f>
        <v>0</v>
      </c>
      <c r="L10" s="31">
        <f t="shared" ref="L10:O25" si="0">52.14*G10</f>
        <v>0</v>
      </c>
      <c r="M10" s="31">
        <f t="shared" si="0"/>
        <v>0</v>
      </c>
      <c r="N10" s="31">
        <f t="shared" si="0"/>
        <v>0</v>
      </c>
      <c r="O10" s="32">
        <f t="shared" si="0"/>
        <v>0</v>
      </c>
      <c r="P10" s="72">
        <f>'household calculator'!G7</f>
        <v>31284</v>
      </c>
      <c r="Q10" s="73">
        <f>'household calculator'!H7</f>
        <v>0</v>
      </c>
      <c r="R10" s="73">
        <f>'household calculator'!I7</f>
        <v>214.04963135111112</v>
      </c>
      <c r="S10" s="73">
        <f>'household calculator'!J7</f>
        <v>0</v>
      </c>
      <c r="T10" s="73">
        <f>'household calculator'!K7</f>
        <v>1130.0862222222222</v>
      </c>
      <c r="U10" s="130"/>
      <c r="V10" s="79">
        <f>IF(P10&lt;&gt;0,(P10-K10)/P10,"")</f>
        <v>1</v>
      </c>
      <c r="W10" s="80" t="str">
        <f t="shared" ref="W10:Z10" si="1">IF(Q10&lt;&gt;0,(Q10-L10)/Q10,"")</f>
        <v/>
      </c>
      <c r="X10" s="80">
        <f t="shared" si="1"/>
        <v>1</v>
      </c>
      <c r="Y10" s="80" t="str">
        <f t="shared" si="1"/>
        <v/>
      </c>
      <c r="Z10" s="81">
        <f t="shared" si="1"/>
        <v>1</v>
      </c>
      <c r="AA10" s="56"/>
      <c r="AB10" s="101">
        <f>(P10-K10)/(P$34-K$34)</f>
        <v>0.4269186435371633</v>
      </c>
      <c r="AC10" s="102"/>
      <c r="AD10" s="102" t="e">
        <f t="shared" ref="AD10:AD25" si="2">(R10-M10)/(R$34-M$34)</f>
        <v>#N/A</v>
      </c>
      <c r="AE10" s="102"/>
      <c r="AF10" s="102" t="e">
        <f t="shared" ref="AF10:AF34" si="3">(T10-O10)/(T$34-O$34)</f>
        <v>#N/A</v>
      </c>
      <c r="AG10" s="187">
        <f>IF(P10&lt;&gt;0,(P10-K10),"")</f>
        <v>31284</v>
      </c>
      <c r="AH10" s="188" t="str">
        <f t="shared" ref="AH10:AK10" si="4">IF(Q10&lt;&gt;0,(Q10-L10),"")</f>
        <v/>
      </c>
      <c r="AI10" s="188">
        <f t="shared" si="4"/>
        <v>214.04963135111112</v>
      </c>
      <c r="AJ10" s="188" t="str">
        <f t="shared" si="4"/>
        <v/>
      </c>
      <c r="AK10" s="189">
        <f t="shared" si="4"/>
        <v>1130.0862222222222</v>
      </c>
      <c r="AL10" s="56"/>
      <c r="AM10" s="56"/>
    </row>
    <row r="11" spans="1:39" x14ac:dyDescent="0.35">
      <c r="A11" s="89" t="s">
        <v>129</v>
      </c>
      <c r="B11" s="30" t="s">
        <v>135</v>
      </c>
      <c r="C11" s="152">
        <v>0</v>
      </c>
      <c r="D11" s="32" t="s">
        <v>144</v>
      </c>
      <c r="E11" s="89">
        <f>VLOOKUP(B11,'back end data'!A12:B14,2,FALSE)</f>
        <v>110</v>
      </c>
      <c r="F11" s="39">
        <f>C11*E11</f>
        <v>0</v>
      </c>
      <c r="G11" s="40"/>
      <c r="H11" s="40">
        <f>F11*VLOOKUP(Start!B15,'back end data'!A76:G77,4,FALSE)</f>
        <v>0</v>
      </c>
      <c r="I11" s="40"/>
      <c r="J11" s="41">
        <f>F11*VLOOKUP(Start!B15,'back end data'!A76:G77,6,FALSE)</f>
        <v>0</v>
      </c>
      <c r="K11" s="30">
        <f t="shared" ref="K11:O30" si="5">52.14*F11</f>
        <v>0</v>
      </c>
      <c r="L11" s="31">
        <f t="shared" si="0"/>
        <v>0</v>
      </c>
      <c r="M11" s="31">
        <f t="shared" si="0"/>
        <v>0</v>
      </c>
      <c r="N11" s="31">
        <f t="shared" si="0"/>
        <v>0</v>
      </c>
      <c r="O11" s="32">
        <f t="shared" si="0"/>
        <v>0</v>
      </c>
      <c r="P11" s="72">
        <f>'household calculator'!G8</f>
        <v>0</v>
      </c>
      <c r="Q11" s="73">
        <f>'household calculator'!H8</f>
        <v>0</v>
      </c>
      <c r="R11" s="73">
        <f>'household calculator'!I8</f>
        <v>0</v>
      </c>
      <c r="S11" s="73">
        <f>'household calculator'!J8</f>
        <v>0</v>
      </c>
      <c r="T11" s="73">
        <f>'household calculator'!K8</f>
        <v>0</v>
      </c>
      <c r="U11" s="130"/>
      <c r="V11" s="79" t="str">
        <f t="shared" ref="V11:V33" si="6">IF(P11&lt;&gt;0,(P11-K11)/P11,"")</f>
        <v/>
      </c>
      <c r="W11" s="80" t="str">
        <f t="shared" ref="W11:W34" si="7">IF(Q11&lt;&gt;0,(Q11-L11)/Q11,"")</f>
        <v/>
      </c>
      <c r="X11" s="80" t="str">
        <f t="shared" ref="X11:X34" si="8">IF(R11&lt;&gt;0,(R11-M11)/R11,"")</f>
        <v/>
      </c>
      <c r="Y11" s="80" t="str">
        <f t="shared" ref="Y11:Y34" si="9">IF(S11&lt;&gt;0,(S11-N11)/S11,"")</f>
        <v/>
      </c>
      <c r="Z11" s="81" t="str">
        <f t="shared" ref="Z11:Z34" si="10">IF(T11&lt;&gt;0,(T11-O11)/T11,"")</f>
        <v/>
      </c>
      <c r="AA11" s="56"/>
      <c r="AB11" s="101">
        <f t="shared" ref="AB11:AB34" si="11">(P11-K11)/(P$34-K$34)</f>
        <v>0</v>
      </c>
      <c r="AC11" s="103"/>
      <c r="AD11" s="102" t="e">
        <f t="shared" si="2"/>
        <v>#N/A</v>
      </c>
      <c r="AE11" s="103"/>
      <c r="AF11" s="102" t="e">
        <f t="shared" si="3"/>
        <v>#N/A</v>
      </c>
      <c r="AG11" s="187" t="str">
        <f t="shared" ref="AG11:AG33" si="12">IF(P11&lt;&gt;0,(P11-K11),"")</f>
        <v/>
      </c>
      <c r="AH11" s="188" t="str">
        <f t="shared" ref="AH11:AH33" si="13">IF(Q11&lt;&gt;0,(Q11-L11),"")</f>
        <v/>
      </c>
      <c r="AI11" s="188" t="str">
        <f t="shared" ref="AI11:AI33" si="14">IF(R11&lt;&gt;0,(R11-M11),"")</f>
        <v/>
      </c>
      <c r="AJ11" s="188" t="str">
        <f t="shared" ref="AJ11:AJ33" si="15">IF(S11&lt;&gt;0,(S11-N11),"")</f>
        <v/>
      </c>
      <c r="AK11" s="189" t="str">
        <f t="shared" ref="AK11:AK33" si="16">IF(T11&lt;&gt;0,(T11-O11),"")</f>
        <v/>
      </c>
      <c r="AL11" s="56"/>
      <c r="AM11" s="56"/>
    </row>
    <row r="12" spans="1:39" x14ac:dyDescent="0.35">
      <c r="A12" s="89" t="s">
        <v>146</v>
      </c>
      <c r="B12" s="30" t="s">
        <v>488</v>
      </c>
      <c r="C12" s="152">
        <v>0</v>
      </c>
      <c r="D12" s="32" t="s">
        <v>149</v>
      </c>
      <c r="E12" s="89">
        <f>VLOOKUP(B12,'back end data'!A16:B18,2,FALSE)</f>
        <v>3.5</v>
      </c>
      <c r="F12" s="39">
        <f>7*C12*E12</f>
        <v>0</v>
      </c>
      <c r="G12" s="40"/>
      <c r="H12" s="40">
        <v>0</v>
      </c>
      <c r="I12" s="40"/>
      <c r="J12" s="41">
        <v>0</v>
      </c>
      <c r="K12" s="30">
        <f t="shared" si="5"/>
        <v>0</v>
      </c>
      <c r="L12" s="31">
        <f t="shared" si="0"/>
        <v>0</v>
      </c>
      <c r="M12" s="31">
        <f t="shared" si="0"/>
        <v>0</v>
      </c>
      <c r="N12" s="31">
        <f t="shared" si="0"/>
        <v>0</v>
      </c>
      <c r="O12" s="32">
        <f t="shared" si="0"/>
        <v>0</v>
      </c>
      <c r="P12" s="72">
        <f>'household calculator'!G9</f>
        <v>23723.7</v>
      </c>
      <c r="Q12" s="73">
        <f>'household calculator'!H9</f>
        <v>0</v>
      </c>
      <c r="R12" s="73">
        <f>'household calculator'!I9</f>
        <v>0</v>
      </c>
      <c r="S12" s="73">
        <f>'household calculator'!J9</f>
        <v>0</v>
      </c>
      <c r="T12" s="73">
        <f>'household calculator'!K9</f>
        <v>0</v>
      </c>
      <c r="U12" s="130"/>
      <c r="V12" s="79">
        <f t="shared" si="6"/>
        <v>1</v>
      </c>
      <c r="W12" s="80" t="str">
        <f t="shared" si="7"/>
        <v/>
      </c>
      <c r="X12" s="80" t="str">
        <f t="shared" si="8"/>
        <v/>
      </c>
      <c r="Y12" s="80" t="str">
        <f t="shared" si="9"/>
        <v/>
      </c>
      <c r="Z12" s="81" t="str">
        <f t="shared" si="10"/>
        <v/>
      </c>
      <c r="AA12" s="56"/>
      <c r="AB12" s="101">
        <f t="shared" si="11"/>
        <v>0.32374663801568221</v>
      </c>
      <c r="AC12" s="103"/>
      <c r="AD12" s="102" t="e">
        <f t="shared" si="2"/>
        <v>#N/A</v>
      </c>
      <c r="AE12" s="103"/>
      <c r="AF12" s="102" t="e">
        <f t="shared" si="3"/>
        <v>#N/A</v>
      </c>
      <c r="AG12" s="187">
        <f t="shared" si="12"/>
        <v>23723.7</v>
      </c>
      <c r="AH12" s="188" t="str">
        <f t="shared" si="13"/>
        <v/>
      </c>
      <c r="AI12" s="188" t="str">
        <f t="shared" si="14"/>
        <v/>
      </c>
      <c r="AJ12" s="188" t="str">
        <f t="shared" si="15"/>
        <v/>
      </c>
      <c r="AK12" s="189" t="str">
        <f t="shared" si="16"/>
        <v/>
      </c>
      <c r="AL12" s="56"/>
      <c r="AM12" s="56"/>
    </row>
    <row r="13" spans="1:39" x14ac:dyDescent="0.35">
      <c r="A13" s="89" t="s">
        <v>150</v>
      </c>
      <c r="B13" s="30" t="s">
        <v>151</v>
      </c>
      <c r="C13" s="152">
        <v>0</v>
      </c>
      <c r="D13" s="32" t="s">
        <v>149</v>
      </c>
      <c r="E13" s="89">
        <f>VLOOKUP(B13,'back end data'!A22:B23,2,FALSE)</f>
        <v>3</v>
      </c>
      <c r="F13" s="39">
        <f>7*C13*E13</f>
        <v>0</v>
      </c>
      <c r="G13" s="40"/>
      <c r="H13" s="40">
        <v>0</v>
      </c>
      <c r="I13" s="40"/>
      <c r="J13" s="41">
        <v>0</v>
      </c>
      <c r="K13" s="30">
        <f t="shared" si="5"/>
        <v>0</v>
      </c>
      <c r="L13" s="31">
        <f t="shared" si="0"/>
        <v>0</v>
      </c>
      <c r="M13" s="31">
        <f t="shared" si="0"/>
        <v>0</v>
      </c>
      <c r="N13" s="31">
        <f t="shared" si="0"/>
        <v>0</v>
      </c>
      <c r="O13" s="32">
        <f t="shared" si="0"/>
        <v>0</v>
      </c>
      <c r="P13" s="72">
        <f>'household calculator'!G10</f>
        <v>2189.88</v>
      </c>
      <c r="Q13" s="73">
        <f>'household calculator'!H10</f>
        <v>0</v>
      </c>
      <c r="R13" s="73">
        <f>'household calculator'!I10</f>
        <v>0</v>
      </c>
      <c r="S13" s="73">
        <f>'household calculator'!J10</f>
        <v>0</v>
      </c>
      <c r="T13" s="73">
        <f>'household calculator'!K10</f>
        <v>0</v>
      </c>
      <c r="U13" s="130"/>
      <c r="V13" s="79">
        <f t="shared" si="6"/>
        <v>1</v>
      </c>
      <c r="W13" s="80" t="str">
        <f t="shared" si="7"/>
        <v/>
      </c>
      <c r="X13" s="80" t="str">
        <f t="shared" si="8"/>
        <v/>
      </c>
      <c r="Y13" s="80" t="str">
        <f t="shared" si="9"/>
        <v/>
      </c>
      <c r="Z13" s="81" t="str">
        <f t="shared" si="10"/>
        <v/>
      </c>
      <c r="AA13" s="56"/>
      <c r="AB13" s="101">
        <f t="shared" si="11"/>
        <v>2.9884305047601433E-2</v>
      </c>
      <c r="AC13" s="103"/>
      <c r="AD13" s="102" t="e">
        <f t="shared" si="2"/>
        <v>#N/A</v>
      </c>
      <c r="AE13" s="103"/>
      <c r="AF13" s="102" t="e">
        <f t="shared" si="3"/>
        <v>#N/A</v>
      </c>
      <c r="AG13" s="187">
        <f t="shared" si="12"/>
        <v>2189.88</v>
      </c>
      <c r="AH13" s="188" t="str">
        <f t="shared" si="13"/>
        <v/>
      </c>
      <c r="AI13" s="188" t="str">
        <f t="shared" si="14"/>
        <v/>
      </c>
      <c r="AJ13" s="188" t="str">
        <f t="shared" si="15"/>
        <v/>
      </c>
      <c r="AK13" s="189" t="str">
        <f t="shared" si="16"/>
        <v/>
      </c>
      <c r="AL13" s="56"/>
      <c r="AM13" s="56"/>
    </row>
    <row r="14" spans="1:39" x14ac:dyDescent="0.35">
      <c r="A14" s="89" t="s">
        <v>153</v>
      </c>
      <c r="B14" s="159" t="s">
        <v>489</v>
      </c>
      <c r="C14" s="152">
        <v>0</v>
      </c>
      <c r="D14" s="32" t="s">
        <v>149</v>
      </c>
      <c r="E14" s="89">
        <f>'back end data'!B25</f>
        <v>1</v>
      </c>
      <c r="F14" s="39">
        <f>7*C14*E14</f>
        <v>0</v>
      </c>
      <c r="G14" s="40"/>
      <c r="H14" s="40">
        <v>0</v>
      </c>
      <c r="I14" s="40"/>
      <c r="J14" s="41">
        <v>0</v>
      </c>
      <c r="K14" s="30">
        <f t="shared" si="5"/>
        <v>0</v>
      </c>
      <c r="L14" s="31">
        <f t="shared" si="0"/>
        <v>0</v>
      </c>
      <c r="M14" s="31">
        <f t="shared" si="0"/>
        <v>0</v>
      </c>
      <c r="N14" s="31">
        <f t="shared" si="0"/>
        <v>0</v>
      </c>
      <c r="O14" s="32">
        <f t="shared" si="0"/>
        <v>0</v>
      </c>
      <c r="P14" s="72">
        <f>'household calculator'!G11</f>
        <v>3649.8</v>
      </c>
      <c r="Q14" s="73">
        <f>'household calculator'!H11</f>
        <v>0</v>
      </c>
      <c r="R14" s="73">
        <f>'household calculator'!I11</f>
        <v>0</v>
      </c>
      <c r="S14" s="73">
        <f>'household calculator'!J11</f>
        <v>0</v>
      </c>
      <c r="T14" s="73">
        <f>'household calculator'!K11</f>
        <v>0</v>
      </c>
      <c r="U14" s="130"/>
      <c r="V14" s="79">
        <f t="shared" si="6"/>
        <v>1</v>
      </c>
      <c r="W14" s="80" t="str">
        <f t="shared" si="7"/>
        <v/>
      </c>
      <c r="X14" s="80" t="str">
        <f t="shared" si="8"/>
        <v/>
      </c>
      <c r="Y14" s="80" t="str">
        <f t="shared" si="9"/>
        <v/>
      </c>
      <c r="Z14" s="81" t="str">
        <f t="shared" si="10"/>
        <v/>
      </c>
      <c r="AA14" s="56"/>
      <c r="AB14" s="101">
        <f t="shared" si="11"/>
        <v>4.9807175079335721E-2</v>
      </c>
      <c r="AC14" s="103"/>
      <c r="AD14" s="102" t="e">
        <f t="shared" si="2"/>
        <v>#N/A</v>
      </c>
      <c r="AE14" s="103"/>
      <c r="AF14" s="102" t="e">
        <f t="shared" si="3"/>
        <v>#N/A</v>
      </c>
      <c r="AG14" s="187">
        <f t="shared" si="12"/>
        <v>3649.8</v>
      </c>
      <c r="AH14" s="188" t="str">
        <f t="shared" si="13"/>
        <v/>
      </c>
      <c r="AI14" s="188" t="str">
        <f t="shared" si="14"/>
        <v/>
      </c>
      <c r="AJ14" s="188" t="str">
        <f t="shared" si="15"/>
        <v/>
      </c>
      <c r="AK14" s="189" t="str">
        <f t="shared" si="16"/>
        <v/>
      </c>
      <c r="AL14" s="56"/>
      <c r="AM14" s="56"/>
    </row>
    <row r="15" spans="1:39" x14ac:dyDescent="0.35">
      <c r="A15" s="89" t="s">
        <v>154</v>
      </c>
      <c r="B15" s="159" t="s">
        <v>489</v>
      </c>
      <c r="C15" s="152">
        <v>0</v>
      </c>
      <c r="D15" s="32" t="s">
        <v>144</v>
      </c>
      <c r="E15" s="89">
        <f>'back end data'!B27</f>
        <v>5</v>
      </c>
      <c r="F15" s="39">
        <f>C15*E15</f>
        <v>0</v>
      </c>
      <c r="G15" s="40"/>
      <c r="H15" s="40">
        <v>0</v>
      </c>
      <c r="I15" s="40"/>
      <c r="J15" s="41">
        <v>0</v>
      </c>
      <c r="K15" s="30">
        <f t="shared" si="5"/>
        <v>0</v>
      </c>
      <c r="L15" s="31">
        <f t="shared" si="0"/>
        <v>0</v>
      </c>
      <c r="M15" s="31">
        <f t="shared" si="0"/>
        <v>0</v>
      </c>
      <c r="N15" s="31">
        <f t="shared" si="0"/>
        <v>0</v>
      </c>
      <c r="O15" s="32">
        <f t="shared" si="0"/>
        <v>0</v>
      </c>
      <c r="P15" s="72">
        <f>'household calculator'!G12</f>
        <v>0</v>
      </c>
      <c r="Q15" s="73">
        <f>'household calculator'!H12</f>
        <v>0</v>
      </c>
      <c r="R15" s="73">
        <f>'household calculator'!I12</f>
        <v>0</v>
      </c>
      <c r="S15" s="73">
        <f>'household calculator'!J12</f>
        <v>0</v>
      </c>
      <c r="T15" s="73">
        <f>'household calculator'!K12</f>
        <v>0</v>
      </c>
      <c r="U15" s="130"/>
      <c r="V15" s="79" t="str">
        <f t="shared" si="6"/>
        <v/>
      </c>
      <c r="W15" s="80" t="str">
        <f t="shared" si="7"/>
        <v/>
      </c>
      <c r="X15" s="80" t="str">
        <f t="shared" si="8"/>
        <v/>
      </c>
      <c r="Y15" s="80" t="str">
        <f t="shared" si="9"/>
        <v/>
      </c>
      <c r="Z15" s="81" t="str">
        <f t="shared" si="10"/>
        <v/>
      </c>
      <c r="AA15" s="56"/>
      <c r="AB15" s="101">
        <f t="shared" si="11"/>
        <v>0</v>
      </c>
      <c r="AC15" s="103"/>
      <c r="AD15" s="102" t="e">
        <f t="shared" si="2"/>
        <v>#N/A</v>
      </c>
      <c r="AE15" s="103"/>
      <c r="AF15" s="102" t="e">
        <f t="shared" si="3"/>
        <v>#N/A</v>
      </c>
      <c r="AG15" s="187" t="str">
        <f t="shared" si="12"/>
        <v/>
      </c>
      <c r="AH15" s="188" t="str">
        <f t="shared" si="13"/>
        <v/>
      </c>
      <c r="AI15" s="188" t="str">
        <f t="shared" si="14"/>
        <v/>
      </c>
      <c r="AJ15" s="188" t="str">
        <f t="shared" si="15"/>
        <v/>
      </c>
      <c r="AK15" s="189" t="str">
        <f t="shared" si="16"/>
        <v/>
      </c>
      <c r="AL15" s="56"/>
      <c r="AM15" s="56"/>
    </row>
    <row r="16" spans="1:39" x14ac:dyDescent="0.35">
      <c r="A16" s="89"/>
      <c r="B16" s="30"/>
      <c r="C16" s="152"/>
      <c r="D16" s="32"/>
      <c r="E16" s="89"/>
      <c r="F16" s="39"/>
      <c r="G16" s="40"/>
      <c r="H16" s="40"/>
      <c r="I16" s="40"/>
      <c r="J16" s="41"/>
      <c r="K16" s="30">
        <f t="shared" si="5"/>
        <v>0</v>
      </c>
      <c r="L16" s="31">
        <f t="shared" si="0"/>
        <v>0</v>
      </c>
      <c r="M16" s="31">
        <f t="shared" si="0"/>
        <v>0</v>
      </c>
      <c r="N16" s="31">
        <f t="shared" si="0"/>
        <v>0</v>
      </c>
      <c r="O16" s="32">
        <f t="shared" si="0"/>
        <v>0</v>
      </c>
      <c r="P16" s="72">
        <f>'household calculator'!G13</f>
        <v>0</v>
      </c>
      <c r="Q16" s="73">
        <f>'household calculator'!H13</f>
        <v>0</v>
      </c>
      <c r="R16" s="73">
        <f>'household calculator'!I13</f>
        <v>0</v>
      </c>
      <c r="S16" s="73">
        <f>'household calculator'!J13</f>
        <v>0</v>
      </c>
      <c r="T16" s="73">
        <f>'household calculator'!K13</f>
        <v>0</v>
      </c>
      <c r="U16" s="130"/>
      <c r="V16" s="79" t="str">
        <f t="shared" si="6"/>
        <v/>
      </c>
      <c r="W16" s="80" t="str">
        <f t="shared" si="7"/>
        <v/>
      </c>
      <c r="X16" s="80" t="str">
        <f t="shared" si="8"/>
        <v/>
      </c>
      <c r="Y16" s="80" t="str">
        <f t="shared" si="9"/>
        <v/>
      </c>
      <c r="Z16" s="81" t="str">
        <f t="shared" si="10"/>
        <v/>
      </c>
      <c r="AA16" s="56"/>
      <c r="AB16" s="101">
        <f t="shared" si="11"/>
        <v>0</v>
      </c>
      <c r="AC16" s="103"/>
      <c r="AD16" s="102" t="e">
        <f t="shared" si="2"/>
        <v>#N/A</v>
      </c>
      <c r="AE16" s="103"/>
      <c r="AF16" s="102" t="e">
        <f t="shared" si="3"/>
        <v>#N/A</v>
      </c>
      <c r="AG16" s="187" t="str">
        <f t="shared" si="12"/>
        <v/>
      </c>
      <c r="AH16" s="188" t="str">
        <f t="shared" si="13"/>
        <v/>
      </c>
      <c r="AI16" s="188" t="str">
        <f t="shared" si="14"/>
        <v/>
      </c>
      <c r="AJ16" s="188" t="str">
        <f t="shared" si="15"/>
        <v/>
      </c>
      <c r="AK16" s="189" t="str">
        <f t="shared" si="16"/>
        <v/>
      </c>
      <c r="AL16" s="56"/>
      <c r="AM16" s="56"/>
    </row>
    <row r="17" spans="1:39" x14ac:dyDescent="0.35">
      <c r="A17" s="88" t="s">
        <v>496</v>
      </c>
      <c r="B17" s="33"/>
      <c r="C17" s="153"/>
      <c r="D17" s="35"/>
      <c r="E17" s="181"/>
      <c r="F17" s="27"/>
      <c r="G17" s="28"/>
      <c r="H17" s="28"/>
      <c r="I17" s="28"/>
      <c r="J17" s="29"/>
      <c r="K17" s="33"/>
      <c r="L17" s="34"/>
      <c r="M17" s="34"/>
      <c r="N17" s="34"/>
      <c r="O17" s="35"/>
      <c r="P17" s="33">
        <f>'household calculator'!G14</f>
        <v>0</v>
      </c>
      <c r="Q17" s="34">
        <f>'household calculator'!H14</f>
        <v>0</v>
      </c>
      <c r="R17" s="34">
        <f>'household calculator'!I14</f>
        <v>0</v>
      </c>
      <c r="S17" s="34">
        <f>'household calculator'!J14</f>
        <v>0</v>
      </c>
      <c r="T17" s="34">
        <f>'household calculator'!K14</f>
        <v>0</v>
      </c>
      <c r="U17" s="130"/>
      <c r="V17" s="85" t="str">
        <f t="shared" si="6"/>
        <v/>
      </c>
      <c r="W17" s="86" t="str">
        <f t="shared" si="7"/>
        <v/>
      </c>
      <c r="X17" s="86" t="str">
        <f t="shared" si="8"/>
        <v/>
      </c>
      <c r="Y17" s="86" t="str">
        <f t="shared" si="9"/>
        <v/>
      </c>
      <c r="Z17" s="87" t="str">
        <f t="shared" si="10"/>
        <v/>
      </c>
      <c r="AA17" s="56"/>
      <c r="AB17" s="107"/>
      <c r="AC17" s="108"/>
      <c r="AD17" s="109"/>
      <c r="AE17" s="108"/>
      <c r="AF17" s="109"/>
      <c r="AG17" s="190" t="str">
        <f t="shared" si="12"/>
        <v/>
      </c>
      <c r="AH17" s="191" t="str">
        <f t="shared" si="13"/>
        <v/>
      </c>
      <c r="AI17" s="191" t="str">
        <f t="shared" si="14"/>
        <v/>
      </c>
      <c r="AJ17" s="191" t="str">
        <f t="shared" si="15"/>
        <v/>
      </c>
      <c r="AK17" s="192" t="str">
        <f t="shared" si="16"/>
        <v/>
      </c>
      <c r="AL17" s="56"/>
      <c r="AM17" s="56"/>
    </row>
    <row r="18" spans="1:39" x14ac:dyDescent="0.35">
      <c r="A18" s="89" t="s">
        <v>157</v>
      </c>
      <c r="B18" s="30" t="s">
        <v>159</v>
      </c>
      <c r="C18" s="152">
        <v>0</v>
      </c>
      <c r="D18" s="32" t="s">
        <v>162</v>
      </c>
      <c r="E18" s="89">
        <f>VLOOKUP(B18,'back end data'!A30:B32,2,FALSE)</f>
        <v>13.95</v>
      </c>
      <c r="F18" s="39">
        <f>C18*E18</f>
        <v>0</v>
      </c>
      <c r="G18" s="40"/>
      <c r="H18" s="40">
        <f>C18*VLOOKUP(Start!B15,'back end data'!A80:I81,8,FALSE)</f>
        <v>0</v>
      </c>
      <c r="I18" s="40"/>
      <c r="J18" s="41">
        <f>C18*VLOOKUP(Start!B15,'back end data'!A80:I81,6,FALSE)</f>
        <v>0</v>
      </c>
      <c r="K18" s="30">
        <f t="shared" si="5"/>
        <v>0</v>
      </c>
      <c r="L18" s="31">
        <f t="shared" si="0"/>
        <v>0</v>
      </c>
      <c r="M18" s="31">
        <f t="shared" si="0"/>
        <v>0</v>
      </c>
      <c r="N18" s="31">
        <f t="shared" si="0"/>
        <v>0</v>
      </c>
      <c r="O18" s="32">
        <f t="shared" si="0"/>
        <v>0</v>
      </c>
      <c r="P18" s="72">
        <f>'household calculator'!G15</f>
        <v>1116.8388</v>
      </c>
      <c r="Q18" s="73">
        <f>'household calculator'!H15</f>
        <v>0</v>
      </c>
      <c r="R18" s="73">
        <f>'household calculator'!I15</f>
        <v>15.136366788400002</v>
      </c>
      <c r="S18" s="73">
        <f>'household calculator'!J15</f>
        <v>0</v>
      </c>
      <c r="T18" s="73">
        <f>'household calculator'!K15</f>
        <v>6.6594366666666671</v>
      </c>
      <c r="U18" s="130"/>
      <c r="V18" s="79">
        <f t="shared" si="6"/>
        <v>1</v>
      </c>
      <c r="W18" s="80" t="str">
        <f t="shared" si="7"/>
        <v/>
      </c>
      <c r="X18" s="80">
        <f t="shared" si="8"/>
        <v>1</v>
      </c>
      <c r="Y18" s="80" t="str">
        <f t="shared" si="9"/>
        <v/>
      </c>
      <c r="Z18" s="81">
        <f t="shared" si="10"/>
        <v>1</v>
      </c>
      <c r="AA18" s="56"/>
      <c r="AB18" s="101">
        <f t="shared" si="11"/>
        <v>1.5240995574276731E-2</v>
      </c>
      <c r="AC18" s="103"/>
      <c r="AD18" s="102" t="e">
        <f t="shared" si="2"/>
        <v>#N/A</v>
      </c>
      <c r="AE18" s="103"/>
      <c r="AF18" s="102" t="e">
        <f t="shared" si="3"/>
        <v>#N/A</v>
      </c>
      <c r="AG18" s="187">
        <f t="shared" si="12"/>
        <v>1116.8388</v>
      </c>
      <c r="AH18" s="188" t="str">
        <f t="shared" si="13"/>
        <v/>
      </c>
      <c r="AI18" s="188">
        <f t="shared" si="14"/>
        <v>15.136366788400002</v>
      </c>
      <c r="AJ18" s="188" t="str">
        <f t="shared" si="15"/>
        <v/>
      </c>
      <c r="AK18" s="189">
        <f t="shared" si="16"/>
        <v>6.6594366666666671</v>
      </c>
      <c r="AL18" s="56"/>
      <c r="AM18" s="56"/>
    </row>
    <row r="19" spans="1:39" x14ac:dyDescent="0.35">
      <c r="A19" s="89" t="s">
        <v>158</v>
      </c>
      <c r="B19" s="30" t="s">
        <v>493</v>
      </c>
      <c r="C19" s="152">
        <v>0</v>
      </c>
      <c r="D19" s="32" t="s">
        <v>162</v>
      </c>
      <c r="E19" s="89" t="e">
        <f>VLOOKUP(B19,'back end data'!A34:B35,2,FALSE)</f>
        <v>#N/A</v>
      </c>
      <c r="F19" s="39">
        <v>0</v>
      </c>
      <c r="G19" s="40"/>
      <c r="H19" s="40" t="e">
        <f>J19*'back end data'!B63</f>
        <v>#N/A</v>
      </c>
      <c r="I19" s="40"/>
      <c r="J19" s="41" t="e">
        <f>C19*'explore alternative lifestyles'!E19</f>
        <v>#N/A</v>
      </c>
      <c r="K19" s="30">
        <f t="shared" si="5"/>
        <v>0</v>
      </c>
      <c r="L19" s="31">
        <f t="shared" si="0"/>
        <v>0</v>
      </c>
      <c r="M19" s="31" t="e">
        <f t="shared" si="0"/>
        <v>#N/A</v>
      </c>
      <c r="N19" s="31">
        <f t="shared" si="0"/>
        <v>0</v>
      </c>
      <c r="O19" s="32" t="e">
        <f t="shared" si="0"/>
        <v>#N/A</v>
      </c>
      <c r="P19" s="72">
        <f>'household calculator'!G16</f>
        <v>0</v>
      </c>
      <c r="Q19" s="73">
        <f>'household calculator'!H16</f>
        <v>0</v>
      </c>
      <c r="R19" s="73">
        <f>'household calculator'!I16</f>
        <v>15.702581466</v>
      </c>
      <c r="S19" s="73">
        <f>'household calculator'!J16</f>
        <v>0</v>
      </c>
      <c r="T19" s="73">
        <f>'household calculator'!K16</f>
        <v>82.902600000000007</v>
      </c>
      <c r="U19" s="130"/>
      <c r="V19" s="79" t="str">
        <f t="shared" si="6"/>
        <v/>
      </c>
      <c r="W19" s="80" t="str">
        <f t="shared" si="7"/>
        <v/>
      </c>
      <c r="X19" s="80" t="e">
        <f t="shared" si="8"/>
        <v>#N/A</v>
      </c>
      <c r="Y19" s="80" t="str">
        <f t="shared" si="9"/>
        <v/>
      </c>
      <c r="Z19" s="81" t="e">
        <f t="shared" si="10"/>
        <v>#N/A</v>
      </c>
      <c r="AA19" s="56"/>
      <c r="AB19" s="101">
        <f t="shared" si="11"/>
        <v>0</v>
      </c>
      <c r="AC19" s="103"/>
      <c r="AD19" s="102" t="e">
        <f t="shared" si="2"/>
        <v>#N/A</v>
      </c>
      <c r="AE19" s="103"/>
      <c r="AF19" s="102" t="e">
        <f t="shared" si="3"/>
        <v>#N/A</v>
      </c>
      <c r="AG19" s="187" t="str">
        <f t="shared" si="12"/>
        <v/>
      </c>
      <c r="AH19" s="188" t="str">
        <f t="shared" si="13"/>
        <v/>
      </c>
      <c r="AI19" s="188" t="e">
        <f t="shared" si="14"/>
        <v>#N/A</v>
      </c>
      <c r="AJ19" s="188" t="str">
        <f t="shared" si="15"/>
        <v/>
      </c>
      <c r="AK19" s="189" t="e">
        <f t="shared" si="16"/>
        <v>#N/A</v>
      </c>
      <c r="AL19" s="56"/>
      <c r="AM19" s="56"/>
    </row>
    <row r="20" spans="1:39" x14ac:dyDescent="0.35">
      <c r="A20" s="89"/>
      <c r="B20" s="30"/>
      <c r="C20" s="152"/>
      <c r="D20" s="32"/>
      <c r="E20" s="89"/>
      <c r="F20" s="39"/>
      <c r="G20" s="40"/>
      <c r="H20" s="40"/>
      <c r="I20" s="40"/>
      <c r="J20" s="41"/>
      <c r="K20" s="30">
        <f t="shared" si="5"/>
        <v>0</v>
      </c>
      <c r="L20" s="31">
        <f t="shared" si="0"/>
        <v>0</v>
      </c>
      <c r="M20" s="31">
        <f t="shared" si="0"/>
        <v>0</v>
      </c>
      <c r="N20" s="31"/>
      <c r="O20" s="32">
        <f t="shared" si="0"/>
        <v>0</v>
      </c>
      <c r="P20" s="72">
        <f>'household calculator'!G17</f>
        <v>0</v>
      </c>
      <c r="Q20" s="73">
        <f>'household calculator'!H17</f>
        <v>0</v>
      </c>
      <c r="R20" s="73">
        <f>'household calculator'!I17</f>
        <v>0</v>
      </c>
      <c r="S20" s="73">
        <f>'household calculator'!J17</f>
        <v>0</v>
      </c>
      <c r="T20" s="73">
        <f>'household calculator'!K17</f>
        <v>0</v>
      </c>
      <c r="U20" s="130"/>
      <c r="V20" s="79" t="str">
        <f t="shared" si="6"/>
        <v/>
      </c>
      <c r="W20" s="80" t="str">
        <f t="shared" si="7"/>
        <v/>
      </c>
      <c r="X20" s="80" t="str">
        <f t="shared" si="8"/>
        <v/>
      </c>
      <c r="Y20" s="80" t="str">
        <f t="shared" si="9"/>
        <v/>
      </c>
      <c r="Z20" s="81" t="str">
        <f t="shared" si="10"/>
        <v/>
      </c>
      <c r="AA20" s="56"/>
      <c r="AB20" s="101">
        <f t="shared" si="11"/>
        <v>0</v>
      </c>
      <c r="AC20" s="103"/>
      <c r="AD20" s="102" t="e">
        <f t="shared" si="2"/>
        <v>#N/A</v>
      </c>
      <c r="AE20" s="103"/>
      <c r="AF20" s="102" t="e">
        <f t="shared" si="3"/>
        <v>#N/A</v>
      </c>
      <c r="AG20" s="187" t="str">
        <f t="shared" si="12"/>
        <v/>
      </c>
      <c r="AH20" s="188" t="str">
        <f t="shared" si="13"/>
        <v/>
      </c>
      <c r="AI20" s="188" t="str">
        <f t="shared" si="14"/>
        <v/>
      </c>
      <c r="AJ20" s="188" t="str">
        <f t="shared" si="15"/>
        <v/>
      </c>
      <c r="AK20" s="189" t="str">
        <f t="shared" si="16"/>
        <v/>
      </c>
      <c r="AL20" s="56"/>
      <c r="AM20" s="56"/>
    </row>
    <row r="21" spans="1:39" x14ac:dyDescent="0.35">
      <c r="A21" s="88" t="s">
        <v>497</v>
      </c>
      <c r="B21" s="33"/>
      <c r="C21" s="153"/>
      <c r="D21" s="35"/>
      <c r="E21" s="181"/>
      <c r="F21" s="27"/>
      <c r="G21" s="28"/>
      <c r="H21" s="28"/>
      <c r="I21" s="28"/>
      <c r="J21" s="29"/>
      <c r="K21" s="33"/>
      <c r="L21" s="34"/>
      <c r="M21" s="34"/>
      <c r="N21" s="34"/>
      <c r="O21" s="35"/>
      <c r="P21" s="33">
        <f>'household calculator'!G18</f>
        <v>0</v>
      </c>
      <c r="Q21" s="34">
        <f>'household calculator'!H18</f>
        <v>0</v>
      </c>
      <c r="R21" s="34">
        <f>'household calculator'!I18</f>
        <v>0</v>
      </c>
      <c r="S21" s="34">
        <f>'household calculator'!J18</f>
        <v>0</v>
      </c>
      <c r="T21" s="34">
        <f>'household calculator'!K18</f>
        <v>0</v>
      </c>
      <c r="U21" s="130"/>
      <c r="V21" s="85" t="str">
        <f t="shared" si="6"/>
        <v/>
      </c>
      <c r="W21" s="86" t="str">
        <f t="shared" si="7"/>
        <v/>
      </c>
      <c r="X21" s="86" t="str">
        <f t="shared" si="8"/>
        <v/>
      </c>
      <c r="Y21" s="86" t="str">
        <f t="shared" si="9"/>
        <v/>
      </c>
      <c r="Z21" s="87" t="str">
        <f t="shared" si="10"/>
        <v/>
      </c>
      <c r="AA21" s="56"/>
      <c r="AB21" s="107"/>
      <c r="AC21" s="108"/>
      <c r="AD21" s="109"/>
      <c r="AE21" s="108"/>
      <c r="AF21" s="109"/>
      <c r="AG21" s="190" t="str">
        <f t="shared" si="12"/>
        <v/>
      </c>
      <c r="AH21" s="191" t="str">
        <f t="shared" si="13"/>
        <v/>
      </c>
      <c r="AI21" s="191" t="str">
        <f t="shared" si="14"/>
        <v/>
      </c>
      <c r="AJ21" s="191" t="str">
        <f t="shared" si="15"/>
        <v/>
      </c>
      <c r="AK21" s="192" t="str">
        <f t="shared" si="16"/>
        <v/>
      </c>
      <c r="AL21" s="56"/>
      <c r="AM21" s="56"/>
    </row>
    <row r="22" spans="1:39" x14ac:dyDescent="0.35">
      <c r="A22" s="89" t="s">
        <v>163</v>
      </c>
      <c r="B22" s="30" t="s">
        <v>164</v>
      </c>
      <c r="C22" s="152">
        <v>0</v>
      </c>
      <c r="D22" s="32" t="s">
        <v>167</v>
      </c>
      <c r="E22" s="89">
        <f>VLOOKUP(B22,'back end data'!A38:B40,2,FALSE)</f>
        <v>0.12</v>
      </c>
      <c r="F22" s="39">
        <f>C22*7</f>
        <v>0</v>
      </c>
      <c r="G22" s="40"/>
      <c r="H22" s="40">
        <f>J22*'back end data'!B63</f>
        <v>0</v>
      </c>
      <c r="I22" s="40"/>
      <c r="J22" s="41">
        <f>C22*7*E22</f>
        <v>0</v>
      </c>
      <c r="K22" s="30">
        <f t="shared" si="5"/>
        <v>0</v>
      </c>
      <c r="L22" s="31">
        <f t="shared" si="0"/>
        <v>0</v>
      </c>
      <c r="M22" s="31">
        <f t="shared" si="0"/>
        <v>0</v>
      </c>
      <c r="N22" s="31">
        <f t="shared" si="0"/>
        <v>0</v>
      </c>
      <c r="O22" s="32">
        <f t="shared" si="0"/>
        <v>0</v>
      </c>
      <c r="P22" s="72">
        <f>'household calculator'!G19</f>
        <v>364.98</v>
      </c>
      <c r="Q22" s="73">
        <f>'household calculator'!H19</f>
        <v>0</v>
      </c>
      <c r="R22" s="73">
        <f>'household calculator'!I19</f>
        <v>24.887110247999999</v>
      </c>
      <c r="S22" s="73">
        <f>'household calculator'!J19</f>
        <v>0</v>
      </c>
      <c r="T22" s="73">
        <f>'household calculator'!K19</f>
        <v>131.39279999999999</v>
      </c>
      <c r="U22" s="130"/>
      <c r="V22" s="79">
        <f t="shared" si="6"/>
        <v>1</v>
      </c>
      <c r="W22" s="80" t="str">
        <f t="shared" si="7"/>
        <v/>
      </c>
      <c r="X22" s="80">
        <f t="shared" si="8"/>
        <v>1</v>
      </c>
      <c r="Y22" s="80" t="str">
        <f t="shared" si="9"/>
        <v/>
      </c>
      <c r="Z22" s="81">
        <f t="shared" si="10"/>
        <v>1</v>
      </c>
      <c r="AA22" s="56"/>
      <c r="AB22" s="101">
        <f t="shared" si="11"/>
        <v>4.9807175079335719E-3</v>
      </c>
      <c r="AC22" s="103"/>
      <c r="AD22" s="102" t="e">
        <f t="shared" si="2"/>
        <v>#N/A</v>
      </c>
      <c r="AE22" s="103"/>
      <c r="AF22" s="102" t="e">
        <f t="shared" si="3"/>
        <v>#N/A</v>
      </c>
      <c r="AG22" s="187">
        <f t="shared" si="12"/>
        <v>364.98</v>
      </c>
      <c r="AH22" s="188" t="str">
        <f t="shared" si="13"/>
        <v/>
      </c>
      <c r="AI22" s="188">
        <f t="shared" si="14"/>
        <v>24.887110247999999</v>
      </c>
      <c r="AJ22" s="188" t="str">
        <f t="shared" si="15"/>
        <v/>
      </c>
      <c r="AK22" s="189">
        <f t="shared" si="16"/>
        <v>131.39279999999999</v>
      </c>
      <c r="AL22" s="56"/>
      <c r="AM22" s="56"/>
    </row>
    <row r="23" spans="1:39" x14ac:dyDescent="0.35">
      <c r="A23" s="89" t="s">
        <v>184</v>
      </c>
      <c r="B23" s="160" t="s">
        <v>504</v>
      </c>
      <c r="C23" s="152">
        <v>0</v>
      </c>
      <c r="D23" s="32" t="s">
        <v>144</v>
      </c>
      <c r="E23" s="89">
        <f>VLOOKUP(B23,'back end data'!A42:B43,2,FALSE)</f>
        <v>30</v>
      </c>
      <c r="F23" s="39">
        <f>'explore alternative lifestyles'!C23*'explore alternative lifestyles'!E23</f>
        <v>0</v>
      </c>
      <c r="G23" s="40"/>
      <c r="H23" s="40">
        <f>F23*0.5*VLOOKUP(Start!B15,'back end data'!A83:G84,4,FALSE)</f>
        <v>0</v>
      </c>
      <c r="I23" s="40"/>
      <c r="J23" s="41">
        <f>F23*0.5*VLOOKUP(Start!B15,'back end data'!A83:G84,6,FALSE)</f>
        <v>0</v>
      </c>
      <c r="K23" s="30">
        <f t="shared" si="5"/>
        <v>0</v>
      </c>
      <c r="L23" s="31">
        <f t="shared" si="0"/>
        <v>0</v>
      </c>
      <c r="M23" s="31">
        <f t="shared" si="0"/>
        <v>0</v>
      </c>
      <c r="N23" s="31">
        <f t="shared" si="0"/>
        <v>0</v>
      </c>
      <c r="O23" s="32">
        <f t="shared" si="0"/>
        <v>0</v>
      </c>
      <c r="P23" s="72">
        <f>'household calculator'!G20</f>
        <v>10949.4</v>
      </c>
      <c r="Q23" s="73">
        <f>'household calculator'!H20</f>
        <v>0</v>
      </c>
      <c r="R23" s="73">
        <f>'household calculator'!I20</f>
        <v>50.836787445888881</v>
      </c>
      <c r="S23" s="73">
        <f>'household calculator'!J20</f>
        <v>0</v>
      </c>
      <c r="T23" s="73">
        <f>'household calculator'!K20</f>
        <v>268.39547777777778</v>
      </c>
      <c r="U23" s="130"/>
      <c r="V23" s="79">
        <f t="shared" si="6"/>
        <v>1</v>
      </c>
      <c r="W23" s="80" t="str">
        <f t="shared" si="7"/>
        <v/>
      </c>
      <c r="X23" s="80">
        <f t="shared" si="8"/>
        <v>1</v>
      </c>
      <c r="Y23" s="80" t="str">
        <f t="shared" si="9"/>
        <v/>
      </c>
      <c r="Z23" s="81">
        <f t="shared" si="10"/>
        <v>1</v>
      </c>
      <c r="AA23" s="56"/>
      <c r="AB23" s="101">
        <f t="shared" si="11"/>
        <v>0.14942152523800714</v>
      </c>
      <c r="AC23" s="103"/>
      <c r="AD23" s="102" t="e">
        <f t="shared" si="2"/>
        <v>#N/A</v>
      </c>
      <c r="AE23" s="103"/>
      <c r="AF23" s="102" t="e">
        <f t="shared" si="3"/>
        <v>#N/A</v>
      </c>
      <c r="AG23" s="187">
        <f t="shared" si="12"/>
        <v>10949.4</v>
      </c>
      <c r="AH23" s="188" t="str">
        <f t="shared" si="13"/>
        <v/>
      </c>
      <c r="AI23" s="188">
        <f t="shared" si="14"/>
        <v>50.836787445888881</v>
      </c>
      <c r="AJ23" s="188" t="str">
        <f t="shared" si="15"/>
        <v/>
      </c>
      <c r="AK23" s="189">
        <f t="shared" si="16"/>
        <v>268.39547777777778</v>
      </c>
      <c r="AL23" s="56"/>
      <c r="AM23" s="56"/>
    </row>
    <row r="24" spans="1:39" x14ac:dyDescent="0.35">
      <c r="A24" s="89" t="s">
        <v>185</v>
      </c>
      <c r="B24" s="30" t="s">
        <v>500</v>
      </c>
      <c r="C24" s="152">
        <v>0</v>
      </c>
      <c r="D24" s="32" t="s">
        <v>183</v>
      </c>
      <c r="E24" s="89">
        <f>VLOOKUP(B24,'back end data'!A45:B47,2,FALSE)</f>
        <v>13</v>
      </c>
      <c r="F24" s="39">
        <f>C24*E24</f>
        <v>0</v>
      </c>
      <c r="G24" s="40"/>
      <c r="H24" s="40">
        <f>F24*VLOOKUP(Start!B15,'back end data'!A83:G84,4,FALSE)</f>
        <v>0</v>
      </c>
      <c r="I24" s="40"/>
      <c r="J24" s="41">
        <f>F24*VLOOKUP(Start!B15,'back end data'!A83:G84,6,FALSE)</f>
        <v>0</v>
      </c>
      <c r="K24" s="30">
        <f t="shared" si="5"/>
        <v>0</v>
      </c>
      <c r="L24" s="31">
        <f t="shared" si="0"/>
        <v>0</v>
      </c>
      <c r="M24" s="31">
        <f t="shared" si="0"/>
        <v>0</v>
      </c>
      <c r="N24" s="31">
        <f t="shared" si="0"/>
        <v>0</v>
      </c>
      <c r="O24" s="32">
        <f t="shared" si="0"/>
        <v>0</v>
      </c>
      <c r="P24" s="72">
        <f>'household calculator'!G21</f>
        <v>0</v>
      </c>
      <c r="Q24" s="73">
        <f>'household calculator'!H21</f>
        <v>0</v>
      </c>
      <c r="R24" s="73">
        <f>'household calculator'!I21</f>
        <v>0</v>
      </c>
      <c r="S24" s="73">
        <f>'household calculator'!J21</f>
        <v>0</v>
      </c>
      <c r="T24" s="73">
        <f>'household calculator'!K21</f>
        <v>0</v>
      </c>
      <c r="U24" s="130"/>
      <c r="V24" s="79" t="str">
        <f t="shared" si="6"/>
        <v/>
      </c>
      <c r="W24" s="80" t="str">
        <f t="shared" si="7"/>
        <v/>
      </c>
      <c r="X24" s="80" t="str">
        <f t="shared" si="8"/>
        <v/>
      </c>
      <c r="Y24" s="80" t="str">
        <f t="shared" si="9"/>
        <v/>
      </c>
      <c r="Z24" s="81" t="str">
        <f t="shared" si="10"/>
        <v/>
      </c>
      <c r="AA24" s="56"/>
      <c r="AB24" s="101">
        <f t="shared" si="11"/>
        <v>0</v>
      </c>
      <c r="AC24" s="103"/>
      <c r="AD24" s="102" t="e">
        <f t="shared" si="2"/>
        <v>#N/A</v>
      </c>
      <c r="AE24" s="103"/>
      <c r="AF24" s="102" t="e">
        <f t="shared" si="3"/>
        <v>#N/A</v>
      </c>
      <c r="AG24" s="187" t="str">
        <f t="shared" si="12"/>
        <v/>
      </c>
      <c r="AH24" s="188" t="str">
        <f t="shared" si="13"/>
        <v/>
      </c>
      <c r="AI24" s="188" t="str">
        <f t="shared" si="14"/>
        <v/>
      </c>
      <c r="AJ24" s="188" t="str">
        <f t="shared" si="15"/>
        <v/>
      </c>
      <c r="AK24" s="189" t="str">
        <f t="shared" si="16"/>
        <v/>
      </c>
      <c r="AL24" s="56"/>
      <c r="AM24" s="56"/>
    </row>
    <row r="25" spans="1:39" x14ac:dyDescent="0.35">
      <c r="A25" s="89"/>
      <c r="B25" s="30"/>
      <c r="C25" s="152"/>
      <c r="D25" s="32"/>
      <c r="E25" s="89"/>
      <c r="F25" s="39"/>
      <c r="G25" s="40"/>
      <c r="H25" s="40"/>
      <c r="I25" s="40"/>
      <c r="J25" s="41"/>
      <c r="K25" s="30">
        <f t="shared" si="5"/>
        <v>0</v>
      </c>
      <c r="L25" s="31">
        <f t="shared" si="0"/>
        <v>0</v>
      </c>
      <c r="M25" s="31">
        <f t="shared" si="0"/>
        <v>0</v>
      </c>
      <c r="N25" s="31">
        <f t="shared" si="0"/>
        <v>0</v>
      </c>
      <c r="O25" s="32">
        <f t="shared" si="0"/>
        <v>0</v>
      </c>
      <c r="P25" s="72">
        <f>'household calculator'!G22</f>
        <v>0</v>
      </c>
      <c r="Q25" s="73">
        <f>'household calculator'!H22</f>
        <v>0</v>
      </c>
      <c r="R25" s="73">
        <f>'household calculator'!I22</f>
        <v>0</v>
      </c>
      <c r="S25" s="73">
        <f>'household calculator'!J22</f>
        <v>0</v>
      </c>
      <c r="T25" s="73">
        <f>'household calculator'!K22</f>
        <v>0</v>
      </c>
      <c r="U25" s="130"/>
      <c r="V25" s="79" t="str">
        <f t="shared" si="6"/>
        <v/>
      </c>
      <c r="W25" s="80" t="str">
        <f t="shared" si="7"/>
        <v/>
      </c>
      <c r="X25" s="80" t="str">
        <f t="shared" si="8"/>
        <v/>
      </c>
      <c r="Y25" s="80" t="str">
        <f t="shared" si="9"/>
        <v/>
      </c>
      <c r="Z25" s="81" t="str">
        <f t="shared" si="10"/>
        <v/>
      </c>
      <c r="AA25" s="56"/>
      <c r="AB25" s="101">
        <f t="shared" si="11"/>
        <v>0</v>
      </c>
      <c r="AC25" s="103"/>
      <c r="AD25" s="102" t="e">
        <f t="shared" si="2"/>
        <v>#N/A</v>
      </c>
      <c r="AE25" s="103"/>
      <c r="AF25" s="102" t="e">
        <f t="shared" si="3"/>
        <v>#N/A</v>
      </c>
      <c r="AG25" s="187" t="str">
        <f t="shared" si="12"/>
        <v/>
      </c>
      <c r="AH25" s="188" t="str">
        <f t="shared" si="13"/>
        <v/>
      </c>
      <c r="AI25" s="188" t="str">
        <f t="shared" si="14"/>
        <v/>
      </c>
      <c r="AJ25" s="188" t="str">
        <f t="shared" si="15"/>
        <v/>
      </c>
      <c r="AK25" s="189" t="str">
        <f t="shared" si="16"/>
        <v/>
      </c>
      <c r="AL25" s="56"/>
      <c r="AM25" s="56"/>
    </row>
    <row r="26" spans="1:39" x14ac:dyDescent="0.35">
      <c r="A26" s="88" t="s">
        <v>498</v>
      </c>
      <c r="B26" s="33"/>
      <c r="C26" s="153"/>
      <c r="D26" s="35"/>
      <c r="E26" s="181"/>
      <c r="F26" s="27"/>
      <c r="G26" s="28"/>
      <c r="H26" s="28"/>
      <c r="I26" s="28"/>
      <c r="J26" s="29"/>
      <c r="K26" s="33"/>
      <c r="L26" s="34"/>
      <c r="M26" s="34"/>
      <c r="N26" s="34"/>
      <c r="O26" s="35"/>
      <c r="P26" s="33">
        <f>'household calculator'!G23</f>
        <v>0</v>
      </c>
      <c r="Q26" s="34">
        <f>'household calculator'!H23</f>
        <v>0</v>
      </c>
      <c r="R26" s="34">
        <f>'household calculator'!I23</f>
        <v>0</v>
      </c>
      <c r="S26" s="34">
        <f>'household calculator'!J23</f>
        <v>0</v>
      </c>
      <c r="T26" s="34">
        <f>'household calculator'!K23</f>
        <v>0</v>
      </c>
      <c r="U26" s="130"/>
      <c r="V26" s="85" t="str">
        <f t="shared" si="6"/>
        <v/>
      </c>
      <c r="W26" s="86" t="str">
        <f t="shared" si="7"/>
        <v/>
      </c>
      <c r="X26" s="86" t="str">
        <f t="shared" si="8"/>
        <v/>
      </c>
      <c r="Y26" s="86" t="str">
        <f t="shared" si="9"/>
        <v/>
      </c>
      <c r="Z26" s="87" t="str">
        <f t="shared" si="10"/>
        <v/>
      </c>
      <c r="AA26" s="56"/>
      <c r="AB26" s="107"/>
      <c r="AC26" s="108"/>
      <c r="AD26" s="109"/>
      <c r="AE26" s="108"/>
      <c r="AF26" s="109"/>
      <c r="AG26" s="190" t="str">
        <f t="shared" si="12"/>
        <v/>
      </c>
      <c r="AH26" s="191" t="str">
        <f t="shared" si="13"/>
        <v/>
      </c>
      <c r="AI26" s="191" t="str">
        <f t="shared" si="14"/>
        <v/>
      </c>
      <c r="AJ26" s="191" t="str">
        <f t="shared" si="15"/>
        <v/>
      </c>
      <c r="AK26" s="192" t="str">
        <f t="shared" si="16"/>
        <v/>
      </c>
      <c r="AL26" s="56"/>
      <c r="AM26" s="56"/>
    </row>
    <row r="27" spans="1:39" x14ac:dyDescent="0.35">
      <c r="A27" s="89" t="s">
        <v>168</v>
      </c>
      <c r="B27" s="30" t="s">
        <v>173</v>
      </c>
      <c r="C27" s="152">
        <v>0</v>
      </c>
      <c r="D27" s="32" t="s">
        <v>171</v>
      </c>
      <c r="E27" s="89">
        <f>VLOOKUP(B27,'back end data'!A50:B52,2,FALSE)</f>
        <v>0.05</v>
      </c>
      <c r="F27" s="39">
        <v>0</v>
      </c>
      <c r="G27" s="40"/>
      <c r="H27" s="40">
        <f>J27*'back end data'!$B$63</f>
        <v>0</v>
      </c>
      <c r="I27" s="40"/>
      <c r="J27" s="41">
        <f>C27*E27</f>
        <v>0</v>
      </c>
      <c r="K27" s="30">
        <f t="shared" si="5"/>
        <v>0</v>
      </c>
      <c r="L27" s="31">
        <f t="shared" si="5"/>
        <v>0</v>
      </c>
      <c r="M27" s="31">
        <f t="shared" si="5"/>
        <v>0</v>
      </c>
      <c r="N27" s="31">
        <f t="shared" si="5"/>
        <v>0</v>
      </c>
      <c r="O27" s="32">
        <f t="shared" si="5"/>
        <v>0</v>
      </c>
      <c r="P27" s="72">
        <f>'household calculator'!G24</f>
        <v>0</v>
      </c>
      <c r="Q27" s="73">
        <f>'household calculator'!H24</f>
        <v>0</v>
      </c>
      <c r="R27" s="73">
        <f>'household calculator'!I24</f>
        <v>0</v>
      </c>
      <c r="S27" s="73">
        <f>'household calculator'!J24</f>
        <v>0</v>
      </c>
      <c r="T27" s="73">
        <f>'household calculator'!K24</f>
        <v>0</v>
      </c>
      <c r="U27" s="130"/>
      <c r="V27" s="79" t="str">
        <f t="shared" si="6"/>
        <v/>
      </c>
      <c r="W27" s="80" t="str">
        <f t="shared" si="7"/>
        <v/>
      </c>
      <c r="X27" s="80" t="str">
        <f t="shared" si="8"/>
        <v/>
      </c>
      <c r="Y27" s="80" t="str">
        <f t="shared" si="9"/>
        <v/>
      </c>
      <c r="Z27" s="81" t="str">
        <f t="shared" si="10"/>
        <v/>
      </c>
      <c r="AA27" s="56"/>
      <c r="AB27" s="101">
        <f t="shared" si="11"/>
        <v>0</v>
      </c>
      <c r="AC27" s="103"/>
      <c r="AD27" s="102" t="e">
        <f t="shared" ref="AD27:AD34" si="17">(R27-M27)/(R$34-M$34)</f>
        <v>#N/A</v>
      </c>
      <c r="AE27" s="103"/>
      <c r="AF27" s="102" t="e">
        <f t="shared" si="3"/>
        <v>#N/A</v>
      </c>
      <c r="AG27" s="187" t="str">
        <f t="shared" si="12"/>
        <v/>
      </c>
      <c r="AH27" s="188" t="str">
        <f t="shared" si="13"/>
        <v/>
      </c>
      <c r="AI27" s="188" t="str">
        <f t="shared" si="14"/>
        <v/>
      </c>
      <c r="AJ27" s="188" t="str">
        <f t="shared" si="15"/>
        <v/>
      </c>
      <c r="AK27" s="189" t="str">
        <f t="shared" si="16"/>
        <v/>
      </c>
      <c r="AL27" s="56"/>
      <c r="AM27" s="56"/>
    </row>
    <row r="28" spans="1:39" x14ac:dyDescent="0.35">
      <c r="A28" s="89" t="s">
        <v>169</v>
      </c>
      <c r="B28" s="30" t="s">
        <v>175</v>
      </c>
      <c r="C28" s="152">
        <v>0</v>
      </c>
      <c r="D28" s="32" t="s">
        <v>178</v>
      </c>
      <c r="E28" s="89">
        <f>VLOOKUP(B28,'back end data'!A54:B55,2,FALSE)</f>
        <v>0.3</v>
      </c>
      <c r="F28" s="39">
        <v>0</v>
      </c>
      <c r="G28" s="40"/>
      <c r="H28" s="40">
        <f>J28*'back end data'!$B$63</f>
        <v>0</v>
      </c>
      <c r="I28" s="40"/>
      <c r="J28" s="41">
        <f>7*C28*E28</f>
        <v>0</v>
      </c>
      <c r="K28" s="30">
        <f t="shared" si="5"/>
        <v>0</v>
      </c>
      <c r="L28" s="31">
        <f t="shared" si="5"/>
        <v>0</v>
      </c>
      <c r="M28" s="31">
        <f t="shared" si="5"/>
        <v>0</v>
      </c>
      <c r="N28" s="31">
        <f t="shared" si="5"/>
        <v>0</v>
      </c>
      <c r="O28" s="32">
        <f t="shared" si="5"/>
        <v>0</v>
      </c>
      <c r="P28" s="72">
        <f>'household calculator'!G25</f>
        <v>0</v>
      </c>
      <c r="Q28" s="73">
        <f>'household calculator'!H25</f>
        <v>0</v>
      </c>
      <c r="R28" s="73">
        <f>'household calculator'!I25</f>
        <v>34.565430899999996</v>
      </c>
      <c r="S28" s="73">
        <f>'household calculator'!J25</f>
        <v>0</v>
      </c>
      <c r="T28" s="73">
        <f>'household calculator'!K25</f>
        <v>182.49</v>
      </c>
      <c r="U28" s="130"/>
      <c r="V28" s="79" t="str">
        <f t="shared" si="6"/>
        <v/>
      </c>
      <c r="W28" s="80" t="str">
        <f t="shared" si="7"/>
        <v/>
      </c>
      <c r="X28" s="80">
        <f t="shared" si="8"/>
        <v>1</v>
      </c>
      <c r="Y28" s="80" t="str">
        <f t="shared" si="9"/>
        <v/>
      </c>
      <c r="Z28" s="81">
        <f t="shared" si="10"/>
        <v>1</v>
      </c>
      <c r="AA28" s="56"/>
      <c r="AB28" s="101">
        <f t="shared" si="11"/>
        <v>0</v>
      </c>
      <c r="AC28" s="103"/>
      <c r="AD28" s="102" t="e">
        <f t="shared" si="17"/>
        <v>#N/A</v>
      </c>
      <c r="AE28" s="103"/>
      <c r="AF28" s="102" t="e">
        <f t="shared" si="3"/>
        <v>#N/A</v>
      </c>
      <c r="AG28" s="187" t="str">
        <f t="shared" si="12"/>
        <v/>
      </c>
      <c r="AH28" s="188" t="str">
        <f t="shared" si="13"/>
        <v/>
      </c>
      <c r="AI28" s="188">
        <f t="shared" si="14"/>
        <v>34.565430899999996</v>
      </c>
      <c r="AJ28" s="188" t="str">
        <f t="shared" si="15"/>
        <v/>
      </c>
      <c r="AK28" s="189">
        <f t="shared" si="16"/>
        <v>182.49</v>
      </c>
      <c r="AL28" s="56"/>
      <c r="AM28" s="56"/>
    </row>
    <row r="29" spans="1:39" x14ac:dyDescent="0.35">
      <c r="A29" s="89" t="s">
        <v>170</v>
      </c>
      <c r="B29" s="30" t="s">
        <v>507</v>
      </c>
      <c r="C29" s="152">
        <v>0</v>
      </c>
      <c r="D29" s="32" t="s">
        <v>178</v>
      </c>
      <c r="E29" s="89">
        <f>VLOOKUP(B29,'back end data'!A60:B61,2,FALSE)</f>
        <v>5.0000000000000001E-3</v>
      </c>
      <c r="F29" s="39">
        <v>0</v>
      </c>
      <c r="G29" s="40"/>
      <c r="H29" s="40">
        <f>J29*'back end data'!$B$63</f>
        <v>0</v>
      </c>
      <c r="I29" s="40"/>
      <c r="J29" s="41">
        <f>7*C29*E29</f>
        <v>0</v>
      </c>
      <c r="K29" s="30">
        <f t="shared" si="5"/>
        <v>0</v>
      </c>
      <c r="L29" s="31">
        <f t="shared" si="5"/>
        <v>0</v>
      </c>
      <c r="M29" s="31">
        <f t="shared" si="5"/>
        <v>0</v>
      </c>
      <c r="N29" s="31">
        <f t="shared" si="5"/>
        <v>0</v>
      </c>
      <c r="O29" s="32">
        <f t="shared" si="5"/>
        <v>0</v>
      </c>
      <c r="P29" s="72">
        <f>'household calculator'!G26</f>
        <v>0</v>
      </c>
      <c r="Q29" s="73">
        <f>'household calculator'!H26</f>
        <v>0</v>
      </c>
      <c r="R29" s="73">
        <f>'household calculator'!I26</f>
        <v>0.34565430900000005</v>
      </c>
      <c r="S29" s="73">
        <f>'household calculator'!J26</f>
        <v>0</v>
      </c>
      <c r="T29" s="73">
        <f>'household calculator'!K26</f>
        <v>1.8249000000000002</v>
      </c>
      <c r="U29" s="130"/>
      <c r="V29" s="79" t="str">
        <f t="shared" si="6"/>
        <v/>
      </c>
      <c r="W29" s="80" t="str">
        <f t="shared" si="7"/>
        <v/>
      </c>
      <c r="X29" s="80">
        <f t="shared" si="8"/>
        <v>1</v>
      </c>
      <c r="Y29" s="80" t="str">
        <f t="shared" si="9"/>
        <v/>
      </c>
      <c r="Z29" s="81">
        <f t="shared" si="10"/>
        <v>1</v>
      </c>
      <c r="AA29" s="56"/>
      <c r="AB29" s="101">
        <f t="shared" si="11"/>
        <v>0</v>
      </c>
      <c r="AC29" s="103"/>
      <c r="AD29" s="102" t="e">
        <f t="shared" si="17"/>
        <v>#N/A</v>
      </c>
      <c r="AE29" s="103"/>
      <c r="AF29" s="102" t="e">
        <f t="shared" si="3"/>
        <v>#N/A</v>
      </c>
      <c r="AG29" s="187" t="str">
        <f t="shared" si="12"/>
        <v/>
      </c>
      <c r="AH29" s="188" t="str">
        <f t="shared" si="13"/>
        <v/>
      </c>
      <c r="AI29" s="188">
        <f t="shared" si="14"/>
        <v>0.34565430900000005</v>
      </c>
      <c r="AJ29" s="188" t="str">
        <f t="shared" si="15"/>
        <v/>
      </c>
      <c r="AK29" s="189">
        <f t="shared" si="16"/>
        <v>1.8249000000000002</v>
      </c>
      <c r="AL29" s="56"/>
      <c r="AM29" s="56"/>
    </row>
    <row r="30" spans="1:39" x14ac:dyDescent="0.35">
      <c r="A30" s="89" t="s">
        <v>177</v>
      </c>
      <c r="B30" s="30" t="s">
        <v>177</v>
      </c>
      <c r="C30" s="152">
        <v>0</v>
      </c>
      <c r="D30" s="32" t="s">
        <v>178</v>
      </c>
      <c r="E30" s="89">
        <f>VLOOKUP(B30,'back end data'!A57:B58,2,FALSE)</f>
        <v>1.4999999999999999E-2</v>
      </c>
      <c r="F30" s="39">
        <v>0</v>
      </c>
      <c r="G30" s="40"/>
      <c r="H30" s="40">
        <f>J30*'back end data'!$B$63</f>
        <v>0</v>
      </c>
      <c r="I30" s="40"/>
      <c r="J30" s="41">
        <f>7*C30*E30</f>
        <v>0</v>
      </c>
      <c r="K30" s="30">
        <f t="shared" si="5"/>
        <v>0</v>
      </c>
      <c r="L30" s="31">
        <f t="shared" si="5"/>
        <v>0</v>
      </c>
      <c r="M30" s="31">
        <f t="shared" si="5"/>
        <v>0</v>
      </c>
      <c r="N30" s="31">
        <f t="shared" si="5"/>
        <v>0</v>
      </c>
      <c r="O30" s="32">
        <f t="shared" si="5"/>
        <v>0</v>
      </c>
      <c r="P30" s="72">
        <f>'household calculator'!G27</f>
        <v>0</v>
      </c>
      <c r="Q30" s="73">
        <f>'household calculator'!H27</f>
        <v>0</v>
      </c>
      <c r="R30" s="73">
        <f>'household calculator'!I27</f>
        <v>0</v>
      </c>
      <c r="S30" s="73">
        <f>'household calculator'!J27</f>
        <v>0</v>
      </c>
      <c r="T30" s="73">
        <f>'household calculator'!K27</f>
        <v>0</v>
      </c>
      <c r="U30" s="130"/>
      <c r="V30" s="79" t="str">
        <f t="shared" si="6"/>
        <v/>
      </c>
      <c r="W30" s="80" t="str">
        <f t="shared" si="7"/>
        <v/>
      </c>
      <c r="X30" s="80" t="str">
        <f t="shared" si="8"/>
        <v/>
      </c>
      <c r="Y30" s="80" t="str">
        <f t="shared" si="9"/>
        <v/>
      </c>
      <c r="Z30" s="81" t="str">
        <f t="shared" si="10"/>
        <v/>
      </c>
      <c r="AA30" s="56"/>
      <c r="AB30" s="101">
        <f t="shared" si="11"/>
        <v>0</v>
      </c>
      <c r="AC30" s="103"/>
      <c r="AD30" s="102" t="e">
        <f t="shared" si="17"/>
        <v>#N/A</v>
      </c>
      <c r="AE30" s="103"/>
      <c r="AF30" s="102" t="e">
        <f t="shared" si="3"/>
        <v>#N/A</v>
      </c>
      <c r="AG30" s="187" t="str">
        <f t="shared" si="12"/>
        <v/>
      </c>
      <c r="AH30" s="188" t="str">
        <f t="shared" si="13"/>
        <v/>
      </c>
      <c r="AI30" s="188" t="str">
        <f t="shared" si="14"/>
        <v/>
      </c>
      <c r="AJ30" s="188" t="str">
        <f t="shared" si="15"/>
        <v/>
      </c>
      <c r="AK30" s="189" t="str">
        <f t="shared" si="16"/>
        <v/>
      </c>
      <c r="AL30" s="56"/>
      <c r="AM30" s="56"/>
    </row>
    <row r="31" spans="1:39" x14ac:dyDescent="0.35">
      <c r="A31" s="89"/>
      <c r="B31" s="30"/>
      <c r="C31" s="154"/>
      <c r="D31" s="32"/>
      <c r="E31" s="89"/>
      <c r="F31" s="39"/>
      <c r="G31" s="40"/>
      <c r="H31" s="40"/>
      <c r="I31" s="40"/>
      <c r="J31" s="41"/>
      <c r="K31" s="30">
        <f t="shared" ref="K31:O33" si="18">52.14*F31</f>
        <v>0</v>
      </c>
      <c r="L31" s="31">
        <f t="shared" si="18"/>
        <v>0</v>
      </c>
      <c r="M31" s="31">
        <f t="shared" si="18"/>
        <v>0</v>
      </c>
      <c r="N31" s="31">
        <f t="shared" si="18"/>
        <v>0</v>
      </c>
      <c r="O31" s="32">
        <f t="shared" si="18"/>
        <v>0</v>
      </c>
      <c r="P31" s="72">
        <f>'household calculator'!G28</f>
        <v>0</v>
      </c>
      <c r="Q31" s="73">
        <f>'household calculator'!H28</f>
        <v>0</v>
      </c>
      <c r="R31" s="73">
        <f>'household calculator'!I28</f>
        <v>0</v>
      </c>
      <c r="S31" s="73">
        <f>'household calculator'!J28</f>
        <v>0</v>
      </c>
      <c r="T31" s="73">
        <f>'household calculator'!K28</f>
        <v>0</v>
      </c>
      <c r="U31" s="130"/>
      <c r="V31" s="79" t="str">
        <f t="shared" si="6"/>
        <v/>
      </c>
      <c r="W31" s="80" t="str">
        <f t="shared" si="7"/>
        <v/>
      </c>
      <c r="X31" s="80" t="str">
        <f t="shared" si="8"/>
        <v/>
      </c>
      <c r="Y31" s="80" t="str">
        <f t="shared" si="9"/>
        <v/>
      </c>
      <c r="Z31" s="81" t="str">
        <f t="shared" si="10"/>
        <v/>
      </c>
      <c r="AA31" s="56"/>
      <c r="AB31" s="101">
        <f t="shared" si="11"/>
        <v>0</v>
      </c>
      <c r="AC31" s="103"/>
      <c r="AD31" s="102" t="e">
        <f t="shared" si="17"/>
        <v>#N/A</v>
      </c>
      <c r="AE31" s="103"/>
      <c r="AF31" s="102" t="e">
        <f t="shared" si="3"/>
        <v>#N/A</v>
      </c>
      <c r="AG31" s="187" t="str">
        <f t="shared" si="12"/>
        <v/>
      </c>
      <c r="AH31" s="188" t="str">
        <f t="shared" si="13"/>
        <v/>
      </c>
      <c r="AI31" s="188" t="str">
        <f t="shared" si="14"/>
        <v/>
      </c>
      <c r="AJ31" s="188" t="str">
        <f t="shared" si="15"/>
        <v/>
      </c>
      <c r="AK31" s="189" t="str">
        <f t="shared" si="16"/>
        <v/>
      </c>
      <c r="AL31" s="56"/>
      <c r="AM31" s="56"/>
    </row>
    <row r="32" spans="1:39" x14ac:dyDescent="0.35">
      <c r="A32" s="88" t="s">
        <v>499</v>
      </c>
      <c r="B32" s="33"/>
      <c r="C32" s="155"/>
      <c r="D32" s="35"/>
      <c r="E32" s="181"/>
      <c r="F32" s="27"/>
      <c r="G32" s="28"/>
      <c r="H32" s="28"/>
      <c r="I32" s="28"/>
      <c r="J32" s="29"/>
      <c r="K32" s="33"/>
      <c r="L32" s="34"/>
      <c r="M32" s="34"/>
      <c r="N32" s="34"/>
      <c r="O32" s="35"/>
      <c r="P32" s="33">
        <f>'household calculator'!G29</f>
        <v>0</v>
      </c>
      <c r="Q32" s="34">
        <f>'household calculator'!H29</f>
        <v>0</v>
      </c>
      <c r="R32" s="34">
        <f>'household calculator'!I29</f>
        <v>0</v>
      </c>
      <c r="S32" s="34">
        <f>'household calculator'!J29</f>
        <v>0</v>
      </c>
      <c r="T32" s="34">
        <f>'household calculator'!K29</f>
        <v>0</v>
      </c>
      <c r="U32" s="130"/>
      <c r="V32" s="85" t="str">
        <f t="shared" si="6"/>
        <v/>
      </c>
      <c r="W32" s="86" t="str">
        <f t="shared" si="7"/>
        <v/>
      </c>
      <c r="X32" s="86" t="str">
        <f t="shared" si="8"/>
        <v/>
      </c>
      <c r="Y32" s="86" t="str">
        <f t="shared" si="9"/>
        <v/>
      </c>
      <c r="Z32" s="87" t="str">
        <f t="shared" si="10"/>
        <v/>
      </c>
      <c r="AA32" s="56"/>
      <c r="AB32" s="107"/>
      <c r="AC32" s="108"/>
      <c r="AD32" s="109"/>
      <c r="AE32" s="108"/>
      <c r="AF32" s="109"/>
      <c r="AG32" s="190" t="str">
        <f t="shared" si="12"/>
        <v/>
      </c>
      <c r="AH32" s="191" t="str">
        <f t="shared" si="13"/>
        <v/>
      </c>
      <c r="AI32" s="191" t="str">
        <f t="shared" si="14"/>
        <v/>
      </c>
      <c r="AJ32" s="191" t="str">
        <f t="shared" si="15"/>
        <v/>
      </c>
      <c r="AK32" s="192" t="str">
        <f t="shared" si="16"/>
        <v/>
      </c>
      <c r="AL32" s="56"/>
      <c r="AM32" s="56"/>
    </row>
    <row r="33" spans="1:39" ht="15" thickBot="1" x14ac:dyDescent="0.4">
      <c r="A33" s="90" t="s">
        <v>513</v>
      </c>
      <c r="B33" s="36" t="s">
        <v>508</v>
      </c>
      <c r="C33" s="156">
        <v>0</v>
      </c>
      <c r="D33" s="38" t="s">
        <v>178</v>
      </c>
      <c r="E33" s="90">
        <f>VLOOKUP(B33,'back end data'!A67:B71,2,FALSE)</f>
        <v>0.06</v>
      </c>
      <c r="F33" s="42">
        <v>0</v>
      </c>
      <c r="G33" s="43"/>
      <c r="H33" s="43">
        <f>J33*'back end data'!B63</f>
        <v>0</v>
      </c>
      <c r="I33" s="43"/>
      <c r="J33" s="44">
        <f>C33*4*7*E33</f>
        <v>0</v>
      </c>
      <c r="K33" s="36">
        <f t="shared" si="18"/>
        <v>0</v>
      </c>
      <c r="L33" s="37">
        <f t="shared" si="18"/>
        <v>0</v>
      </c>
      <c r="M33" s="37">
        <f t="shared" si="18"/>
        <v>0</v>
      </c>
      <c r="N33" s="37">
        <f t="shared" si="18"/>
        <v>0</v>
      </c>
      <c r="O33" s="38">
        <f t="shared" si="18"/>
        <v>0</v>
      </c>
      <c r="P33" s="74">
        <f>'household calculator'!G30</f>
        <v>0</v>
      </c>
      <c r="Q33" s="75">
        <f>'household calculator'!H30</f>
        <v>0</v>
      </c>
      <c r="R33" s="75">
        <f>'household calculator'!I30</f>
        <v>165.91406832000001</v>
      </c>
      <c r="S33" s="75">
        <f>'household calculator'!J30</f>
        <v>0</v>
      </c>
      <c r="T33" s="75">
        <f>'household calculator'!K30</f>
        <v>875.952</v>
      </c>
      <c r="U33" s="130"/>
      <c r="V33" s="82" t="str">
        <f t="shared" si="6"/>
        <v/>
      </c>
      <c r="W33" s="83" t="str">
        <f t="shared" si="7"/>
        <v/>
      </c>
      <c r="X33" s="83">
        <f t="shared" si="8"/>
        <v>1</v>
      </c>
      <c r="Y33" s="83" t="str">
        <f t="shared" si="9"/>
        <v/>
      </c>
      <c r="Z33" s="84">
        <f t="shared" si="10"/>
        <v>1</v>
      </c>
      <c r="AA33" s="56"/>
      <c r="AB33" s="104">
        <f t="shared" si="11"/>
        <v>0</v>
      </c>
      <c r="AC33" s="105"/>
      <c r="AD33" s="106" t="e">
        <f t="shared" si="17"/>
        <v>#N/A</v>
      </c>
      <c r="AE33" s="105"/>
      <c r="AF33" s="106" t="e">
        <f t="shared" si="3"/>
        <v>#N/A</v>
      </c>
      <c r="AG33" s="193" t="str">
        <f t="shared" si="12"/>
        <v/>
      </c>
      <c r="AH33" s="194" t="str">
        <f t="shared" si="13"/>
        <v/>
      </c>
      <c r="AI33" s="194">
        <f t="shared" si="14"/>
        <v>165.91406832000001</v>
      </c>
      <c r="AJ33" s="194" t="str">
        <f t="shared" si="15"/>
        <v/>
      </c>
      <c r="AK33" s="195">
        <f t="shared" si="16"/>
        <v>875.952</v>
      </c>
      <c r="AL33" s="56"/>
      <c r="AM33" s="56"/>
    </row>
    <row r="34" spans="1:39" s="60" customFormat="1" ht="24" thickBot="1" x14ac:dyDescent="0.6">
      <c r="A34" s="58"/>
      <c r="B34" s="58"/>
      <c r="C34" s="58"/>
      <c r="D34" s="58"/>
      <c r="E34" s="58"/>
      <c r="F34" s="59">
        <f>SUM(F10:F33)</f>
        <v>0</v>
      </c>
      <c r="G34" s="59">
        <f t="shared" ref="G34:L34" si="19">SUM(G10:G31)</f>
        <v>0</v>
      </c>
      <c r="H34" s="59" t="e">
        <f>SUM(H10:H33)</f>
        <v>#N/A</v>
      </c>
      <c r="I34" s="59">
        <f t="shared" si="19"/>
        <v>0</v>
      </c>
      <c r="J34" s="59" t="e">
        <f>SUM(J10:J33)</f>
        <v>#N/A</v>
      </c>
      <c r="K34" s="59">
        <f>SUM(K10:K33)</f>
        <v>0</v>
      </c>
      <c r="L34" s="59">
        <f t="shared" si="19"/>
        <v>0</v>
      </c>
      <c r="M34" s="59" t="e">
        <f>SUM(M10:M33)</f>
        <v>#N/A</v>
      </c>
      <c r="N34" s="59">
        <f>SUM(N10:N33)</f>
        <v>0</v>
      </c>
      <c r="O34" s="59" t="e">
        <f>SUM(O10:O33)</f>
        <v>#N/A</v>
      </c>
      <c r="P34" s="198">
        <f>'household calculator'!G31</f>
        <v>73278.598799999992</v>
      </c>
      <c r="Q34" s="76">
        <f>'household calculator'!H31</f>
        <v>0</v>
      </c>
      <c r="R34" s="76">
        <f>'household calculator'!I31</f>
        <v>521.43763082839996</v>
      </c>
      <c r="S34" s="76">
        <f>'household calculator'!J31</f>
        <v>0</v>
      </c>
      <c r="T34" s="76">
        <f>'household calculator'!K31</f>
        <v>2679.7034366666667</v>
      </c>
      <c r="U34" s="183"/>
      <c r="V34" s="184">
        <f>IF(P34&lt;&gt;0,(P34-K34)/P34,"")</f>
        <v>1</v>
      </c>
      <c r="W34" s="185" t="str">
        <f t="shared" si="7"/>
        <v/>
      </c>
      <c r="X34" s="185" t="e">
        <f t="shared" si="8"/>
        <v>#N/A</v>
      </c>
      <c r="Y34" s="185" t="str">
        <f t="shared" si="9"/>
        <v/>
      </c>
      <c r="Z34" s="186" t="e">
        <f t="shared" si="10"/>
        <v>#N/A</v>
      </c>
      <c r="AA34" s="129"/>
      <c r="AB34" s="100">
        <f t="shared" si="11"/>
        <v>1</v>
      </c>
      <c r="AC34" s="99"/>
      <c r="AD34" s="100" t="e">
        <f t="shared" si="17"/>
        <v>#N/A</v>
      </c>
      <c r="AE34" s="99"/>
      <c r="AF34" s="100" t="e">
        <f t="shared" si="3"/>
        <v>#N/A</v>
      </c>
      <c r="AG34" s="196">
        <f t="shared" ref="AG34" si="20">IF(P34&lt;&gt;0,(P34-K34),"")</f>
        <v>73278.598799999992</v>
      </c>
      <c r="AH34" s="196" t="str">
        <f t="shared" ref="AH34" si="21">IF(Q34&lt;&gt;0,(Q34-L34),"")</f>
        <v/>
      </c>
      <c r="AI34" s="196" t="e">
        <f t="shared" ref="AI34" si="22">IF(R34&lt;&gt;0,(R34-M34),"")</f>
        <v>#N/A</v>
      </c>
      <c r="AJ34" s="196" t="str">
        <f t="shared" ref="AJ34" si="23">IF(S34&lt;&gt;0,(S34-N34),"")</f>
        <v/>
      </c>
      <c r="AK34" s="197" t="e">
        <f t="shared" ref="AK34" si="24">IF(T34&lt;&gt;0,(T34-O34),"")</f>
        <v>#N/A</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0</v>
      </c>
      <c r="L66" s="19" t="e">
        <f>SUM(J18:J19)</f>
        <v>#N/A</v>
      </c>
    </row>
    <row r="67" spans="6:12" x14ac:dyDescent="0.35">
      <c r="F67" s="19" t="s">
        <v>126</v>
      </c>
      <c r="G67" s="19">
        <f>F12</f>
        <v>0</v>
      </c>
      <c r="L67" s="19">
        <f>J22</f>
        <v>0</v>
      </c>
    </row>
    <row r="68" spans="6:12" x14ac:dyDescent="0.35">
      <c r="F68" s="19" t="s">
        <v>278</v>
      </c>
      <c r="G68" s="19">
        <f>SUM(F13:F15)</f>
        <v>0</v>
      </c>
      <c r="L68" s="19">
        <f>SUM(J27:J30)</f>
        <v>0</v>
      </c>
    </row>
    <row r="69" spans="6:12" x14ac:dyDescent="0.35">
      <c r="F69" s="19" t="s">
        <v>127</v>
      </c>
      <c r="G69" s="19">
        <f>F18</f>
        <v>0</v>
      </c>
      <c r="L69" s="19">
        <f>J33</f>
        <v>0</v>
      </c>
    </row>
    <row r="70" spans="6:12" x14ac:dyDescent="0.35">
      <c r="F70" s="19" t="s">
        <v>279</v>
      </c>
      <c r="G70" s="19">
        <f>SUM(F23:F24)</f>
        <v>0</v>
      </c>
    </row>
  </sheetData>
  <mergeCells count="8">
    <mergeCell ref="AG6:AK7"/>
    <mergeCell ref="V36:Z36"/>
    <mergeCell ref="AB6:AF7"/>
    <mergeCell ref="B6:D7"/>
    <mergeCell ref="F6:J7"/>
    <mergeCell ref="K6:O7"/>
    <mergeCell ref="P6:T7"/>
    <mergeCell ref="V6:Z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data'!$A$53:$A$55</xm:f>
          </x14:formula1>
          <xm:sqref>B28</xm:sqref>
        </x14:dataValidation>
        <x14:dataValidation type="list" allowBlank="1" showInputMessage="1" showErrorMessage="1">
          <x14:formula1>
            <xm:f>'back end data'!$A$59:$A$61</xm:f>
          </x14:formula1>
          <xm:sqref>B29</xm:sqref>
        </x14:dataValidation>
        <x14:dataValidation type="list" allowBlank="1" showInputMessage="1" showErrorMessage="1">
          <x14:formula1>
            <xm:f>'back end data'!$A$41:$A$43</xm:f>
          </x14:formula1>
          <xm:sqref>B23</xm:sqref>
        </x14:dataValidation>
        <x14:dataValidation type="list" allowBlank="1" showInputMessage="1" showErrorMessage="1">
          <x14:formula1>
            <xm:f>'back end data'!$A$66:$A$71</xm:f>
          </x14:formula1>
          <xm:sqref>B33</xm:sqref>
        </x14:dataValidation>
        <x14:dataValidation type="list" allowBlank="1" showInputMessage="1" showErrorMessage="1">
          <x14:formula1>
            <xm:f>'back end data'!$A$44:$A$47</xm:f>
          </x14:formula1>
          <xm:sqref>B24</xm:sqref>
        </x14:dataValidation>
        <x14:dataValidation type="list" allowBlank="1" showInputMessage="1" showErrorMessage="1">
          <x14:formula1>
            <xm:f>'back end data'!$A$56:$A$58</xm:f>
          </x14:formula1>
          <xm:sqref>B30</xm:sqref>
        </x14:dataValidation>
        <x14:dataValidation type="list" allowBlank="1" showInputMessage="1" showErrorMessage="1">
          <x14:formula1>
            <xm:f>'back end data'!$A$49:$A$52</xm:f>
          </x14:formula1>
          <xm:sqref>B27</xm:sqref>
        </x14:dataValidation>
        <x14:dataValidation type="list" allowBlank="1" showInputMessage="1" showErrorMessage="1">
          <x14:formula1>
            <xm:f>'back end data'!$A$37:$A$40</xm:f>
          </x14:formula1>
          <xm:sqref>B22</xm:sqref>
        </x14:dataValidation>
        <x14:dataValidation type="list" allowBlank="1" showInputMessage="1" showErrorMessage="1">
          <x14:formula1>
            <xm:f>'back end data'!$A$33:$A$35</xm:f>
          </x14:formula1>
          <xm:sqref>B19</xm:sqref>
        </x14:dataValidation>
        <x14:dataValidation type="list" allowBlank="1" showInputMessage="1" showErrorMessage="1">
          <x14:formula1>
            <xm:f>'back end data'!$A$29:$A$32</xm:f>
          </x14:formula1>
          <xm:sqref>B18</xm:sqref>
        </x14:dataValidation>
        <x14:dataValidation type="list" allowBlank="1" showInputMessage="1" showErrorMessage="1">
          <x14:formula1>
            <xm:f>'back end data'!$A$21:$A$23</xm:f>
          </x14:formula1>
          <xm:sqref>B13</xm:sqref>
        </x14:dataValidation>
        <x14:dataValidation type="list" allowBlank="1" showInputMessage="1" showErrorMessage="1">
          <x14:formula1>
            <xm:f>'back end data'!$A$15:$A$18</xm:f>
          </x14:formula1>
          <xm:sqref>B12</xm:sqref>
        </x14:dataValidation>
        <x14:dataValidation type="list" allowBlank="1" showInputMessage="1" showErrorMessage="1">
          <x14:formula1>
            <xm:f>'back end data'!$A$11:$A$14</xm:f>
          </x14:formula1>
          <xm:sqref>B11</xm:sqref>
        </x14:dataValidation>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7"/>
  <sheetViews>
    <sheetView workbookViewId="0">
      <selection activeCell="C13" sqref="C13"/>
    </sheetView>
  </sheetViews>
  <sheetFormatPr defaultRowHeight="14.5" x14ac:dyDescent="0.35"/>
  <cols>
    <col min="1" max="3" width="37.90625" customWidth="1"/>
  </cols>
  <sheetData>
    <row r="1" spans="1:8" ht="29.5" customHeight="1" x14ac:dyDescent="0.65">
      <c r="A1" s="377" t="s">
        <v>648</v>
      </c>
      <c r="B1" s="378"/>
      <c r="C1" s="379"/>
      <c r="E1" s="383" t="s">
        <v>650</v>
      </c>
      <c r="F1" s="384"/>
      <c r="G1" s="284">
        <f>(GreenStyleUser!M34-GreenStyleUser!R34)/GreenStyleUser!R34</f>
        <v>-0.51181201782850794</v>
      </c>
      <c r="H1" s="286"/>
    </row>
    <row r="2" spans="1:8" ht="28" customHeight="1" thickBot="1" x14ac:dyDescent="0.4">
      <c r="A2" s="380" t="s">
        <v>649</v>
      </c>
      <c r="B2" s="381"/>
      <c r="C2" s="382"/>
      <c r="E2" s="385" t="s">
        <v>651</v>
      </c>
      <c r="F2" s="386"/>
      <c r="G2" s="285">
        <f>GreenStyleUser!R34-GreenStyleUser!M34</f>
        <v>266.87804600599998</v>
      </c>
      <c r="H2" s="287" t="s">
        <v>652</v>
      </c>
    </row>
    <row r="3" spans="1:8" x14ac:dyDescent="0.35">
      <c r="A3" s="280" t="s">
        <v>645</v>
      </c>
      <c r="B3" s="280" t="s">
        <v>646</v>
      </c>
      <c r="C3" s="180" t="s">
        <v>647</v>
      </c>
      <c r="E3" s="387" t="s">
        <v>653</v>
      </c>
      <c r="F3" s="388"/>
      <c r="G3" s="388"/>
      <c r="H3" s="389"/>
    </row>
    <row r="4" spans="1:8" ht="14.5" customHeight="1" x14ac:dyDescent="0.35">
      <c r="A4" s="181" t="str">
        <f>'Household Input'!B11</f>
        <v>Normal shower head</v>
      </c>
      <c r="B4" s="181" t="s">
        <v>483</v>
      </c>
      <c r="C4" s="282" t="s">
        <v>483</v>
      </c>
      <c r="E4" s="371" t="s">
        <v>654</v>
      </c>
      <c r="F4" s="372"/>
      <c r="G4" s="288" t="str">
        <f>IF(GreenStyleUser!M34-1000&lt;0, "Achieved!", GreenStyleUser!M34-1000)</f>
        <v>Achieved!</v>
      </c>
      <c r="H4" s="375" t="s">
        <v>652</v>
      </c>
    </row>
    <row r="5" spans="1:8" x14ac:dyDescent="0.35">
      <c r="A5" s="181" t="str">
        <f>'Household Input'!B12</f>
        <v>I don't take baths</v>
      </c>
      <c r="B5" s="181" t="s">
        <v>486</v>
      </c>
      <c r="C5" s="282" t="s">
        <v>486</v>
      </c>
      <c r="E5" s="373" t="s">
        <v>655</v>
      </c>
      <c r="F5" s="374"/>
      <c r="G5" s="289" t="str">
        <f>IF(GreenStyleUser!M34-500&lt;0, "Achieved!", GreenStyleUser!M34-500)</f>
        <v>Achieved!</v>
      </c>
      <c r="H5" s="376"/>
    </row>
    <row r="6" spans="1:8" x14ac:dyDescent="0.35">
      <c r="A6" s="181" t="str">
        <f>'Household Input'!B13</f>
        <v>Standard toilet</v>
      </c>
      <c r="B6" s="181" t="s">
        <v>488</v>
      </c>
      <c r="C6" s="282" t="s">
        <v>488</v>
      </c>
    </row>
    <row r="7" spans="1:8" x14ac:dyDescent="0.35">
      <c r="A7" s="181" t="str">
        <f>'Household Input'!B14</f>
        <v>Brushing teeth closed tap</v>
      </c>
      <c r="B7" s="181" t="s">
        <v>151</v>
      </c>
      <c r="C7" s="282" t="s">
        <v>151</v>
      </c>
    </row>
    <row r="8" spans="1:8" x14ac:dyDescent="0.35">
      <c r="A8" s="181" t="str">
        <f>'Household Input'!B19</f>
        <v>Washing machine eco mode</v>
      </c>
      <c r="B8" s="181" t="s">
        <v>492</v>
      </c>
      <c r="C8" s="282" t="s">
        <v>492</v>
      </c>
    </row>
    <row r="9" spans="1:8" x14ac:dyDescent="0.35">
      <c r="A9" s="181" t="str">
        <f>'Household Input'!B20</f>
        <v>Dry with tumble dryer</v>
      </c>
      <c r="B9" s="181" t="s">
        <v>494</v>
      </c>
      <c r="C9" s="282" t="s">
        <v>494</v>
      </c>
    </row>
    <row r="10" spans="1:8" x14ac:dyDescent="0.35">
      <c r="A10" s="181" t="str">
        <f>'Household Input'!B23</f>
        <v>Stove</v>
      </c>
      <c r="B10" s="181" t="s">
        <v>164</v>
      </c>
      <c r="C10" s="282" t="s">
        <v>164</v>
      </c>
    </row>
    <row r="11" spans="1:8" x14ac:dyDescent="0.35">
      <c r="A11" s="181" t="str">
        <f>'Household Input'!B24</f>
        <v>I (sometimes) do the dishes manually</v>
      </c>
      <c r="B11" s="181" t="s">
        <v>504</v>
      </c>
      <c r="C11" s="282" t="s">
        <v>504</v>
      </c>
    </row>
    <row r="12" spans="1:8" x14ac:dyDescent="0.35">
      <c r="A12" s="181" t="str">
        <f>'Household Input'!B25</f>
        <v>I don't have a dishwasher</v>
      </c>
      <c r="B12" s="181" t="s">
        <v>502</v>
      </c>
      <c r="C12" s="282" t="s">
        <v>502</v>
      </c>
    </row>
    <row r="13" spans="1:8" x14ac:dyDescent="0.35">
      <c r="A13" s="181" t="str">
        <f>'Household Input'!B28</f>
        <v>LED TV</v>
      </c>
      <c r="B13" s="181" t="s">
        <v>173</v>
      </c>
      <c r="C13" s="282" t="s">
        <v>173</v>
      </c>
    </row>
    <row r="14" spans="1:8" x14ac:dyDescent="0.35">
      <c r="A14" s="181" t="str">
        <f>'Household Input'!B29</f>
        <v>Laptop</v>
      </c>
      <c r="B14" s="181" t="s">
        <v>176</v>
      </c>
      <c r="C14" s="282" t="s">
        <v>176</v>
      </c>
    </row>
    <row r="15" spans="1:8" x14ac:dyDescent="0.35">
      <c r="A15" s="181" t="str">
        <f>'Household Input'!B30</f>
        <v>Mobile phone, and I charge it…</v>
      </c>
      <c r="B15" s="181" t="s">
        <v>507</v>
      </c>
      <c r="C15" s="282" t="s">
        <v>507</v>
      </c>
    </row>
    <row r="16" spans="1:8" x14ac:dyDescent="0.35">
      <c r="A16" s="181" t="str">
        <f>'Household Input'!B31</f>
        <v>I don't have a tablet</v>
      </c>
      <c r="B16" s="181" t="s">
        <v>505</v>
      </c>
      <c r="C16" s="282" t="s">
        <v>505</v>
      </c>
    </row>
    <row r="17" spans="1:3" ht="15" thickBot="1" x14ac:dyDescent="0.4">
      <c r="A17" s="281" t="str">
        <f>'Household Input'!B34</f>
        <v>mainly incandescant light bulbs</v>
      </c>
      <c r="B17" s="281" t="s">
        <v>511</v>
      </c>
      <c r="C17" s="283" t="s">
        <v>511</v>
      </c>
    </row>
  </sheetData>
  <mergeCells count="8">
    <mergeCell ref="E4:F4"/>
    <mergeCell ref="E5:F5"/>
    <mergeCell ref="H4:H5"/>
    <mergeCell ref="A1:C1"/>
    <mergeCell ref="A2:C2"/>
    <mergeCell ref="E1:F1"/>
    <mergeCell ref="E2:F2"/>
    <mergeCell ref="E3:H3"/>
  </mergeCell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data'!$A$7:$A$10</xm:f>
          </x14:formula1>
          <xm:sqref>C4</xm:sqref>
        </x14:dataValidation>
        <x14:dataValidation type="list" allowBlank="1" showInputMessage="1" showErrorMessage="1">
          <x14:formula1>
            <xm:f>'back end data'!$A$11:$A$14</xm:f>
          </x14:formula1>
          <xm:sqref>C5</xm:sqref>
        </x14:dataValidation>
        <x14:dataValidation type="list" allowBlank="1" showInputMessage="1" showErrorMessage="1">
          <x14:formula1>
            <xm:f>'back end data'!$A$15:$A$18</xm:f>
          </x14:formula1>
          <xm:sqref>C6</xm:sqref>
        </x14:dataValidation>
        <x14:dataValidation type="list" allowBlank="1" showInputMessage="1" showErrorMessage="1">
          <x14:formula1>
            <xm:f>'back end data'!$A$21:$A$23</xm:f>
          </x14:formula1>
          <xm:sqref>C7</xm:sqref>
        </x14:dataValidation>
        <x14:dataValidation type="list" allowBlank="1" showInputMessage="1" showErrorMessage="1">
          <x14:formula1>
            <xm:f>'back end data'!$A$29:$A$32</xm:f>
          </x14:formula1>
          <xm:sqref>C8</xm:sqref>
        </x14:dataValidation>
        <x14:dataValidation type="list" allowBlank="1" showInputMessage="1" showErrorMessage="1">
          <x14:formula1>
            <xm:f>'back end data'!$A$33:$A$35</xm:f>
          </x14:formula1>
          <xm:sqref>C9</xm:sqref>
        </x14:dataValidation>
        <x14:dataValidation type="list" allowBlank="1" showInputMessage="1" showErrorMessage="1">
          <x14:formula1>
            <xm:f>'back end data'!$A$37:$A$40</xm:f>
          </x14:formula1>
          <xm:sqref>C10</xm:sqref>
        </x14:dataValidation>
        <x14:dataValidation type="list" allowBlank="1" showInputMessage="1" showErrorMessage="1">
          <x14:formula1>
            <xm:f>'back end data'!$A$41:$A$43</xm:f>
          </x14:formula1>
          <xm:sqref>C11</xm:sqref>
        </x14:dataValidation>
        <x14:dataValidation type="list" allowBlank="1" showInputMessage="1" showErrorMessage="1">
          <x14:formula1>
            <xm:f>'back end data'!$A$44:$A$47</xm:f>
          </x14:formula1>
          <xm:sqref>C12</xm:sqref>
        </x14:dataValidation>
        <x14:dataValidation type="list" allowBlank="1" showInputMessage="1" showErrorMessage="1">
          <x14:formula1>
            <xm:f>'back end data'!$A$49:$A$52</xm:f>
          </x14:formula1>
          <xm:sqref>C13</xm:sqref>
        </x14:dataValidation>
        <x14:dataValidation type="list" allowBlank="1" showInputMessage="1" showErrorMessage="1">
          <x14:formula1>
            <xm:f>'back end data'!$A$53:$A$55</xm:f>
          </x14:formula1>
          <xm:sqref>C14</xm:sqref>
        </x14:dataValidation>
        <x14:dataValidation type="list" allowBlank="1" showInputMessage="1" showErrorMessage="1">
          <x14:formula1>
            <xm:f>'back end data'!$A$59:$A$61</xm:f>
          </x14:formula1>
          <xm:sqref>C15</xm:sqref>
        </x14:dataValidation>
        <x14:dataValidation type="list" allowBlank="1" showInputMessage="1" showErrorMessage="1">
          <x14:formula1>
            <xm:f>'back end data'!$A$56:$A$58</xm:f>
          </x14:formula1>
          <xm:sqref>C16</xm:sqref>
        </x14:dataValidation>
        <x14:dataValidation type="list" allowBlank="1" showInputMessage="1" showErrorMessage="1">
          <x14:formula1>
            <xm:f>'back end data'!$A$66:$A$71</xm:f>
          </x14:formula1>
          <xm:sqref>C17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Start</vt:lpstr>
      <vt:lpstr>Household Input</vt:lpstr>
      <vt:lpstr>Report Preferences</vt:lpstr>
      <vt:lpstr>Food Footprint Report</vt:lpstr>
      <vt:lpstr>Diet Calculator</vt:lpstr>
      <vt:lpstr>Database Food</vt:lpstr>
      <vt:lpstr>total footprint report</vt:lpstr>
      <vt:lpstr>explore alternative lifestyles</vt:lpstr>
      <vt:lpstr>Style Change</vt:lpstr>
      <vt:lpstr>Diet Input</vt:lpstr>
      <vt:lpstr>household calculator</vt:lpstr>
      <vt:lpstr>back end data</vt:lpstr>
      <vt:lpstr>GreenStyleUser</vt:lpstr>
      <vt:lpstr>Data Aggregation</vt:lpstr>
      <vt:lpstr>GreenUser</vt:lpstr>
      <vt:lpstr>explore alternative diets</vt:lpstr>
      <vt:lpstr>Sub_Data</vt:lpstr>
      <vt:lpstr>Transport Info</vt:lpstr>
      <vt:lpstr>Dropdown</vt:lpstr>
      <vt:lpstr>Electricity mix footprint</vt:lpstr>
      <vt:lpstr>old data sheet</vt:lpstr>
      <vt:lpstr>useful links</vt:lpstr>
      <vt:lpstr>Beverages</vt:lpstr>
      <vt:lpstr>Dropdown!Criteria</vt:lpstr>
      <vt:lpstr>Dairy</vt:lpstr>
      <vt:lpstr>Dropdown!Extract</vt:lpstr>
      <vt:lpstr>'Database Food'!FoodEmission</vt:lpstr>
      <vt:lpstr>'Diet Calculator'!FoodEmission</vt:lpstr>
      <vt:lpstr>'Diet Input'!FoodEmission</vt:lpstr>
      <vt:lpstr>GreenStyleUser!FoodEmissionsData</vt:lpstr>
      <vt:lpstr>GreenUser!FoodEmissionsData</vt:lpstr>
      <vt:lpstr>FoodEmissionsData</vt:lpstr>
      <vt:lpstr>Fruits</vt:lpstr>
      <vt:lpstr>Grains</vt:lpstr>
      <vt:lpstr>Meats</vt:lpstr>
      <vt:lpstr>Others</vt:lpstr>
      <vt:lpstr>'Food Footprint Report'!Print_Area</vt:lpstr>
      <vt:lpstr>Trnspt</vt:lpstr>
      <vt:lpstr>Vegetables</vt:lpstr>
    </vt:vector>
  </TitlesOfParts>
  <Manager/>
  <Company>UPC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ETSEIB</dc:creator>
  <cp:lastModifiedBy>Bala</cp:lastModifiedBy>
  <cp:lastPrinted>2016-11-08T21:04:40Z</cp:lastPrinted>
  <dcterms:created xsi:type="dcterms:W3CDTF">2016-09-27T09:58:31Z</dcterms:created>
  <dcterms:modified xsi:type="dcterms:W3CDTF">2017-06-15T11:58:19Z</dcterms:modified>
</cp:coreProperties>
</file>