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6.xml" ContentType="application/vnd.openxmlformats-officedocument.drawingml.chart+xml"/>
  <Override PartName="/xl/charts/chart5.xml" ContentType="application/vnd.openxmlformats-officedocument.drawingml.char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styles.xml" ContentType="application/vnd.openxmlformats-officedocument.spreadsheetml.styles+xml"/>
  <Override PartName="/xl/sharedStrings.xml" ContentType="application/vnd.openxmlformats-officedocument.spreadsheetml.sharedStrings+xml"/>
  <Override PartName="/xl/worksheets/_rels/sheet22.xml.rels" ContentType="application/vnd.openxmlformats-package.relationships+xml"/>
  <Override PartName="/xl/worksheets/_rels/sheet21.xml.rels" ContentType="application/vnd.openxmlformats-package.relationships+xml"/>
  <Override PartName="/xl/worksheets/_rels/sheet20.xml.rels" ContentType="application/vnd.openxmlformats-package.relationships+xml"/>
  <Override PartName="/xl/worksheets/_rels/sheet6.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drawings/vmlDrawing1.vml" ContentType="application/vnd.openxmlformats-officedocument.vmlDrawing"/>
  <Override PartName="/xl/drawings/drawing1.xml" ContentType="application/vnd.openxmlformats-officedocument.drawing+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vmlDrawing2.vml" ContentType="application/vnd.openxmlformats-officedocument.vmlDrawing"/>
  <Override PartName="/xl/comments10.xml" ContentType="application/vnd.openxmlformats-officedocument.spreadsheetml.comments+xml"/>
  <Override PartName="/xl/workbook.xml" ContentType="application/vnd.openxmlformats-officedocument.spreadsheetml.sheet.main+xml"/>
  <Override PartName="/xl/media/image1.gif" ContentType="image/gif"/>
  <Override PartName="/xl/comments20.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3"/>
  </bookViews>
  <sheets>
    <sheet name="Start" sheetId="1" state="visible" r:id="rId2"/>
    <sheet name="Household Input" sheetId="2" state="visible" r:id="rId3"/>
    <sheet name="Report Preferences" sheetId="3" state="hidden" r:id="rId4"/>
    <sheet name="Food Footprint Report" sheetId="4" state="hidden" r:id="rId5"/>
    <sheet name="Diet Calculator" sheetId="5" state="hidden" r:id="rId6"/>
    <sheet name="Database Food" sheetId="6" state="hidden" r:id="rId7"/>
    <sheet name="total footprint report" sheetId="7" state="hidden" r:id="rId8"/>
    <sheet name="explore alternative lifestyles" sheetId="8" state="hidden" r:id="rId9"/>
    <sheet name="Style Change" sheetId="9" state="visible" r:id="rId10"/>
    <sheet name="Diet Input" sheetId="10" state="hidden" r:id="rId11"/>
    <sheet name="household calculator" sheetId="11" state="hidden" r:id="rId12"/>
    <sheet name="back end data" sheetId="12" state="hidden" r:id="rId13"/>
    <sheet name="GreenStyleUser" sheetId="13" state="hidden" r:id="rId14"/>
    <sheet name="Data Aggregation" sheetId="14" state="visible" r:id="rId15"/>
    <sheet name="GreenUser" sheetId="15" state="hidden" r:id="rId16"/>
    <sheet name="explore alternative diets" sheetId="16" state="hidden" r:id="rId17"/>
    <sheet name="Sub_Data" sheetId="17" state="hidden" r:id="rId18"/>
    <sheet name="Transport Info" sheetId="18" state="hidden" r:id="rId19"/>
    <sheet name="Dropdown" sheetId="19" state="hidden" r:id="rId20"/>
    <sheet name="Electricity mix footprint" sheetId="20" state="hidden" r:id="rId21"/>
    <sheet name="old data sheet" sheetId="21" state="hidden" r:id="rId22"/>
    <sheet name="useful links" sheetId="22" state="hidden" r:id="rId23"/>
  </sheets>
  <definedNames>
    <definedName function="false" hidden="true" localSheetId="18" name="_xlnm._FilterDatabase" vbProcedure="false">Dropdown!$B$2:$C$253</definedName>
    <definedName function="false" hidden="false" localSheetId="18" name="_xlnm.Criteria" vbProcedure="false">Dropdown!$H$2:$H$3</definedName>
    <definedName function="false" hidden="false" localSheetId="18" name="_xlnm.Extract" vbProcedure="false">Dropdown!$H$5:$I$5</definedName>
    <definedName function="false" hidden="false" localSheetId="3" name="_xlnm.Print_Area" vbProcedure="false">'Food Footprint Report'!$A$1:$H$29</definedName>
    <definedName function="false" hidden="false" name="Beverages" vbProcedure="false">'Database Food'!$A$3:$A$10</definedName>
    <definedName function="false" hidden="false" name="Dairy" vbProcedure="false">'Database Food'!$A$11:$A$18</definedName>
    <definedName function="false" hidden="false" name="FoodEmission" vbProcedure="false">#REF!</definedName>
    <definedName function="false" hidden="false" name="FoodEmissionsData" vbProcedure="false">FoodEmission2[]</definedName>
    <definedName function="false" hidden="false" name="Fruits" vbProcedure="false">'Database Food'!$A$19:$A$22</definedName>
    <definedName function="false" hidden="false" name="Grains" vbProcedure="false">'Database Food'!$A$23:$A$28</definedName>
    <definedName function="false" hidden="false" name="Meats" vbProcedure="false">'Database Food'!$A$29:$A$36</definedName>
    <definedName function="false" hidden="false" name="Others" vbProcedure="false">'Database Food'!$A$37:$A$48</definedName>
    <definedName function="false" hidden="false" name="Trnspt" vbProcedure="false">'Transport Info'!$A$7:$B$10</definedName>
    <definedName function="false" hidden="false" name="Vegetables" vbProcedure="false">'Database Food'!$A$49:$A$60</definedName>
    <definedName function="false" hidden="false" localSheetId="3" name="_xlnm.Print_Area" vbProcedure="false">'Food Footprint Report'!$A$1:$H$29</definedName>
    <definedName function="false" hidden="false" localSheetId="4" name="FoodEmission" vbProcedure="false">FoodEmission2[]</definedName>
    <definedName function="false" hidden="false" localSheetId="5" name="FoodEmission" vbProcedure="false">FoodEmission2[]</definedName>
    <definedName function="false" hidden="false" localSheetId="5" name="_xlnm._FilterDatabase" vbProcedure="false">'Database Food'!$B$2:$I$259</definedName>
    <definedName function="false" hidden="false" localSheetId="9" name="FoodEmission" vbProcedure="false">FoodEmission2[]</definedName>
    <definedName function="false" hidden="false" localSheetId="12" name="FoodEmission" vbProcedure="false">#REF!</definedName>
    <definedName function="false" hidden="false" localSheetId="12" name="FoodEmissionsData" vbProcedure="false">FoodEmission2[]</definedName>
    <definedName function="false" hidden="false" localSheetId="14" name="FoodEmission" vbProcedure="false">#REF!</definedName>
    <definedName function="false" hidden="false" localSheetId="14" name="FoodEmissionsData" vbProcedure="false">FoodEmission2[]</definedName>
    <definedName function="false" hidden="false" localSheetId="18" name="_xlnm.Criteria" vbProcedure="false">Dropdown!$H$2:$H$3</definedName>
    <definedName function="false" hidden="false" localSheetId="18" name="_xlnm.Extract" vbProcedure="false">Dropdown!$H$5:$I$5</definedName>
    <definedName function="false" hidden="false" localSheetId="18" name="_xlnm._FilterDatabase" vbProcedure="false">Dropdown!$B$2:$C$253</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s>
  <commentList>
    <comment ref="B4" authorId="0">
      <text>
        <r>
          <rPr>
            <b val="true"/>
            <sz val="9"/>
            <color rgb="FF000000"/>
            <rFont val="Tahoma"/>
            <family val="2"/>
            <charset val="1"/>
          </rPr>
          <t xml:space="preserve">Bala:
</t>
        </r>
        <r>
          <rPr>
            <sz val="9"/>
            <color rgb="FF000000"/>
            <rFont val="Tahoma"/>
            <family val="2"/>
            <charset val="1"/>
          </rPr>
          <t xml:space="preserve">Serving Size Guide: https://www.eatforhealth.gov.au/food-essentials/how-much-do-we-need-each-day/serve-sizes</t>
        </r>
      </text>
    </comment>
  </commentList>
</comments>
</file>

<file path=xl/comments20.xml><?xml version="1.0" encoding="utf-8"?>
<comments xmlns="http://schemas.openxmlformats.org/spreadsheetml/2006/main" xmlns:xdr="http://schemas.openxmlformats.org/drawingml/2006/spreadsheetDrawing">
  <authors>
    <author/>
  </authors>
  <commentList>
    <comment ref="D5" authorId="0">
      <text>
        <r>
          <rPr>
            <b val="true"/>
            <sz val="8"/>
            <rFont val="Tahoma"/>
            <family val="2"/>
            <charset val="1"/>
          </rPr>
          <t xml:space="preserve">kg CO₂e of CO₂ per unit</t>
        </r>
      </text>
    </comment>
  </commentList>
</comments>
</file>

<file path=xl/sharedStrings.xml><?xml version="1.0" encoding="utf-8"?>
<sst xmlns="http://schemas.openxmlformats.org/spreadsheetml/2006/main" count="1591" uniqueCount="715">
  <si>
    <t xml:space="preserve">Household footprint calculator</t>
  </si>
  <si>
    <t xml:space="preserve">version: </t>
  </si>
  <si>
    <t xml:space="preserve">8.12.2016</t>
  </si>
  <si>
    <t xml:space="preserve">Welcome to the beta version of LEDsafari's household footprint calculator. This tool allows you to calculate your personal water and carbon footprint of everyday household activities, including your dietary choices. We request you to fill the following three sheets and we will provide you with a report on your household carbon footprint along with some recommendations to reduce your footprint. If interested, we can demonstrate the effectiveness of your alternative lifestyle choices. Please note that the calculator concerns individuals and not the household as a whole. Have fun!</t>
  </si>
  <si>
    <t xml:space="preserve">Personal Information</t>
  </si>
  <si>
    <t xml:space="preserve">(we promise anonymity)</t>
  </si>
  <si>
    <t xml:space="preserve">Your Name and Surname</t>
  </si>
  <si>
    <t xml:space="preserve">Mina Mirzadeh</t>
  </si>
  <si>
    <t xml:space="preserve">Contact Email Address (to sent you the footprint report)</t>
  </si>
  <si>
    <t xml:space="preserve">minamirzadeh@gmail.com</t>
  </si>
  <si>
    <t xml:space="preserve">Year of birth</t>
  </si>
  <si>
    <t xml:space="preserve">Your Gender</t>
  </si>
  <si>
    <t xml:space="preserve">female</t>
  </si>
  <si>
    <t xml:space="preserve">Your Profession</t>
  </si>
  <si>
    <t xml:space="preserve">Student</t>
  </si>
  <si>
    <t xml:space="preserve">General information: fill in the red column</t>
  </si>
  <si>
    <t xml:space="preserve">Select your residence country in the dropdown menu</t>
  </si>
  <si>
    <t xml:space="preserve"> Belgium</t>
  </si>
  <si>
    <t xml:space="preserve">Which water heating technology do you have?</t>
  </si>
  <si>
    <t xml:space="preserve">Electric boiler</t>
  </si>
  <si>
    <t xml:space="preserve">Let's get started!</t>
  </si>
  <si>
    <t xml:space="preserve">Complete the household input sheet</t>
  </si>
  <si>
    <t xml:space="preserve">click here</t>
  </si>
  <si>
    <t xml:space="preserve">Estimated Completion Time: 4 mins</t>
  </si>
  <si>
    <t xml:space="preserve">Complete the diet input sheet</t>
  </si>
  <si>
    <t xml:space="preserve">Estimated Completion Time: 6 mins</t>
  </si>
  <si>
    <t xml:space="preserve">Consult your footprint report</t>
  </si>
  <si>
    <t xml:space="preserve">Explore the footprint changes by alternative lifestyle choices</t>
  </si>
  <si>
    <t xml:space="preserve">Let us known your report preferences and feedback</t>
  </si>
  <si>
    <t xml:space="preserve">Estimated Completion Time: 1 min</t>
  </si>
  <si>
    <t xml:space="preserve">Household inputs</t>
  </si>
  <si>
    <t xml:space="preserve">please indicate your lifestyle and activity frequency under user input</t>
  </si>
  <si>
    <t xml:space="preserve">Household activity input sheet</t>
  </si>
  <si>
    <t xml:space="preserve">fill in your data below</t>
  </si>
  <si>
    <t xml:space="preserve">Activity</t>
  </si>
  <si>
    <t xml:space="preserve">Lifestyle </t>
  </si>
  <si>
    <t xml:space="preserve">Frequency </t>
  </si>
  <si>
    <t xml:space="preserve">unit</t>
  </si>
  <si>
    <t xml:space="preserve">(click on cell &amp; choose from dropdown list)</t>
  </si>
  <si>
    <t xml:space="preserve">(fill in a number according to the unit)</t>
  </si>
  <si>
    <t xml:space="preserve">(don't change this cell)</t>
  </si>
  <si>
    <t xml:space="preserve">In the bathroom</t>
  </si>
  <si>
    <t xml:space="preserve">Shower</t>
  </si>
  <si>
    <t xml:space="preserve">Normal shower head</t>
  </si>
  <si>
    <t xml:space="preserve">min/week</t>
  </si>
  <si>
    <t xml:space="preserve">Bath</t>
  </si>
  <si>
    <t xml:space="preserve">I don't take baths</t>
  </si>
  <si>
    <t xml:space="preserve">times/week</t>
  </si>
  <si>
    <t xml:space="preserve">Toilet</t>
  </si>
  <si>
    <t xml:space="preserve">Standard toilet</t>
  </si>
  <si>
    <t xml:space="preserve">times/day</t>
  </si>
  <si>
    <t xml:space="preserve">Brushing teeth</t>
  </si>
  <si>
    <t xml:space="preserve">Brushing teeth closed tap</t>
  </si>
  <si>
    <t xml:space="preserve">Washing hands</t>
  </si>
  <si>
    <t xml:space="preserve">nothing to select</t>
  </si>
  <si>
    <t xml:space="preserve">Shaving</t>
  </si>
  <si>
    <t xml:space="preserve">In the laundry room</t>
  </si>
  <si>
    <t xml:space="preserve">Washing</t>
  </si>
  <si>
    <t xml:space="preserve">Washing machine eco mode</t>
  </si>
  <si>
    <t xml:space="preserve">kg/week</t>
  </si>
  <si>
    <t xml:space="preserve">Drying</t>
  </si>
  <si>
    <t xml:space="preserve">Dry with tumble dryer</t>
  </si>
  <si>
    <t xml:space="preserve">In the kitchen</t>
  </si>
  <si>
    <t xml:space="preserve">Boiling water (tea/coffee)</t>
  </si>
  <si>
    <t xml:space="preserve">Stove</t>
  </si>
  <si>
    <t xml:space="preserve">L/day</t>
  </si>
  <si>
    <t xml:space="preserve">Doing the dishes manually</t>
  </si>
  <si>
    <t xml:space="preserve">I (sometimes) do the dishes manually</t>
  </si>
  <si>
    <t xml:space="preserve">Dishwasher</t>
  </si>
  <si>
    <t xml:space="preserve">I don't have a dishwasher</t>
  </si>
  <si>
    <t xml:space="preserve">cycles/week</t>
  </si>
  <si>
    <t xml:space="preserve">In the living room and home office</t>
  </si>
  <si>
    <t xml:space="preserve">Television</t>
  </si>
  <si>
    <t xml:space="preserve">LED TV</t>
  </si>
  <si>
    <t xml:space="preserve">hours/week</t>
  </si>
  <si>
    <t xml:space="preserve">Personal computer</t>
  </si>
  <si>
    <t xml:space="preserve">Laptop</t>
  </si>
  <si>
    <t xml:space="preserve">hours/day</t>
  </si>
  <si>
    <t xml:space="preserve">Mobile phone</t>
  </si>
  <si>
    <t xml:space="preserve">Mobile phone, and I charge it…</t>
  </si>
  <si>
    <t xml:space="preserve">Tablet</t>
  </si>
  <si>
    <t xml:space="preserve">I don't have a tablet</t>
  </si>
  <si>
    <t xml:space="preserve">How I light my house</t>
  </si>
  <si>
    <t xml:space="preserve">Lighting technology around the house</t>
  </si>
  <si>
    <t xml:space="preserve">mainly incandescant light bulbs</t>
  </si>
  <si>
    <t xml:space="preserve">Now complete the diet input sheet ==&gt;</t>
  </si>
  <si>
    <t xml:space="preserve">Report preferences and Feedback</t>
  </si>
  <si>
    <t xml:space="preserve">You are nearly done! Thanks for filling out the household and dietary input sheets. We will prepare a footprint report and send it to the email address you provided at the Start sheet. </t>
  </si>
  <si>
    <t xml:space="preserve">Indicate your preferences for this report here, as well as a bit of feedback on how we can make this calculator more user friendly. Thank you for your time!</t>
  </si>
  <si>
    <t xml:space="preserve">Report preferences</t>
  </si>
  <si>
    <t xml:space="preserve">I want to receive a detailed diatery footprint report (footprint for every food item broken down in transport and production emissions)</t>
  </si>
  <si>
    <t xml:space="preserve">please select</t>
  </si>
  <si>
    <t xml:space="preserve">I want to receive a water and electricity footprint report (detailed breakdown of water and electricity consumption)</t>
  </si>
  <si>
    <t xml:space="preserve">I want to receive recommendations to reduce my dietary carbon footprint</t>
  </si>
  <si>
    <t xml:space="preserve">I want to receive recommendations to reduce my water comsumption of household activities</t>
  </si>
  <si>
    <t xml:space="preserve">I want to recive recommendations to reduce my electricity consumption of household activities</t>
  </si>
  <si>
    <t xml:space="preserve">I want to receive recommendations to reduce my carbon footprint of household activities</t>
  </si>
  <si>
    <t xml:space="preserve">Feedback</t>
  </si>
  <si>
    <t xml:space="preserve">The household input sheet takes too long to fill out</t>
  </si>
  <si>
    <t xml:space="preserve">The dietary input sheet takes too long to fill out</t>
  </si>
  <si>
    <t xml:space="preserve">The maximum amount of time I want to spent on filling out the sheets is…</t>
  </si>
  <si>
    <t xml:space="preserve">The lifestyle descriptions in the household input sheet are unclear</t>
  </si>
  <si>
    <t xml:space="preserve">The dietary input descriptions are unclear</t>
  </si>
  <si>
    <t xml:space="preserve">Overall, the usage of the calculator was confusing</t>
  </si>
  <si>
    <t xml:space="preserve">Provide any other comments in the box below.</t>
  </si>
  <si>
    <t xml:space="preserve">Food Footprint report</t>
  </si>
  <si>
    <t xml:space="preserve">NET FOOTPRINT [kgCO2e]</t>
  </si>
  <si>
    <t xml:space="preserve">daily average</t>
  </si>
  <si>
    <t xml:space="preserve">weekly average</t>
  </si>
  <si>
    <t xml:space="preserve">Breakfast</t>
  </si>
  <si>
    <t xml:space="preserve">Lunch</t>
  </si>
  <si>
    <t xml:space="preserve">Dinner</t>
  </si>
  <si>
    <t xml:space="preserve">Snacks</t>
  </si>
  <si>
    <t xml:space="preserve">Total kg CO2e</t>
  </si>
  <si>
    <t xml:space="preserve">Item</t>
  </si>
  <si>
    <t xml:space="preserve">Emissions</t>
  </si>
  <si>
    <t xml:space="preserve">Lunch </t>
  </si>
  <si>
    <t xml:space="preserve">GRAND SUM</t>
  </si>
  <si>
    <t xml:space="preserve">Serving</t>
  </si>
  <si>
    <t xml:space="preserve">Production</t>
  </si>
  <si>
    <t xml:space="preserve">Transport</t>
  </si>
  <si>
    <t xml:space="preserve">Total</t>
  </si>
  <si>
    <t xml:space="preserve">NOTE: The data range for the food categories is prone to errors!</t>
  </si>
  <si>
    <t xml:space="preserve">Category</t>
  </si>
  <si>
    <t xml:space="preserve">Serving Description</t>
  </si>
  <si>
    <t xml:space="preserve">Serving Mass (kg/#)</t>
  </si>
  <si>
    <t xml:space="preserve">Emission kgCO2e/kg</t>
  </si>
  <si>
    <t xml:space="preserve">Trsptrt Mode</t>
  </si>
  <si>
    <t xml:space="preserve">Distance (km)</t>
  </si>
  <si>
    <t xml:space="preserve">Transport Emissions</t>
  </si>
  <si>
    <t xml:space="preserve">g/1000kcal</t>
  </si>
  <si>
    <t xml:space="preserve">Beer</t>
  </si>
  <si>
    <t xml:space="preserve">Beverages</t>
  </si>
  <si>
    <t xml:space="preserve">One Can (330ml)</t>
  </si>
  <si>
    <t xml:space="preserve">Road</t>
  </si>
  <si>
    <t xml:space="preserve">Coffee</t>
  </si>
  <si>
    <t xml:space="preserve">Two Tbsp (30g)</t>
  </si>
  <si>
    <t xml:space="preserve">Rail</t>
  </si>
  <si>
    <t xml:space="preserve">Milk</t>
  </si>
  <si>
    <t xml:space="preserve">One Cup (250 ml)</t>
  </si>
  <si>
    <t xml:space="preserve">Soft Drinks</t>
  </si>
  <si>
    <t xml:space="preserve">Water</t>
  </si>
  <si>
    <t xml:space="preserve">Soy Milk</t>
  </si>
  <si>
    <t xml:space="preserve">Tea</t>
  </si>
  <si>
    <t xml:space="preserve">Whiskey</t>
  </si>
  <si>
    <t xml:space="preserve">One Peg (80 ml)</t>
  </si>
  <si>
    <t xml:space="preserve">Wine</t>
  </si>
  <si>
    <t xml:space="preserve">One Glass (150 ml)</t>
  </si>
  <si>
    <t xml:space="preserve">Brown Bread</t>
  </si>
  <si>
    <t xml:space="preserve">Dairy</t>
  </si>
  <si>
    <t xml:space="preserve">One Slice (40g)</t>
  </si>
  <si>
    <t xml:space="preserve">Butter</t>
  </si>
  <si>
    <t xml:space="preserve">One tbspn (15 ml)</t>
  </si>
  <si>
    <t xml:space="preserve">Cheese (Processed)</t>
  </si>
  <si>
    <t xml:space="preserve">One cube (20g)</t>
  </si>
  <si>
    <t xml:space="preserve">Eggs-Large</t>
  </si>
  <si>
    <t xml:space="preserve">One large (60g)</t>
  </si>
  <si>
    <t xml:space="preserve">Eggs-Medium</t>
  </si>
  <si>
    <t xml:space="preserve">One medium (40g)</t>
  </si>
  <si>
    <t xml:space="preserve">White Bread</t>
  </si>
  <si>
    <t xml:space="preserve">Yoghurt</t>
  </si>
  <si>
    <t xml:space="preserve">One cup (200ml)</t>
  </si>
  <si>
    <t xml:space="preserve">Apple</t>
  </si>
  <si>
    <t xml:space="preserve">Fruits</t>
  </si>
  <si>
    <t xml:space="preserve">One Medium (150g)</t>
  </si>
  <si>
    <t xml:space="preserve">Banana</t>
  </si>
  <si>
    <t xml:space="preserve">Grapes</t>
  </si>
  <si>
    <t xml:space="preserve">One Cup (150g)</t>
  </si>
  <si>
    <t xml:space="preserve">Melons</t>
  </si>
  <si>
    <t xml:space="preserve">Breakfast Cereal</t>
  </si>
  <si>
    <t xml:space="preserve">Grains</t>
  </si>
  <si>
    <t xml:space="preserve">Half Cup (60g)</t>
  </si>
  <si>
    <t xml:space="preserve">Flat Bread</t>
  </si>
  <si>
    <t xml:space="preserve">One Medium (80g)</t>
  </si>
  <si>
    <t xml:space="preserve">Maize</t>
  </si>
  <si>
    <t xml:space="preserve">One cup is 250g</t>
  </si>
  <si>
    <t xml:space="preserve">Rice-Cooked</t>
  </si>
  <si>
    <t xml:space="preserve">One cup (120g)</t>
  </si>
  <si>
    <t xml:space="preserve">Beef-Cooked</t>
  </si>
  <si>
    <t xml:space="preserve">Meats</t>
  </si>
  <si>
    <t xml:space="preserve">One Serve (65g)</t>
  </si>
  <si>
    <t xml:space="preserve">Chicken-Cooked</t>
  </si>
  <si>
    <t xml:space="preserve">One Serve (80g)</t>
  </si>
  <si>
    <t xml:space="preserve">Fish, Common- Cooked</t>
  </si>
  <si>
    <t xml:space="preserve">One Serve (100g)</t>
  </si>
  <si>
    <t xml:space="preserve">Lamb- Cooked</t>
  </si>
  <si>
    <t xml:space="preserve">Pork- Cooked</t>
  </si>
  <si>
    <t xml:space="preserve">Salmon-Cooked</t>
  </si>
  <si>
    <t xml:space="preserve">Sausages</t>
  </si>
  <si>
    <t xml:space="preserve">One Unit (75g)</t>
  </si>
  <si>
    <t xml:space="preserve">Shrimp</t>
  </si>
  <si>
    <t xml:space="preserve">Almonds-Organic</t>
  </si>
  <si>
    <t xml:space="preserve">Others</t>
  </si>
  <si>
    <t xml:space="preserve">Half Cup (75g)</t>
  </si>
  <si>
    <t xml:space="preserve">Beans, dried</t>
  </si>
  <si>
    <t xml:space="preserve">Canola Oil</t>
  </si>
  <si>
    <t xml:space="preserve">Mushroom</t>
  </si>
  <si>
    <t xml:space="preserve">Pasta-Cooked</t>
  </si>
  <si>
    <t xml:space="preserve">One Cup (120g)</t>
  </si>
  <si>
    <t xml:space="preserve">Peanut Butter</t>
  </si>
  <si>
    <t xml:space="preserve">Potato Chips</t>
  </si>
  <si>
    <t xml:space="preserve">One Pack (50g)</t>
  </si>
  <si>
    <t xml:space="preserve">Soybean Oil</t>
  </si>
  <si>
    <t xml:space="preserve">Sugar-refined, cane</t>
  </si>
  <si>
    <t xml:space="preserve">One tbspn (15 g)</t>
  </si>
  <si>
    <t xml:space="preserve">Tofu (firm)</t>
  </si>
  <si>
    <t xml:space="preserve">One Cup (170g)</t>
  </si>
  <si>
    <t xml:space="preserve">Unlisted</t>
  </si>
  <si>
    <t xml:space="preserve">Enter Details</t>
  </si>
  <si>
    <t xml:space="preserve">Walnuts-Dry</t>
  </si>
  <si>
    <t xml:space="preserve">Beetroot</t>
  </si>
  <si>
    <t xml:space="preserve">Vegetables</t>
  </si>
  <si>
    <t xml:space="preserve">Brocolli</t>
  </si>
  <si>
    <t xml:space="preserve">Carrot</t>
  </si>
  <si>
    <t xml:space="preserve">Eggplant</t>
  </si>
  <si>
    <t xml:space="preserve">Garlic</t>
  </si>
  <si>
    <t xml:space="preserve">One clove is 10g</t>
  </si>
  <si>
    <t xml:space="preserve">Lemon</t>
  </si>
  <si>
    <t xml:space="preserve">One Medium (75g)</t>
  </si>
  <si>
    <t xml:space="preserve">Lettuce</t>
  </si>
  <si>
    <t xml:space="preserve">One Cup (75g)</t>
  </si>
  <si>
    <t xml:space="preserve">Onions</t>
  </si>
  <si>
    <t xml:space="preserve">Potatoes</t>
  </si>
  <si>
    <t xml:space="preserve">Spinach</t>
  </si>
  <si>
    <t xml:space="preserve">Sweet Potato</t>
  </si>
  <si>
    <t xml:space="preserve">Half Medium (75g)</t>
  </si>
  <si>
    <t xml:space="preserve">Tomato</t>
  </si>
  <si>
    <t xml:space="preserve">1 Medium (75g)</t>
  </si>
  <si>
    <t xml:space="preserve">Footprint report</t>
  </si>
  <si>
    <t xml:space="preserve">consult here the outcome of the calculation</t>
  </si>
  <si>
    <t xml:space="preserve">Summary for one year</t>
  </si>
  <si>
    <t xml:space="preserve">Total fresh water consumption</t>
  </si>
  <si>
    <t xml:space="preserve">liters</t>
  </si>
  <si>
    <t xml:space="preserve">Total carbon footprint</t>
  </si>
  <si>
    <t xml:space="preserve">kgCO2</t>
  </si>
  <si>
    <t xml:space="preserve">Total electricity consumption</t>
  </si>
  <si>
    <t xml:space="preserve">kWh</t>
  </si>
  <si>
    <t xml:space="preserve">Breakdown and intuitive quantisation</t>
  </si>
  <si>
    <t xml:space="preserve">Water footprint</t>
  </si>
  <si>
    <t xml:space="preserve">Equivalent to</t>
  </si>
  <si>
    <t xml:space="preserve">litres</t>
  </si>
  <si>
    <t xml:space="preserve">number of full bath tubs</t>
  </si>
  <si>
    <t xml:space="preserve">olympic swimming pool filling rate</t>
  </si>
  <si>
    <t xml:space="preserve">number of tomatoes you can grow </t>
  </si>
  <si>
    <t xml:space="preserve">shower/bath and washing</t>
  </si>
  <si>
    <t xml:space="preserve">toilet</t>
  </si>
  <si>
    <t xml:space="preserve">tea/coffee</t>
  </si>
  <si>
    <t xml:space="preserve">laundry</t>
  </si>
  <si>
    <t xml:space="preserve">dishes</t>
  </si>
  <si>
    <t xml:space="preserve">Grid electricity consumption</t>
  </si>
  <si>
    <t xml:space="preserve">number of days on classic light bulb</t>
  </si>
  <si>
    <t xml:space="preserve">number of Iphone6 full charge</t>
  </si>
  <si>
    <t xml:space="preserve">kilometers with Tesla model S</t>
  </si>
  <si>
    <t xml:space="preserve">lighting</t>
  </si>
  <si>
    <t xml:space="preserve">PC, tablet and mobile phone</t>
  </si>
  <si>
    <t xml:space="preserve">TV</t>
  </si>
  <si>
    <t xml:space="preserve">hot water boiler (kettle + boiler if electric)</t>
  </si>
  <si>
    <t xml:space="preserve">Carbon footprint</t>
  </si>
  <si>
    <t xml:space="preserve">kilometers by average car</t>
  </si>
  <si>
    <t xml:space="preserve">kilometers by plane</t>
  </si>
  <si>
    <t xml:space="preserve">number of trees needed to absorb CO2</t>
  </si>
  <si>
    <t xml:space="preserve">TV, PC, tablet and mobile phone</t>
  </si>
  <si>
    <t xml:space="preserve">kitchen and sanitary hot water</t>
  </si>
  <si>
    <t xml:space="preserve">food</t>
  </si>
  <si>
    <t xml:space="preserve">Explore alternative lifestyles</t>
  </si>
  <si>
    <t xml:space="preserve">you can change the user inputs to observe the change in footprint with respect to the original</t>
  </si>
  <si>
    <t xml:space="preserve">go back to start page</t>
  </si>
  <si>
    <t xml:space="preserve">select a new lifestyle</t>
  </si>
  <si>
    <t xml:space="preserve">new weekly footprint</t>
  </si>
  <si>
    <t xml:space="preserve">new yearly footprint</t>
  </si>
  <si>
    <t xml:space="preserve">original yearly footprint</t>
  </si>
  <si>
    <t xml:space="preserve">relative footprint reduction*</t>
  </si>
  <si>
    <t xml:space="preserve">contribution in the total saving</t>
  </si>
  <si>
    <t xml:space="preserve">absolute footprint reduction*</t>
  </si>
  <si>
    <t xml:space="preserve">Lifestyle</t>
  </si>
  <si>
    <t xml:space="preserve">frequency</t>
  </si>
  <si>
    <t xml:space="preserve">Impact measure</t>
  </si>
  <si>
    <t xml:space="preserve">direct water [L]</t>
  </si>
  <si>
    <t xml:space="preserve">hidden water [L]</t>
  </si>
  <si>
    <t xml:space="preserve">direct CO2 [kgCO2e]</t>
  </si>
  <si>
    <t xml:space="preserve">hidden CO2 [kgCO2e]</t>
  </si>
  <si>
    <t xml:space="preserve">electricity [kWh]</t>
  </si>
  <si>
    <t xml:space="preserve">Water saving shower head (flow reduction)</t>
  </si>
  <si>
    <t xml:space="preserve">Bath tub full</t>
  </si>
  <si>
    <t xml:space="preserve">Toilet with two flush options (urine/faeces)</t>
  </si>
  <si>
    <t xml:space="preserve">Washing machine standard</t>
  </si>
  <si>
    <t xml:space="preserve">Dry with tuble dryer</t>
  </si>
  <si>
    <t xml:space="preserve">Kettle</t>
  </si>
  <si>
    <t xml:space="preserve">I use a dishwasher and fill it half before running</t>
  </si>
  <si>
    <t xml:space="preserve">Desktop PC with external monitor</t>
  </si>
  <si>
    <t xml:space="preserve">* positive value: you decreased your footprint, this is the way to go! negative value: you increased your footprint, better don't do this!</t>
  </si>
  <si>
    <t xml:space="preserve">shower/bath</t>
  </si>
  <si>
    <t xml:space="preserve">washing</t>
  </si>
  <si>
    <t xml:space="preserve">Style Change Preferences</t>
  </si>
  <si>
    <t xml:space="preserve">Emission Change</t>
  </si>
  <si>
    <t xml:space="preserve">The Input style is taken from Household Input. The Default Style is style change with least emissions. Use the Change column to input preferred style. </t>
  </si>
  <si>
    <t xml:space="preserve">Emission Reduced</t>
  </si>
  <si>
    <t xml:space="preserve">kgCO2eq</t>
  </si>
  <si>
    <t xml:space="preserve">Input</t>
  </si>
  <si>
    <t xml:space="preserve">Default</t>
  </si>
  <si>
    <t xml:space="preserve">Change</t>
  </si>
  <si>
    <t xml:space="preserve">Emission Reduction Needed</t>
  </si>
  <si>
    <t xml:space="preserve">Low Target</t>
  </si>
  <si>
    <t xml:space="preserve">High Target</t>
  </si>
  <si>
    <t xml:space="preserve">Dry in sun and wind</t>
  </si>
  <si>
    <t xml:space="preserve">mainly LED lighting</t>
  </si>
  <si>
    <t xml:space="preserve">Diet inputs</t>
  </si>
  <si>
    <t xml:space="preserve">Below you can provide information on what you eat on a typical day.From the drop down next on "Diet Input Days" choose the number of days worth data are you entering.</t>
  </si>
  <si>
    <t xml:space="preserve">You have the option to choose an item if it is not listed by opting Others&gt;Unlisted. Kindly indicate the food type in comments on "Unlisted" cell.</t>
  </si>
  <si>
    <t xml:space="preserve">Diet Input Days</t>
  </si>
  <si>
    <t xml:space="preserve">Enter the food items by meal on each of the columns. You can add more to the right if needed! Check this cell's comment for serving size guide.</t>
  </si>
  <si>
    <t xml:space="preserve">Description</t>
  </si>
  <si>
    <t xml:space="preserve">Household calculator under the hood</t>
  </si>
  <si>
    <t xml:space="preserve">weekly footprint</t>
  </si>
  <si>
    <t xml:space="preserve">yearly footprint</t>
  </si>
  <si>
    <t xml:space="preserve">Bathroom</t>
  </si>
  <si>
    <t xml:space="preserve">Laundry</t>
  </si>
  <si>
    <t xml:space="preserve">Kitchen</t>
  </si>
  <si>
    <t xml:space="preserve">Living</t>
  </si>
  <si>
    <t xml:space="preserve">Lighting</t>
  </si>
  <si>
    <t xml:space="preserve">Data look-up table</t>
  </si>
  <si>
    <t xml:space="preserve">data sources are given in report</t>
  </si>
  <si>
    <t xml:space="preserve">Please select</t>
  </si>
  <si>
    <t xml:space="preserve">LPM</t>
  </si>
  <si>
    <t xml:space="preserve">I am not sure</t>
  </si>
  <si>
    <t xml:space="preserve">L</t>
  </si>
  <si>
    <t xml:space="preserve">Bath tub half</t>
  </si>
  <si>
    <t xml:space="preserve"> Toilet dual flush - small</t>
  </si>
  <si>
    <t xml:space="preserve">Toilet dual flush - large</t>
  </si>
  <si>
    <t xml:space="preserve">Brushing teeth open tap</t>
  </si>
  <si>
    <t xml:space="preserve">Manually washing the clothes</t>
  </si>
  <si>
    <t xml:space="preserve">L/kg</t>
  </si>
  <si>
    <t xml:space="preserve">kWh/kg</t>
  </si>
  <si>
    <t xml:space="preserve">kWh/L</t>
  </si>
  <si>
    <t xml:space="preserve">Microwave</t>
  </si>
  <si>
    <t xml:space="preserve">L/time</t>
  </si>
  <si>
    <t xml:space="preserve">I never do the dishes manually</t>
  </si>
  <si>
    <t xml:space="preserve">I use a dishwasher and always fill it completely before running</t>
  </si>
  <si>
    <t xml:space="preserve">L/cycle</t>
  </si>
  <si>
    <t xml:space="preserve">kWh/cycle</t>
  </si>
  <si>
    <t xml:space="preserve">LCD TV</t>
  </si>
  <si>
    <t xml:space="preserve">kW</t>
  </si>
  <si>
    <t xml:space="preserve">Plasma TV</t>
  </si>
  <si>
    <t xml:space="preserve">I don't have a mobile phone</t>
  </si>
  <si>
    <t xml:space="preserve">co2 footprint of electricity mix</t>
  </si>
  <si>
    <t xml:space="preserve">kgCO2/kWh</t>
  </si>
  <si>
    <t xml:space="preserve">co2 footprint of CH4 boiler</t>
  </si>
  <si>
    <t xml:space="preserve">all for 800 lumen</t>
  </si>
  <si>
    <t xml:space="preserve">mainly halogen lamps</t>
  </si>
  <si>
    <t xml:space="preserve">mainly CFL (also known as energy saving lamps)</t>
  </si>
  <si>
    <t xml:space="preserve">Shower/bath</t>
  </si>
  <si>
    <t xml:space="preserve">degrees C</t>
  </si>
  <si>
    <t xml:space="preserve">Natural gas boiler</t>
  </si>
  <si>
    <t xml:space="preserve">kWh primary heat/L</t>
  </si>
  <si>
    <t xml:space="preserve">kgCO2/L</t>
  </si>
  <si>
    <t xml:space="preserve">kWh grid/L</t>
  </si>
  <si>
    <t xml:space="preserve">cp water</t>
  </si>
  <si>
    <t xml:space="preserve">kJ/kg K</t>
  </si>
  <si>
    <t xml:space="preserve">natural gas boiler efficiency</t>
  </si>
  <si>
    <t xml:space="preserve">kWh primary electricity/L</t>
  </si>
  <si>
    <t xml:space="preserve">rho water</t>
  </si>
  <si>
    <t xml:space="preserve">kg/m^3</t>
  </si>
  <si>
    <t xml:space="preserve">electric boiler efficiency</t>
  </si>
  <si>
    <t xml:space="preserve">kgC02/kg</t>
  </si>
  <si>
    <t xml:space="preserve">Dishes</t>
  </si>
  <si>
    <t xml:space="preserve">bath tub equivalent</t>
  </si>
  <si>
    <t xml:space="preserve">olympic swimming pool equivalent</t>
  </si>
  <si>
    <t xml:space="preserve">water to grow tomato</t>
  </si>
  <si>
    <t xml:space="preserve">day with 80W light bulb</t>
  </si>
  <si>
    <t xml:space="preserve">kilometer with Tesla S</t>
  </si>
  <si>
    <t xml:space="preserve">Iphone6 full charge</t>
  </si>
  <si>
    <t xml:space="preserve">kilometer by medium car</t>
  </si>
  <si>
    <t xml:space="preserve">kilometer by plane</t>
  </si>
  <si>
    <t xml:space="preserve">kgCO3</t>
  </si>
  <si>
    <t xml:space="preserve">tree absorbing CO2</t>
  </si>
  <si>
    <t xml:space="preserve">kgCO4</t>
  </si>
  <si>
    <t xml:space="preserve">agree</t>
  </si>
  <si>
    <t xml:space="preserve">don't agree</t>
  </si>
  <si>
    <t xml:space="preserve">5 min</t>
  </si>
  <si>
    <t xml:space="preserve">10 min</t>
  </si>
  <si>
    <t xml:space="preserve">15 min</t>
  </si>
  <si>
    <t xml:space="preserve">I don't mind</t>
  </si>
  <si>
    <t xml:space="preserve">yes</t>
  </si>
  <si>
    <t xml:space="preserve">no</t>
  </si>
  <si>
    <t xml:space="preserve">Unemployed</t>
  </si>
  <si>
    <t xml:space="preserve">male</t>
  </si>
  <si>
    <t xml:space="preserve">Education</t>
  </si>
  <si>
    <t xml:space="preserve">Retail</t>
  </si>
  <si>
    <t xml:space="preserve">Government</t>
  </si>
  <si>
    <t xml:space="preserve">Health care</t>
  </si>
  <si>
    <t xml:space="preserve">Industry</t>
  </si>
  <si>
    <t xml:space="preserve">name</t>
  </si>
  <si>
    <t xml:space="preserve">S.No</t>
  </si>
  <si>
    <t xml:space="preserve">Parameter</t>
  </si>
  <si>
    <t xml:space="preserve">Frequency</t>
  </si>
  <si>
    <t xml:space="preserve">birthyear</t>
  </si>
  <si>
    <t xml:space="preserve">P01</t>
  </si>
  <si>
    <t xml:space="preserve">gender</t>
  </si>
  <si>
    <t xml:space="preserve">P02</t>
  </si>
  <si>
    <t xml:space="preserve">job</t>
  </si>
  <si>
    <t xml:space="preserve">P03</t>
  </si>
  <si>
    <t xml:space="preserve">country</t>
  </si>
  <si>
    <t xml:space="preserve">P04</t>
  </si>
  <si>
    <t xml:space="preserve">water heating</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</si>
  <si>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</si>
  <si>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</si>
  <si>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</si>
  <si>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</si>
  <si>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</si>
  <si>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</si>
  <si>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</si>
  <si>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</si>
  <si>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</si>
  <si>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</si>
  <si>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</si>
  <si>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</si>
  <si>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S.NO</t>
  </si>
  <si>
    <t xml:space="preserve">Constants </t>
  </si>
  <si>
    <t xml:space="preserve">Value</t>
  </si>
  <si>
    <t xml:space="preserve">K01</t>
  </si>
  <si>
    <t xml:space="preserve">Bathing Emission</t>
  </si>
  <si>
    <t xml:space="preserve">K02</t>
  </si>
  <si>
    <t xml:space="preserve">Grid Emissions</t>
  </si>
  <si>
    <t xml:space="preserve">K03</t>
  </si>
  <si>
    <t xml:space="preserve">K04</t>
  </si>
  <si>
    <t xml:space="preserve">Bathtub</t>
  </si>
  <si>
    <t xml:space="preserve">K05</t>
  </si>
  <si>
    <t xml:space="preserve">K06</t>
  </si>
  <si>
    <t xml:space="preserve">Brushing</t>
  </si>
  <si>
    <t xml:space="preserve">K07</t>
  </si>
  <si>
    <t xml:space="preserve">Hand Wash</t>
  </si>
  <si>
    <t xml:space="preserve">GSU_Lighting</t>
  </si>
  <si>
    <t xml:space="preserve">K08</t>
  </si>
  <si>
    <t xml:space="preserve">GSU_TV,PC, tablet and mobile phone</t>
  </si>
  <si>
    <t xml:space="preserve">K09</t>
  </si>
  <si>
    <t xml:space="preserve">GSU_kitchen and sanitary hot water</t>
  </si>
  <si>
    <t xml:space="preserve">K10</t>
  </si>
  <si>
    <t xml:space="preserve">Dryer</t>
  </si>
  <si>
    <t xml:space="preserve">GSU_laundry</t>
  </si>
  <si>
    <t xml:space="preserve">K11</t>
  </si>
  <si>
    <t xml:space="preserve">Boiling Water</t>
  </si>
  <si>
    <t xml:space="preserve">K12</t>
  </si>
  <si>
    <t xml:space="preserve">Washing Dishes</t>
  </si>
  <si>
    <t xml:space="preserve">GSU_Total</t>
  </si>
  <si>
    <t xml:space="preserve">K13</t>
  </si>
  <si>
    <t xml:space="preserve">GU_lighting</t>
  </si>
  <si>
    <t xml:space="preserve">K14</t>
  </si>
  <si>
    <t xml:space="preserve">GU_TV,PC, tablet and mobile phone</t>
  </si>
  <si>
    <t xml:space="preserve">K15</t>
  </si>
  <si>
    <t xml:space="preserve">PC</t>
  </si>
  <si>
    <t xml:space="preserve">GU_kitchen and sanitary hot water</t>
  </si>
  <si>
    <t xml:space="preserve">K16</t>
  </si>
  <si>
    <t xml:space="preserve">Mobile</t>
  </si>
  <si>
    <t xml:space="preserve">GU_laundry</t>
  </si>
  <si>
    <t xml:space="preserve">K17</t>
  </si>
  <si>
    <t xml:space="preserve">K18</t>
  </si>
  <si>
    <t xml:space="preserve">Lights</t>
  </si>
  <si>
    <t xml:space="preserve">GU_Total</t>
  </si>
  <si>
    <t xml:space="preserve">K19</t>
  </si>
  <si>
    <t xml:space="preserve">Laundry Emission</t>
  </si>
  <si>
    <t xml:space="preserve">The last section is now useless.</t>
  </si>
  <si>
    <t xml:space="preserve">K20</t>
  </si>
  <si>
    <t xml:space="preserve">Dishes Emission</t>
  </si>
  <si>
    <t xml:space="preserve">Relevant Parameter: 16</t>
  </si>
  <si>
    <t xml:space="preserve">Relevant Parameter: 12,13,14,15</t>
  </si>
  <si>
    <t xml:space="preserve">Gadgets</t>
  </si>
  <si>
    <t xml:space="preserve">Impacts</t>
  </si>
  <si>
    <t xml:space="preserve">Relavant Parameter: 1,2,9,10,11</t>
  </si>
  <si>
    <t xml:space="preserve">Hot Water</t>
  </si>
  <si>
    <t xml:space="preserve">Relavant Parameter: 7,8</t>
  </si>
  <si>
    <t xml:space="preserve">Explore alternative dietary choices</t>
  </si>
  <si>
    <t xml:space="preserve">Calculator</t>
  </si>
  <si>
    <t xml:space="preserve">Veg</t>
  </si>
  <si>
    <t xml:space="preserve">Non Veg</t>
  </si>
  <si>
    <t xml:space="preserve">My Case</t>
  </si>
  <si>
    <t xml:space="preserve">Options</t>
  </si>
  <si>
    <t xml:space="preserve">Classification</t>
  </si>
  <si>
    <t xml:space="preserve">gCO2/g</t>
  </si>
  <si>
    <t xml:space="preserve">Case 1</t>
  </si>
  <si>
    <t xml:space="preserve">Case 2</t>
  </si>
  <si>
    <t xml:space="preserve">Case 3</t>
  </si>
  <si>
    <t xml:space="preserve">Pasta</t>
  </si>
  <si>
    <t xml:space="preserve">Mixed</t>
  </si>
  <si>
    <t xml:space="preserve">Beef</t>
  </si>
  <si>
    <t xml:space="preserve">Non Veg High</t>
  </si>
  <si>
    <t xml:space="preserve">Chicken</t>
  </si>
  <si>
    <t xml:space="preserve">Non Veg Low</t>
  </si>
  <si>
    <t xml:space="preserve">Tofu</t>
  </si>
  <si>
    <t xml:space="preserve">Sub Veg</t>
  </si>
  <si>
    <t xml:space="preserve">Vegetarian</t>
  </si>
  <si>
    <t xml:space="preserve">Potato</t>
  </si>
  <si>
    <t xml:space="preserve">Rice</t>
  </si>
  <si>
    <t xml:space="preserve">STATUS</t>
  </si>
  <si>
    <t xml:space="preserve">The sum must be equal to 100% for correct results</t>
  </si>
  <si>
    <t xml:space="preserve">Case 1 (g CO2e)</t>
  </si>
  <si>
    <t xml:space="preserve">Summary</t>
  </si>
  <si>
    <t xml:space="preserve">Key Facts</t>
  </si>
  <si>
    <t xml:space="preserve">Diet</t>
  </si>
  <si>
    <t xml:space="preserve">Marker</t>
  </si>
  <si>
    <t xml:space="preserve">gCO2/day</t>
  </si>
  <si>
    <t xml:space="preserve">* Here only 1000kcal of expected 2600 kcal for health male is considered</t>
  </si>
  <si>
    <t xml:space="preserve">* The emission of food and energy of food are from different sources</t>
  </si>
  <si>
    <t xml:space="preserve">* Average of 250 miles transport is considered</t>
  </si>
  <si>
    <t xml:space="preserve">2000kcal</t>
  </si>
  <si>
    <t xml:space="preserve">g/2000kcal</t>
  </si>
  <si>
    <t xml:space="preserve">http://www.stevenhamley.com.au/2014/07/comparing-nutrient-density-with.html</t>
  </si>
  <si>
    <t xml:space="preserve">All cuts, raw</t>
  </si>
  <si>
    <t xml:space="preserve">Raw</t>
  </si>
  <si>
    <t xml:space="preserve">Raw, white</t>
  </si>
  <si>
    <t xml:space="preserve">Cornmeal (Polenta)</t>
  </si>
  <si>
    <t xml:space="preserve">Firm</t>
  </si>
  <si>
    <t xml:space="preserve">Mix of grain and refined</t>
  </si>
  <si>
    <t xml:space="preserve">Chappati</t>
  </si>
  <si>
    <t xml:space="preserve">No added fat</t>
  </si>
  <si>
    <t xml:space="preserve">Regular</t>
  </si>
  <si>
    <t xml:space="preserve">Corn flour, dry</t>
  </si>
  <si>
    <t xml:space="preserve">The food energy that remains the same is each diet is roughly 450 kcal of cereals, 80 kcal of fruit, 50 kcal of vegetables, 580 kcal of oils, 220 kcal of snacks and 180 kcal of drinks.</t>
  </si>
  <si>
    <t xml:space="preserve">Read more at http://shrinkthatfootprint.com/food-carbon-footprint-diet#quR7ZWHpyv0J26Ry.99</t>
  </si>
  <si>
    <t xml:space="preserve">kcal</t>
  </si>
  <si>
    <t xml:space="preserve">Cereals</t>
  </si>
  <si>
    <t xml:space="preserve">Fruit</t>
  </si>
  <si>
    <t xml:space="preserve">Oils</t>
  </si>
  <si>
    <t xml:space="preserve">Drinks</t>
  </si>
  <si>
    <t xml:space="preserve">Main</t>
  </si>
  <si>
    <t xml:space="preserve">Air</t>
  </si>
  <si>
    <t xml:space="preserve">Assumption: Common food in super markets are considered. Locally produced foods may or may not have higher CF.</t>
  </si>
  <si>
    <t xml:space="preserve">kgCO2e/kgfood</t>
  </si>
  <si>
    <t xml:space="preserve">http://shrinkthatfootprint.com/food-miles</t>
  </si>
  <si>
    <t xml:space="preserve">Seasonality: General trends in seasonality is considered. Food is usually transported from afar is locally not available. Greenhouse production isn't considered. However, there is an ingrained incentive to eat cheaper food as food off-season is more expensive than seasonal food.</t>
  </si>
  <si>
    <t xml:space="preserve">Land Use Change: Variations isn't considered.</t>
  </si>
  <si>
    <t xml:space="preserve">Categories</t>
  </si>
  <si>
    <t xml:space="preserve">Mode</t>
  </si>
  <si>
    <t xml:space="preserve">Choice</t>
  </si>
  <si>
    <t xml:space="preserve">Daily</t>
  </si>
  <si>
    <t xml:space="preserve">Weekly</t>
  </si>
  <si>
    <t xml:space="preserve">Country</t>
  </si>
  <si>
    <t xml:space="preserve">Unit</t>
  </si>
  <si>
    <t xml:space="preserve">Year</t>
  </si>
  <si>
    <t xml:space="preserve">kg CO2</t>
  </si>
  <si>
    <t xml:space="preserve">Please select your country</t>
  </si>
  <si>
    <t xml:space="preserve"> Australia</t>
  </si>
  <si>
    <t xml:space="preserve"> Austria</t>
  </si>
  <si>
    <t xml:space="preserve"> Brazil</t>
  </si>
  <si>
    <t xml:space="preserve"> Bulgaria</t>
  </si>
  <si>
    <t xml:space="preserve"> Canada</t>
  </si>
  <si>
    <t xml:space="preserve"> Chinese Taipei</t>
  </si>
  <si>
    <t xml:space="preserve"> Croatia</t>
  </si>
  <si>
    <t xml:space="preserve"> Cyprus</t>
  </si>
  <si>
    <t xml:space="preserve"> Czech Republic</t>
  </si>
  <si>
    <t xml:space="preserve"> Denmark</t>
  </si>
  <si>
    <t xml:space="preserve"> Egypt</t>
  </si>
  <si>
    <t xml:space="preserve"> Estonia</t>
  </si>
  <si>
    <t xml:space="preserve"> Finland</t>
  </si>
  <si>
    <t xml:space="preserve"> France</t>
  </si>
  <si>
    <t xml:space="preserve"> Germany</t>
  </si>
  <si>
    <t xml:space="preserve"> Gibraltar</t>
  </si>
  <si>
    <t xml:space="preserve"> Greece</t>
  </si>
  <si>
    <t xml:space="preserve"> Hong Kong, China</t>
  </si>
  <si>
    <t xml:space="preserve"> Hungary</t>
  </si>
  <si>
    <t xml:space="preserve"> Iceland</t>
  </si>
  <si>
    <t xml:space="preserve"> India</t>
  </si>
  <si>
    <t xml:space="preserve"> Indonesia</t>
  </si>
  <si>
    <t xml:space="preserve"> Ireland</t>
  </si>
  <si>
    <t xml:space="preserve"> Israel</t>
  </si>
  <si>
    <t xml:space="preserve"> Italy</t>
  </si>
  <si>
    <t xml:space="preserve"> Japan</t>
  </si>
  <si>
    <t xml:space="preserve"> Latvia</t>
  </si>
  <si>
    <t xml:space="preserve"> Lithuania</t>
  </si>
  <si>
    <t xml:space="preserve"> Luxembourg</t>
  </si>
  <si>
    <t xml:space="preserve"> Malaysia</t>
  </si>
  <si>
    <t xml:space="preserve"> Malta</t>
  </si>
  <si>
    <t xml:space="preserve"> Mexico</t>
  </si>
  <si>
    <t xml:space="preserve"> Netherlands</t>
  </si>
  <si>
    <t xml:space="preserve"> New Zealand</t>
  </si>
  <si>
    <t xml:space="preserve"> Norway</t>
  </si>
  <si>
    <t xml:space="preserve"> Pakistan</t>
  </si>
  <si>
    <t xml:space="preserve"> People's Rep. of China</t>
  </si>
  <si>
    <t xml:space="preserve"> Philippines</t>
  </si>
  <si>
    <t xml:space="preserve"> Poland</t>
  </si>
  <si>
    <t xml:space="preserve"> Portugal</t>
  </si>
  <si>
    <t xml:space="preserve"> Romania</t>
  </si>
  <si>
    <t xml:space="preserve"> Russian Federation</t>
  </si>
  <si>
    <t xml:space="preserve"> Saudi Arabia</t>
  </si>
  <si>
    <t xml:space="preserve"> Singapore</t>
  </si>
  <si>
    <t xml:space="preserve"> Slovak Republic</t>
  </si>
  <si>
    <t xml:space="preserve"> Slovenia</t>
  </si>
  <si>
    <t xml:space="preserve"> South Africa</t>
  </si>
  <si>
    <t xml:space="preserve"> South Korea</t>
  </si>
  <si>
    <t xml:space="preserve"> Spain</t>
  </si>
  <si>
    <t xml:space="preserve"> Sweden</t>
  </si>
  <si>
    <t xml:space="preserve"> Switzerland</t>
  </si>
  <si>
    <t xml:space="preserve"> Thailand</t>
  </si>
  <si>
    <t xml:space="preserve"> Turkey</t>
  </si>
  <si>
    <t xml:space="preserve"> Ukraine</t>
  </si>
  <si>
    <t xml:space="preserve"> United States</t>
  </si>
  <si>
    <t xml:space="preserve"> Africa (average)</t>
  </si>
  <si>
    <t xml:space="preserve"> EU (average)</t>
  </si>
  <si>
    <t xml:space="preserve"> Latin America (average)</t>
  </si>
  <si>
    <t xml:space="preserve"> Middle East (average)</t>
  </si>
  <si>
    <t xml:space="preserve"> Non-OECD Europe and Eurasia (average)</t>
  </si>
  <si>
    <t xml:space="preserve">Data inputs and calculations CO2 journal</t>
  </si>
  <si>
    <t xml:space="preserve">Room lighting</t>
  </si>
  <si>
    <t xml:space="preserve">bedroom (energy saving)</t>
  </si>
  <si>
    <t xml:space="preserve">W</t>
  </si>
  <si>
    <t xml:space="preserve">kWh/min</t>
  </si>
  <si>
    <t xml:space="preserve">kitchen (TL)</t>
  </si>
  <si>
    <t xml:space="preserve">bathroom (classic bulb)</t>
  </si>
  <si>
    <t xml:space="preserve">for now a preliminary estimate, try to gather info via gas meter (in basement)</t>
  </si>
  <si>
    <t xml:space="preserve">Cooking stove on gas</t>
  </si>
  <si>
    <t xml:space="preserve">boiling water</t>
  </si>
  <si>
    <t xml:space="preserve">heat to boil water</t>
  </si>
  <si>
    <t xml:space="preserve">kJ/m^3</t>
  </si>
  <si>
    <t xml:space="preserve">efficiency of gas stove</t>
  </si>
  <si>
    <t xml:space="preserve">http://www.bijlibachao.com/appliances/cooktop-comparison-gas-electric-and-induction.html</t>
  </si>
  <si>
    <t xml:space="preserve">heat to be provided by gas</t>
  </si>
  <si>
    <t xml:space="preserve">carbon footprint</t>
  </si>
  <si>
    <t xml:space="preserve">perparing pasta/rice/potatoes</t>
  </si>
  <si>
    <t xml:space="preserve">stove runs double as long as for boiling water, but lower level</t>
  </si>
  <si>
    <t xml:space="preserve">rough estimate take same</t>
  </si>
  <si>
    <t xml:space="preserve">L water to start with</t>
  </si>
  <si>
    <t xml:space="preserve">perparing cooked vegetables</t>
  </si>
  <si>
    <t xml:space="preserve">Take same emergy demand for now</t>
  </si>
  <si>
    <t xml:space="preserve">Heating water with gas boiler</t>
  </si>
  <si>
    <t xml:space="preserve">cold water T</t>
  </si>
  <si>
    <t xml:space="preserve">ºC</t>
  </si>
  <si>
    <t xml:space="preserve">hot water T</t>
  </si>
  <si>
    <t xml:space="preserve">ΔT</t>
  </si>
  <si>
    <t xml:space="preserve">carbon emission gas boiler</t>
  </si>
  <si>
    <t xml:space="preserve">http://www.engineeringtoolbox.com/co2-emission-fuels-d_1085.html</t>
  </si>
  <si>
    <t xml:space="preserve">heat required per m^3</t>
  </si>
  <si>
    <t xml:space="preserve">kWh/m^3</t>
  </si>
  <si>
    <t xml:space="preserve">carbon footprint gas boiler</t>
  </si>
  <si>
    <t xml:space="preserve">kgCO2/m^3</t>
  </si>
  <si>
    <t xml:space="preserve">note: this is only about the footprint of the burning in gas boiler itself, not of the whole production and supply chain of the gas!</t>
  </si>
  <si>
    <t xml:space="preserve">https://www.eia.gov/conference/2015/pdf/presentations/skone.pdf</t>
  </si>
  <si>
    <t xml:space="preserve">Shower/bad</t>
  </si>
  <si>
    <t xml:space="preserve">Laundry (taking hot water)</t>
  </si>
  <si>
    <t xml:space="preserve">water usage per kg</t>
  </si>
  <si>
    <t xml:space="preserve">L/kg laundry</t>
  </si>
  <si>
    <t xml:space="preserve">http://forums.digitalspy.co.uk/showthread.php?t=1959685</t>
  </si>
  <si>
    <t xml:space="preserve">carbon footprint per kg laundry</t>
  </si>
  <si>
    <t xml:space="preserve">kgCO2/kg laundry</t>
  </si>
  <si>
    <t xml:space="preserve">food footprint itself</t>
  </si>
  <si>
    <t xml:space="preserve">emissions per kg [kgCO2/kg]</t>
  </si>
  <si>
    <t xml:space="preserve">source</t>
  </si>
  <si>
    <t xml:space="preserve">banana</t>
  </si>
  <si>
    <t xml:space="preserve">source: http://www.greeneatz.com/foods-carbon-footprint.html</t>
  </si>
  <si>
    <t xml:space="preserve">kiwi</t>
  </si>
  <si>
    <t xml:space="preserve">apple</t>
  </si>
  <si>
    <t xml:space="preserve">peach</t>
  </si>
  <si>
    <t xml:space="preserve">tomato</t>
  </si>
  <si>
    <t xml:space="preserve">carrot</t>
  </si>
  <si>
    <t xml:space="preserve">mushrooms</t>
  </si>
  <si>
    <t xml:space="preserve">lettuce</t>
  </si>
  <si>
    <t xml:space="preserve">eggplant</t>
  </si>
  <si>
    <t xml:space="preserve">courgette</t>
  </si>
  <si>
    <t xml:space="preserve">beans</t>
  </si>
  <si>
    <t xml:space="preserve">pepper</t>
  </si>
  <si>
    <t xml:space="preserve">onion</t>
  </si>
  <si>
    <t xml:space="preserve">potato</t>
  </si>
  <si>
    <t xml:space="preserve">rice</t>
  </si>
  <si>
    <t xml:space="preserve">pasta</t>
  </si>
  <si>
    <t xml:space="preserve">bread</t>
  </si>
  <si>
    <t xml:space="preserve">https://www.fibl.org/fileadmin/documents/de/oesterreich/arbeitsschwerpunkte/Klima/Presentation_Schader_Biofach_1002.pdf</t>
  </si>
  <si>
    <t xml:space="preserve">oat</t>
  </si>
  <si>
    <t xml:space="preserve">milk</t>
  </si>
  <si>
    <t xml:space="preserve">soy milk</t>
  </si>
  <si>
    <t xml:space="preserve">http://www.foodandnutritionresearch.net/index.php/fnr/article/view/5170/5887</t>
  </si>
  <si>
    <t xml:space="preserve">oat drink</t>
  </si>
  <si>
    <t xml:space="preserve">http://www.foodandnutritionresearch.net/index.php/fnr/article/view/5170/5888</t>
  </si>
  <si>
    <t xml:space="preserve">fruit juice</t>
  </si>
  <si>
    <t xml:space="preserve">http://www.foodandnutritionresearch.net/index.php/fnr/article/view/5170/5889</t>
  </si>
  <si>
    <t xml:space="preserve">beer</t>
  </si>
  <si>
    <t xml:space="preserve">http://www.foodandnutritionresearch.net/index.php/fnr/article/view/5170/5890</t>
  </si>
  <si>
    <t xml:space="preserve">eggs</t>
  </si>
  <si>
    <t xml:space="preserve">tuna</t>
  </si>
  <si>
    <t xml:space="preserve">lentils</t>
  </si>
  <si>
    <t xml:space="preserve">tofu/seitan</t>
  </si>
  <si>
    <t xml:space="preserve">Lamb</t>
  </si>
  <si>
    <t xml:space="preserve">http://www.greeneatz.com/foods-carbon-footprint.html</t>
  </si>
  <si>
    <t xml:space="preserve">Cheese</t>
  </si>
  <si>
    <t xml:space="preserve">Pork</t>
  </si>
  <si>
    <t xml:space="preserve">Turkey</t>
  </si>
  <si>
    <t xml:space="preserve">Spain electricity mix footprint</t>
  </si>
  <si>
    <t xml:space="preserve">average 2015, in kgCO2/kWh</t>
  </si>
  <si>
    <t xml:space="preserve">Barcelona water footprint</t>
  </si>
  <si>
    <t xml:space="preserve">total water delivery BCN</t>
  </si>
  <si>
    <t xml:space="preserve">L/ year (2010)</t>
  </si>
  <si>
    <t xml:space="preserve">http://www.tandfonline.com/doi/abs/10.1080/02508060.2014.951252</t>
  </si>
  <si>
    <t xml:space="preserve">total carbon footprint water installations AMB</t>
  </si>
  <si>
    <t xml:space="preserve">kgCO2e/year(2011)</t>
  </si>
  <si>
    <t xml:space="preserve">http://www.amb.cat/es/web/medi-ambient/sostenibilitat/canvi-climatic/petjada-del-carboni</t>
  </si>
  <si>
    <t xml:space="preserve">total footprint per litre</t>
  </si>
  <si>
    <t xml:space="preserve">kgCO2e/L</t>
  </si>
  <si>
    <t xml:space="preserve">total BCN water supply (aiguës de Barcelona)</t>
  </si>
  <si>
    <t xml:space="preserve">L/year</t>
  </si>
  <si>
    <t xml:space="preserve">2015 data</t>
  </si>
  <si>
    <t xml:space="preserve">http://www.aiguesdebarcelona.cat/documents/2950762/0/Aig%C3%BCes+de+Barcelona+Informe+2015_cast.pdf/0d77fa8d-e2dc-4d5a-8472-52a16d822699</t>
  </si>
  <si>
    <t xml:space="preserve">total carbon footprint aiguës de Barcelona</t>
  </si>
  <si>
    <t xml:space="preserve">kg CO2/year</t>
  </si>
  <si>
    <t xml:space="preserve">note, the CO2 data is for all operations of Aiguës de Barcelona. They do also waste water treatment. So it's fair to state that the WHOLE water life cycle has quite a carbon footprint</t>
  </si>
  <si>
    <t xml:space="preserve">http://link.springer.com/article/10.1007/s40518-014-0024-3</t>
  </si>
  <si>
    <t xml:space="preserve">http://www.eea.europa.eu/data-and-maps/indicators/energy-efficiency-and-energy-consumption-5/assessment</t>
  </si>
  <si>
    <t xml:space="preserve">https://www.gov.uk/government/uploads/system/uploads/attachment_data/file/376177/ECA758_Hot_water_boiler_equipment.pdf</t>
  </si>
  <si>
    <t xml:space="preserve">http://www.amb.cat/web/medi-ambient/sostenibilitat/canvi-climatic/petjada-del-carboni#box4</t>
  </si>
  <si>
    <t xml:space="preserve">http://waterfootprint.org/media/downloads/Ercin-Hoekstra-2012-Carbon-and-Water-Footprints_1.PDF</t>
  </si>
  <si>
    <t xml:space="preserve">http://oco-carbon.com/metrics/the-carbon-footprint-of-tap-water/</t>
  </si>
  <si>
    <t xml:space="preserve">http://www.energysavingtrust.org.uk/resources/tools-calculators/water-energy</t>
  </si>
  <si>
    <t xml:space="preserve">https://www.csu.edu/cerc/researchreports/documents/CarbonFootprintofWater-RiverNetwork-2009.pdf</t>
  </si>
  <si>
    <t xml:space="preserve">http://energy.gov/node/773531/residential/pdfs/cookgtsd.pdf</t>
  </si>
  <si>
    <t xml:space="preserve">http://energyusecalculator.com/electricity_refrigerator.htm</t>
  </si>
  <si>
    <t xml:space="preserve">http://www.oecd-ilibrary.org/docserver/download/6113151e.pdf?expires=1474983431&amp;id=id&amp;accname=ocid49025850&amp;checksum=4DAB90EF6F2F7A70251F16451A514C15</t>
  </si>
  <si>
    <t xml:space="preserve">http://www.consumerenergycenter.org/residential/appliances/ranges.html</t>
  </si>
  <si>
    <t xml:space="preserve">http://www.fcrn.org.uk/</t>
  </si>
  <si>
    <t xml:space="preserve">http://static.ewg.org/reports/2011/meateaters/pdf/methodology_ewg_meat_eaters_guide_to_health_and_climate_2011.pdf</t>
  </si>
</sst>
</file>

<file path=xl/styles.xml><?xml version="1.0" encoding="utf-8"?>
<styleSheet xmlns="http://schemas.openxmlformats.org/spreadsheetml/2006/main">
  <numFmts count="13">
    <numFmt numFmtId="164" formatCode="General"/>
    <numFmt numFmtId="165" formatCode="0.00"/>
    <numFmt numFmtId="166" formatCode="0"/>
    <numFmt numFmtId="167" formatCode="0.000"/>
    <numFmt numFmtId="168" formatCode="0%"/>
    <numFmt numFmtId="169" formatCode="0.0%"/>
    <numFmt numFmtId="170" formatCode="0.00%"/>
    <numFmt numFmtId="171" formatCode="#,##0.000"/>
    <numFmt numFmtId="172" formatCode="M/D/YYYY"/>
    <numFmt numFmtId="173" formatCode="0.000000"/>
    <numFmt numFmtId="174" formatCode="??0.0?????"/>
    <numFmt numFmtId="175" formatCode="0.0000"/>
    <numFmt numFmtId="176" formatCode="0.00E+00"/>
  </numFmts>
  <fonts count="53">
    <font>
      <sz val="11"/>
      <color rgb="FF000000"/>
      <name val="Calibri"/>
      <family val="2"/>
      <charset val="1"/>
    </font>
    <font>
      <sz val="10"/>
      <name val="Arial"/>
      <family val="0"/>
    </font>
    <font>
      <sz val="10"/>
      <name val="Arial"/>
      <family val="0"/>
    </font>
    <font>
      <sz val="10"/>
      <name val="Arial"/>
      <family val="0"/>
    </font>
    <font>
      <sz val="22"/>
      <color rgb="FF000000"/>
      <name val="Calibri"/>
      <family val="2"/>
      <charset val="1"/>
    </font>
    <font>
      <i val="true"/>
      <sz val="11"/>
      <color rgb="FF000000"/>
      <name val="Calibri"/>
      <family val="2"/>
      <charset val="1"/>
    </font>
    <font>
      <b val="true"/>
      <sz val="14"/>
      <color rgb="FF000000"/>
      <name val="Calibri"/>
      <family val="2"/>
      <charset val="1"/>
    </font>
    <font>
      <i val="true"/>
      <sz val="11"/>
      <color rgb="FFFAC090"/>
      <name val="Calibri"/>
      <family val="2"/>
      <charset val="1"/>
    </font>
    <font>
      <u val="single"/>
      <sz val="11"/>
      <color rgb="FF0000FF"/>
      <name val="Calibri"/>
      <family val="2"/>
      <charset val="1"/>
    </font>
    <font>
      <sz val="11"/>
      <color rgb="FF93CDDD"/>
      <name val="Calibri"/>
      <family val="2"/>
      <charset val="1"/>
    </font>
    <font>
      <sz val="11"/>
      <name val="Calibri"/>
      <family val="2"/>
      <charset val="1"/>
    </font>
    <font>
      <sz val="24"/>
      <name val="Calibri"/>
      <family val="2"/>
      <charset val="1"/>
    </font>
    <font>
      <u val="single"/>
      <sz val="11"/>
      <name val="Calibri"/>
      <family val="2"/>
      <charset val="1"/>
    </font>
    <font>
      <b val="true"/>
      <sz val="11"/>
      <color rgb="FF000000"/>
      <name val="Calibri"/>
      <family val="2"/>
      <charset val="1"/>
    </font>
    <font>
      <b val="true"/>
      <sz val="16"/>
      <color rgb="FF000000"/>
      <name val="Calibri"/>
      <family val="2"/>
      <charset val="1"/>
    </font>
    <font>
      <sz val="18"/>
      <color rgb="FFFFFFFF"/>
      <name val="Calibri"/>
      <family val="2"/>
      <charset val="1"/>
    </font>
    <font>
      <sz val="24"/>
      <color rgb="FF000000"/>
      <name val="Calibri"/>
      <family val="2"/>
      <charset val="1"/>
    </font>
    <font>
      <b val="true"/>
      <i val="true"/>
      <sz val="11"/>
      <color rgb="FF002060"/>
      <name val="Calibri"/>
      <family val="2"/>
      <charset val="1"/>
    </font>
    <font>
      <sz val="14"/>
      <color rgb="FF000000"/>
      <name val="Calibri"/>
      <family val="2"/>
      <charset val="1"/>
    </font>
    <font>
      <u val="single"/>
      <sz val="12"/>
      <color rgb="FF0000FF"/>
      <name val="Calibri"/>
      <family val="2"/>
      <charset val="1"/>
    </font>
    <font>
      <b val="true"/>
      <i val="true"/>
      <sz val="11"/>
      <color rgb="FF000000"/>
      <name val="Calibri"/>
      <family val="2"/>
      <charset val="1"/>
    </font>
    <font>
      <b val="true"/>
      <sz val="11"/>
      <color rgb="FFFF0000"/>
      <name val="Calibri"/>
      <family val="2"/>
      <charset val="1"/>
    </font>
    <font>
      <sz val="28"/>
      <color rgb="FF000000"/>
      <name val="Calibri"/>
      <family val="2"/>
      <charset val="1"/>
    </font>
    <font>
      <i val="true"/>
      <sz val="20"/>
      <color rgb="FF000000"/>
      <name val="Georgia"/>
      <family val="1"/>
      <charset val="1"/>
    </font>
    <font>
      <sz val="11"/>
      <color rgb="FFFF0000"/>
      <name val="Calibri"/>
      <family val="2"/>
      <charset val="1"/>
    </font>
    <font>
      <sz val="20"/>
      <color rgb="FF000000"/>
      <name val="Calibri"/>
      <family val="2"/>
      <charset val="1"/>
    </font>
    <font>
      <sz val="18"/>
      <color rgb="FF000000"/>
      <name val="Calibri"/>
      <family val="2"/>
      <charset val="1"/>
    </font>
    <font>
      <sz val="16"/>
      <color rgb="FFFFFFFF"/>
      <name val="Calibri"/>
      <family val="2"/>
      <charset val="1"/>
    </font>
    <font>
      <sz val="11"/>
      <color rgb="FFFFFFFF"/>
      <name val="Calibri"/>
      <family val="2"/>
      <charset val="1"/>
    </font>
    <font>
      <i val="true"/>
      <sz val="11"/>
      <color rgb="FFFF0000"/>
      <name val="Calibri"/>
      <family val="2"/>
      <charset val="1"/>
    </font>
    <font>
      <i val="true"/>
      <sz val="10"/>
      <color rgb="FF000000"/>
      <name val="Calibri"/>
      <family val="2"/>
      <charset val="1"/>
    </font>
    <font>
      <b val="true"/>
      <sz val="9"/>
      <color rgb="FF000000"/>
      <name val="Tahoma"/>
      <family val="2"/>
      <charset val="1"/>
    </font>
    <font>
      <sz val="9"/>
      <color rgb="FF000000"/>
      <name val="Tahoma"/>
      <family val="2"/>
      <charset val="1"/>
    </font>
    <font>
      <i val="true"/>
      <sz val="11"/>
      <name val="Calibri"/>
      <family val="2"/>
      <charset val="1"/>
    </font>
    <font>
      <sz val="11"/>
      <color rgb="FF002060"/>
      <name val="Calibri"/>
      <family val="2"/>
      <charset val="1"/>
    </font>
    <font>
      <b val="true"/>
      <sz val="18"/>
      <color rgb="FFFFFFFF"/>
      <name val="Calibri"/>
      <family val="2"/>
      <charset val="1"/>
    </font>
    <font>
      <b val="true"/>
      <sz val="16"/>
      <color rgb="FFFFFFFF"/>
      <name val="Calibri"/>
      <family val="2"/>
      <charset val="1"/>
    </font>
    <font>
      <sz val="26"/>
      <color rgb="FF000000"/>
      <name val="Calibri"/>
      <family val="2"/>
      <charset val="1"/>
    </font>
    <font>
      <sz val="28"/>
      <color rgb="FF953735"/>
      <name val="Calibri Light"/>
      <family val="2"/>
      <charset val="1"/>
    </font>
    <font>
      <sz val="24"/>
      <color rgb="FF0D0D0D"/>
      <name val="Calibri Light"/>
      <family val="2"/>
      <charset val="1"/>
    </font>
    <font>
      <sz val="12"/>
      <color rgb="FF000000"/>
      <name val="Calibri"/>
      <family val="2"/>
      <charset val="1"/>
    </font>
    <font>
      <b val="true"/>
      <sz val="12"/>
      <color rgb="FF000000"/>
      <name val="Calibri"/>
      <family val="2"/>
      <charset val="1"/>
    </font>
    <font>
      <sz val="16"/>
      <color rgb="FF953735"/>
      <name val="Calibri Light"/>
      <family val="2"/>
      <charset val="1"/>
    </font>
    <font>
      <b val="true"/>
      <sz val="18"/>
      <color rgb="FF000000"/>
      <name val="Calibri"/>
      <family val="2"/>
    </font>
    <font>
      <sz val="10"/>
      <color rgb="FF000000"/>
      <name val="Calibri"/>
      <family val="2"/>
    </font>
    <font>
      <b val="true"/>
      <sz val="10"/>
      <color rgb="FF000000"/>
      <name val="Calibri"/>
      <family val="2"/>
    </font>
    <font>
      <sz val="14"/>
      <color rgb="FF595959"/>
      <name val="Calibri"/>
      <family val="2"/>
    </font>
    <font>
      <sz val="9"/>
      <color rgb="FF404040"/>
      <name val="Calibri"/>
      <family val="2"/>
    </font>
    <font>
      <sz val="9"/>
      <color rgb="FF595959"/>
      <name val="Calibri"/>
      <family val="2"/>
    </font>
    <font>
      <sz val="9"/>
      <color rgb="FF000000"/>
      <name val="Arial"/>
      <family val="2"/>
      <charset val="1"/>
    </font>
    <font>
      <sz val="11"/>
      <color rgb="FF9C5700"/>
      <name val="Calibri"/>
      <family val="2"/>
      <charset val="1"/>
    </font>
    <font>
      <b val="true"/>
      <sz val="8"/>
      <name val="Tahoma"/>
      <family val="2"/>
      <charset val="1"/>
    </font>
    <font>
      <sz val="6"/>
      <color rgb="FF000000"/>
      <name val="Arial"/>
      <family val="2"/>
      <charset val="1"/>
    </font>
  </fonts>
  <fills count="26">
    <fill>
      <patternFill patternType="none"/>
    </fill>
    <fill>
      <patternFill patternType="gray125"/>
    </fill>
    <fill>
      <patternFill patternType="solid">
        <fgColor rgb="FFFFEB9C"/>
        <bgColor rgb="FFFCD5B5"/>
      </patternFill>
    </fill>
    <fill>
      <patternFill patternType="solid">
        <fgColor rgb="FFFFFFFF"/>
        <bgColor rgb="FFF2F2F2"/>
      </patternFill>
    </fill>
    <fill>
      <patternFill patternType="solid">
        <fgColor rgb="FF31859C"/>
        <bgColor rgb="FF4672A8"/>
      </patternFill>
    </fill>
    <fill>
      <patternFill patternType="solid">
        <fgColor rgb="FFB7DEE8"/>
        <bgColor rgb="FFB9CDE5"/>
      </patternFill>
    </fill>
    <fill>
      <patternFill patternType="solid">
        <fgColor rgb="FFC0504D"/>
        <bgColor rgb="FFAB4744"/>
      </patternFill>
    </fill>
    <fill>
      <patternFill patternType="solid">
        <fgColor rgb="FF4BACC6"/>
        <bgColor rgb="FF4299B0"/>
      </patternFill>
    </fill>
    <fill>
      <patternFill patternType="solid">
        <fgColor rgb="FF93CDDD"/>
        <bgColor rgb="FFB9CDE5"/>
      </patternFill>
    </fill>
    <fill>
      <patternFill patternType="solid">
        <fgColor rgb="FFDBEEF4"/>
        <bgColor rgb="FFE7E7E7"/>
      </patternFill>
    </fill>
    <fill>
      <patternFill patternType="solid">
        <fgColor rgb="FFE46C0A"/>
        <bgColor rgb="FFDC853E"/>
      </patternFill>
    </fill>
    <fill>
      <patternFill patternType="solid">
        <fgColor rgb="FFFFFF00"/>
        <bgColor rgb="FFFFEB9C"/>
      </patternFill>
    </fill>
    <fill>
      <patternFill patternType="solid">
        <fgColor rgb="FFFAC090"/>
        <bgColor rgb="FFFCD5B5"/>
      </patternFill>
    </fill>
    <fill>
      <patternFill patternType="solid">
        <fgColor rgb="FFF79646"/>
        <bgColor rgb="FFDC853E"/>
      </patternFill>
    </fill>
    <fill>
      <patternFill patternType="solid">
        <fgColor rgb="FF8064A2"/>
        <bgColor rgb="FF725990"/>
      </patternFill>
    </fill>
    <fill>
      <patternFill patternType="solid">
        <fgColor rgb="FF92D050"/>
        <bgColor rgb="FF9BBB59"/>
      </patternFill>
    </fill>
    <fill>
      <patternFill patternType="solid">
        <fgColor rgb="FFF2F2F2"/>
        <bgColor rgb="FFEBF1DE"/>
      </patternFill>
    </fill>
    <fill>
      <patternFill patternType="solid">
        <fgColor rgb="FF00B050"/>
        <bgColor rgb="FF31859C"/>
      </patternFill>
    </fill>
    <fill>
      <patternFill patternType="solid">
        <fgColor rgb="FFBFBFBF"/>
        <bgColor rgb="FFC4BD97"/>
      </patternFill>
    </fill>
    <fill>
      <patternFill patternType="solid">
        <fgColor rgb="FFB9CDE5"/>
        <bgColor rgb="FFB7DEE8"/>
      </patternFill>
    </fill>
    <fill>
      <patternFill patternType="solid">
        <fgColor rgb="FFDDD9C3"/>
        <bgColor rgb="FFD9D9D9"/>
      </patternFill>
    </fill>
    <fill>
      <patternFill patternType="solid">
        <fgColor rgb="FFC3D69B"/>
        <bgColor rgb="FFC4BD97"/>
      </patternFill>
    </fill>
    <fill>
      <patternFill patternType="solid">
        <fgColor rgb="FFFCD5B5"/>
        <bgColor rgb="FFFFC7CE"/>
      </patternFill>
    </fill>
    <fill>
      <patternFill patternType="solid">
        <fgColor rgb="FFC4BD97"/>
        <bgColor rgb="FFBFBFBF"/>
      </patternFill>
    </fill>
    <fill>
      <patternFill patternType="solid">
        <fgColor rgb="FFEBF1DE"/>
        <bgColor rgb="FFF2F2F2"/>
      </patternFill>
    </fill>
    <fill>
      <patternFill patternType="solid">
        <fgColor rgb="FFD9D9D9"/>
        <bgColor rgb="FFDDD9C3"/>
      </patternFill>
    </fill>
  </fills>
  <borders count="49">
    <border diagonalUp="false" diagonalDown="false">
      <left/>
      <right/>
      <top/>
      <bottom/>
      <diagonal/>
    </border>
    <border diagonalUp="false" diagonalDown="false">
      <left style="medium"/>
      <right/>
      <top style="medium"/>
      <bottom/>
      <diagonal/>
    </border>
    <border diagonalUp="false" diagonalDown="false">
      <left/>
      <right style="medium"/>
      <top style="medium"/>
      <bottom style="thin"/>
      <diagonal/>
    </border>
    <border diagonalUp="false" diagonalDown="false">
      <left style="medium"/>
      <right/>
      <top style="thin"/>
      <bottom/>
      <diagonal/>
    </border>
    <border diagonalUp="false" diagonalDown="false">
      <left/>
      <right style="medium"/>
      <top/>
      <bottom/>
      <diagonal/>
    </border>
    <border diagonalUp="false" diagonalDown="false">
      <left style="medium"/>
      <right/>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bottom/>
      <diagonal/>
    </border>
    <border diagonalUp="false" diagonalDown="false">
      <left style="thin"/>
      <right style="thin"/>
      <top style="medium"/>
      <bottom/>
      <diagonal/>
    </border>
    <border diagonalUp="false" diagonalDown="false">
      <left style="thin"/>
      <right style="thin"/>
      <top/>
      <bottom/>
      <diagonal/>
    </border>
    <border diagonalUp="false" diagonalDown="false">
      <left style="medium"/>
      <right style="medium"/>
      <top/>
      <bottom style="medium"/>
      <diagonal/>
    </border>
    <border diagonalUp="false" diagonalDown="false">
      <left style="thin"/>
      <right style="thin"/>
      <top/>
      <bottom style="medium"/>
      <diagonal/>
    </border>
    <border diagonalUp="false" diagonalDown="false">
      <left style="thin"/>
      <right style="thin"/>
      <top style="thin"/>
      <bottom style="thin"/>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right style="medium"/>
      <top style="medium"/>
      <bottom/>
      <diagonal/>
    </border>
    <border diagonalUp="false" diagonalDown="false">
      <left style="dashed"/>
      <right style="dashed"/>
      <top style="dashed"/>
      <bottom style="dashed"/>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 diagonalUp="false" diagonalDown="false">
      <left style="thin"/>
      <right style="thin"/>
      <top/>
      <bottom style="thin"/>
      <diagonal/>
    </border>
    <border diagonalUp="false" diagonalDown="false">
      <left style="medium"/>
      <right style="medium"/>
      <top style="medium"/>
      <bottom style="medium"/>
      <diagonal/>
    </border>
    <border diagonalUp="false" diagonalDown="false">
      <left/>
      <right/>
      <top style="medium"/>
      <bottom/>
      <diagonal/>
    </border>
    <border diagonalUp="false" diagonalDown="false">
      <left/>
      <right/>
      <top style="medium"/>
      <bottom style="medium"/>
      <diagonal/>
    </border>
    <border diagonalUp="false" diagonalDown="false">
      <left style="thin"/>
      <right style="thin"/>
      <top style="thin"/>
      <bottom/>
      <diagonal/>
    </border>
    <border diagonalUp="false" diagonalDown="false">
      <left/>
      <right/>
      <top style="thin"/>
      <bottom/>
      <diagonal/>
    </border>
    <border diagonalUp="false" diagonalDown="false">
      <left/>
      <right style="thin"/>
      <top style="thin"/>
      <bottom/>
      <diagonal/>
    </border>
    <border diagonalUp="false" diagonalDown="false">
      <left/>
      <right/>
      <top/>
      <bottom style="thin"/>
      <diagonal/>
    </border>
    <border diagonalUp="false" diagonalDown="false">
      <left/>
      <right style="thin"/>
      <top/>
      <bottom style="thin"/>
      <diagonal/>
    </border>
    <border diagonalUp="false" diagonalDown="false">
      <left/>
      <right style="thin"/>
      <top style="thin"/>
      <bottom style="thin"/>
      <diagonal/>
    </border>
    <border diagonalUp="false" diagonalDown="false">
      <left style="thin">
        <color rgb="FF053D5F"/>
      </left>
      <right style="thin">
        <color rgb="FF053D5F"/>
      </right>
      <top style="thin">
        <color rgb="FF053D5F"/>
      </top>
      <bottom style="thin">
        <color rgb="FF053D5F"/>
      </bottom>
      <diagonal/>
    </border>
    <border diagonalUp="false" diagonalDown="false">
      <left style="thin"/>
      <right/>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style="thin">
        <color rgb="FF9BBB59"/>
      </left>
      <right style="thin">
        <color rgb="FF9BBB59"/>
      </right>
      <top style="thin">
        <color rgb="FF9BBB59"/>
      </top>
      <bottom style="medium">
        <color rgb="FF9BBB59"/>
      </bottom>
      <diagonal/>
    </border>
    <border diagonalUp="false" diagonalDown="false">
      <left style="thin">
        <color rgb="FF9BBB59"/>
      </left>
      <right style="thin">
        <color rgb="FF9BBB59"/>
      </right>
      <top style="thin">
        <color rgb="FF9BBB59"/>
      </top>
      <bottom style="thin">
        <color rgb="FF9BBB59"/>
      </bottom>
      <diagonal/>
    </border>
    <border diagonalUp="false" diagonalDown="false">
      <left style="thin">
        <color rgb="FF9BBB59"/>
      </left>
      <right style="thin">
        <color rgb="FF9BBB59"/>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50" fillId="2" borderId="0" applyFont="true" applyBorder="false" applyAlignment="true" applyProtection="false">
      <alignment horizontal="general" vertical="bottom" textRotation="0" wrapText="false" indent="0" shrinkToFit="false"/>
    </xf>
  </cellStyleXfs>
  <cellXfs count="35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6" fillId="4" borderId="1" xfId="0" applyFont="true" applyBorder="true" applyAlignment="true" applyProtection="false">
      <alignment horizontal="general" vertical="bottom" textRotation="0" wrapText="false" indent="0" shrinkToFit="false"/>
      <protection locked="true" hidden="false"/>
    </xf>
    <xf numFmtId="164" fontId="7" fillId="4" borderId="2" xfId="0" applyFont="true" applyBorder="true" applyAlignment="true" applyProtection="false">
      <alignment horizontal="left" vertical="center" textRotation="0" wrapText="false" indent="0" shrinkToFit="false"/>
      <protection locked="true" hidden="false"/>
    </xf>
    <xf numFmtId="164" fontId="0" fillId="5" borderId="3" xfId="0" applyFont="true" applyBorder="true" applyAlignment="false" applyProtection="false">
      <alignment horizontal="general" vertical="bottom" textRotation="0" wrapText="false" indent="0" shrinkToFit="false"/>
      <protection locked="true" hidden="false"/>
    </xf>
    <xf numFmtId="164" fontId="5" fillId="5" borderId="0" xfId="0" applyFont="true" applyBorder="true" applyAlignment="true" applyProtection="false">
      <alignment horizontal="right" vertical="center" textRotation="0" wrapText="false" indent="0" shrinkToFit="false"/>
      <protection locked="true" hidden="false"/>
    </xf>
    <xf numFmtId="164" fontId="0" fillId="5" borderId="4" xfId="0" applyFont="false" applyBorder="true" applyAlignment="false" applyProtection="false">
      <alignment horizontal="general" vertical="bottom" textRotation="0" wrapText="false" indent="0" shrinkToFit="false"/>
      <protection locked="true" hidden="false"/>
    </xf>
    <xf numFmtId="164" fontId="0" fillId="5" borderId="5"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true" applyAlignment="false" applyProtection="false">
      <alignment horizontal="general" vertical="bottom" textRotation="0" wrapText="false" indent="0" shrinkToFit="false"/>
      <protection locked="true" hidden="false"/>
    </xf>
    <xf numFmtId="164" fontId="6" fillId="4" borderId="5" xfId="0" applyFont="true" applyBorder="true" applyAlignment="false" applyProtection="false">
      <alignment horizontal="general" vertical="bottom" textRotation="0" wrapText="false" indent="0" shrinkToFit="false"/>
      <protection locked="true" hidden="false"/>
    </xf>
    <xf numFmtId="164" fontId="0" fillId="4" borderId="0" xfId="0" applyFont="false" applyBorder="true" applyAlignment="false" applyProtection="false">
      <alignment horizontal="general" vertical="bottom" textRotation="0" wrapText="false" indent="0" shrinkToFit="false"/>
      <protection locked="true" hidden="false"/>
    </xf>
    <xf numFmtId="164" fontId="0" fillId="4" borderId="4" xfId="0" applyFont="false" applyBorder="true" applyAlignment="fals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center" vertical="bottom" textRotation="0" wrapText="false" indent="0" shrinkToFit="false"/>
      <protection locked="true" hidden="false"/>
    </xf>
    <xf numFmtId="164" fontId="6" fillId="4" borderId="0"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8" fillId="6" borderId="0" xfId="20" applyFont="true" applyBorder="true" applyAlignment="true" applyProtection="true">
      <alignment horizontal="center" vertical="bottom" textRotation="0" wrapText="false" indent="0" shrinkToFit="false"/>
      <protection locked="true" hidden="false"/>
    </xf>
    <xf numFmtId="164" fontId="5" fillId="5" borderId="4" xfId="0" applyFont="true" applyBorder="true" applyAlignment="false" applyProtection="false">
      <alignment horizontal="general" vertical="bottom" textRotation="0" wrapText="false" indent="0" shrinkToFit="false"/>
      <protection locked="true" hidden="false"/>
    </xf>
    <xf numFmtId="164" fontId="8" fillId="6" borderId="0" xfId="20" applyFont="true" applyBorder="true" applyAlignment="true" applyProtection="true">
      <alignment horizontal="center" vertical="center" textRotation="0" wrapText="false" indent="0" shrinkToFit="false"/>
      <protection locked="true" hidden="false"/>
    </xf>
    <xf numFmtId="164" fontId="9" fillId="5" borderId="4" xfId="0" applyFont="true" applyBorder="true" applyAlignment="true" applyProtection="false">
      <alignment horizontal="left" vertical="bottom" textRotation="0" wrapText="false" indent="0" shrinkToFit="false"/>
      <protection locked="true" hidden="false"/>
    </xf>
    <xf numFmtId="164" fontId="0" fillId="6" borderId="0" xfId="0" applyFont="false" applyBorder="true" applyAlignment="false" applyProtection="false">
      <alignment horizontal="general" vertical="bottom" textRotation="0" wrapText="false" indent="0" shrinkToFit="false"/>
      <protection locked="true" hidden="false"/>
    </xf>
    <xf numFmtId="164" fontId="0" fillId="4" borderId="6" xfId="0" applyFont="false" applyBorder="true" applyAlignment="false" applyProtection="false">
      <alignment horizontal="general" vertical="bottom" textRotation="0" wrapText="false" indent="0" shrinkToFit="false"/>
      <protection locked="true" hidden="false"/>
    </xf>
    <xf numFmtId="164" fontId="0" fillId="4" borderId="7" xfId="0" applyFont="false" applyBorder="true" applyAlignment="false" applyProtection="false">
      <alignment horizontal="general" vertical="bottom" textRotation="0" wrapText="false" indent="0" shrinkToFit="false"/>
      <protection locked="true" hidden="false"/>
    </xf>
    <xf numFmtId="164" fontId="0" fillId="4" borderId="8"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10" fillId="5" borderId="0" xfId="0" applyFont="true" applyBorder="false" applyAlignment="false" applyProtection="true">
      <alignment horizontal="general" vertical="bottom" textRotation="0" wrapText="false" indent="0" shrinkToFit="false"/>
      <protection locked="false" hidden="false"/>
    </xf>
    <xf numFmtId="164" fontId="11" fillId="3" borderId="0" xfId="0" applyFont="true" applyBorder="false" applyAlignment="false" applyProtection="true">
      <alignment horizontal="general" vertical="bottom" textRotation="0" wrapText="false" indent="0" shrinkToFit="false"/>
      <protection locked="false" hidden="false"/>
    </xf>
    <xf numFmtId="164" fontId="12" fillId="3" borderId="0" xfId="20" applyFont="true" applyBorder="true" applyAlignment="true" applyProtection="true">
      <alignment horizontal="general" vertical="bottom" textRotation="0" wrapText="false" indent="0" shrinkToFit="false"/>
      <protection locked="false" hidden="false"/>
    </xf>
    <xf numFmtId="164" fontId="10" fillId="3" borderId="0" xfId="0" applyFont="true" applyBorder="false" applyAlignment="false" applyProtection="true">
      <alignment horizontal="general" vertical="bottom" textRotation="0" wrapText="false" indent="0" shrinkToFit="false"/>
      <protection locked="false" hidden="false"/>
    </xf>
    <xf numFmtId="164" fontId="0" fillId="3" borderId="0" xfId="0" applyFont="false" applyBorder="false" applyAlignment="false" applyProtection="true">
      <alignment horizontal="general" vertical="bottom" textRotation="0" wrapText="false" indent="0" shrinkToFit="false"/>
      <protection locked="false" hidden="false"/>
    </xf>
    <xf numFmtId="165" fontId="0" fillId="3" borderId="0" xfId="0" applyFont="false" applyBorder="false" applyAlignment="false" applyProtection="true">
      <alignment horizontal="general" vertical="bottom" textRotation="0" wrapText="false" indent="0" shrinkToFit="false"/>
      <protection locked="false" hidden="false"/>
    </xf>
    <xf numFmtId="164" fontId="4" fillId="6" borderId="9" xfId="0" applyFont="true" applyBorder="true" applyAlignment="true" applyProtection="true">
      <alignment horizontal="center" vertical="center" textRotation="0" wrapText="false" indent="0" shrinkToFit="false"/>
      <protection locked="false" hidden="false"/>
    </xf>
    <xf numFmtId="164" fontId="13" fillId="7" borderId="1" xfId="0" applyFont="true" applyBorder="true" applyAlignment="false" applyProtection="true">
      <alignment horizontal="general" vertical="bottom" textRotation="0" wrapText="false" indent="0" shrinkToFit="false"/>
      <protection locked="false" hidden="false"/>
    </xf>
    <xf numFmtId="164" fontId="14" fillId="7" borderId="10" xfId="0" applyFont="true" applyBorder="true" applyAlignment="true" applyProtection="true">
      <alignment horizontal="left" vertical="top" textRotation="0" wrapText="true" indent="0" shrinkToFit="false"/>
      <protection locked="false" hidden="false"/>
    </xf>
    <xf numFmtId="164" fontId="14" fillId="7" borderId="11" xfId="0" applyFont="true" applyBorder="true" applyAlignment="true" applyProtection="true">
      <alignment horizontal="left" vertical="top" textRotation="0" wrapText="true" indent="0" shrinkToFit="false"/>
      <protection locked="false" hidden="false"/>
    </xf>
    <xf numFmtId="164" fontId="14" fillId="7" borderId="12" xfId="0" applyFont="true" applyBorder="true" applyAlignment="true" applyProtection="true">
      <alignment horizontal="left" vertical="top" textRotation="0" wrapText="false" indent="0" shrinkToFit="false"/>
      <protection locked="false" hidden="false"/>
    </xf>
    <xf numFmtId="164" fontId="13" fillId="7" borderId="5" xfId="0" applyFont="true" applyBorder="true" applyAlignment="false" applyProtection="true">
      <alignment horizontal="general" vertical="bottom" textRotation="0" wrapText="false" indent="0" shrinkToFit="false"/>
      <protection locked="false" hidden="false"/>
    </xf>
    <xf numFmtId="164" fontId="5" fillId="6" borderId="13" xfId="0" applyFont="true" applyBorder="true" applyAlignment="true" applyProtection="true">
      <alignment horizontal="left" vertical="top" textRotation="0" wrapText="true" indent="0" shrinkToFit="false"/>
      <protection locked="false" hidden="false"/>
    </xf>
    <xf numFmtId="164" fontId="5" fillId="6" borderId="14" xfId="0" applyFont="true" applyBorder="true" applyAlignment="true" applyProtection="true">
      <alignment horizontal="left" vertical="top" textRotation="0" wrapText="true" indent="0" shrinkToFit="false"/>
      <protection locked="false" hidden="false"/>
    </xf>
    <xf numFmtId="164" fontId="5" fillId="6" borderId="15" xfId="0" applyFont="true" applyBorder="true" applyAlignment="true" applyProtection="true">
      <alignment horizontal="left" vertical="top" textRotation="0" wrapText="true" indent="0" shrinkToFit="false"/>
      <protection locked="false" hidden="false"/>
    </xf>
    <xf numFmtId="164" fontId="13" fillId="8" borderId="16" xfId="0" applyFont="true" applyBorder="true" applyAlignment="false" applyProtection="true">
      <alignment horizontal="general" vertical="bottom" textRotation="0" wrapText="false" indent="0" shrinkToFit="false"/>
      <protection locked="false" hidden="false"/>
    </xf>
    <xf numFmtId="164" fontId="0" fillId="8" borderId="5" xfId="0" applyFont="false" applyBorder="true" applyAlignment="false" applyProtection="true">
      <alignment horizontal="general" vertical="bottom" textRotation="0" wrapText="false" indent="0" shrinkToFit="false"/>
      <protection locked="false" hidden="false"/>
    </xf>
    <xf numFmtId="164" fontId="0" fillId="8" borderId="17" xfId="0" applyFont="false" applyBorder="true" applyAlignment="false" applyProtection="true">
      <alignment horizontal="general" vertical="bottom" textRotation="0" wrapText="false" indent="0" shrinkToFit="false"/>
      <protection locked="false" hidden="false"/>
    </xf>
    <xf numFmtId="164" fontId="0" fillId="8" borderId="4" xfId="0" applyFont="false" applyBorder="true" applyAlignment="false" applyProtection="true">
      <alignment horizontal="general" vertical="bottom" textRotation="0" wrapText="false" indent="0" shrinkToFit="false"/>
      <protection locked="true" hidden="false"/>
    </xf>
    <xf numFmtId="164" fontId="0" fillId="9" borderId="16" xfId="0" applyFont="true" applyBorder="true" applyAlignment="false" applyProtection="true">
      <alignment horizontal="general" vertical="bottom" textRotation="0" wrapText="false" indent="0" shrinkToFit="false"/>
      <protection locked="false" hidden="false"/>
    </xf>
    <xf numFmtId="164" fontId="0" fillId="9" borderId="5" xfId="0" applyFont="true" applyBorder="true" applyAlignment="false" applyProtection="true">
      <alignment horizontal="general" vertical="bottom" textRotation="0" wrapText="false" indent="0" shrinkToFit="false"/>
      <protection locked="false" hidden="false"/>
    </xf>
    <xf numFmtId="164" fontId="0" fillId="9" borderId="18" xfId="0" applyFont="false" applyBorder="true" applyAlignment="true" applyProtection="false">
      <alignment horizontal="center" vertical="bottom" textRotation="0" wrapText="false" indent="0" shrinkToFit="false"/>
      <protection locked="true" hidden="false"/>
    </xf>
    <xf numFmtId="164" fontId="0" fillId="9" borderId="4" xfId="0" applyFont="true" applyBorder="true" applyAlignment="false" applyProtection="true">
      <alignment horizontal="general" vertical="bottom" textRotation="0" wrapText="false" indent="0" shrinkToFit="false"/>
      <protection locked="true" hidden="false"/>
    </xf>
    <xf numFmtId="164" fontId="5" fillId="9" borderId="5" xfId="0" applyFont="true" applyBorder="true" applyAlignment="false" applyProtection="true">
      <alignment horizontal="general" vertical="bottom" textRotation="0" wrapText="false" indent="0" shrinkToFit="false"/>
      <protection locked="false" hidden="false"/>
    </xf>
    <xf numFmtId="164" fontId="0" fillId="8" borderId="18" xfId="0" applyFont="false" applyBorder="true" applyAlignment="true" applyProtection="false">
      <alignment horizontal="center" vertical="bottom" textRotation="0" wrapText="false" indent="0" shrinkToFit="false"/>
      <protection locked="true" hidden="false"/>
    </xf>
    <xf numFmtId="164" fontId="0" fillId="9" borderId="18" xfId="0" applyFont="false" applyBorder="true" applyAlignment="false" applyProtection="false">
      <alignment horizontal="general" vertical="bottom" textRotation="0" wrapText="false" indent="0" shrinkToFit="false"/>
      <protection locked="true" hidden="false"/>
    </xf>
    <xf numFmtId="164" fontId="0" fillId="8" borderId="18" xfId="0" applyFont="false" applyBorder="true" applyAlignment="false" applyProtection="false">
      <alignment horizontal="general" vertical="bottom" textRotation="0" wrapText="false" indent="0" shrinkToFit="false"/>
      <protection locked="true" hidden="false"/>
    </xf>
    <xf numFmtId="164" fontId="0" fillId="9" borderId="19" xfId="0" applyFont="true" applyBorder="true" applyAlignment="false" applyProtection="true">
      <alignment horizontal="general" vertical="bottom" textRotation="0" wrapText="false" indent="0" shrinkToFit="false"/>
      <protection locked="false" hidden="false"/>
    </xf>
    <xf numFmtId="164" fontId="0" fillId="9" borderId="6" xfId="0" applyFont="true" applyBorder="true" applyAlignment="false" applyProtection="true">
      <alignment horizontal="general" vertical="bottom" textRotation="0" wrapText="false" indent="0" shrinkToFit="false"/>
      <protection locked="false" hidden="false"/>
    </xf>
    <xf numFmtId="164" fontId="0" fillId="9" borderId="20" xfId="0" applyFont="false" applyBorder="true" applyAlignment="true" applyProtection="false">
      <alignment horizontal="center" vertical="bottom" textRotation="0" wrapText="false" indent="0" shrinkToFit="false"/>
      <protection locked="true" hidden="false"/>
    </xf>
    <xf numFmtId="164" fontId="0" fillId="9" borderId="8" xfId="0" applyFont="true" applyBorder="true" applyAlignment="false" applyProtection="true">
      <alignment horizontal="general" vertical="bottom" textRotation="0" wrapText="false" indent="0" shrinkToFit="false"/>
      <protection locked="true" hidden="false"/>
    </xf>
    <xf numFmtId="164" fontId="15" fillId="5" borderId="0" xfId="0" applyFont="true" applyBorder="false" applyAlignment="false" applyProtection="true">
      <alignment horizontal="general" vertical="bottom" textRotation="0" wrapText="false" indent="0" shrinkToFit="false"/>
      <protection locked="false" hidden="false"/>
    </xf>
    <xf numFmtId="164" fontId="15" fillId="3" borderId="0" xfId="0" applyFont="true" applyBorder="false" applyAlignment="false" applyProtection="true">
      <alignment horizontal="general" vertical="bottom" textRotation="0" wrapText="false" indent="0" shrinkToFit="false"/>
      <protection locked="false" hidden="false"/>
    </xf>
    <xf numFmtId="164" fontId="15" fillId="0" borderId="0" xfId="0" applyFont="true" applyBorder="false" applyAlignment="false" applyProtection="true">
      <alignment horizontal="general" vertical="bottom" textRotation="0" wrapText="false" indent="0" shrinkToFit="false"/>
      <protection locked="false" hidden="false"/>
    </xf>
    <xf numFmtId="164" fontId="8" fillId="6" borderId="0" xfId="20" applyFont="true" applyBorder="true" applyAlignment="true" applyProtection="true">
      <alignment horizontal="center" vertical="bottom" textRotation="0" wrapText="false" indent="0" shrinkToFit="false"/>
      <protection locked="false" hidden="false"/>
    </xf>
    <xf numFmtId="164" fontId="0" fillId="5" borderId="0" xfId="0" applyFont="false" applyBorder="false" applyAlignment="false" applyProtection="true">
      <alignment horizontal="general" vertical="bottom" textRotation="0" wrapText="false" indent="0" shrinkToFit="false"/>
      <protection locked="false" hidden="false"/>
    </xf>
    <xf numFmtId="164" fontId="0" fillId="5" borderId="0" xfId="0" applyFont="false" applyBorder="true" applyAlignment="false" applyProtection="true">
      <alignment horizontal="general" vertical="bottom" textRotation="0" wrapText="false" indent="0" shrinkToFit="false"/>
      <protection locked="false" hidden="false"/>
    </xf>
    <xf numFmtId="164" fontId="16"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left" vertical="bottom" textRotation="0" wrapText="true" indent="0" shrinkToFit="false"/>
      <protection locked="true" hidden="false"/>
    </xf>
    <xf numFmtId="164" fontId="0" fillId="3" borderId="0" xfId="0" applyFont="false" applyBorder="false" applyAlignment="true" applyProtection="false">
      <alignment horizontal="left" vertical="bottom" textRotation="0" wrapText="true" indent="0" shrinkToFit="false"/>
      <protection locked="true" hidden="false"/>
    </xf>
    <xf numFmtId="164" fontId="0" fillId="3" borderId="0" xfId="0" applyFont="true" applyBorder="true" applyAlignment="true" applyProtection="false">
      <alignment horizontal="left" vertical="top" textRotation="0" wrapText="true" indent="0" shrinkToFit="false"/>
      <protection locked="true" hidden="false"/>
    </xf>
    <xf numFmtId="164" fontId="0" fillId="3" borderId="0" xfId="0" applyFont="false" applyBorder="false" applyAlignment="true" applyProtection="false">
      <alignment horizontal="general" vertical="top" textRotation="0" wrapText="true" indent="0" shrinkToFit="false"/>
      <protection locked="true" hidden="false"/>
    </xf>
    <xf numFmtId="164" fontId="13"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13" fillId="9"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10" fillId="9" borderId="0" xfId="0" applyFont="true" applyBorder="false" applyAlignment="true" applyProtection="false">
      <alignment horizontal="general" vertical="bottom" textRotation="0" wrapText="true" indent="0" shrinkToFit="false"/>
      <protection locked="true" hidden="false"/>
    </xf>
    <xf numFmtId="164" fontId="10" fillId="6" borderId="0" xfId="0" applyFont="true" applyBorder="false" applyAlignment="true" applyProtection="false">
      <alignment horizontal="general" vertical="top"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1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6" fontId="0" fillId="6" borderId="0" xfId="0" applyFont="true" applyBorder="false" applyAlignment="true" applyProtection="false">
      <alignment horizontal="left" vertical="bottom" textRotation="0" wrapText="false" indent="0" shrinkToFit="false"/>
      <protection locked="true" hidden="false"/>
    </xf>
    <xf numFmtId="164" fontId="17" fillId="9" borderId="21" xfId="0" applyFont="true" applyBorder="true" applyAlignment="true" applyProtection="false">
      <alignment horizontal="center" vertical="bottom" textRotation="0" wrapText="false" indent="0" shrinkToFit="false"/>
      <protection locked="true" hidden="false"/>
    </xf>
    <xf numFmtId="164" fontId="0" fillId="9" borderId="21" xfId="0" applyFont="false" applyBorder="true" applyAlignment="true" applyProtection="false">
      <alignment horizontal="center" vertical="bottom" textRotation="0" wrapText="false" indent="0" shrinkToFit="false"/>
      <protection locked="true" hidden="false"/>
    </xf>
    <xf numFmtId="164" fontId="18" fillId="7" borderId="0" xfId="0" applyFont="true" applyBorder="false" applyAlignment="false" applyProtection="false">
      <alignment horizontal="general" vertical="bottom" textRotation="0" wrapText="false" indent="0" shrinkToFit="false"/>
      <protection locked="true" hidden="false"/>
    </xf>
    <xf numFmtId="164" fontId="19" fillId="7" borderId="0" xfId="20" applyFont="true" applyBorder="true" applyAlignment="true" applyProtection="tru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20" fillId="5" borderId="0" xfId="0" applyFont="true" applyBorder="true" applyAlignment="false" applyProtection="false">
      <alignment horizontal="general" vertical="bottom" textRotation="0" wrapText="false" indent="0" shrinkToFit="false"/>
      <protection locked="true" hidden="false"/>
    </xf>
    <xf numFmtId="165" fontId="13" fillId="6" borderId="22" xfId="0" applyFont="true" applyBorder="true" applyAlignment="true" applyProtection="false">
      <alignment horizontal="center" vertical="bottom" textRotation="0" wrapText="false" indent="0" shrinkToFit="false"/>
      <protection locked="true" hidden="false"/>
    </xf>
    <xf numFmtId="164" fontId="0" fillId="6" borderId="23"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7" fontId="13" fillId="0" borderId="0" xfId="0" applyFont="true" applyBorder="tru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5" fontId="13" fillId="6" borderId="1" xfId="0" applyFont="true" applyBorder="true" applyAlignment="true" applyProtection="false">
      <alignment horizontal="center" vertical="bottom" textRotation="0" wrapText="false" indent="0" shrinkToFit="false"/>
      <protection locked="true" hidden="false"/>
    </xf>
    <xf numFmtId="165" fontId="13" fillId="6" borderId="24" xfId="0" applyFont="true" applyBorder="true" applyAlignment="true" applyProtection="false">
      <alignment horizontal="right" vertical="bottom" textRotation="0" wrapText="false" indent="0" shrinkToFit="false"/>
      <protection locked="true" hidden="false"/>
    </xf>
    <xf numFmtId="167" fontId="13" fillId="10" borderId="22" xfId="0" applyFont="true" applyBorder="true" applyAlignment="true" applyProtection="false">
      <alignment horizontal="center" vertical="bottom" textRotation="0" wrapText="false" indent="0" shrinkToFit="false"/>
      <protection locked="true" hidden="false"/>
    </xf>
    <xf numFmtId="167" fontId="13" fillId="10" borderId="23" xfId="0" applyFont="true" applyBorder="true" applyAlignment="true" applyProtection="false">
      <alignment horizontal="center" vertical="bottom" textRotation="0" wrapText="false" indent="0" shrinkToFit="false"/>
      <protection locked="true" hidden="false"/>
    </xf>
    <xf numFmtId="165" fontId="13" fillId="6" borderId="6" xfId="0" applyFont="true" applyBorder="true" applyAlignment="true" applyProtection="false">
      <alignment horizontal="center" vertical="bottom" textRotation="0" wrapText="false" indent="0" shrinkToFit="false"/>
      <protection locked="true" hidden="false"/>
    </xf>
    <xf numFmtId="165" fontId="13" fillId="6" borderId="8" xfId="0" applyFont="true" applyBorder="true" applyAlignment="true" applyProtection="false">
      <alignment horizontal="right" vertical="bottom" textRotation="0" wrapText="false" indent="0" shrinkToFit="false"/>
      <protection locked="true" hidden="false"/>
    </xf>
    <xf numFmtId="164" fontId="13" fillId="4" borderId="22" xfId="0" applyFont="true" applyBorder="true" applyAlignment="false" applyProtection="false">
      <alignment horizontal="general" vertical="bottom" textRotation="0" wrapText="false" indent="0" shrinkToFit="false"/>
      <protection locked="true" hidden="false"/>
    </xf>
    <xf numFmtId="164" fontId="0" fillId="5" borderId="25" xfId="0" applyFont="false" applyBorder="tru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21" fillId="11" borderId="7" xfId="0" applyFont="true" applyBorder="true" applyAlignment="true" applyProtection="false">
      <alignment horizontal="center" vertical="bottom" textRotation="0" wrapText="false" indent="0" shrinkToFit="false"/>
      <protection locked="true" hidden="false"/>
    </xf>
    <xf numFmtId="164" fontId="13" fillId="0" borderId="26" xfId="0" applyFont="true" applyBorder="true" applyAlignment="false" applyProtection="false">
      <alignment horizontal="general" vertical="bottom" textRotation="0" wrapText="false" indent="0" shrinkToFit="false"/>
      <protection locked="true" hidden="false"/>
    </xf>
    <xf numFmtId="164" fontId="13" fillId="0" borderId="27" xfId="0" applyFont="true" applyBorder="true" applyAlignment="false" applyProtection="false">
      <alignment horizontal="general" vertical="bottom" textRotation="0" wrapText="false" indent="0" shrinkToFit="false"/>
      <protection locked="true" hidden="false"/>
    </xf>
    <xf numFmtId="164" fontId="13" fillId="0" borderId="28" xfId="0" applyFont="true" applyBorder="true" applyAlignment="false" applyProtection="false">
      <alignment horizontal="general" vertical="bottom" textRotation="0" wrapText="false" indent="0" shrinkToFit="false"/>
      <protection locked="true" hidden="false"/>
    </xf>
    <xf numFmtId="164" fontId="0" fillId="0" borderId="29" xfId="0" applyFont="tru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22" fillId="5" borderId="0" xfId="0" applyFont="true" applyBorder="false" applyAlignment="false" applyProtection="false">
      <alignment horizontal="general" vertical="bottom" textRotation="0" wrapText="false" indent="0" shrinkToFit="false"/>
      <protection locked="true" hidden="false"/>
    </xf>
    <xf numFmtId="164" fontId="23"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5" fontId="0" fillId="5" borderId="0" xfId="0" applyFont="false" applyBorder="false" applyAlignment="false" applyProtection="false">
      <alignment horizontal="general" vertical="bottom" textRotation="0" wrapText="false" indent="0" shrinkToFit="false"/>
      <protection locked="true" hidden="false"/>
    </xf>
    <xf numFmtId="164" fontId="24" fillId="4" borderId="0" xfId="0" applyFont="true" applyBorder="false" applyAlignment="false" applyProtection="false">
      <alignment horizontal="general" vertical="bottom" textRotation="0" wrapText="false" indent="0" shrinkToFit="false"/>
      <protection locked="true" hidden="false"/>
    </xf>
    <xf numFmtId="164" fontId="13"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13" fillId="12" borderId="0" xfId="0" applyFont="true" applyBorder="true" applyAlignment="true" applyProtection="false">
      <alignment horizontal="center" vertical="bottom" textRotation="0" wrapText="false" indent="0" shrinkToFit="false"/>
      <protection locked="true" hidden="false"/>
    </xf>
    <xf numFmtId="164" fontId="0" fillId="10" borderId="0" xfId="0" applyFont="true" applyBorder="false" applyAlignment="true" applyProtection="false">
      <alignment horizontal="right" vertical="bottom" textRotation="0" wrapText="false" indent="0" shrinkToFit="false"/>
      <protection locked="true" hidden="false"/>
    </xf>
    <xf numFmtId="164" fontId="0" fillId="12" borderId="0" xfId="0" applyFont="true" applyBorder="false" applyAlignment="true" applyProtection="false">
      <alignment horizontal="center" vertical="bottom" textRotation="0" wrapText="true" indent="0" shrinkToFit="false"/>
      <protection locked="true" hidden="false"/>
    </xf>
    <xf numFmtId="166" fontId="0" fillId="5" borderId="0" xfId="0" applyFont="false" applyBorder="false" applyAlignment="true" applyProtection="false">
      <alignment horizontal="center" vertical="bottom" textRotation="0" wrapText="false" indent="0" shrinkToFit="false"/>
      <protection locked="true" hidden="false"/>
    </xf>
    <xf numFmtId="169" fontId="0" fillId="5" borderId="0" xfId="19" applyFont="true" applyBorder="true" applyAlignment="true" applyProtection="true">
      <alignment horizontal="center" vertical="bottom" textRotation="0" wrapText="false" indent="0" shrinkToFit="false"/>
      <protection locked="true" hidden="false"/>
    </xf>
    <xf numFmtId="165" fontId="0" fillId="6" borderId="0" xfId="0" applyFont="true" applyBorder="false" applyAlignment="false" applyProtection="false">
      <alignment horizontal="general" vertical="bottom" textRotation="0" wrapText="false" indent="0" shrinkToFit="false"/>
      <protection locked="true" hidden="false"/>
    </xf>
    <xf numFmtId="166" fontId="0" fillId="6" borderId="0" xfId="0" applyFont="false" applyBorder="false" applyAlignment="true" applyProtection="false">
      <alignment horizontal="center" vertical="bottom" textRotation="0" wrapText="false" indent="0" shrinkToFit="false"/>
      <protection locked="true" hidden="false"/>
    </xf>
    <xf numFmtId="169" fontId="0" fillId="6" borderId="0" xfId="19" applyFont="true" applyBorder="true" applyAlignment="true" applyProtection="true">
      <alignment horizontal="center" vertical="bottom" textRotation="0" wrapText="false" indent="0" shrinkToFit="false"/>
      <protection locked="true" hidden="false"/>
    </xf>
    <xf numFmtId="166" fontId="0" fillId="5" borderId="0" xfId="19" applyFont="true" applyBorder="true" applyAlignment="true" applyProtection="true">
      <alignment horizontal="center" vertical="bottom" textRotation="0" wrapText="false" indent="0" shrinkToFit="false"/>
      <protection locked="true" hidden="false"/>
    </xf>
    <xf numFmtId="166" fontId="0" fillId="6" borderId="0" xfId="19" applyFont="true" applyBorder="true" applyAlignment="true" applyProtection="true">
      <alignment horizontal="center" vertical="bottom" textRotation="0" wrapText="false" indent="0" shrinkToFit="false"/>
      <protection locked="true" hidden="false"/>
    </xf>
    <xf numFmtId="164" fontId="0" fillId="12" borderId="0" xfId="0" applyFont="true" applyBorder="false" applyAlignment="true" applyProtection="false">
      <alignment horizontal="center" vertical="center"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8" fillId="6" borderId="0" xfId="20" applyFont="true" applyBorder="true" applyAlignment="true" applyProtection="true">
      <alignment horizontal="general" vertical="bottom" textRotation="0" wrapText="false" indent="0" shrinkToFit="false"/>
      <protection locked="true" hidden="false"/>
    </xf>
    <xf numFmtId="164" fontId="4" fillId="6" borderId="30" xfId="0" applyFont="true" applyBorder="true" applyAlignment="true" applyProtection="false">
      <alignment horizontal="center" vertical="center" textRotation="0" wrapText="false" indent="0" shrinkToFit="false"/>
      <protection locked="true" hidden="false"/>
    </xf>
    <xf numFmtId="164" fontId="4" fillId="13" borderId="9" xfId="0" applyFont="true" applyBorder="true" applyAlignment="true" applyProtection="false">
      <alignment horizontal="center" vertical="center" textRotation="0" wrapText="false" indent="0" shrinkToFit="false"/>
      <protection locked="true" hidden="false"/>
    </xf>
    <xf numFmtId="164" fontId="4" fillId="10" borderId="9" xfId="0" applyFont="true" applyBorder="true" applyAlignment="true" applyProtection="false">
      <alignment horizontal="center" vertical="bottom" textRotation="0" wrapText="false" indent="0" shrinkToFit="false"/>
      <protection locked="true" hidden="false"/>
    </xf>
    <xf numFmtId="164" fontId="4" fillId="10" borderId="22" xfId="0" applyFont="true" applyBorder="true" applyAlignment="true" applyProtection="false">
      <alignment horizontal="center" vertical="center" textRotation="0" wrapText="false" indent="0" shrinkToFit="false"/>
      <protection locked="true" hidden="false"/>
    </xf>
    <xf numFmtId="164" fontId="4" fillId="5" borderId="0" xfId="0" applyFont="true" applyBorder="true" applyAlignment="true" applyProtection="false">
      <alignment horizontal="center" vertical="center" textRotation="0" wrapText="false" indent="0" shrinkToFit="false"/>
      <protection locked="true" hidden="false"/>
    </xf>
    <xf numFmtId="164" fontId="25" fillId="10" borderId="30" xfId="0" applyFont="true" applyBorder="true" applyAlignment="true" applyProtection="false">
      <alignment horizontal="center" vertical="center" textRotation="0" wrapText="false" indent="0" shrinkToFit="false"/>
      <protection locked="true" hidden="false"/>
    </xf>
    <xf numFmtId="164" fontId="26" fillId="14" borderId="30" xfId="0" applyFont="true" applyBorder="true" applyAlignment="true" applyProtection="false">
      <alignment horizontal="center" vertical="center" textRotation="0" wrapText="false" indent="0" shrinkToFit="false"/>
      <protection locked="true" hidden="false"/>
    </xf>
    <xf numFmtId="164" fontId="13" fillId="7" borderId="1" xfId="0" applyFont="true" applyBorder="true" applyAlignment="false" applyProtection="false">
      <alignment horizontal="general" vertical="bottom" textRotation="0" wrapText="false" indent="0" shrinkToFit="false"/>
      <protection locked="true" hidden="false"/>
    </xf>
    <xf numFmtId="164" fontId="13" fillId="7" borderId="31" xfId="0" applyFont="true" applyBorder="true" applyAlignment="false" applyProtection="false">
      <alignment horizontal="general" vertical="bottom" textRotation="0" wrapText="false" indent="0" shrinkToFit="false"/>
      <protection locked="true" hidden="false"/>
    </xf>
    <xf numFmtId="164" fontId="13" fillId="7" borderId="24" xfId="0" applyFont="true" applyBorder="true" applyAlignment="false" applyProtection="false">
      <alignment horizontal="general" vertical="bottom" textRotation="0" wrapText="false" indent="0" shrinkToFit="false"/>
      <protection locked="true" hidden="false"/>
    </xf>
    <xf numFmtId="164" fontId="13" fillId="7" borderId="9" xfId="0" applyFont="true" applyBorder="true" applyAlignment="false" applyProtection="false">
      <alignment horizontal="general" vertical="bottom" textRotation="0" wrapText="false" indent="0" shrinkToFit="false"/>
      <protection locked="true" hidden="false"/>
    </xf>
    <xf numFmtId="165" fontId="13" fillId="7" borderId="1" xfId="0" applyFont="true" applyBorder="true" applyAlignment="false" applyProtection="false">
      <alignment horizontal="general" vertical="bottom" textRotation="0" wrapText="false" indent="0" shrinkToFit="false"/>
      <protection locked="true" hidden="false"/>
    </xf>
    <xf numFmtId="165" fontId="13" fillId="7" borderId="31" xfId="0" applyFont="true" applyBorder="true" applyAlignment="false" applyProtection="false">
      <alignment horizontal="general" vertical="bottom" textRotation="0" wrapText="false" indent="0" shrinkToFit="false"/>
      <protection locked="true" hidden="false"/>
    </xf>
    <xf numFmtId="165" fontId="13" fillId="7" borderId="24"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0" fillId="4" borderId="31" xfId="0" applyFont="false" applyBorder="true" applyAlignment="false" applyProtection="false">
      <alignment horizontal="general" vertical="bottom" textRotation="0" wrapText="false" indent="0" shrinkToFit="false"/>
      <protection locked="true" hidden="false"/>
    </xf>
    <xf numFmtId="164" fontId="13" fillId="8" borderId="16" xfId="0" applyFont="true" applyBorder="true" applyAlignment="false" applyProtection="false">
      <alignment horizontal="general" vertical="bottom" textRotation="0" wrapText="false" indent="0" shrinkToFit="false"/>
      <protection locked="true" hidden="false"/>
    </xf>
    <xf numFmtId="164" fontId="0" fillId="8" borderId="5" xfId="0" applyFont="false" applyBorder="true" applyAlignment="false" applyProtection="false">
      <alignment horizontal="general" vertical="bottom" textRotation="0" wrapText="false" indent="0" shrinkToFit="false"/>
      <protection locked="true" hidden="false"/>
    </xf>
    <xf numFmtId="164" fontId="0" fillId="8" borderId="17" xfId="0" applyFont="false" applyBorder="true" applyAlignment="false" applyProtection="false">
      <alignment horizontal="general" vertical="bottom" textRotation="0" wrapText="false" indent="0" shrinkToFit="false"/>
      <protection locked="true" hidden="false"/>
    </xf>
    <xf numFmtId="164" fontId="0" fillId="8" borderId="4" xfId="0" applyFont="false" applyBorder="true" applyAlignment="false" applyProtection="false">
      <alignment horizontal="general" vertical="bottom" textRotation="0" wrapText="false" indent="0" shrinkToFit="false"/>
      <protection locked="true" hidden="false"/>
    </xf>
    <xf numFmtId="164" fontId="0" fillId="8" borderId="16" xfId="0" applyFont="false" applyBorder="true" applyAlignment="false" applyProtection="false">
      <alignment horizontal="general" vertical="bottom" textRotation="0" wrapText="false" indent="0" shrinkToFit="false"/>
      <protection locked="true" hidden="false"/>
    </xf>
    <xf numFmtId="165" fontId="0" fillId="8" borderId="5" xfId="0" applyFont="false" applyBorder="true" applyAlignment="false" applyProtection="false">
      <alignment horizontal="general" vertical="bottom" textRotation="0" wrapText="false" indent="0" shrinkToFit="false"/>
      <protection locked="true" hidden="false"/>
    </xf>
    <xf numFmtId="165" fontId="0" fillId="8" borderId="0" xfId="0" applyFont="false" applyBorder="true" applyAlignment="false" applyProtection="false">
      <alignment horizontal="general" vertical="bottom" textRotation="0" wrapText="false" indent="0" shrinkToFit="false"/>
      <protection locked="true" hidden="false"/>
    </xf>
    <xf numFmtId="165" fontId="0" fillId="8" borderId="4" xfId="0" applyFont="false" applyBorder="true" applyAlignment="false" applyProtection="false">
      <alignment horizontal="general" vertical="bottom" textRotation="0" wrapText="false" indent="0" shrinkToFit="false"/>
      <protection locked="true" hidden="false"/>
    </xf>
    <xf numFmtId="164" fontId="0" fillId="8" borderId="0" xfId="0" applyFont="false" applyBorder="true" applyAlignment="false" applyProtection="false">
      <alignment horizontal="general" vertical="bottom" textRotation="0" wrapText="false" indent="0" shrinkToFit="false"/>
      <protection locked="true" hidden="false"/>
    </xf>
    <xf numFmtId="164" fontId="0" fillId="9" borderId="16" xfId="0" applyFont="true" applyBorder="true" applyAlignment="false" applyProtection="false">
      <alignment horizontal="general" vertical="bottom" textRotation="0" wrapText="false" indent="0" shrinkToFit="false"/>
      <protection locked="true" hidden="false"/>
    </xf>
    <xf numFmtId="164" fontId="0" fillId="9" borderId="5" xfId="0" applyFont="true" applyBorder="true" applyAlignment="false" applyProtection="false">
      <alignment horizontal="general" vertical="bottom"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5" fontId="0" fillId="9" borderId="5" xfId="0" applyFont="false" applyBorder="true" applyAlignment="false" applyProtection="false">
      <alignment horizontal="general" vertical="bottom" textRotation="0" wrapText="false" indent="0" shrinkToFit="false"/>
      <protection locked="true" hidden="false"/>
    </xf>
    <xf numFmtId="165" fontId="0" fillId="9" borderId="0" xfId="0" applyFont="false" applyBorder="true" applyAlignment="false" applyProtection="false">
      <alignment horizontal="general" vertical="bottom" textRotation="0" wrapText="false" indent="0" shrinkToFit="false"/>
      <protection locked="true" hidden="false"/>
    </xf>
    <xf numFmtId="164" fontId="0" fillId="9" borderId="0"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8" fontId="0" fillId="9" borderId="5" xfId="19" applyFont="true" applyBorder="true" applyAlignment="true" applyProtection="true">
      <alignment horizontal="general" vertical="bottom" textRotation="0" wrapText="false" indent="0" shrinkToFit="false"/>
      <protection locked="true" hidden="false"/>
    </xf>
    <xf numFmtId="168" fontId="0" fillId="9" borderId="0" xfId="19" applyFont="true" applyBorder="true" applyAlignment="true" applyProtection="true">
      <alignment horizontal="general" vertical="bottom" textRotation="0" wrapText="false" indent="0" shrinkToFit="false"/>
      <protection locked="true" hidden="false"/>
    </xf>
    <xf numFmtId="168" fontId="0" fillId="9" borderId="4" xfId="19" applyFont="true" applyBorder="true" applyAlignment="true" applyProtection="true">
      <alignment horizontal="general" vertical="bottom" textRotation="0" wrapText="false" indent="0" shrinkToFit="false"/>
      <protection locked="true" hidden="false"/>
    </xf>
    <xf numFmtId="168" fontId="10" fillId="9" borderId="5" xfId="0" applyFont="true" applyBorder="true" applyAlignment="false" applyProtection="false">
      <alignment horizontal="general" vertical="bottom" textRotation="0" wrapText="false" indent="0" shrinkToFit="false"/>
      <protection locked="true" hidden="false"/>
    </xf>
    <xf numFmtId="168" fontId="10" fillId="9" borderId="0" xfId="0" applyFont="true" applyBorder="true" applyAlignment="false" applyProtection="false">
      <alignment horizontal="general" vertical="bottom" textRotation="0" wrapText="false" indent="0" shrinkToFit="false"/>
      <protection locked="true" hidden="false"/>
    </xf>
    <xf numFmtId="164" fontId="0" fillId="9" borderId="5" xfId="19" applyFont="true" applyBorder="true" applyAlignment="true" applyProtection="true">
      <alignment horizontal="general" vertical="bottom" textRotation="0" wrapText="false" indent="0" shrinkToFit="false"/>
      <protection locked="true" hidden="false"/>
    </xf>
    <xf numFmtId="164" fontId="0" fillId="9" borderId="0" xfId="19" applyFont="true" applyBorder="true" applyAlignment="true" applyProtection="true">
      <alignment horizontal="general" vertical="bottom" textRotation="0" wrapText="false" indent="0" shrinkToFit="false"/>
      <protection locked="true" hidden="false"/>
    </xf>
    <xf numFmtId="164" fontId="0" fillId="9" borderId="4" xfId="19" applyFont="true" applyBorder="true" applyAlignment="true" applyProtection="true">
      <alignment horizontal="general" vertical="bottom" textRotation="0" wrapText="false" indent="0" shrinkToFit="false"/>
      <protection locked="true" hidden="false"/>
    </xf>
    <xf numFmtId="165" fontId="0" fillId="9" borderId="4" xfId="0" applyFont="false" applyBorder="true" applyAlignment="false" applyProtection="false">
      <alignment horizontal="general" vertical="bottom" textRotation="0" wrapText="false" indent="0" shrinkToFit="false"/>
      <protection locked="true" hidden="false"/>
    </xf>
    <xf numFmtId="164" fontId="10" fillId="9" borderId="0" xfId="0" applyFont="true" applyBorder="true" applyAlignment="false" applyProtection="false">
      <alignment horizontal="general" vertical="bottom" textRotation="0" wrapText="false" indent="0" shrinkToFit="false"/>
      <protection locked="true" hidden="false"/>
    </xf>
    <xf numFmtId="164" fontId="5" fillId="9" borderId="5" xfId="0" applyFont="true" applyBorder="true" applyAlignment="false" applyProtection="false">
      <alignment horizontal="general" vertical="bottom" textRotation="0" wrapText="false" indent="0" shrinkToFit="false"/>
      <protection locked="true" hidden="false"/>
    </xf>
    <xf numFmtId="168" fontId="0" fillId="8" borderId="5" xfId="19" applyFont="true" applyBorder="true" applyAlignment="true" applyProtection="true">
      <alignment horizontal="general" vertical="bottom" textRotation="0" wrapText="false" indent="0" shrinkToFit="false"/>
      <protection locked="true" hidden="false"/>
    </xf>
    <xf numFmtId="168" fontId="0" fillId="8" borderId="0" xfId="19" applyFont="true" applyBorder="true" applyAlignment="true" applyProtection="true">
      <alignment horizontal="general" vertical="bottom" textRotation="0" wrapText="false" indent="0" shrinkToFit="false"/>
      <protection locked="true" hidden="false"/>
    </xf>
    <xf numFmtId="168" fontId="0" fillId="8" borderId="4" xfId="19" applyFont="true" applyBorder="true" applyAlignment="true" applyProtection="true">
      <alignment horizontal="general" vertical="bottom" textRotation="0" wrapText="false" indent="0" shrinkToFit="false"/>
      <protection locked="true" hidden="false"/>
    </xf>
    <xf numFmtId="168" fontId="10" fillId="8" borderId="5" xfId="0" applyFont="true" applyBorder="true" applyAlignment="false" applyProtection="false">
      <alignment horizontal="general" vertical="bottom" textRotation="0" wrapText="false" indent="0" shrinkToFit="false"/>
      <protection locked="true" hidden="false"/>
    </xf>
    <xf numFmtId="164" fontId="10" fillId="8" borderId="0" xfId="0" applyFont="true" applyBorder="true" applyAlignment="false" applyProtection="false">
      <alignment horizontal="general" vertical="bottom" textRotation="0" wrapText="false" indent="0" shrinkToFit="false"/>
      <protection locked="true" hidden="false"/>
    </xf>
    <xf numFmtId="168" fontId="10" fillId="8" borderId="0" xfId="0" applyFont="true" applyBorder="true" applyAlignment="false" applyProtection="false">
      <alignment horizontal="general" vertical="bottom" textRotation="0" wrapText="false" indent="0" shrinkToFit="false"/>
      <protection locked="true" hidden="false"/>
    </xf>
    <xf numFmtId="164" fontId="0" fillId="8" borderId="5" xfId="19" applyFont="true" applyBorder="true" applyAlignment="true" applyProtection="true">
      <alignment horizontal="general" vertical="bottom" textRotation="0" wrapText="false" indent="0" shrinkToFit="false"/>
      <protection locked="true" hidden="false"/>
    </xf>
    <xf numFmtId="164" fontId="0" fillId="8" borderId="0" xfId="19" applyFont="true" applyBorder="true" applyAlignment="true" applyProtection="true">
      <alignment horizontal="general" vertical="bottom" textRotation="0" wrapText="false" indent="0" shrinkToFit="false"/>
      <protection locked="true" hidden="false"/>
    </xf>
    <xf numFmtId="164" fontId="0" fillId="8" borderId="4" xfId="19" applyFont="true" applyBorder="true" applyAlignment="true" applyProtection="true">
      <alignment horizontal="general" vertical="bottom" textRotation="0" wrapText="false" indent="0" shrinkToFit="false"/>
      <protection locked="true" hidden="false"/>
    </xf>
    <xf numFmtId="164" fontId="0" fillId="9" borderId="19" xfId="0" applyFont="true" applyBorder="true" applyAlignment="false" applyProtection="false">
      <alignment horizontal="general" vertical="bottom" textRotation="0" wrapText="false" indent="0" shrinkToFit="false"/>
      <protection locked="true" hidden="false"/>
    </xf>
    <xf numFmtId="164" fontId="0" fillId="9" borderId="6" xfId="0" applyFont="true" applyBorder="true" applyAlignment="false" applyProtection="false">
      <alignment horizontal="general" vertical="bottom" textRotation="0" wrapText="false" indent="0" shrinkToFit="false"/>
      <protection locked="true" hidden="false"/>
    </xf>
    <xf numFmtId="164" fontId="0" fillId="9" borderId="8" xfId="0" applyFont="true" applyBorder="true" applyAlignment="false" applyProtection="false">
      <alignment horizontal="general" vertical="bottom" textRotation="0" wrapText="false" indent="0" shrinkToFit="false"/>
      <protection locked="true" hidden="false"/>
    </xf>
    <xf numFmtId="165" fontId="0" fillId="9" borderId="6" xfId="0" applyFont="false" applyBorder="true" applyAlignment="false" applyProtection="false">
      <alignment horizontal="general" vertical="bottom" textRotation="0" wrapText="false" indent="0" shrinkToFit="false"/>
      <protection locked="true" hidden="false"/>
    </xf>
    <xf numFmtId="165" fontId="0" fillId="9" borderId="7" xfId="0" applyFont="false" applyBorder="true" applyAlignment="false" applyProtection="false">
      <alignment horizontal="general" vertical="bottom" textRotation="0" wrapText="false" indent="0" shrinkToFit="false"/>
      <protection locked="true" hidden="false"/>
    </xf>
    <xf numFmtId="165" fontId="0" fillId="9" borderId="8" xfId="0" applyFont="false" applyBorder="true" applyAlignment="false" applyProtection="false">
      <alignment horizontal="general" vertical="bottom" textRotation="0" wrapText="false" indent="0" shrinkToFit="false"/>
      <protection locked="true" hidden="false"/>
    </xf>
    <xf numFmtId="164" fontId="0" fillId="9" borderId="7"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8" fontId="0" fillId="9" borderId="6" xfId="19" applyFont="true" applyBorder="true" applyAlignment="true" applyProtection="true">
      <alignment horizontal="general" vertical="bottom" textRotation="0" wrapText="false" indent="0" shrinkToFit="false"/>
      <protection locked="true" hidden="false"/>
    </xf>
    <xf numFmtId="168" fontId="0" fillId="9" borderId="7" xfId="19" applyFont="true" applyBorder="true" applyAlignment="true" applyProtection="true">
      <alignment horizontal="general" vertical="bottom" textRotation="0" wrapText="false" indent="0" shrinkToFit="false"/>
      <protection locked="true" hidden="false"/>
    </xf>
    <xf numFmtId="168" fontId="0" fillId="9" borderId="8" xfId="19" applyFont="true" applyBorder="true" applyAlignment="true" applyProtection="true">
      <alignment horizontal="general" vertical="bottom" textRotation="0" wrapText="false" indent="0" shrinkToFit="false"/>
      <protection locked="true" hidden="false"/>
    </xf>
    <xf numFmtId="168" fontId="10" fillId="9" borderId="6" xfId="0" applyFont="true" applyBorder="true" applyAlignment="false" applyProtection="false">
      <alignment horizontal="general" vertical="bottom" textRotation="0" wrapText="false" indent="0" shrinkToFit="false"/>
      <protection locked="true" hidden="false"/>
    </xf>
    <xf numFmtId="164" fontId="10" fillId="9" borderId="7" xfId="0" applyFont="true" applyBorder="true" applyAlignment="false" applyProtection="false">
      <alignment horizontal="general" vertical="bottom" textRotation="0" wrapText="false" indent="0" shrinkToFit="false"/>
      <protection locked="true" hidden="false"/>
    </xf>
    <xf numFmtId="168" fontId="10" fillId="9" borderId="7" xfId="0" applyFont="true" applyBorder="true" applyAlignment="false" applyProtection="false">
      <alignment horizontal="general" vertical="bottom" textRotation="0" wrapText="false" indent="0" shrinkToFit="false"/>
      <protection locked="true" hidden="false"/>
    </xf>
    <xf numFmtId="164" fontId="0" fillId="9" borderId="6" xfId="19" applyFont="true" applyBorder="true" applyAlignment="true" applyProtection="true">
      <alignment horizontal="general" vertical="bottom" textRotation="0" wrapText="false" indent="0" shrinkToFit="false"/>
      <protection locked="true" hidden="false"/>
    </xf>
    <xf numFmtId="164" fontId="0" fillId="9" borderId="7" xfId="19" applyFont="true" applyBorder="true" applyAlignment="true" applyProtection="true">
      <alignment horizontal="general" vertical="bottom" textRotation="0" wrapText="false" indent="0" shrinkToFit="false"/>
      <protection locked="true" hidden="false"/>
    </xf>
    <xf numFmtId="164" fontId="0" fillId="9" borderId="8" xfId="19" applyFont="true" applyBorder="true" applyAlignment="true" applyProtection="true">
      <alignment horizontal="general" vertical="bottom" textRotation="0" wrapText="false" indent="0" shrinkToFit="false"/>
      <protection locked="true" hidden="false"/>
    </xf>
    <xf numFmtId="164" fontId="15" fillId="4" borderId="0" xfId="0" applyFont="true" applyBorder="false" applyAlignment="false" applyProtection="false">
      <alignment horizontal="general" vertical="bottom" textRotation="0" wrapText="false" indent="0" shrinkToFit="false"/>
      <protection locked="true" hidden="false"/>
    </xf>
    <xf numFmtId="165" fontId="15" fillId="4" borderId="0" xfId="0" applyFont="true" applyBorder="false" applyAlignment="false" applyProtection="false">
      <alignment horizontal="general" vertical="bottom" textRotation="0" wrapText="false" indent="0" shrinkToFit="false"/>
      <protection locked="true" hidden="false"/>
    </xf>
    <xf numFmtId="165" fontId="27" fillId="4" borderId="0" xfId="0" applyFont="true" applyBorder="false" applyAlignment="false" applyProtection="false">
      <alignment horizontal="general" vertical="bottom" textRotation="0" wrapText="false" indent="0" shrinkToFit="false"/>
      <protection locked="true" hidden="false"/>
    </xf>
    <xf numFmtId="164" fontId="27" fillId="4" borderId="0" xfId="0" applyFont="true" applyBorder="false" applyAlignment="false" applyProtection="false">
      <alignment horizontal="general" vertical="bottom" textRotation="0" wrapText="false" indent="0" shrinkToFit="false"/>
      <protection locked="true" hidden="false"/>
    </xf>
    <xf numFmtId="164" fontId="27" fillId="5" borderId="0" xfId="0" applyFont="true" applyBorder="true" applyAlignment="false" applyProtection="false">
      <alignment horizontal="general" vertical="bottom" textRotation="0" wrapText="false" indent="0" shrinkToFit="false"/>
      <protection locked="true" hidden="false"/>
    </xf>
    <xf numFmtId="168" fontId="27" fillId="4" borderId="22" xfId="19" applyFont="true" applyBorder="true" applyAlignment="true" applyProtection="true">
      <alignment horizontal="general" vertical="bottom" textRotation="0" wrapText="false" indent="0" shrinkToFit="false"/>
      <protection locked="true" hidden="false"/>
    </xf>
    <xf numFmtId="168" fontId="27" fillId="4" borderId="32" xfId="19" applyFont="true" applyBorder="true" applyAlignment="true" applyProtection="true">
      <alignment horizontal="general" vertical="bottom" textRotation="0" wrapText="false" indent="0" shrinkToFit="false"/>
      <protection locked="true" hidden="false"/>
    </xf>
    <xf numFmtId="168" fontId="27" fillId="4" borderId="23" xfId="19" applyFont="true" applyBorder="true" applyAlignment="true" applyProtection="true">
      <alignment horizontal="general" vertical="bottom" textRotation="0" wrapText="false" indent="0" shrinkToFit="false"/>
      <protection locked="true" hidden="false"/>
    </xf>
    <xf numFmtId="164" fontId="15" fillId="5" borderId="0" xfId="0" applyFont="true" applyBorder="false" applyAlignment="false" applyProtection="false">
      <alignment horizontal="general" vertical="bottom" textRotation="0" wrapText="false" indent="0" shrinkToFit="false"/>
      <protection locked="true" hidden="false"/>
    </xf>
    <xf numFmtId="168" fontId="28" fillId="14" borderId="0" xfId="0" applyFont="true" applyBorder="false" applyAlignment="false" applyProtection="false">
      <alignment horizontal="general" vertical="bottom" textRotation="0" wrapText="false" indent="0" shrinkToFit="false"/>
      <protection locked="true" hidden="false"/>
    </xf>
    <xf numFmtId="164" fontId="15" fillId="14" borderId="0" xfId="0" applyFont="true" applyBorder="false" applyAlignment="false" applyProtection="false">
      <alignment horizontal="general" vertical="bottom" textRotation="0" wrapText="false" indent="0" shrinkToFit="false"/>
      <protection locked="true" hidden="false"/>
    </xf>
    <xf numFmtId="164" fontId="0" fillId="4" borderId="6" xfId="19" applyFont="true" applyBorder="true" applyAlignment="true" applyProtection="true">
      <alignment horizontal="general" vertical="bottom" textRotation="0" wrapText="false" indent="0" shrinkToFit="false"/>
      <protection locked="true" hidden="false"/>
    </xf>
    <xf numFmtId="164" fontId="0" fillId="4" borderId="19" xfId="19"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24" fillId="5" borderId="0" xfId="0" applyFont="true" applyBorder="true" applyAlignment="true" applyProtection="false">
      <alignment horizontal="left" vertical="top" textRotation="0" wrapText="true" indent="0" shrinkToFit="false"/>
      <protection locked="true" hidden="false"/>
    </xf>
    <xf numFmtId="164" fontId="4" fillId="7" borderId="9" xfId="0" applyFont="true" applyBorder="true" applyAlignment="true" applyProtection="true">
      <alignment horizontal="left" vertical="bottom" textRotation="0" wrapText="false" indent="0" shrinkToFit="false"/>
      <protection locked="false" hidden="false"/>
    </xf>
    <xf numFmtId="164" fontId="0" fillId="15" borderId="33" xfId="0" applyFont="true" applyBorder="true" applyAlignment="true" applyProtection="false">
      <alignment horizontal="center" vertical="bottom" textRotation="0" wrapText="false" indent="0" shrinkToFit="false"/>
      <protection locked="true" hidden="false"/>
    </xf>
    <xf numFmtId="170" fontId="0" fillId="11" borderId="34" xfId="19" applyFont="true" applyBorder="true" applyAlignment="true" applyProtection="true">
      <alignment horizontal="general" vertical="bottom" textRotation="0" wrapText="false" indent="0" shrinkToFit="false"/>
      <protection locked="true" hidden="false"/>
    </xf>
    <xf numFmtId="164" fontId="0" fillId="11" borderId="35" xfId="0" applyFont="false" applyBorder="true" applyAlignment="false" applyProtection="false">
      <alignment horizontal="general" vertical="bottom" textRotation="0" wrapText="false" indent="0" shrinkToFit="false"/>
      <protection locked="true" hidden="false"/>
    </xf>
    <xf numFmtId="164" fontId="5" fillId="6" borderId="19" xfId="0" applyFont="true" applyBorder="true" applyAlignment="true" applyProtection="true">
      <alignment horizontal="left" vertical="top" textRotation="0" wrapText="true" indent="0" shrinkToFit="false"/>
      <protection locked="false" hidden="false"/>
    </xf>
    <xf numFmtId="164" fontId="0" fillId="15" borderId="29" xfId="0" applyFont="true" applyBorder="true" applyAlignment="true" applyProtection="false">
      <alignment horizontal="center" vertical="bottom" textRotation="0" wrapText="false" indent="0" shrinkToFit="false"/>
      <protection locked="true" hidden="false"/>
    </xf>
    <xf numFmtId="165" fontId="0" fillId="11" borderId="36" xfId="0" applyFont="false" applyBorder="true" applyAlignment="false" applyProtection="false">
      <alignment horizontal="general" vertical="bottom" textRotation="0" wrapText="false" indent="0" shrinkToFit="false"/>
      <protection locked="true" hidden="false"/>
    </xf>
    <xf numFmtId="164" fontId="0" fillId="11" borderId="37" xfId="0" applyFont="true" applyBorder="true" applyAlignment="false" applyProtection="false">
      <alignment horizontal="general" vertical="bottom" textRotation="0" wrapText="false" indent="0" shrinkToFit="false"/>
      <protection locked="true" hidden="false"/>
    </xf>
    <xf numFmtId="164" fontId="13" fillId="7" borderId="5" xfId="0" applyFont="tru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5" fillId="9" borderId="16" xfId="0" applyFont="true" applyBorder="true" applyAlignment="false" applyProtection="false">
      <alignment horizontal="general" vertical="bottom" textRotation="0" wrapText="false" indent="0" shrinkToFit="false"/>
      <protection locked="true" hidden="false"/>
    </xf>
    <xf numFmtId="164" fontId="0" fillId="15" borderId="18" xfId="0" applyFont="true" applyBorder="true" applyAlignment="true" applyProtection="false">
      <alignment horizontal="left" vertical="bottom" textRotation="0" wrapText="false" indent="0" shrinkToFit="false"/>
      <protection locked="true" hidden="false"/>
    </xf>
    <xf numFmtId="165" fontId="24" fillId="11" borderId="0" xfId="0" applyFont="true" applyBorder="true" applyAlignment="true" applyProtection="false">
      <alignment horizontal="center" vertical="center" textRotation="0" wrapText="false" indent="0" shrinkToFit="false"/>
      <protection locked="true" hidden="false"/>
    </xf>
    <xf numFmtId="164" fontId="24" fillId="11" borderId="38" xfId="0" applyFont="true" applyBorder="true" applyAlignment="true" applyProtection="false">
      <alignment horizontal="center" vertical="center" textRotation="0" wrapText="false" indent="0" shrinkToFit="false"/>
      <protection locked="true" hidden="false"/>
    </xf>
    <xf numFmtId="164" fontId="0" fillId="15" borderId="29" xfId="0" applyFont="true" applyBorder="true" applyAlignment="true" applyProtection="false">
      <alignment horizontal="left" vertical="bottom" textRotation="0" wrapText="false" indent="0" shrinkToFit="false"/>
      <protection locked="true" hidden="false"/>
    </xf>
    <xf numFmtId="165" fontId="24" fillId="11" borderId="36" xfId="0" applyFont="true" applyBorder="true" applyAlignment="true" applyProtection="false">
      <alignment horizontal="center" vertical="center" textRotation="0" wrapText="false" indent="0" shrinkToFit="false"/>
      <protection locked="true" hidden="false"/>
    </xf>
    <xf numFmtId="164" fontId="0" fillId="8" borderId="19" xfId="0" applyFont="false" applyBorder="true" applyAlignment="false" applyProtection="false">
      <alignment horizontal="general" vertical="bottom" textRotation="0" wrapText="false" indent="0" shrinkToFit="false"/>
      <protection locked="true" hidden="false"/>
    </xf>
    <xf numFmtId="164" fontId="5" fillId="9" borderId="19" xfId="0" applyFont="true" applyBorder="true" applyAlignment="false" applyProtection="true">
      <alignment horizontal="general" vertical="bottom" textRotation="0" wrapText="false" indent="0" shrinkToFit="false"/>
      <protection locked="fals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13" fillId="5" borderId="0" xfId="0" applyFont="true" applyBorder="true" applyAlignment="true" applyProtection="false">
      <alignment horizontal="left" vertical="top" textRotation="0" wrapText="true" indent="0" shrinkToFit="false"/>
      <protection locked="true" hidden="false"/>
    </xf>
    <xf numFmtId="164" fontId="29" fillId="5" borderId="0" xfId="0" applyFont="true" applyBorder="true" applyAlignment="true" applyProtection="false">
      <alignment horizontal="right" vertical="bottom" textRotation="0" wrapText="true" indent="0" shrinkToFit="false"/>
      <protection locked="true" hidden="false"/>
    </xf>
    <xf numFmtId="164" fontId="0" fillId="0" borderId="0"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29" fillId="0" borderId="0" xfId="0" applyFont="true" applyBorder="true" applyAlignment="true" applyProtection="false">
      <alignment horizontal="right" vertical="bottom" textRotation="0" wrapText="false" indent="0" shrinkToFit="false"/>
      <protection locked="true" hidden="false"/>
    </xf>
    <xf numFmtId="164" fontId="30" fillId="6" borderId="1" xfId="0" applyFont="true" applyBorder="true" applyAlignment="true" applyProtection="false">
      <alignment horizontal="left" vertical="center" textRotation="0" wrapText="tru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5" fontId="34" fillId="0" borderId="39" xfId="0" applyFont="true" applyBorder="tru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4" fontId="4" fillId="17" borderId="9" xfId="0" applyFont="true" applyBorder="true" applyAlignment="true" applyProtection="false">
      <alignment horizontal="center" vertical="bottom" textRotation="0" wrapText="false" indent="0" shrinkToFit="false"/>
      <protection locked="true" hidden="false"/>
    </xf>
    <xf numFmtId="165" fontId="13" fillId="8" borderId="0" xfId="0" applyFont="true" applyBorder="true" applyAlignment="false" applyProtection="false">
      <alignment horizontal="general" vertical="bottom" textRotation="0" wrapText="false" indent="0" shrinkToFit="false"/>
      <protection locked="true" hidden="false"/>
    </xf>
    <xf numFmtId="164" fontId="13" fillId="8" borderId="0" xfId="0" applyFont="true" applyBorder="true" applyAlignment="false" applyProtection="false">
      <alignment horizontal="general" vertical="bottom" textRotation="0" wrapText="false" indent="0" shrinkToFit="false"/>
      <protection locked="true" hidden="false"/>
    </xf>
    <xf numFmtId="164" fontId="13" fillId="9"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3" fillId="9" borderId="7" xfId="0" applyFont="true" applyBorder="true" applyAlignment="false" applyProtection="false">
      <alignment horizontal="general" vertical="bottom"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5" fontId="35" fillId="4" borderId="0" xfId="0" applyFont="true" applyBorder="false" applyAlignment="false" applyProtection="false">
      <alignment horizontal="general" vertical="bottom" textRotation="0" wrapText="false" indent="0" shrinkToFit="false"/>
      <protection locked="true" hidden="false"/>
    </xf>
    <xf numFmtId="164" fontId="36" fillId="4" borderId="0" xfId="0" applyFont="true" applyBorder="false" applyAlignment="false" applyProtection="false">
      <alignment horizontal="general" vertical="bottom" textRotation="0" wrapText="false" indent="0" shrinkToFit="false"/>
      <protection locked="true" hidden="false"/>
    </xf>
    <xf numFmtId="164" fontId="0" fillId="18" borderId="40" xfId="0" applyFont="true" applyBorder="true" applyAlignment="false" applyProtection="false">
      <alignment horizontal="general" vertical="bottom" textRotation="0" wrapText="false" indent="0" shrinkToFit="false"/>
      <protection locked="true" hidden="false"/>
    </xf>
    <xf numFmtId="164" fontId="0" fillId="0" borderId="35" xfId="0" applyFont="false" applyBorder="true" applyAlignment="false" applyProtection="false">
      <alignment horizontal="general" vertical="bottom" textRotation="0" wrapText="false" indent="0" shrinkToFit="false"/>
      <protection locked="true" hidden="false"/>
    </xf>
    <xf numFmtId="164" fontId="13" fillId="0" borderId="41" xfId="0" applyFont="true" applyBorder="true" applyAlignment="false" applyProtection="false">
      <alignment horizontal="general" vertical="bottom" textRotation="0" wrapText="false" indent="0" shrinkToFit="false"/>
      <protection locked="true" hidden="false"/>
    </xf>
    <xf numFmtId="164" fontId="13" fillId="0" borderId="42" xfId="0" applyFont="true" applyBorder="true" applyAlignment="false" applyProtection="false">
      <alignment horizontal="general" vertical="bottom" textRotation="0" wrapText="false" indent="0" shrinkToFit="false"/>
      <protection locked="true" hidden="false"/>
    </xf>
    <xf numFmtId="164" fontId="13" fillId="0" borderId="38" xfId="0" applyFont="true" applyBorder="true" applyAlignment="false" applyProtection="false">
      <alignment horizontal="general" vertical="bottom" textRotation="0" wrapText="false" indent="0" shrinkToFit="false"/>
      <protection locked="true" hidden="false"/>
    </xf>
    <xf numFmtId="164" fontId="0" fillId="18" borderId="43" xfId="0" applyFont="true" applyBorder="true" applyAlignment="false" applyProtection="false">
      <alignment horizontal="general" vertical="bottom" textRotation="0" wrapText="false" indent="0" shrinkToFit="false"/>
      <protection locked="true" hidden="false"/>
    </xf>
    <xf numFmtId="164" fontId="0" fillId="0" borderId="44" xfId="0" applyFont="false" applyBorder="true" applyAlignment="false" applyProtection="false">
      <alignment horizontal="general" vertical="bottom" textRotation="0" wrapText="false" indent="0" shrinkToFit="false"/>
      <protection locked="true" hidden="false"/>
    </xf>
    <xf numFmtId="164" fontId="0" fillId="0" borderId="43" xfId="0" applyFont="true" applyBorder="true" applyAlignment="false" applyProtection="false">
      <alignment horizontal="general" vertical="bottom" textRotation="0" wrapText="false" indent="0" shrinkToFit="false"/>
      <protection locked="true" hidden="false"/>
    </xf>
    <xf numFmtId="164" fontId="24" fillId="0" borderId="43"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true" applyAlignment="false" applyProtection="false">
      <alignment horizontal="general" vertical="bottom" textRotation="0" wrapText="false" indent="0" shrinkToFit="false"/>
      <protection locked="true" hidden="false"/>
    </xf>
    <xf numFmtId="164" fontId="24" fillId="0" borderId="44" xfId="0" applyFont="true" applyBorder="true" applyAlignment="false" applyProtection="false">
      <alignment horizontal="general" vertical="bottom" textRotation="0" wrapText="false" indent="0" shrinkToFit="false"/>
      <protection locked="true" hidden="false"/>
    </xf>
    <xf numFmtId="165" fontId="0" fillId="0" borderId="44" xfId="0" applyFont="false" applyBorder="true" applyAlignment="false" applyProtection="false">
      <alignment horizontal="general" vertical="bottom" textRotation="0" wrapText="false" indent="0" shrinkToFit="false"/>
      <protection locked="true" hidden="false"/>
    </xf>
    <xf numFmtId="164" fontId="0" fillId="0" borderId="45" xfId="0" applyFont="true" applyBorder="true" applyAlignment="false" applyProtection="false">
      <alignment horizontal="general" vertical="bottom" textRotation="0" wrapText="false" indent="0" shrinkToFit="false"/>
      <protection locked="true" hidden="false"/>
    </xf>
    <xf numFmtId="164" fontId="0" fillId="0" borderId="36" xfId="0" applyFont="false" applyBorder="true" applyAlignment="false" applyProtection="false">
      <alignment horizontal="general"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4" fontId="13" fillId="0" borderId="42" xfId="0" applyFont="true" applyBorder="true" applyAlignment="false" applyProtection="false">
      <alignment horizontal="general" vertical="bottom" textRotation="0" wrapText="false" indent="0" shrinkToFit="false"/>
      <protection locked="true" hidden="false"/>
    </xf>
    <xf numFmtId="164" fontId="0" fillId="18" borderId="45" xfId="0" applyFont="false" applyBorder="true" applyAlignment="false" applyProtection="false">
      <alignment horizontal="general" vertical="bottom" textRotation="0" wrapText="false" indent="0" shrinkToFit="false"/>
      <protection locked="true" hidden="false"/>
    </xf>
    <xf numFmtId="164" fontId="0" fillId="0" borderId="33" xfId="0" applyFont="true" applyBorder="true" applyAlignment="false" applyProtection="false">
      <alignment horizontal="general" vertical="bottom" textRotation="0" wrapText="false" indent="0" shrinkToFit="false"/>
      <protection locked="true" hidden="false"/>
    </xf>
    <xf numFmtId="164" fontId="0" fillId="19" borderId="40" xfId="0" applyFont="true" applyBorder="true" applyAlignment="false" applyProtection="false">
      <alignment horizontal="general" vertical="bottom" textRotation="0" wrapText="false" indent="0" shrinkToFit="false"/>
      <protection locked="true" hidden="false"/>
    </xf>
    <xf numFmtId="165" fontId="0" fillId="0" borderId="35" xfId="0" applyFont="false" applyBorder="true" applyAlignment="fals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0" fillId="19" borderId="43" xfId="0" applyFont="true" applyBorder="true" applyAlignment="false" applyProtection="false">
      <alignment horizontal="general" vertical="bottom" textRotation="0" wrapText="false" indent="0" shrinkToFit="false"/>
      <protection locked="true" hidden="false"/>
    </xf>
    <xf numFmtId="164" fontId="24" fillId="0" borderId="18" xfId="0" applyFont="true" applyBorder="true" applyAlignment="false" applyProtection="false">
      <alignment horizontal="general" vertical="bottom" textRotation="0" wrapText="false" indent="0" shrinkToFit="false"/>
      <protection locked="true" hidden="false"/>
    </xf>
    <xf numFmtId="164" fontId="0" fillId="19" borderId="45" xfId="0" applyFont="true" applyBorder="true" applyAlignment="false" applyProtection="false">
      <alignment horizontal="general" vertical="bottom" textRotation="0" wrapText="false" indent="0" shrinkToFit="false"/>
      <protection locked="true" hidden="false"/>
    </xf>
    <xf numFmtId="165" fontId="0" fillId="0" borderId="37" xfId="0" applyFont="false" applyBorder="true" applyAlignment="false" applyProtection="false">
      <alignment horizontal="general" vertical="bottom" textRotation="0" wrapText="false" indent="0" shrinkToFit="false"/>
      <protection locked="true" hidden="false"/>
    </xf>
    <xf numFmtId="164" fontId="0" fillId="15" borderId="40" xfId="0" applyFont="true" applyBorder="true" applyAlignment="false" applyProtection="false">
      <alignment horizontal="general" vertical="bottom" textRotation="0" wrapText="false" indent="0" shrinkToFit="false"/>
      <protection locked="true" hidden="false"/>
    </xf>
    <xf numFmtId="164" fontId="0" fillId="15" borderId="43" xfId="0" applyFont="true" applyBorder="true" applyAlignment="false" applyProtection="false">
      <alignment horizontal="general" vertical="bottom" textRotation="0" wrapText="false" indent="0" shrinkToFit="false"/>
      <protection locked="true" hidden="false"/>
    </xf>
    <xf numFmtId="164" fontId="0" fillId="15" borderId="45" xfId="0" applyFont="true" applyBorder="true" applyAlignment="false" applyProtection="false">
      <alignment horizontal="general" vertical="bottom" textRotation="0" wrapText="false" indent="0" shrinkToFit="false"/>
      <protection locked="true" hidden="false"/>
    </xf>
    <xf numFmtId="164" fontId="0" fillId="20" borderId="40" xfId="0" applyFont="true" applyBorder="true" applyAlignment="false" applyProtection="false">
      <alignment horizontal="general" vertical="bottom" textRotation="0" wrapText="false" indent="0" shrinkToFit="false"/>
      <protection locked="true" hidden="false"/>
    </xf>
    <xf numFmtId="164" fontId="0" fillId="0" borderId="35" xfId="0" applyFont="false" applyBorder="true" applyAlignment="false" applyProtection="false">
      <alignment horizontal="general" vertical="bottom" textRotation="0" wrapText="false" indent="0" shrinkToFit="false"/>
      <protection locked="true" hidden="false"/>
    </xf>
    <xf numFmtId="164" fontId="0" fillId="20" borderId="43" xfId="0" applyFont="true" applyBorder="true" applyAlignment="false" applyProtection="false">
      <alignment horizontal="general" vertical="bottom" textRotation="0" wrapText="false" indent="0" shrinkToFit="false"/>
      <protection locked="true" hidden="false"/>
    </xf>
    <xf numFmtId="164" fontId="0" fillId="0" borderId="44" xfId="0" applyFont="false" applyBorder="true" applyAlignment="false" applyProtection="false">
      <alignment horizontal="general" vertical="bottom" textRotation="0" wrapText="false" indent="0" shrinkToFit="false"/>
      <protection locked="true" hidden="false"/>
    </xf>
    <xf numFmtId="165" fontId="0" fillId="0" borderId="44" xfId="0" applyFont="false" applyBorder="true" applyAlignment="false" applyProtection="false">
      <alignment horizontal="general" vertical="bottom" textRotation="0" wrapText="false" indent="0" shrinkToFit="false"/>
      <protection locked="true" hidden="false"/>
    </xf>
    <xf numFmtId="164" fontId="0" fillId="20" borderId="45" xfId="0" applyFont="true" applyBorder="true" applyAlignment="false" applyProtection="false">
      <alignment horizontal="general"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73" fontId="0" fillId="0" borderId="44" xfId="0" applyFont="false" applyBorder="true" applyAlignment="false" applyProtection="false">
      <alignment horizontal="general" vertical="bottom" textRotation="0" wrapText="false" indent="0" shrinkToFit="false"/>
      <protection locked="true" hidden="false"/>
    </xf>
    <xf numFmtId="164" fontId="0" fillId="0" borderId="36" xfId="0" applyFont="true" applyBorder="true" applyAlignment="false" applyProtection="false">
      <alignment horizontal="general" vertical="bottom" textRotation="0" wrapText="false" indent="0" shrinkToFit="false"/>
      <protection locked="true" hidden="false"/>
    </xf>
    <xf numFmtId="173" fontId="0" fillId="0" borderId="37" xfId="0" applyFont="false" applyBorder="true" applyAlignment="false" applyProtection="false">
      <alignment horizontal="general" vertical="bottom" textRotation="0" wrapText="false" indent="0" shrinkToFit="false"/>
      <protection locked="true" hidden="false"/>
    </xf>
    <xf numFmtId="164" fontId="0" fillId="0" borderId="42" xfId="0" applyFont="false" applyBorder="true" applyAlignment="false" applyProtection="false">
      <alignment horizontal="general" vertical="bottom" textRotation="0" wrapText="false" indent="0" shrinkToFit="false"/>
      <protection locked="true" hidden="false"/>
    </xf>
    <xf numFmtId="164" fontId="0" fillId="0" borderId="38" xfId="0" applyFont="false" applyBorder="true" applyAlignment="false" applyProtection="false">
      <alignment horizontal="general" vertical="bottom" textRotation="0" wrapText="false" indent="0" shrinkToFit="false"/>
      <protection locked="true" hidden="false"/>
    </xf>
    <xf numFmtId="164" fontId="37" fillId="5" borderId="0" xfId="0" applyFont="true" applyBorder="false" applyAlignment="false" applyProtection="false">
      <alignment horizontal="general" vertical="bottom" textRotation="0" wrapText="false" indent="0" shrinkToFit="false"/>
      <protection locked="true" hidden="false"/>
    </xf>
    <xf numFmtId="164" fontId="38" fillId="21" borderId="0" xfId="0" applyFont="true" applyBorder="true" applyAlignment="true" applyProtection="false">
      <alignment horizontal="center" vertical="center" textRotation="0" wrapText="false" indent="0" shrinkToFit="false"/>
      <protection locked="true" hidden="false"/>
    </xf>
    <xf numFmtId="164" fontId="39" fillId="22" borderId="0" xfId="0" applyFont="true" applyBorder="true" applyAlignment="true" applyProtection="false">
      <alignment horizontal="center" vertical="center" textRotation="0" wrapText="false" indent="0" shrinkToFit="false"/>
      <protection locked="true" hidden="false"/>
    </xf>
    <xf numFmtId="164" fontId="39" fillId="5" borderId="0" xfId="0" applyFont="true" applyBorder="true" applyAlignment="true" applyProtection="false">
      <alignment horizontal="center" vertical="center" textRotation="0" wrapText="false" indent="0" shrinkToFit="false"/>
      <protection locked="true" hidden="false"/>
    </xf>
    <xf numFmtId="164" fontId="39" fillId="23" borderId="0" xfId="0" applyFont="true" applyBorder="true" applyAlignment="true" applyProtection="false">
      <alignment horizontal="center" vertical="center" textRotation="0" wrapText="false" indent="0" shrinkToFit="false"/>
      <protection locked="true" hidden="false"/>
    </xf>
    <xf numFmtId="164" fontId="40" fillId="0" borderId="0" xfId="0" applyFont="true" applyBorder="false" applyAlignment="true" applyProtection="false">
      <alignment horizontal="left" vertical="center"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0" fillId="0" borderId="41" xfId="0" applyFont="true" applyBorder="true" applyAlignment="false" applyProtection="false">
      <alignment horizontal="general" vertical="bottom" textRotation="0" wrapText="false" indent="0" shrinkToFit="false"/>
      <protection locked="true" hidden="false"/>
    </xf>
    <xf numFmtId="164" fontId="5" fillId="18" borderId="21" xfId="0" applyFont="true" applyBorder="true" applyAlignment="true" applyProtection="false">
      <alignment horizontal="center" vertical="bottom" textRotation="0" wrapText="false" indent="0" shrinkToFit="false"/>
      <protection locked="true" hidden="false"/>
    </xf>
    <xf numFmtId="164" fontId="29" fillId="0" borderId="34" xfId="0" applyFont="true" applyBorder="true" applyAlignment="true" applyProtection="false">
      <alignment horizontal="center" vertical="bottom" textRotation="0" wrapText="false" indent="0" shrinkToFit="false"/>
      <protection locked="true" hidden="false"/>
    </xf>
    <xf numFmtId="164" fontId="41" fillId="0" borderId="46" xfId="0" applyFont="true" applyBorder="true" applyAlignment="true" applyProtection="false">
      <alignment horizontal="left" vertical="center" textRotation="0" wrapText="false" indent="0" shrinkToFit="false"/>
      <protection locked="true" hidden="false"/>
    </xf>
    <xf numFmtId="164" fontId="0" fillId="24" borderId="47" xfId="0" applyFont="true" applyBorder="true" applyAlignment="false" applyProtection="false">
      <alignment horizontal="general" vertical="bottom" textRotation="0" wrapText="false" indent="0" shrinkToFit="false"/>
      <protection locked="true" hidden="false"/>
    </xf>
    <xf numFmtId="165" fontId="0" fillId="24" borderId="47" xfId="0" applyFont="true" applyBorder="true" applyAlignment="false" applyProtection="false">
      <alignment horizontal="general" vertical="bottom" textRotation="0" wrapText="false" indent="0" shrinkToFit="false"/>
      <protection locked="true" hidden="false"/>
    </xf>
    <xf numFmtId="164" fontId="0" fillId="0" borderId="47" xfId="0" applyFont="true" applyBorder="true" applyAlignment="false" applyProtection="false">
      <alignment horizontal="general" vertical="bottom" textRotation="0" wrapText="false" indent="0" shrinkToFit="false"/>
      <protection locked="true" hidden="false"/>
    </xf>
    <xf numFmtId="165" fontId="0" fillId="3" borderId="47" xfId="0" applyFont="true" applyBorder="true" applyAlignment="false" applyProtection="false">
      <alignment horizontal="general" vertical="bottom" textRotation="0" wrapText="false" indent="0" shrinkToFit="false"/>
      <protection locked="true" hidden="false"/>
    </xf>
    <xf numFmtId="164" fontId="13" fillId="0" borderId="48"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5" fontId="0" fillId="0" borderId="47" xfId="0" applyFont="true" applyBorder="true" applyAlignment="false" applyProtection="false">
      <alignment horizontal="general" vertical="bottom" textRotation="0" wrapText="false" indent="0" shrinkToFit="false"/>
      <protection locked="true" hidden="false"/>
    </xf>
    <xf numFmtId="164" fontId="42" fillId="12" borderId="2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49"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center" vertical="bottom" textRotation="0" wrapText="fals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center" vertical="bottom" textRotation="0" wrapText="true" indent="0" shrinkToFit="false"/>
      <protection locked="true" hidden="false"/>
    </xf>
    <xf numFmtId="164" fontId="34" fillId="0" borderId="39" xfId="0" applyFont="true" applyBorder="true" applyAlignment="false" applyProtection="false">
      <alignment horizontal="general" vertical="bottom" textRotation="0" wrapText="false" indent="0" shrinkToFit="false"/>
      <protection locked="true" hidden="false"/>
    </xf>
    <xf numFmtId="164" fontId="34" fillId="25" borderId="39" xfId="0" applyFont="true" applyBorder="true" applyAlignment="false" applyProtection="false">
      <alignment horizontal="general" vertical="bottom" textRotation="0" wrapText="false" indent="0" shrinkToFit="false"/>
      <protection locked="true" hidden="false"/>
    </xf>
    <xf numFmtId="164" fontId="50" fillId="2" borderId="39" xfId="21" applyFont="true" applyBorder="true" applyAlignment="true" applyProtection="true">
      <alignment horizontal="general" vertical="bottom" textRotation="0" wrapText="false" indent="0" shrinkToFit="false"/>
      <protection locked="true" hidden="false"/>
    </xf>
    <xf numFmtId="174" fontId="34" fillId="0" borderId="39" xfId="0" applyFont="true" applyBorder="true" applyAlignment="false" applyProtection="false">
      <alignment horizontal="general" vertical="bottom" textRotation="0" wrapText="false" indent="0" shrinkToFit="false"/>
      <protection locked="true" hidden="false"/>
    </xf>
    <xf numFmtId="164" fontId="26" fillId="18" borderId="0" xfId="0" applyFont="tru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25" borderId="0" xfId="0" applyFont="true" applyBorder="false" applyAlignment="false" applyProtection="false">
      <alignment horizontal="general" vertical="bottom" textRotation="0" wrapText="false" indent="0" shrinkToFit="false"/>
      <protection locked="true" hidden="false"/>
    </xf>
    <xf numFmtId="164" fontId="24" fillId="16" borderId="0" xfId="0" applyFont="true" applyBorder="false" applyAlignment="false" applyProtection="false">
      <alignment horizontal="general" vertical="bottom" textRotation="0" wrapText="false" indent="0" shrinkToFit="false"/>
      <protection locked="true" hidden="false"/>
    </xf>
    <xf numFmtId="164" fontId="49" fillId="0" borderId="0" xfId="0" applyFont="true" applyBorder="false" applyAlignment="true" applyProtection="false">
      <alignment horizontal="general" vertical="center" textRotation="0" wrapText="false" indent="0" shrinkToFit="false"/>
      <protection locked="true" hidden="false"/>
    </xf>
    <xf numFmtId="164" fontId="52" fillId="0" borderId="0" xfId="0" applyFont="true" applyBorder="false" applyAlignment="true" applyProtection="false">
      <alignment horizontal="general" vertical="center" textRotation="0" wrapText="false" indent="0" shrinkToFit="false"/>
      <protection locked="true" hidden="false"/>
    </xf>
    <xf numFmtId="164" fontId="13" fillId="25" borderId="0" xfId="0" applyFont="true" applyBorder="false" applyAlignment="false" applyProtection="false">
      <alignment horizontal="general" vertical="bottom" textRotation="0" wrapText="false" indent="0" shrinkToFit="false"/>
      <protection locked="true" hidden="false"/>
    </xf>
    <xf numFmtId="167" fontId="0" fillId="16" borderId="0" xfId="0" applyFont="false" applyBorder="false" applyAlignment="false" applyProtection="false">
      <alignment horizontal="general" vertical="bottom" textRotation="0" wrapText="false" indent="0" shrinkToFit="false"/>
      <protection locked="true" hidden="false"/>
    </xf>
    <xf numFmtId="164" fontId="5" fillId="16" borderId="0" xfId="0" applyFont="true" applyBorder="false" applyAlignment="false" applyProtection="false">
      <alignment horizontal="general" vertical="bottom" textRotation="0" wrapText="false" indent="0" shrinkToFit="false"/>
      <protection locked="true" hidden="false"/>
    </xf>
    <xf numFmtId="167" fontId="0" fillId="16" borderId="0" xfId="0" applyFont="false" applyBorder="false" applyAlignment="true" applyProtection="false">
      <alignment horizontal="right" vertical="bottom" textRotation="0" wrapText="false" indent="0" shrinkToFit="false"/>
      <protection locked="true" hidden="false"/>
    </xf>
    <xf numFmtId="164" fontId="0" fillId="16" borderId="0" xfId="0" applyFont="true" applyBorder="false" applyAlignment="true" applyProtection="false">
      <alignment horizontal="left" vertical="bottom" textRotation="0" wrapText="fals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75" fontId="0" fillId="16" borderId="0" xfId="0" applyFont="false" applyBorder="false" applyAlignment="true" applyProtection="false">
      <alignment horizontal="right" vertical="bottom" textRotation="0" wrapText="false" indent="0" shrinkToFit="false"/>
      <protection locked="true" hidden="false"/>
    </xf>
    <xf numFmtId="164" fontId="13" fillId="18" borderId="0" xfId="0" applyFont="true" applyBorder="false" applyAlignment="false" applyProtection="false">
      <alignment horizontal="general" vertical="bottom" textRotation="0" wrapText="false" indent="0" shrinkToFit="false"/>
      <protection locked="true" hidden="false"/>
    </xf>
    <xf numFmtId="176" fontId="0" fillId="16"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Neutral" xfId="21" builtinId="53" customBuiltin="true"/>
  </cellStyles>
  <dxfs count="1">
    <dxf>
      <font>
        <color rgb="FF9C0006"/>
      </font>
      <fill>
        <patternFill>
          <bgColor rgb="FFFFC7CE"/>
        </patternFill>
      </fill>
    </dxf>
  </dxfs>
  <colors>
    <indexedColors>
      <rgbColor rgb="FF000000"/>
      <rgbColor rgb="FFFFFFFF"/>
      <rgbColor rgb="FFFF0000"/>
      <rgbColor rgb="FF9BBB59"/>
      <rgbColor rgb="FF0000FF"/>
      <rgbColor rgb="FFFFFF00"/>
      <rgbColor rgb="FFDDD9C3"/>
      <rgbColor rgb="FFB7DEE8"/>
      <rgbColor rgb="FF9C0006"/>
      <rgbColor rgb="FF636363"/>
      <rgbColor rgb="FF002060"/>
      <rgbColor rgb="FF70883D"/>
      <rgbColor rgb="FFAB4744"/>
      <rgbColor rgb="FF00B050"/>
      <rgbColor rgb="FFBFBFBF"/>
      <rgbColor rgb="FF878787"/>
      <rgbColor rgb="FF93A9CE"/>
      <rgbColor rgb="FF953735"/>
      <rgbColor rgb="FFEBF1DE"/>
      <rgbColor rgb="FFDBEEF4"/>
      <rgbColor rgb="FF8064A2"/>
      <rgbColor rgb="FFDC853E"/>
      <rgbColor rgb="FF365C89"/>
      <rgbColor rgb="FFB9CDE5"/>
      <rgbColor rgb="FF000080"/>
      <rgbColor rgb="FFFF00FF"/>
      <rgbColor rgb="FFC3D69B"/>
      <rgbColor rgb="FFD9D9D9"/>
      <rgbColor rgb="FFC0504D"/>
      <rgbColor rgb="FF800000"/>
      <rgbColor rgb="FF4299B0"/>
      <rgbColor rgb="FF0000FF"/>
      <rgbColor rgb="FF4F81BD"/>
      <rgbColor rgb="FFF2F2F2"/>
      <rgbColor rgb="FFE7E7E7"/>
      <rgbColor rgb="FFFFEB9C"/>
      <rgbColor rgb="FF93CDDD"/>
      <rgbColor rgb="FFFFC7CE"/>
      <rgbColor rgb="FFC4BD97"/>
      <rgbColor rgb="FFFAC090"/>
      <rgbColor rgb="FF4672A8"/>
      <rgbColor rgb="FF4BACC6"/>
      <rgbColor rgb="FF92D050"/>
      <rgbColor rgb="FFFCD5B5"/>
      <rgbColor rgb="FFF79646"/>
      <rgbColor rgb="FFE46C0A"/>
      <rgbColor rgb="FF725990"/>
      <rgbColor rgb="FF8AA64F"/>
      <rgbColor rgb="FF053D5F"/>
      <rgbColor rgb="FF31859C"/>
      <rgbColor rgb="FF0D0D0D"/>
      <rgbColor rgb="FF595959"/>
      <rgbColor rgb="FF9C5700"/>
      <rgbColor rgb="FF8C3734"/>
      <rgbColor rgb="FF1F497D"/>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Veg</a:t>
            </a:r>
          </a:p>
        </c:rich>
      </c:tx>
      <c:layout>
        <c:manualLayout>
          <c:xMode val="edge"/>
          <c:yMode val="edge"/>
          <c:x val="0.0419847328244275"/>
          <c:y val="0.0417602748777587"/>
        </c:manualLayout>
      </c:layout>
      <c:overlay val="0"/>
    </c:title>
    <c:autoTitleDeleted val="0"/>
    <c:plotArea>
      <c:layout>
        <c:manualLayout>
          <c:layoutTarget val="inner"/>
          <c:xMode val="edge"/>
          <c:yMode val="edge"/>
          <c:x val="0.251983236042509"/>
          <c:y val="0.249107968811947"/>
          <c:w val="0.440502918724742"/>
          <c:h val="0.739262587551209"/>
        </c:manualLayout>
      </c:layout>
      <c:pieChart>
        <c:varyColors val="1"/>
        <c:ser>
          <c:idx val="0"/>
          <c:order val="0"/>
          <c:spPr>
            <a:solidFill>
              <a:srgbClr val="4f81bd"/>
            </a:solidFill>
            <a:ln>
              <a:noFill/>
            </a:ln>
          </c:spPr>
          <c:explosion val="0"/>
          <c:dPt>
            <c:idx val="0"/>
            <c:spPr>
              <a:solidFill>
                <a:srgbClr val="4672a8"/>
              </a:solidFill>
              <a:ln>
                <a:noFill/>
              </a:ln>
            </c:spPr>
          </c:dPt>
          <c:dPt>
            <c:idx val="1"/>
            <c:spPr>
              <a:solidFill>
                <a:srgbClr val="ab4744"/>
              </a:solidFill>
              <a:ln>
                <a:noFill/>
              </a:ln>
            </c:spPr>
          </c:dPt>
          <c:dPt>
            <c:idx val="2"/>
            <c:spPr>
              <a:solidFill>
                <a:srgbClr val="8aa64f"/>
              </a:solidFill>
              <a:ln>
                <a:noFill/>
              </a:ln>
            </c:spPr>
          </c:dPt>
          <c:dPt>
            <c:idx val="3"/>
            <c:spPr>
              <a:solidFill>
                <a:srgbClr val="725990"/>
              </a:solidFill>
              <a:ln>
                <a:noFill/>
              </a:ln>
            </c:spPr>
          </c:dPt>
          <c:dPt>
            <c:idx val="4"/>
            <c:spPr>
              <a:solidFill>
                <a:srgbClr val="4299b0"/>
              </a:solidFill>
              <a:ln>
                <a:noFill/>
              </a:ln>
            </c:spPr>
          </c:dPt>
          <c:dPt>
            <c:idx val="5"/>
            <c:spPr>
              <a:solidFill>
                <a:srgbClr val="dc853e"/>
              </a:solidFill>
              <a:ln>
                <a:noFill/>
              </a:ln>
            </c:spPr>
          </c:dPt>
          <c:dPt>
            <c:idx val="6"/>
            <c:spPr>
              <a:solidFill>
                <a:srgbClr val="93a9ce"/>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
              <c:idx val="2"/>
              <c:dLblPos val="bestFit"/>
              <c:showLegendKey val="0"/>
              <c:showVal val="0"/>
              <c:showCatName val="1"/>
              <c:showSerName val="0"/>
              <c:showPercent val="1"/>
            </c:dLbl>
            <c:dLbl>
              <c:idx val="3"/>
              <c:dLblPos val="bestFit"/>
              <c:showLegendKey val="0"/>
              <c:showVal val="0"/>
              <c:showCatName val="1"/>
              <c:showSerName val="0"/>
              <c:showPercent val="1"/>
            </c:dLbl>
            <c:dLbl>
              <c:idx val="4"/>
              <c:dLblPos val="bestFit"/>
              <c:showLegendKey val="0"/>
              <c:showVal val="0"/>
              <c:showCatName val="1"/>
              <c:showSerName val="0"/>
              <c:showPercent val="1"/>
            </c:dLbl>
            <c:dLbl>
              <c:idx val="5"/>
              <c:dLblPos val="bestFit"/>
              <c:showLegendKey val="0"/>
              <c:showVal val="0"/>
              <c:showCatName val="1"/>
              <c:showSerName val="0"/>
              <c:showPercent val="1"/>
            </c:dLbl>
            <c:dLbl>
              <c:idx val="6"/>
              <c:dLblPos val="bestFit"/>
              <c:showLegendKey val="0"/>
              <c:showVal val="0"/>
              <c:showCatName val="1"/>
              <c:showSerName val="0"/>
              <c:showPercent val="1"/>
            </c:dLbl>
            <c:dLblPos val="bestFit"/>
            <c:showLegendKey val="0"/>
            <c:showVal val="0"/>
            <c:showCatName val="1"/>
            <c:showSerName val="0"/>
            <c:showPercent val="1"/>
            <c:showLeaderLines val="0"/>
          </c:dLbls>
          <c:cat>
            <c:strRef>
              <c:f>'explore alternative diets'!$A$19:$A$25</c:f>
              <c:strCache>
                <c:ptCount val="7"/>
                <c:pt idx="0">
                  <c:v>Pasta</c:v>
                </c:pt>
                <c:pt idx="1">
                  <c:v>Beef</c:v>
                </c:pt>
                <c:pt idx="2">
                  <c:v>Chicken</c:v>
                </c:pt>
                <c:pt idx="3">
                  <c:v>Tofu</c:v>
                </c:pt>
                <c:pt idx="4">
                  <c:v>Maize</c:v>
                </c:pt>
                <c:pt idx="5">
                  <c:v>Potato</c:v>
                </c:pt>
                <c:pt idx="6">
                  <c:v>Rice</c:v>
                </c:pt>
              </c:strCache>
            </c:strRef>
          </c:cat>
          <c:val>
            <c:numRef>
              <c:f>'explore alternative diets'!$B$19:$B$25</c:f>
              <c:numCache>
                <c:formatCode>General</c:formatCode>
                <c:ptCount val="7"/>
                <c:pt idx="0">
                  <c:v>16.416</c:v>
                </c:pt>
                <c:pt idx="1">
                  <c:v>0</c:v>
                </c:pt>
                <c:pt idx="2">
                  <c:v>0</c:v>
                </c:pt>
                <c:pt idx="3">
                  <c:v>0</c:v>
                </c:pt>
                <c:pt idx="4">
                  <c:v>39.27</c:v>
                </c:pt>
                <c:pt idx="5">
                  <c:v>24.492</c:v>
                </c:pt>
                <c:pt idx="6">
                  <c:v>343.425</c:v>
                </c:pt>
              </c:numCache>
            </c:numRef>
          </c:val>
        </c:ser>
        <c:firstSliceAng val="0"/>
      </c:pieChart>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Non Veg</a:t>
            </a:r>
          </a:p>
        </c:rich>
      </c:tx>
      <c:layout>
        <c:manualLayout>
          <c:xMode val="edge"/>
          <c:yMode val="edge"/>
          <c:x val="0.083609022556391"/>
          <c:y val="0.0372029871011541"/>
        </c:manualLayout>
      </c:layout>
      <c:overlay val="0"/>
    </c:title>
    <c:autoTitleDeleted val="0"/>
    <c:plotArea>
      <c:pieChart>
        <c:varyColors val="1"/>
        <c:ser>
          <c:idx val="0"/>
          <c:order val="0"/>
          <c:spPr>
            <a:solidFill>
              <a:srgbClr val="4f81bd"/>
            </a:solidFill>
            <a:ln>
              <a:noFill/>
            </a:ln>
          </c:spPr>
          <c:explosion val="0"/>
          <c:dPt>
            <c:idx val="0"/>
            <c:spPr>
              <a:solidFill>
                <a:srgbClr val="4672a8"/>
              </a:solidFill>
              <a:ln>
                <a:noFill/>
              </a:ln>
            </c:spPr>
          </c:dPt>
          <c:dPt>
            <c:idx val="1"/>
            <c:spPr>
              <a:solidFill>
                <a:srgbClr val="ab4744"/>
              </a:solidFill>
              <a:ln>
                <a:noFill/>
              </a:ln>
            </c:spPr>
          </c:dPt>
          <c:dPt>
            <c:idx val="2"/>
            <c:spPr>
              <a:solidFill>
                <a:srgbClr val="8aa64f"/>
              </a:solidFill>
              <a:ln>
                <a:noFill/>
              </a:ln>
            </c:spPr>
          </c:dPt>
          <c:dPt>
            <c:idx val="3"/>
            <c:spPr>
              <a:solidFill>
                <a:srgbClr val="725990"/>
              </a:solidFill>
              <a:ln>
                <a:noFill/>
              </a:ln>
            </c:spPr>
          </c:dPt>
          <c:dPt>
            <c:idx val="4"/>
            <c:spPr>
              <a:solidFill>
                <a:srgbClr val="4299b0"/>
              </a:solidFill>
              <a:ln>
                <a:noFill/>
              </a:ln>
            </c:spPr>
          </c:dPt>
          <c:dPt>
            <c:idx val="5"/>
            <c:spPr>
              <a:solidFill>
                <a:srgbClr val="dc853e"/>
              </a:solidFill>
              <a:ln>
                <a:noFill/>
              </a:ln>
            </c:spPr>
          </c:dPt>
          <c:dPt>
            <c:idx val="6"/>
            <c:spPr>
              <a:solidFill>
                <a:srgbClr val="93a9ce"/>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
              <c:idx val="2"/>
              <c:dLblPos val="bestFit"/>
              <c:showLegendKey val="0"/>
              <c:showVal val="0"/>
              <c:showCatName val="1"/>
              <c:showSerName val="0"/>
              <c:showPercent val="1"/>
            </c:dLbl>
            <c:dLbl>
              <c:idx val="3"/>
              <c:dLblPos val="bestFit"/>
              <c:showLegendKey val="0"/>
              <c:showVal val="0"/>
              <c:showCatName val="1"/>
              <c:showSerName val="0"/>
              <c:showPercent val="1"/>
            </c:dLbl>
            <c:dLbl>
              <c:idx val="4"/>
              <c:dLblPos val="bestFit"/>
              <c:showLegendKey val="0"/>
              <c:showVal val="0"/>
              <c:showCatName val="1"/>
              <c:showSerName val="0"/>
              <c:showPercent val="1"/>
            </c:dLbl>
            <c:dLbl>
              <c:idx val="5"/>
              <c:dLblPos val="bestFit"/>
              <c:showLegendKey val="0"/>
              <c:showVal val="0"/>
              <c:showCatName val="1"/>
              <c:showSerName val="0"/>
              <c:showPercent val="1"/>
            </c:dLbl>
            <c:dLbl>
              <c:idx val="6"/>
              <c:dLblPos val="bestFit"/>
              <c:showLegendKey val="0"/>
              <c:showVal val="0"/>
              <c:showCatName val="1"/>
              <c:showSerName val="0"/>
              <c:showPercent val="1"/>
            </c:dLbl>
            <c:dLblPos val="bestFit"/>
            <c:showLegendKey val="0"/>
            <c:showVal val="0"/>
            <c:showCatName val="1"/>
            <c:showSerName val="0"/>
            <c:showPercent val="1"/>
            <c:showLeaderLines val="0"/>
          </c:dLbls>
          <c:cat>
            <c:strRef>
              <c:f>'explore alternative diets'!$A$34:$A$40</c:f>
              <c:strCache>
                <c:ptCount val="7"/>
                <c:pt idx="0">
                  <c:v>Pasta</c:v>
                </c:pt>
                <c:pt idx="1">
                  <c:v>Beef</c:v>
                </c:pt>
                <c:pt idx="2">
                  <c:v>Chicken</c:v>
                </c:pt>
                <c:pt idx="3">
                  <c:v>Tofu</c:v>
                </c:pt>
                <c:pt idx="4">
                  <c:v>Maize</c:v>
                </c:pt>
                <c:pt idx="5">
                  <c:v>Potato</c:v>
                </c:pt>
                <c:pt idx="6">
                  <c:v>Rice</c:v>
                </c:pt>
              </c:strCache>
            </c:strRef>
          </c:cat>
          <c:val>
            <c:numRef>
              <c:f>'explore alternative diets'!$B$34:$B$40</c:f>
              <c:numCache>
                <c:formatCode>General</c:formatCode>
                <c:ptCount val="7"/>
                <c:pt idx="0">
                  <c:v>16.416</c:v>
                </c:pt>
                <c:pt idx="1">
                  <c:v>596.57</c:v>
                </c:pt>
                <c:pt idx="2">
                  <c:v>691.8645</c:v>
                </c:pt>
                <c:pt idx="3">
                  <c:v>0</c:v>
                </c:pt>
                <c:pt idx="4">
                  <c:v>39.27</c:v>
                </c:pt>
                <c:pt idx="5">
                  <c:v>24.492</c:v>
                </c:pt>
                <c:pt idx="6">
                  <c:v>0</c:v>
                </c:pt>
              </c:numCache>
            </c:numRef>
          </c:val>
        </c:ser>
        <c:firstSliceAng val="0"/>
      </c:pieChart>
      <c:spPr>
        <a:solidFill>
          <a:srgbClr val="ffffff"/>
        </a:solidFill>
        <a:ln>
          <a:noFill/>
        </a:ln>
      </c:spPr>
    </c:plotArea>
    <c:plotVisOnly val="1"/>
    <c:dispBlanksAs val="gap"/>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My Case</a:t>
            </a:r>
          </a:p>
        </c:rich>
      </c:tx>
      <c:layout>
        <c:manualLayout>
          <c:xMode val="edge"/>
          <c:yMode val="edge"/>
          <c:x val="0.062490645113007"/>
          <c:y val="0.0556430446194226"/>
        </c:manualLayout>
      </c:layout>
      <c:overlay val="0"/>
    </c:title>
    <c:autoTitleDeleted val="0"/>
    <c:plotArea>
      <c:pieChart>
        <c:varyColors val="1"/>
        <c:ser>
          <c:idx val="0"/>
          <c:order val="0"/>
          <c:spPr>
            <a:solidFill>
              <a:srgbClr val="4f81bd"/>
            </a:solidFill>
            <a:ln>
              <a:noFill/>
            </a:ln>
          </c:spPr>
          <c:explosion val="0"/>
          <c:dPt>
            <c:idx val="0"/>
            <c:spPr>
              <a:solidFill>
                <a:srgbClr val="4672a8"/>
              </a:solidFill>
              <a:ln>
                <a:noFill/>
              </a:ln>
            </c:spPr>
          </c:dPt>
          <c:dPt>
            <c:idx val="1"/>
            <c:spPr>
              <a:solidFill>
                <a:srgbClr val="ab4744"/>
              </a:solidFill>
              <a:ln>
                <a:noFill/>
              </a:ln>
            </c:spPr>
          </c:dPt>
          <c:dPt>
            <c:idx val="2"/>
            <c:spPr>
              <a:solidFill>
                <a:srgbClr val="8aa64f"/>
              </a:solidFill>
              <a:ln>
                <a:noFill/>
              </a:ln>
            </c:spPr>
          </c:dPt>
          <c:dPt>
            <c:idx val="3"/>
            <c:spPr>
              <a:solidFill>
                <a:srgbClr val="725990"/>
              </a:solidFill>
              <a:ln>
                <a:noFill/>
              </a:ln>
            </c:spPr>
          </c:dPt>
          <c:dPt>
            <c:idx val="4"/>
            <c:spPr>
              <a:solidFill>
                <a:srgbClr val="4299b0"/>
              </a:solidFill>
              <a:ln>
                <a:noFill/>
              </a:ln>
            </c:spPr>
          </c:dPt>
          <c:dPt>
            <c:idx val="5"/>
            <c:spPr>
              <a:solidFill>
                <a:srgbClr val="dc853e"/>
              </a:solidFill>
              <a:ln>
                <a:noFill/>
              </a:ln>
            </c:spPr>
          </c:dPt>
          <c:dPt>
            <c:idx val="6"/>
            <c:spPr>
              <a:solidFill>
                <a:srgbClr val="93a9ce"/>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
              <c:idx val="2"/>
              <c:dLblPos val="bestFit"/>
              <c:showLegendKey val="0"/>
              <c:showVal val="0"/>
              <c:showCatName val="1"/>
              <c:showSerName val="0"/>
              <c:showPercent val="1"/>
            </c:dLbl>
            <c:dLbl>
              <c:idx val="3"/>
              <c:dLblPos val="bestFit"/>
              <c:showLegendKey val="0"/>
              <c:showVal val="0"/>
              <c:showCatName val="1"/>
              <c:showSerName val="0"/>
              <c:showPercent val="1"/>
            </c:dLbl>
            <c:dLbl>
              <c:idx val="4"/>
              <c:dLblPos val="bestFit"/>
              <c:showLegendKey val="0"/>
              <c:showVal val="0"/>
              <c:showCatName val="1"/>
              <c:showSerName val="0"/>
              <c:showPercent val="1"/>
            </c:dLbl>
            <c:dLbl>
              <c:idx val="5"/>
              <c:dLblPos val="bestFit"/>
              <c:showLegendKey val="0"/>
              <c:showVal val="0"/>
              <c:showCatName val="1"/>
              <c:showSerName val="0"/>
              <c:showPercent val="1"/>
            </c:dLbl>
            <c:dLbl>
              <c:idx val="6"/>
              <c:dLblPos val="bestFit"/>
              <c:showLegendKey val="0"/>
              <c:showVal val="0"/>
              <c:showCatName val="1"/>
              <c:showSerName val="0"/>
              <c:showPercent val="1"/>
            </c:dLbl>
            <c:dLblPos val="bestFit"/>
            <c:showLegendKey val="0"/>
            <c:showVal val="0"/>
            <c:showCatName val="1"/>
            <c:showSerName val="0"/>
            <c:showPercent val="1"/>
            <c:showLeaderLines val="0"/>
          </c:dLbls>
          <c:cat>
            <c:strRef>
              <c:f>'explore alternative diets'!$A$50:$A$56</c:f>
              <c:strCache>
                <c:ptCount val="7"/>
                <c:pt idx="0">
                  <c:v>Pasta</c:v>
                </c:pt>
                <c:pt idx="1">
                  <c:v>Beef</c:v>
                </c:pt>
                <c:pt idx="2">
                  <c:v>Chicken</c:v>
                </c:pt>
                <c:pt idx="3">
                  <c:v>Tofu</c:v>
                </c:pt>
                <c:pt idx="4">
                  <c:v>Maize</c:v>
                </c:pt>
                <c:pt idx="5">
                  <c:v>Potato</c:v>
                </c:pt>
                <c:pt idx="6">
                  <c:v>Rice</c:v>
                </c:pt>
              </c:strCache>
            </c:strRef>
          </c:cat>
          <c:val>
            <c:numRef>
              <c:f>'explore alternative diets'!$B$50:$B$56</c:f>
              <c:numCache>
                <c:formatCode>General</c:formatCode>
                <c:ptCount val="7"/>
                <c:pt idx="0">
                  <c:v>16.416</c:v>
                </c:pt>
                <c:pt idx="1">
                  <c:v>0</c:v>
                </c:pt>
                <c:pt idx="2">
                  <c:v>0</c:v>
                </c:pt>
                <c:pt idx="3">
                  <c:v>0</c:v>
                </c:pt>
                <c:pt idx="4">
                  <c:v>39.27</c:v>
                </c:pt>
                <c:pt idx="5">
                  <c:v>61.23</c:v>
                </c:pt>
                <c:pt idx="6">
                  <c:v>137.37</c:v>
                </c:pt>
              </c:numCache>
            </c:numRef>
          </c:val>
        </c:ser>
        <c:firstSliceAng val="0"/>
      </c:pieChart>
      <c:spPr>
        <a:solidFill>
          <a:srgbClr val="ffffff"/>
        </a:solidFill>
        <a:ln>
          <a:noFill/>
        </a:ln>
      </c:spPr>
    </c:plotArea>
    <c:plotVisOnly val="1"/>
    <c:dispBlanksAs val="gap"/>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Emission Comparison</a:t>
            </a:r>
          </a:p>
        </c:rich>
      </c:tx>
      <c:overlay val="0"/>
    </c:title>
    <c:autoTitleDeleted val="0"/>
    <c:plotArea>
      <c:barChart>
        <c:barDir val="col"/>
        <c:grouping val="clustered"/>
        <c:varyColors val="0"/>
        <c:ser>
          <c:idx val="0"/>
          <c:order val="0"/>
          <c:tx>
            <c:strRef>
              <c:f>"Case 1"</c:f>
              <c:strCache>
                <c:ptCount val="1"/>
                <c:pt idx="0">
                  <c:v>Case 1</c:v>
                </c:pt>
              </c:strCache>
            </c:strRef>
          </c:tx>
          <c:spPr>
            <a:solidFill>
              <a:srgbClr val="4f81bd"/>
            </a:solidFill>
            <a:ln w="9360">
              <a:solidFill>
                <a:srgbClr val="365c89"/>
              </a:solidFill>
              <a:round/>
            </a:ln>
          </c:spPr>
          <c:invertIfNegative val="0"/>
          <c:dLbls>
            <c:dLblPos val="outEnd"/>
            <c:showLegendKey val="0"/>
            <c:showVal val="0"/>
            <c:showCatName val="0"/>
            <c:showSerName val="0"/>
            <c:showPercent val="0"/>
            <c:showLeaderLines val="0"/>
          </c:dLbls>
          <c:cat>
            <c:strRef>
              <c:f>'explore alternative diets'!$A$19:$A$25</c:f>
              <c:strCache>
                <c:ptCount val="7"/>
                <c:pt idx="0">
                  <c:v>Pasta</c:v>
                </c:pt>
                <c:pt idx="1">
                  <c:v>Beef</c:v>
                </c:pt>
                <c:pt idx="2">
                  <c:v>Chicken</c:v>
                </c:pt>
                <c:pt idx="3">
                  <c:v>Tofu</c:v>
                </c:pt>
                <c:pt idx="4">
                  <c:v>Maize</c:v>
                </c:pt>
                <c:pt idx="5">
                  <c:v>Potato</c:v>
                </c:pt>
                <c:pt idx="6">
                  <c:v>Rice</c:v>
                </c:pt>
              </c:strCache>
            </c:strRef>
          </c:cat>
          <c:val>
            <c:numRef>
              <c:f>'explore alternative diets'!$B$19:$B$25</c:f>
              <c:numCache>
                <c:formatCode>General</c:formatCode>
                <c:ptCount val="7"/>
                <c:pt idx="0">
                  <c:v>16.416</c:v>
                </c:pt>
                <c:pt idx="1">
                  <c:v>0</c:v>
                </c:pt>
                <c:pt idx="2">
                  <c:v>0</c:v>
                </c:pt>
                <c:pt idx="3">
                  <c:v>0</c:v>
                </c:pt>
                <c:pt idx="4">
                  <c:v>39.27</c:v>
                </c:pt>
                <c:pt idx="5">
                  <c:v>24.492</c:v>
                </c:pt>
                <c:pt idx="6">
                  <c:v>343.425</c:v>
                </c:pt>
              </c:numCache>
            </c:numRef>
          </c:val>
        </c:ser>
        <c:ser>
          <c:idx val="1"/>
          <c:order val="1"/>
          <c:tx>
            <c:strRef>
              <c:f>"Case 2"</c:f>
              <c:strCache>
                <c:ptCount val="1"/>
                <c:pt idx="0">
                  <c:v>Case 2</c:v>
                </c:pt>
              </c:strCache>
            </c:strRef>
          </c:tx>
          <c:spPr>
            <a:solidFill>
              <a:srgbClr val="c0504d"/>
            </a:solidFill>
            <a:ln w="9360">
              <a:solidFill>
                <a:srgbClr val="8c3734"/>
              </a:solidFill>
              <a:round/>
            </a:ln>
          </c:spPr>
          <c:invertIfNegative val="0"/>
          <c:dLbls>
            <c:dLblPos val="outEnd"/>
            <c:showLegendKey val="0"/>
            <c:showVal val="0"/>
            <c:showCatName val="0"/>
            <c:showSerName val="0"/>
            <c:showPercent val="0"/>
            <c:showLeaderLines val="0"/>
          </c:dLbls>
          <c:cat>
            <c:strRef>
              <c:f>'explore alternative diets'!$A$19:$A$25</c:f>
              <c:strCache>
                <c:ptCount val="7"/>
                <c:pt idx="0">
                  <c:v>Pasta</c:v>
                </c:pt>
                <c:pt idx="1">
                  <c:v>Beef</c:v>
                </c:pt>
                <c:pt idx="2">
                  <c:v>Chicken</c:v>
                </c:pt>
                <c:pt idx="3">
                  <c:v>Tofu</c:v>
                </c:pt>
                <c:pt idx="4">
                  <c:v>Maize</c:v>
                </c:pt>
                <c:pt idx="5">
                  <c:v>Potato</c:v>
                </c:pt>
                <c:pt idx="6">
                  <c:v>Rice</c:v>
                </c:pt>
              </c:strCache>
            </c:strRef>
          </c:cat>
          <c:val>
            <c:numRef>
              <c:f>'explore alternative diets'!$B$34:$B$40</c:f>
              <c:numCache>
                <c:formatCode>General</c:formatCode>
                <c:ptCount val="7"/>
                <c:pt idx="0">
                  <c:v>16.416</c:v>
                </c:pt>
                <c:pt idx="1">
                  <c:v>596.57</c:v>
                </c:pt>
                <c:pt idx="2">
                  <c:v>691.8645</c:v>
                </c:pt>
                <c:pt idx="3">
                  <c:v>0</c:v>
                </c:pt>
                <c:pt idx="4">
                  <c:v>39.27</c:v>
                </c:pt>
                <c:pt idx="5">
                  <c:v>24.492</c:v>
                </c:pt>
                <c:pt idx="6">
                  <c:v>0</c:v>
                </c:pt>
              </c:numCache>
            </c:numRef>
          </c:val>
        </c:ser>
        <c:ser>
          <c:idx val="2"/>
          <c:order val="2"/>
          <c:tx>
            <c:strRef>
              <c:f>"Case 3"</c:f>
              <c:strCache>
                <c:ptCount val="1"/>
                <c:pt idx="0">
                  <c:v>Case 3</c:v>
                </c:pt>
              </c:strCache>
            </c:strRef>
          </c:tx>
          <c:spPr>
            <a:solidFill>
              <a:srgbClr val="9bbb59"/>
            </a:solidFill>
            <a:ln w="9360">
              <a:solidFill>
                <a:srgbClr val="70883d"/>
              </a:solidFill>
              <a:round/>
            </a:ln>
          </c:spPr>
          <c:invertIfNegative val="0"/>
          <c:dLbls>
            <c:dLblPos val="outEnd"/>
            <c:showLegendKey val="0"/>
            <c:showVal val="0"/>
            <c:showCatName val="0"/>
            <c:showSerName val="0"/>
            <c:showPercent val="0"/>
            <c:showLeaderLines val="0"/>
          </c:dLbls>
          <c:cat>
            <c:strRef>
              <c:f>'explore alternative diets'!$A$19:$A$25</c:f>
              <c:strCache>
                <c:ptCount val="7"/>
                <c:pt idx="0">
                  <c:v>Pasta</c:v>
                </c:pt>
                <c:pt idx="1">
                  <c:v>Beef</c:v>
                </c:pt>
                <c:pt idx="2">
                  <c:v>Chicken</c:v>
                </c:pt>
                <c:pt idx="3">
                  <c:v>Tofu</c:v>
                </c:pt>
                <c:pt idx="4">
                  <c:v>Maize</c:v>
                </c:pt>
                <c:pt idx="5">
                  <c:v>Potato</c:v>
                </c:pt>
                <c:pt idx="6">
                  <c:v>Rice</c:v>
                </c:pt>
              </c:strCache>
            </c:strRef>
          </c:cat>
          <c:val>
            <c:numRef>
              <c:f>'explore alternative diets'!$B$50:$B$56</c:f>
              <c:numCache>
                <c:formatCode>General</c:formatCode>
                <c:ptCount val="7"/>
                <c:pt idx="0">
                  <c:v>16.416</c:v>
                </c:pt>
                <c:pt idx="1">
                  <c:v>0</c:v>
                </c:pt>
                <c:pt idx="2">
                  <c:v>0</c:v>
                </c:pt>
                <c:pt idx="3">
                  <c:v>0</c:v>
                </c:pt>
                <c:pt idx="4">
                  <c:v>39.27</c:v>
                </c:pt>
                <c:pt idx="5">
                  <c:v>61.23</c:v>
                </c:pt>
                <c:pt idx="6">
                  <c:v>137.37</c:v>
                </c:pt>
              </c:numCache>
            </c:numRef>
          </c:val>
        </c:ser>
        <c:gapWidth val="150"/>
        <c:overlap val="0"/>
        <c:axId val="28800280"/>
        <c:axId val="75100286"/>
      </c:barChart>
      <c:catAx>
        <c:axId val="28800280"/>
        <c:scaling>
          <c:orientation val="minMax"/>
        </c:scaling>
        <c:delete val="0"/>
        <c:axPos val="b"/>
        <c:title>
          <c:tx>
            <c:rich>
              <a:bodyPr rot="0"/>
              <a:lstStyle/>
              <a:p>
                <a:pPr>
                  <a:defRPr b="1" sz="1000" spc="-1" strike="noStrike">
                    <a:solidFill>
                      <a:srgbClr val="000000"/>
                    </a:solidFill>
                    <a:uFill>
                      <a:solidFill>
                        <a:srgbClr val="ffffff"/>
                      </a:solidFill>
                    </a:uFill>
                    <a:latin typeface="Calibri"/>
                  </a:defRPr>
                </a:pPr>
                <a:r>
                  <a:rPr b="1" sz="1000" spc="-1" strike="noStrike">
                    <a:solidFill>
                      <a:srgbClr val="000000"/>
                    </a:solidFill>
                    <a:uFill>
                      <a:solidFill>
                        <a:srgbClr val="ffffff"/>
                      </a:solidFill>
                    </a:uFill>
                    <a:latin typeface="Calibri"/>
                  </a:rPr>
                  <a:t>Food Options</a:t>
                </a:r>
              </a:p>
            </c:rich>
          </c:tx>
          <c:overlay val="0"/>
        </c:title>
        <c:numFmt formatCode="General"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5100286"/>
        <c:crosses val="autoZero"/>
        <c:auto val="1"/>
        <c:lblAlgn val="ctr"/>
        <c:lblOffset val="100"/>
      </c:catAx>
      <c:valAx>
        <c:axId val="75100286"/>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uFill>
                      <a:solidFill>
                        <a:srgbClr val="ffffff"/>
                      </a:solidFill>
                    </a:uFill>
                    <a:latin typeface="Calibri"/>
                  </a:defRPr>
                </a:pPr>
                <a:r>
                  <a:rPr b="1" sz="1000" spc="-1" strike="noStrike">
                    <a:solidFill>
                      <a:srgbClr val="000000"/>
                    </a:solidFill>
                    <a:uFill>
                      <a:solidFill>
                        <a:srgbClr val="ffffff"/>
                      </a:solidFill>
                    </a:uFill>
                    <a:latin typeface="Calibri"/>
                  </a:rPr>
                  <a:t>gCO2e/day</a:t>
                </a:r>
              </a:p>
            </c:rich>
          </c:tx>
          <c:overlay val="0"/>
        </c:title>
        <c:numFmt formatCode="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8800280"/>
        <c:crosses val="autoZero"/>
        <c:crossBetween val="midCat"/>
      </c:valAx>
      <c:spPr>
        <a:solidFill>
          <a:srgbClr val="e7e7e7"/>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spPr>
            <a:solidFill>
              <a:srgbClr val="636363"/>
            </a:solidFill>
            <a:ln>
              <a:noFill/>
            </a:ln>
          </c:spPr>
          <c:invertIfNegative val="0"/>
          <c:dLbls>
            <c:dLblPos val="outEnd"/>
            <c:showLegendKey val="0"/>
            <c:showVal val="0"/>
            <c:showCatName val="0"/>
            <c:showSerName val="0"/>
            <c:showPercent val="0"/>
            <c:showLeaderLines val="0"/>
          </c:dLbls>
          <c:cat>
            <c:strRef>
              <c:f>'explore alternative diets'!$A$69:$A$71</c:f>
              <c:strCache>
                <c:ptCount val="3"/>
                <c:pt idx="0">
                  <c:v>Veg</c:v>
                </c:pt>
                <c:pt idx="1">
                  <c:v>Non Veg</c:v>
                </c:pt>
                <c:pt idx="2">
                  <c:v>My Case</c:v>
                </c:pt>
              </c:strCache>
            </c:strRef>
          </c:cat>
          <c:val>
            <c:numRef>
              <c:f>'explore alternative diets'!$C$69:$C$71</c:f>
              <c:numCache>
                <c:formatCode>General</c:formatCode>
                <c:ptCount val="3"/>
                <c:pt idx="0">
                  <c:v>423.603</c:v>
                </c:pt>
                <c:pt idx="1">
                  <c:v>1368.6125</c:v>
                </c:pt>
                <c:pt idx="2">
                  <c:v>254.286</c:v>
                </c:pt>
              </c:numCache>
            </c:numRef>
          </c:val>
        </c:ser>
        <c:gapWidth val="150"/>
        <c:overlap val="0"/>
        <c:axId val="20072271"/>
        <c:axId val="2872541"/>
      </c:barChart>
      <c:catAx>
        <c:axId val="20072271"/>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872541"/>
        <c:crosses val="autoZero"/>
        <c:auto val="1"/>
        <c:lblAlgn val="ctr"/>
        <c:lblOffset val="100"/>
      </c:catAx>
      <c:valAx>
        <c:axId val="2872541"/>
        <c:scaling>
          <c:orientation val="minMax"/>
        </c:scaling>
        <c:delete val="0"/>
        <c:axPos val="l"/>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0072271"/>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Food Emission Distribution</a:t>
            </a:r>
          </a:p>
        </c:rich>
      </c:tx>
      <c:overlay val="0"/>
    </c:title>
    <c:autoTitleDeleted val="0"/>
    <c:plotArea>
      <c:pieChart>
        <c:varyColors val="1"/>
        <c:ser>
          <c:idx val="0"/>
          <c:order val="0"/>
          <c:tx>
            <c:strRef>
              <c:f>'explore alternative diets'!$B$92:$B$108</c:f>
              <c:strCache>
                <c:ptCount val="1"/>
                <c:pt idx="0">
                  <c:v>#REF! #REF! #REF! #REF! #REF! #REF! #REF! #REF! #REF! #REF! #REF! #REF! #REF! #REF! #REF! #REF! #REF!</c:v>
                </c:pt>
              </c:strCache>
            </c:strRef>
          </c:tx>
          <c:spPr>
            <a:solidFill>
              <a:srgbClr val="4f81bd"/>
            </a:solidFill>
            <a:ln>
              <a:noFill/>
            </a:ln>
          </c:spPr>
          <c:explosion val="0"/>
          <c:dPt>
            <c:idx val="0"/>
            <c:spPr>
              <a:solidFill>
                <a:srgbClr val="4f81bd"/>
              </a:solidFill>
              <a:ln w="19080">
                <a:solidFill>
                  <a:srgbClr val="ffffff"/>
                </a:solidFill>
                <a:round/>
              </a:ln>
            </c:spPr>
          </c:dPt>
          <c:dLbls>
            <c:dLbl>
              <c:idx val="0"/>
              <c:dLblPos val="bestFit"/>
              <c:showLegendKey val="0"/>
              <c:showVal val="0"/>
              <c:showCatName val="0"/>
              <c:showSerName val="0"/>
              <c:showPercent val="1"/>
            </c:dLbl>
            <c:dLblPos val="bestFit"/>
            <c:showLegendKey val="0"/>
            <c:showVal val="0"/>
            <c:showCatName val="0"/>
            <c:showSerName val="0"/>
            <c:showPercent val="1"/>
            <c:showLeaderLines val="0"/>
          </c:dLbls>
          <c:val>
            <c:numRef>
              <c:f>'explore alternative diets'!$B$109</c:f>
              <c:numCache>
                <c:formatCode>General</c:formatCode>
                <c:ptCount val="1"/>
                <c:pt idx="0">
                  <c:v/>
                </c:pt>
              </c:numCache>
            </c:numRef>
          </c:val>
        </c:ser>
        <c:firstSliceAng val="0"/>
      </c:pieChart>
      <c:spPr>
        <a:noFill/>
        <a:ln>
          <a:noFill/>
        </a:ln>
      </c:spPr>
    </c:plotArea>
    <c:legend>
      <c:legendPos val="r"/>
      <c:overlay val="0"/>
      <c:spPr>
        <a:noFill/>
        <a:ln>
          <a:noFill/>
        </a:ln>
      </c:sp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
</Relationships>
</file>

<file path=xl/drawings/_rels/drawing2.xml.rels><?xml version="1.0" encoding="UTF-8"?>
<Relationships xmlns="http://schemas.openxmlformats.org/package/2006/relationships"><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9360</xdr:colOff>
      <xdr:row>17</xdr:row>
      <xdr:rowOff>15840</xdr:rowOff>
    </xdr:from>
    <xdr:to>
      <xdr:col>7</xdr:col>
      <xdr:colOff>104400</xdr:colOff>
      <xdr:row>31</xdr:row>
      <xdr:rowOff>142560</xdr:rowOff>
    </xdr:to>
    <xdr:graphicFrame>
      <xdr:nvGraphicFramePr>
        <xdr:cNvPr id="0" name="Chart 1"/>
        <xdr:cNvGraphicFramePr/>
      </xdr:nvGraphicFramePr>
      <xdr:xfrm>
        <a:off x="3247560" y="3565440"/>
        <a:ext cx="4809960" cy="2723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6480</xdr:colOff>
      <xdr:row>32</xdr:row>
      <xdr:rowOff>34920</xdr:rowOff>
    </xdr:from>
    <xdr:to>
      <xdr:col>7</xdr:col>
      <xdr:colOff>79200</xdr:colOff>
      <xdr:row>46</xdr:row>
      <xdr:rowOff>88560</xdr:rowOff>
    </xdr:to>
    <xdr:graphicFrame>
      <xdr:nvGraphicFramePr>
        <xdr:cNvPr id="1" name="Chart 2"/>
        <xdr:cNvGraphicFramePr/>
      </xdr:nvGraphicFramePr>
      <xdr:xfrm>
        <a:off x="3244680" y="6365520"/>
        <a:ext cx="4787640" cy="26510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22320</xdr:colOff>
      <xdr:row>48</xdr:row>
      <xdr:rowOff>3240</xdr:rowOff>
    </xdr:from>
    <xdr:to>
      <xdr:col>7</xdr:col>
      <xdr:colOff>117360</xdr:colOff>
      <xdr:row>62</xdr:row>
      <xdr:rowOff>149040</xdr:rowOff>
    </xdr:to>
    <xdr:graphicFrame>
      <xdr:nvGraphicFramePr>
        <xdr:cNvPr id="2" name="Chart 3"/>
        <xdr:cNvGraphicFramePr/>
      </xdr:nvGraphicFramePr>
      <xdr:xfrm>
        <a:off x="3260520" y="9299520"/>
        <a:ext cx="4809960" cy="27428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558720</xdr:colOff>
      <xdr:row>71</xdr:row>
      <xdr:rowOff>76320</xdr:rowOff>
    </xdr:from>
    <xdr:to>
      <xdr:col>8</xdr:col>
      <xdr:colOff>18720</xdr:colOff>
      <xdr:row>86</xdr:row>
      <xdr:rowOff>171360</xdr:rowOff>
    </xdr:to>
    <xdr:graphicFrame>
      <xdr:nvGraphicFramePr>
        <xdr:cNvPr id="3" name="Chart 4"/>
        <xdr:cNvGraphicFramePr/>
      </xdr:nvGraphicFramePr>
      <xdr:xfrm>
        <a:off x="3796920" y="13633560"/>
        <a:ext cx="4775040" cy="28569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69840</xdr:colOff>
      <xdr:row>72</xdr:row>
      <xdr:rowOff>3240</xdr:rowOff>
    </xdr:from>
    <xdr:to>
      <xdr:col>3</xdr:col>
      <xdr:colOff>9000</xdr:colOff>
      <xdr:row>82</xdr:row>
      <xdr:rowOff>120240</xdr:rowOff>
    </xdr:to>
    <xdr:graphicFrame>
      <xdr:nvGraphicFramePr>
        <xdr:cNvPr id="4" name="Chart 5"/>
        <xdr:cNvGraphicFramePr/>
      </xdr:nvGraphicFramePr>
      <xdr:xfrm>
        <a:off x="69840" y="13744440"/>
        <a:ext cx="3177360" cy="19584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1166040</xdr:colOff>
      <xdr:row>90</xdr:row>
      <xdr:rowOff>173160</xdr:rowOff>
    </xdr:from>
    <xdr:to>
      <xdr:col>12</xdr:col>
      <xdr:colOff>253440</xdr:colOff>
      <xdr:row>105</xdr:row>
      <xdr:rowOff>145080</xdr:rowOff>
    </xdr:to>
    <xdr:graphicFrame>
      <xdr:nvGraphicFramePr>
        <xdr:cNvPr id="5" name="Chart 7"/>
        <xdr:cNvGraphicFramePr/>
      </xdr:nvGraphicFramePr>
      <xdr:xfrm>
        <a:off x="6699960" y="17229240"/>
        <a:ext cx="4507200" cy="273384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235080</xdr:colOff>
      <xdr:row>14</xdr:row>
      <xdr:rowOff>63360</xdr:rowOff>
    </xdr:from>
    <xdr:to>
      <xdr:col>6</xdr:col>
      <xdr:colOff>463320</xdr:colOff>
      <xdr:row>36</xdr:row>
      <xdr:rowOff>158400</xdr:rowOff>
    </xdr:to>
    <xdr:pic>
      <xdr:nvPicPr>
        <xdr:cNvPr id="6" name="Picture 1" descr=""/>
        <xdr:cNvPicPr/>
      </xdr:nvPicPr>
      <xdr:blipFill>
        <a:blip r:embed="rId1"/>
        <a:stretch/>
      </xdr:blipFill>
      <xdr:spPr>
        <a:xfrm>
          <a:off x="235080" y="2641320"/>
          <a:ext cx="5085720" cy="4146480"/>
        </a:xfrm>
        <a:prstGeom prst="rect">
          <a:avLst/>
        </a:prstGeom>
        <a:ln>
          <a:noFill/>
        </a:ln>
      </xdr:spPr>
    </xdr:pic>
    <xdr:clientData/>
  </xdr:twoCellAnchor>
</xdr:wsDr>
</file>

<file path=xl/tables/table1.xml><?xml version="1.0" encoding="utf-8"?>
<table xmlns="http://schemas.openxmlformats.org/spreadsheetml/2006/main" id="1" name="FoodEmission2" displayName="FoodEmission2" ref="A2:I259" headerRowCount="1" totalsRowCount="0" totalsRowShown="0">
  <autoFilter ref="A2:I259"/>
  <tableColumns count="9">
    <tableColumn id="1" name="Item"/>
    <tableColumn id="2" name="Category"/>
    <tableColumn id="3" name="Serving Description"/>
    <tableColumn id="4" name="Serving Mass (kg/#)"/>
    <tableColumn id="5" name="Emission kgCO2e/kg"/>
    <tableColumn id="6" name="Trsptrt Mode"/>
    <tableColumn id="7" name="Distance (km)"/>
    <tableColumn id="8" name="Transport Emissions"/>
    <tableColumn id="9" name="g/1000kcal"/>
  </tableColumns>
</table>
</file>

<file path=xl/tables/table2.xml><?xml version="1.0" encoding="utf-8"?>
<table xmlns="http://schemas.openxmlformats.org/spreadsheetml/2006/main" id="2" name="Table1" displayName="Table1" ref="A6:G14" headerRowCount="1" totalsRowCount="1" totalsRowShown="1">
  <autoFilter ref="A6:G14"/>
  <tableColumns count="7">
    <tableColumn id="1" name="Options"/>
    <tableColumn id="2" name="Classification"/>
    <tableColumn id="3" name="g/1000kcal"/>
    <tableColumn id="4" name="gCO2/g"/>
    <tableColumn id="5" name="Case 1"/>
    <tableColumn id="6" name="Case 2"/>
    <tableColumn id="7" name="Case 3"/>
  </tableColumns>
</table>
</file>

<file path=xl/tables/table3.xml><?xml version="1.0" encoding="utf-8"?>
<table xmlns="http://schemas.openxmlformats.org/spreadsheetml/2006/main" id="3" name="Table2" displayName="Table2" ref="A68:C71" headerRowCount="1" totalsRowCount="0" totalsRowShown="0">
  <autoFilter ref="A68:C71"/>
  <tableColumns count="3">
    <tableColumn id="1" name="Diet"/>
    <tableColumn id="2" name="Marker"/>
    <tableColumn id="3" name="gCO2/day"/>
  </tableColumns>
</table>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vml"/>
</Relationships>
</file>

<file path=xl/worksheets/_rels/sheet16.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2.xml"/><Relationship Id="rId3" Type="http://schemas.openxmlformats.org/officeDocument/2006/relationships/table" Target="../tables/table3.xml"/>
</Relationships>
</file>

<file path=xl/worksheets/_rels/sheet17.xml.rels><?xml version="1.0" encoding="UTF-8"?>
<Relationships xmlns="http://schemas.openxmlformats.org/package/2006/relationships"><Relationship Id="rId1" Type="http://schemas.openxmlformats.org/officeDocument/2006/relationships/drawing" Target="../drawings/drawing2.x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2.vml"/>
</Relationships>
</file>

<file path=xl/worksheets/_rels/sheet21.xml.rels><?xml version="1.0" encoding="UTF-8"?>
<Relationships xmlns="http://schemas.openxmlformats.org/package/2006/relationships"><Relationship Id="rId1" Type="http://schemas.openxmlformats.org/officeDocument/2006/relationships/hyperlink" Target="http://www.engineeringtoolbox.com/co2-emission-fuels-d_1085.html" TargetMode="External"/><Relationship Id="rId2" Type="http://schemas.openxmlformats.org/officeDocument/2006/relationships/hyperlink" Target="https://www.eia.gov/conference/2015/pdf/presentations/skone.pdf" TargetMode="External"/><Relationship Id="rId3" Type="http://schemas.openxmlformats.org/officeDocument/2006/relationships/hyperlink" Target="http://www.tandfonline.com/doi/abs/10.1080/02508060.2014.951252" TargetMode="External"/><Relationship Id="rId4" Type="http://schemas.openxmlformats.org/officeDocument/2006/relationships/hyperlink" Target="http://www.amb.cat/es/web/medi-ambient/sostenibilitat/canvi-climatic/petjada-del-carboni" TargetMode="External"/><Relationship Id="rId5" Type="http://schemas.openxmlformats.org/officeDocument/2006/relationships/hyperlink" Target="http://www.aiguesdebarcelona.cat/documents/2950762/0/Aig&#252;es+de+Barcelona+Informe+2015_cast.pdf/0d77fa8d-e2dc-4d5a-8472-52a16d822699"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energy.gov/node/773531/residential/pdfs/cookgtsd.pdf" TargetMode="External"/><Relationship Id="rId2" Type="http://schemas.openxmlformats.org/officeDocument/2006/relationships/hyperlink" Target="http://energyusecalculator.com/electricity_refrigerator.htm" TargetMode="External"/>
</Relationships>
</file>

<file path=xl/worksheets/_rels/sheet6.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tabColor rgb="FFF79646"/>
    <pageSetUpPr fitToPage="false"/>
  </sheetPr>
  <dimension ref="A1:R2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4.5"/>
  <cols>
    <col collapsed="false" hidden="false" max="1" min="1" style="0" width="73.9744897959184"/>
    <col collapsed="false" hidden="false" max="2" min="2" style="0" width="21.8673469387755"/>
    <col collapsed="false" hidden="false" max="3" min="3" style="0" width="30.3724489795918"/>
    <col collapsed="false" hidden="false" max="1025" min="4" style="0" width="8.50510204081633"/>
  </cols>
  <sheetData>
    <row r="1" customFormat="false" ht="28.5" hidden="false" customHeight="false" outlineLevel="0" collapsed="false">
      <c r="A1" s="1" t="s">
        <v>0</v>
      </c>
      <c r="B1" s="2" t="s">
        <v>1</v>
      </c>
      <c r="C1" s="2" t="s">
        <v>2</v>
      </c>
      <c r="D1" s="2"/>
      <c r="E1" s="2"/>
      <c r="F1" s="2"/>
      <c r="G1" s="2"/>
      <c r="H1" s="2"/>
      <c r="I1" s="2"/>
      <c r="J1" s="2"/>
      <c r="K1" s="2"/>
      <c r="L1" s="2"/>
      <c r="M1" s="2"/>
      <c r="N1" s="2"/>
      <c r="O1" s="2"/>
      <c r="P1" s="2"/>
      <c r="Q1" s="2"/>
      <c r="R1" s="2"/>
    </row>
    <row r="2" customFormat="false" ht="14.5" hidden="false" customHeight="false" outlineLevel="0" collapsed="false">
      <c r="A2" s="2"/>
      <c r="B2" s="2"/>
      <c r="C2" s="2"/>
      <c r="D2" s="2"/>
      <c r="E2" s="2"/>
      <c r="F2" s="2"/>
      <c r="G2" s="2"/>
      <c r="H2" s="2"/>
      <c r="I2" s="2"/>
      <c r="J2" s="2"/>
      <c r="K2" s="2"/>
      <c r="L2" s="2"/>
      <c r="M2" s="2"/>
      <c r="N2" s="2"/>
      <c r="O2" s="2"/>
      <c r="P2" s="2"/>
      <c r="Q2" s="2"/>
      <c r="R2" s="2"/>
    </row>
    <row r="3" customFormat="false" ht="14.5" hidden="false" customHeight="false" outlineLevel="0" collapsed="false">
      <c r="A3" s="2"/>
      <c r="B3" s="2"/>
      <c r="C3" s="2"/>
      <c r="D3" s="2"/>
      <c r="E3" s="2"/>
      <c r="F3" s="2"/>
      <c r="G3" s="2"/>
      <c r="H3" s="2"/>
      <c r="I3" s="2"/>
      <c r="J3" s="2"/>
      <c r="K3" s="2"/>
      <c r="L3" s="2"/>
      <c r="M3" s="2"/>
      <c r="N3" s="2"/>
      <c r="O3" s="2"/>
      <c r="P3" s="2"/>
      <c r="Q3" s="2"/>
      <c r="R3" s="2"/>
    </row>
    <row r="4" customFormat="false" ht="64.5" hidden="false" customHeight="true" outlineLevel="0" collapsed="false">
      <c r="A4" s="3" t="s">
        <v>3</v>
      </c>
      <c r="B4" s="3"/>
      <c r="C4" s="3"/>
      <c r="D4" s="2"/>
      <c r="E4" s="2"/>
      <c r="F4" s="2"/>
      <c r="G4" s="2"/>
      <c r="H4" s="2"/>
      <c r="I4" s="2"/>
      <c r="J4" s="2"/>
      <c r="K4" s="2"/>
      <c r="L4" s="2"/>
      <c r="M4" s="2"/>
      <c r="N4" s="2"/>
      <c r="O4" s="2"/>
      <c r="P4" s="2"/>
      <c r="Q4" s="2"/>
      <c r="R4" s="2"/>
    </row>
    <row r="5" customFormat="false" ht="15" hidden="false" customHeight="false" outlineLevel="0" collapsed="false">
      <c r="A5" s="2"/>
      <c r="B5" s="2"/>
      <c r="C5" s="2"/>
      <c r="D5" s="2"/>
      <c r="E5" s="2"/>
      <c r="F5" s="2"/>
      <c r="G5" s="2"/>
      <c r="H5" s="2"/>
      <c r="I5" s="2"/>
      <c r="J5" s="2"/>
      <c r="K5" s="2"/>
      <c r="L5" s="2"/>
      <c r="M5" s="2"/>
      <c r="N5" s="2"/>
      <c r="O5" s="2"/>
      <c r="P5" s="2"/>
      <c r="Q5" s="2"/>
      <c r="R5" s="2"/>
    </row>
    <row r="6" customFormat="false" ht="18.5" hidden="false" customHeight="false" outlineLevel="0" collapsed="false">
      <c r="A6" s="4" t="s">
        <v>4</v>
      </c>
      <c r="B6" s="5" t="s">
        <v>5</v>
      </c>
      <c r="C6" s="5"/>
      <c r="D6" s="2"/>
      <c r="E6" s="2"/>
      <c r="F6" s="2"/>
      <c r="G6" s="2"/>
      <c r="H6" s="2"/>
      <c r="I6" s="2"/>
      <c r="J6" s="2"/>
      <c r="K6" s="2"/>
      <c r="L6" s="2"/>
      <c r="M6" s="2"/>
      <c r="N6" s="2"/>
      <c r="O6" s="2"/>
      <c r="P6" s="2"/>
      <c r="Q6" s="2"/>
      <c r="R6" s="2"/>
    </row>
    <row r="7" customFormat="false" ht="14.5" hidden="false" customHeight="false" outlineLevel="0" collapsed="false">
      <c r="A7" s="6" t="s">
        <v>6</v>
      </c>
      <c r="B7" s="7" t="s">
        <v>7</v>
      </c>
      <c r="C7" s="8"/>
      <c r="D7" s="2"/>
      <c r="E7" s="2"/>
      <c r="F7" s="2"/>
      <c r="G7" s="2"/>
      <c r="H7" s="2"/>
      <c r="I7" s="2"/>
      <c r="J7" s="2"/>
      <c r="K7" s="2"/>
      <c r="L7" s="2"/>
      <c r="M7" s="2"/>
      <c r="N7" s="2"/>
      <c r="O7" s="2"/>
      <c r="P7" s="2"/>
      <c r="Q7" s="2"/>
      <c r="R7" s="2"/>
    </row>
    <row r="8" customFormat="false" ht="14.5" hidden="false" customHeight="false" outlineLevel="0" collapsed="false">
      <c r="A8" s="9" t="s">
        <v>8</v>
      </c>
      <c r="B8" s="7" t="s">
        <v>9</v>
      </c>
      <c r="C8" s="8"/>
      <c r="D8" s="2"/>
      <c r="E8" s="2"/>
      <c r="F8" s="2"/>
      <c r="G8" s="2"/>
      <c r="H8" s="2"/>
      <c r="I8" s="2"/>
      <c r="J8" s="2"/>
      <c r="K8" s="2"/>
      <c r="L8" s="2"/>
      <c r="M8" s="2"/>
      <c r="N8" s="2"/>
      <c r="O8" s="2"/>
      <c r="P8" s="2"/>
      <c r="Q8" s="2"/>
      <c r="R8" s="2"/>
    </row>
    <row r="9" customFormat="false" ht="14.5" hidden="false" customHeight="false" outlineLevel="0" collapsed="false">
      <c r="A9" s="9" t="s">
        <v>10</v>
      </c>
      <c r="B9" s="7" t="n">
        <v>1991</v>
      </c>
      <c r="C9" s="8"/>
      <c r="D9" s="2"/>
      <c r="E9" s="2"/>
      <c r="F9" s="2"/>
      <c r="G9" s="2"/>
      <c r="H9" s="2"/>
      <c r="I9" s="2"/>
      <c r="J9" s="2"/>
      <c r="K9" s="2"/>
      <c r="L9" s="2"/>
      <c r="M9" s="2"/>
      <c r="N9" s="2"/>
      <c r="O9" s="2"/>
      <c r="P9" s="2"/>
      <c r="Q9" s="2"/>
      <c r="R9" s="2"/>
    </row>
    <row r="10" customFormat="false" ht="14.5" hidden="false" customHeight="false" outlineLevel="0" collapsed="false">
      <c r="A10" s="9" t="s">
        <v>11</v>
      </c>
      <c r="B10" s="7" t="s">
        <v>12</v>
      </c>
      <c r="C10" s="8"/>
      <c r="D10" s="2"/>
      <c r="E10" s="2"/>
      <c r="F10" s="2"/>
      <c r="G10" s="2"/>
      <c r="H10" s="2"/>
      <c r="I10" s="2"/>
      <c r="J10" s="2"/>
      <c r="K10" s="2"/>
      <c r="L10" s="2"/>
      <c r="M10" s="2"/>
      <c r="N10" s="2"/>
      <c r="O10" s="2"/>
      <c r="P10" s="2"/>
      <c r="Q10" s="2"/>
      <c r="R10" s="2"/>
    </row>
    <row r="11" customFormat="false" ht="14.5" hidden="false" customHeight="false" outlineLevel="0" collapsed="false">
      <c r="A11" s="9" t="s">
        <v>13</v>
      </c>
      <c r="B11" s="7" t="s">
        <v>14</v>
      </c>
      <c r="C11" s="8"/>
      <c r="D11" s="2"/>
      <c r="E11" s="2"/>
      <c r="F11" s="2"/>
      <c r="G11" s="2"/>
      <c r="H11" s="2"/>
      <c r="I11" s="2"/>
      <c r="J11" s="2"/>
      <c r="K11" s="2"/>
      <c r="L11" s="2"/>
      <c r="M11" s="2"/>
      <c r="N11" s="2"/>
      <c r="O11" s="2"/>
      <c r="P11" s="2"/>
      <c r="Q11" s="2"/>
      <c r="R11" s="2"/>
    </row>
    <row r="12" customFormat="false" ht="14.5" hidden="false" customHeight="false" outlineLevel="0" collapsed="false">
      <c r="A12" s="9"/>
      <c r="B12" s="10"/>
      <c r="C12" s="8"/>
      <c r="D12" s="2"/>
      <c r="E12" s="2"/>
      <c r="F12" s="2"/>
      <c r="G12" s="2"/>
      <c r="H12" s="2"/>
      <c r="I12" s="2"/>
      <c r="J12" s="2"/>
      <c r="K12" s="2"/>
      <c r="L12" s="2"/>
      <c r="M12" s="2"/>
      <c r="N12" s="2"/>
      <c r="O12" s="2"/>
      <c r="P12" s="2"/>
      <c r="Q12" s="2"/>
      <c r="R12" s="2"/>
    </row>
    <row r="13" customFormat="false" ht="18.5" hidden="false" customHeight="false" outlineLevel="0" collapsed="false">
      <c r="A13" s="11" t="s">
        <v>15</v>
      </c>
      <c r="B13" s="12"/>
      <c r="C13" s="13"/>
      <c r="D13" s="2"/>
      <c r="E13" s="2"/>
      <c r="F13" s="2"/>
      <c r="G13" s="2"/>
      <c r="H13" s="2"/>
      <c r="I13" s="2"/>
      <c r="J13" s="2"/>
      <c r="K13" s="2"/>
      <c r="L13" s="2"/>
      <c r="M13" s="2"/>
      <c r="N13" s="2"/>
      <c r="O13" s="2"/>
      <c r="P13" s="2"/>
      <c r="Q13" s="2"/>
      <c r="R13" s="2"/>
    </row>
    <row r="14" customFormat="false" ht="14.5" hidden="false" customHeight="true" outlineLevel="0" collapsed="false">
      <c r="A14" s="9" t="s">
        <v>16</v>
      </c>
      <c r="B14" s="14" t="s">
        <v>17</v>
      </c>
      <c r="C14" s="8"/>
      <c r="D14" s="2"/>
      <c r="E14" s="2"/>
      <c r="F14" s="2"/>
      <c r="G14" s="2"/>
      <c r="H14" s="2"/>
      <c r="I14" s="2"/>
      <c r="J14" s="2"/>
      <c r="K14" s="2"/>
      <c r="L14" s="2"/>
      <c r="M14" s="2"/>
      <c r="N14" s="2"/>
      <c r="O14" s="2"/>
      <c r="P14" s="2"/>
      <c r="Q14" s="2"/>
      <c r="R14" s="2"/>
    </row>
    <row r="15" customFormat="false" ht="15" hidden="false" customHeight="true" outlineLevel="0" collapsed="false">
      <c r="A15" s="9" t="s">
        <v>18</v>
      </c>
      <c r="B15" s="14" t="s">
        <v>19</v>
      </c>
      <c r="C15" s="8"/>
      <c r="D15" s="2"/>
      <c r="E15" s="2"/>
      <c r="F15" s="2"/>
      <c r="G15" s="2"/>
      <c r="H15" s="2"/>
      <c r="I15" s="2"/>
      <c r="J15" s="2"/>
      <c r="K15" s="2"/>
      <c r="L15" s="2"/>
      <c r="M15" s="2"/>
      <c r="N15" s="2"/>
      <c r="O15" s="2"/>
      <c r="P15" s="2"/>
      <c r="Q15" s="2"/>
      <c r="R15" s="2"/>
    </row>
    <row r="16" customFormat="false" ht="15" hidden="false" customHeight="true" outlineLevel="0" collapsed="false">
      <c r="A16" s="9"/>
      <c r="B16" s="14"/>
      <c r="C16" s="8"/>
      <c r="D16" s="2"/>
      <c r="E16" s="2"/>
      <c r="F16" s="2"/>
      <c r="G16" s="2"/>
      <c r="H16" s="2"/>
      <c r="I16" s="2"/>
      <c r="J16" s="2"/>
      <c r="K16" s="2"/>
      <c r="L16" s="2"/>
      <c r="M16" s="2"/>
      <c r="N16" s="2"/>
      <c r="O16" s="2"/>
      <c r="P16" s="2"/>
      <c r="Q16" s="2"/>
      <c r="R16" s="2"/>
    </row>
    <row r="17" customFormat="false" ht="18.5" hidden="false" customHeight="false" outlineLevel="0" collapsed="false">
      <c r="A17" s="11" t="s">
        <v>20</v>
      </c>
      <c r="B17" s="15"/>
      <c r="C17" s="16"/>
      <c r="D17" s="2"/>
      <c r="E17" s="2"/>
      <c r="F17" s="2"/>
      <c r="G17" s="2"/>
      <c r="H17" s="2"/>
      <c r="I17" s="2"/>
      <c r="J17" s="2"/>
      <c r="K17" s="2"/>
      <c r="L17" s="2"/>
      <c r="M17" s="2"/>
      <c r="N17" s="2"/>
      <c r="O17" s="2"/>
      <c r="P17" s="2"/>
      <c r="Q17" s="2"/>
      <c r="R17" s="2"/>
    </row>
    <row r="18" customFormat="false" ht="14.5" hidden="false" customHeight="false" outlineLevel="0" collapsed="false">
      <c r="A18" s="9" t="s">
        <v>21</v>
      </c>
      <c r="B18" s="17" t="s">
        <v>22</v>
      </c>
      <c r="C18" s="18" t="s">
        <v>23</v>
      </c>
      <c r="D18" s="2"/>
      <c r="E18" s="2"/>
      <c r="F18" s="2"/>
      <c r="G18" s="2"/>
      <c r="H18" s="2"/>
      <c r="I18" s="2"/>
      <c r="J18" s="2"/>
      <c r="K18" s="2"/>
      <c r="L18" s="2"/>
      <c r="M18" s="2"/>
      <c r="N18" s="2"/>
      <c r="O18" s="2"/>
      <c r="P18" s="2"/>
      <c r="Q18" s="2"/>
      <c r="R18" s="2"/>
    </row>
    <row r="19" customFormat="false" ht="14.5" hidden="false" customHeight="false" outlineLevel="0" collapsed="false">
      <c r="A19" s="9" t="s">
        <v>24</v>
      </c>
      <c r="B19" s="17" t="s">
        <v>22</v>
      </c>
      <c r="C19" s="18" t="s">
        <v>25</v>
      </c>
      <c r="D19" s="2"/>
      <c r="E19" s="2"/>
      <c r="F19" s="2"/>
      <c r="G19" s="2"/>
      <c r="H19" s="2"/>
      <c r="I19" s="2"/>
      <c r="J19" s="2"/>
      <c r="K19" s="2"/>
      <c r="L19" s="2"/>
      <c r="M19" s="2"/>
      <c r="N19" s="2"/>
      <c r="O19" s="2"/>
      <c r="P19" s="2"/>
      <c r="Q19" s="2"/>
      <c r="R19" s="2"/>
    </row>
    <row r="20" customFormat="false" ht="14.5" hidden="true" customHeight="false" outlineLevel="0" collapsed="false">
      <c r="A20" s="9" t="s">
        <v>26</v>
      </c>
      <c r="B20" s="19" t="s">
        <v>22</v>
      </c>
      <c r="C20" s="20"/>
      <c r="D20" s="2"/>
      <c r="E20" s="2"/>
      <c r="F20" s="2"/>
      <c r="G20" s="2"/>
      <c r="H20" s="2"/>
      <c r="I20" s="2"/>
      <c r="J20" s="2"/>
      <c r="K20" s="2"/>
      <c r="L20" s="2"/>
      <c r="M20" s="2"/>
      <c r="N20" s="2"/>
      <c r="O20" s="2"/>
      <c r="P20" s="2"/>
      <c r="Q20" s="2"/>
      <c r="R20" s="2"/>
    </row>
    <row r="21" customFormat="false" ht="14.5" hidden="true" customHeight="false" outlineLevel="0" collapsed="false">
      <c r="A21" s="9" t="s">
        <v>27</v>
      </c>
      <c r="B21" s="17" t="s">
        <v>22</v>
      </c>
      <c r="C21" s="20"/>
      <c r="D21" s="2"/>
      <c r="E21" s="2"/>
      <c r="F21" s="2"/>
      <c r="G21" s="2"/>
      <c r="H21" s="2"/>
      <c r="I21" s="2"/>
      <c r="J21" s="2"/>
      <c r="K21" s="2"/>
      <c r="L21" s="2"/>
      <c r="M21" s="2"/>
      <c r="N21" s="2"/>
      <c r="O21" s="2"/>
      <c r="P21" s="2"/>
      <c r="Q21" s="2"/>
      <c r="R21" s="2"/>
    </row>
    <row r="22" customFormat="false" ht="14.5" hidden="false" customHeight="false" outlineLevel="0" collapsed="false">
      <c r="A22" s="9" t="s">
        <v>28</v>
      </c>
      <c r="B22" s="17" t="s">
        <v>22</v>
      </c>
      <c r="C22" s="18" t="s">
        <v>29</v>
      </c>
      <c r="D22" s="2"/>
      <c r="E22" s="2"/>
      <c r="F22" s="2"/>
      <c r="G22" s="2"/>
      <c r="H22" s="2"/>
      <c r="I22" s="2"/>
      <c r="J22" s="2"/>
      <c r="K22" s="2"/>
      <c r="L22" s="2"/>
      <c r="M22" s="2"/>
      <c r="N22" s="2"/>
      <c r="O22" s="2"/>
      <c r="P22" s="2"/>
      <c r="Q22" s="2"/>
      <c r="R22" s="2"/>
    </row>
    <row r="23" customFormat="false" ht="14.5" hidden="false" customHeight="false" outlineLevel="0" collapsed="false">
      <c r="A23" s="9"/>
      <c r="B23" s="21"/>
      <c r="C23" s="8"/>
      <c r="D23" s="2"/>
      <c r="E23" s="2"/>
      <c r="F23" s="2"/>
      <c r="G23" s="2"/>
      <c r="H23" s="2"/>
      <c r="I23" s="2"/>
      <c r="J23" s="2"/>
      <c r="K23" s="2"/>
      <c r="L23" s="2"/>
      <c r="M23" s="2"/>
      <c r="N23" s="2"/>
      <c r="O23" s="2"/>
      <c r="P23" s="2"/>
      <c r="Q23" s="2"/>
      <c r="R23" s="2"/>
    </row>
    <row r="24" customFormat="false" ht="14.5" hidden="false" customHeight="false" outlineLevel="0" collapsed="false">
      <c r="A24" s="9"/>
      <c r="B24" s="21"/>
      <c r="C24" s="8"/>
      <c r="D24" s="2"/>
      <c r="E24" s="2"/>
      <c r="F24" s="2"/>
      <c r="G24" s="2"/>
      <c r="H24" s="2"/>
      <c r="I24" s="2"/>
      <c r="J24" s="2"/>
      <c r="K24" s="2"/>
      <c r="L24" s="2"/>
      <c r="M24" s="2"/>
      <c r="N24" s="2"/>
      <c r="O24" s="2"/>
      <c r="P24" s="2"/>
      <c r="Q24" s="2"/>
      <c r="R24" s="2"/>
    </row>
    <row r="25" customFormat="false" ht="15" hidden="false" customHeight="false" outlineLevel="0" collapsed="false">
      <c r="A25" s="22"/>
      <c r="B25" s="23"/>
      <c r="C25" s="24"/>
      <c r="D25" s="2"/>
      <c r="E25" s="2"/>
      <c r="F25" s="2"/>
      <c r="G25" s="2"/>
      <c r="H25" s="2"/>
      <c r="I25" s="2"/>
      <c r="J25" s="2"/>
      <c r="K25" s="2"/>
      <c r="L25" s="2"/>
      <c r="M25" s="2"/>
      <c r="N25" s="2"/>
      <c r="O25" s="2"/>
      <c r="P25" s="2"/>
      <c r="Q25" s="2"/>
      <c r="R25" s="2"/>
    </row>
  </sheetData>
  <mergeCells count="2">
    <mergeCell ref="A4:C4"/>
    <mergeCell ref="B6:C6"/>
  </mergeCells>
  <hyperlinks>
    <hyperlink ref="B18" location="'Household Input'!A1" display="click here"/>
    <hyperlink ref="B19" location="'Diet Input'!A1" display="click here"/>
    <hyperlink ref="B20" location="'total footprint report'!A1" display="click here"/>
    <hyperlink ref="B21" location="'explore alternative lifestyles'!A1" display="click here"/>
    <hyperlink ref="B22" location="'Report Preferences'!A1" display="click her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00B050"/>
    <pageSetUpPr fitToPage="false"/>
  </sheetPr>
  <dimension ref="A1:Z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5"/>
  <cols>
    <col collapsed="false" hidden="false" max="1" min="1" style="0" width="17.4132653061224"/>
    <col collapsed="false" hidden="false" max="5" min="2" style="0" width="16.8724489795918"/>
    <col collapsed="false" hidden="false" max="8" min="6" style="0" width="17.4132653061224"/>
    <col collapsed="false" hidden="false" max="1025" min="9" style="0" width="8.50510204081633"/>
  </cols>
  <sheetData>
    <row r="1" customFormat="false" ht="28.5" hidden="false" customHeight="true" outlineLevel="0" collapsed="false">
      <c r="A1" s="241" t="s">
        <v>306</v>
      </c>
      <c r="B1" s="241"/>
      <c r="C1" s="241"/>
      <c r="D1" s="242" t="s">
        <v>307</v>
      </c>
      <c r="E1" s="242"/>
      <c r="F1" s="242"/>
      <c r="G1" s="242"/>
      <c r="H1" s="242"/>
    </row>
    <row r="2" customFormat="false" ht="14.5" hidden="false" customHeight="true" outlineLevel="0" collapsed="false">
      <c r="A2" s="241"/>
      <c r="B2" s="241"/>
      <c r="C2" s="241"/>
      <c r="D2" s="243" t="s">
        <v>308</v>
      </c>
      <c r="E2" s="243"/>
      <c r="F2" s="243"/>
      <c r="G2" s="243"/>
      <c r="H2" s="243"/>
    </row>
    <row r="3" customFormat="false" ht="14.5" hidden="false" customHeight="false" outlineLevel="0" collapsed="false">
      <c r="A3" s="244" t="s">
        <v>309</v>
      </c>
      <c r="B3" s="244"/>
      <c r="C3" s="245" t="n">
        <v>1</v>
      </c>
      <c r="D3" s="243"/>
      <c r="E3" s="243"/>
      <c r="F3" s="243"/>
      <c r="G3" s="243"/>
      <c r="H3" s="243"/>
    </row>
    <row r="4" customFormat="false" ht="15" hidden="false" customHeight="false" outlineLevel="0" collapsed="false">
      <c r="A4" s="246"/>
      <c r="B4" s="247" t="s">
        <v>310</v>
      </c>
      <c r="C4" s="247"/>
      <c r="D4" s="247"/>
      <c r="E4" s="247"/>
      <c r="F4" s="247"/>
      <c r="G4" s="247"/>
      <c r="H4" s="247"/>
    </row>
    <row r="5" customFormat="false" ht="14.5" hidden="false" customHeight="true" outlineLevel="0" collapsed="false">
      <c r="A5" s="99" t="s">
        <v>109</v>
      </c>
    </row>
    <row r="6" customFormat="false" ht="15" hidden="false" customHeight="false" outlineLevel="0" collapsed="false">
      <c r="A6" s="248" t="s">
        <v>123</v>
      </c>
      <c r="B6" s="100"/>
      <c r="C6" s="100"/>
      <c r="D6" s="100"/>
      <c r="E6" s="100"/>
      <c r="F6" s="100"/>
      <c r="G6" s="100"/>
      <c r="H6" s="100"/>
    </row>
    <row r="7" customFormat="false" ht="15" hidden="false" customHeight="false" outlineLevel="0" collapsed="false">
      <c r="A7" s="248" t="s">
        <v>114</v>
      </c>
      <c r="B7" s="100"/>
      <c r="C7" s="100"/>
      <c r="D7" s="100"/>
      <c r="E7" s="100"/>
      <c r="F7" s="100"/>
      <c r="G7" s="100"/>
      <c r="H7" s="100"/>
    </row>
    <row r="8" customFormat="false" ht="15" hidden="false" customHeight="false" outlineLevel="0" collapsed="false">
      <c r="A8" s="248" t="s">
        <v>311</v>
      </c>
      <c r="B8" s="100" t="str">
        <f aca="false">IF(B7="", "", VLOOKUP(B7, FoodEmission, 3, 0))</f>
        <v/>
      </c>
      <c r="C8" s="100" t="str">
        <f aca="false">IF(C7="", "", VLOOKUP(C7, FoodEmission, 3, 0))</f>
        <v/>
      </c>
      <c r="D8" s="100" t="str">
        <f aca="false">IF(D7="", "", VLOOKUP(D7, FoodEmission, 3, 0))</f>
        <v/>
      </c>
      <c r="E8" s="100" t="str">
        <f aca="false">IF(E7="", "", VLOOKUP(E7, FoodEmission, 3, 0))</f>
        <v/>
      </c>
      <c r="F8" s="100" t="str">
        <f aca="false">IF(F7="", "", VLOOKUP(F7, FoodEmission, 3, 0))</f>
        <v/>
      </c>
      <c r="G8" s="100" t="str">
        <f aca="false">IF(G7="", "", VLOOKUP(G7, FoodEmission, 3, 0))</f>
        <v/>
      </c>
      <c r="H8" s="100" t="str">
        <f aca="false">IF(H7="", "", VLOOKUP(H7, FoodEmission, 3, 0))</f>
        <v/>
      </c>
      <c r="I8" s="0" t="str">
        <f aca="false">IF(I7="", "", VLOOKUP(I7, FoodEmission, 3, 0))</f>
        <v/>
      </c>
      <c r="J8" s="0" t="str">
        <f aca="false">IF(J7="", "", VLOOKUP(J7, FoodEmission, 3, 0))</f>
        <v/>
      </c>
      <c r="K8" s="0" t="str">
        <f aca="false">IF(K7="", "", VLOOKUP(K7, FoodEmission, 3, 0))</f>
        <v/>
      </c>
      <c r="L8" s="0" t="str">
        <f aca="false">IF(L7="", "", VLOOKUP(L7, FoodEmission, 3, 0))</f>
        <v/>
      </c>
      <c r="M8" s="0" t="str">
        <f aca="false">IF(M7="", "", VLOOKUP(M7, FoodEmission, 3, 0))</f>
        <v/>
      </c>
      <c r="N8" s="0" t="str">
        <f aca="false">IF(N7="", "", VLOOKUP(N7, FoodEmission, 3, 0))</f>
        <v/>
      </c>
      <c r="O8" s="0" t="str">
        <f aca="false">IF(O7="", "", VLOOKUP(O7, FoodEmission, 3, 0))</f>
        <v/>
      </c>
      <c r="P8" s="0" t="str">
        <f aca="false">IF(P7="", "", VLOOKUP(P7, FoodEmission, 3, 0))</f>
        <v/>
      </c>
      <c r="Q8" s="0" t="str">
        <f aca="false">IF(Q7="", "", VLOOKUP(Q7, FoodEmission, 3, 0))</f>
        <v/>
      </c>
      <c r="R8" s="0" t="str">
        <f aca="false">IF(R7="", "", VLOOKUP(R7, FoodEmission, 3, 0))</f>
        <v/>
      </c>
      <c r="S8" s="0" t="str">
        <f aca="false">IF(S7="", "", VLOOKUP(S7, FoodEmission, 3, 0))</f>
        <v/>
      </c>
      <c r="T8" s="0" t="str">
        <f aca="false">IF(T7="", "", VLOOKUP(T7, FoodEmission, 3, 0))</f>
        <v/>
      </c>
      <c r="U8" s="0" t="str">
        <f aca="false">IF(U7="", "", VLOOKUP(U7, FoodEmission, 3, 0))</f>
        <v/>
      </c>
      <c r="V8" s="0" t="str">
        <f aca="false">IF(V7="", "", VLOOKUP(V7, FoodEmission, 3, 0))</f>
        <v/>
      </c>
      <c r="W8" s="0" t="str">
        <f aca="false">IF(W7="", "", VLOOKUP(W7, FoodEmission, 3, 0))</f>
        <v/>
      </c>
      <c r="X8" s="0" t="str">
        <f aca="false">IF(X7="", "", VLOOKUP(X7, FoodEmission, 3, 0))</f>
        <v/>
      </c>
      <c r="Y8" s="0" t="str">
        <f aca="false">IF(Y7="", "", VLOOKUP(Y7, FoodEmission, 3, 0))</f>
        <v/>
      </c>
      <c r="Z8" s="0" t="str">
        <f aca="false">IF(Z7="", "", VLOOKUP(Z7, FoodEmission, 3, 0))</f>
        <v/>
      </c>
    </row>
    <row r="9" customFormat="false" ht="14.5" hidden="false" customHeight="false" outlineLevel="0" collapsed="false">
      <c r="A9" s="248" t="s">
        <v>118</v>
      </c>
      <c r="B9" s="100"/>
      <c r="C9" s="100"/>
      <c r="D9" s="100"/>
      <c r="E9" s="100"/>
      <c r="F9" s="100"/>
      <c r="G9" s="100"/>
      <c r="H9" s="100"/>
    </row>
    <row r="11" customFormat="false" ht="15" hidden="false" customHeight="false" outlineLevel="0" collapsed="false">
      <c r="A11" s="99" t="s">
        <v>110</v>
      </c>
    </row>
    <row r="12" customFormat="false" ht="15" hidden="false" customHeight="false" outlineLevel="0" collapsed="false">
      <c r="A12" s="248" t="s">
        <v>123</v>
      </c>
      <c r="B12" s="100"/>
      <c r="C12" s="100"/>
      <c r="D12" s="100"/>
      <c r="E12" s="100"/>
      <c r="F12" s="100"/>
      <c r="G12" s="100"/>
      <c r="H12" s="100"/>
    </row>
    <row r="13" customFormat="false" ht="15" hidden="false" customHeight="false" outlineLevel="0" collapsed="false">
      <c r="A13" s="248" t="s">
        <v>114</v>
      </c>
      <c r="B13" s="100"/>
      <c r="C13" s="100"/>
      <c r="D13" s="100"/>
      <c r="E13" s="100"/>
      <c r="F13" s="100"/>
      <c r="G13" s="100"/>
      <c r="H13" s="100"/>
    </row>
    <row r="14" customFormat="false" ht="15" hidden="false" customHeight="false" outlineLevel="0" collapsed="false">
      <c r="A14" s="248" t="s">
        <v>311</v>
      </c>
      <c r="B14" s="100" t="str">
        <f aca="false">IF(B13="", "", VLOOKUP(B13, FoodEmission, 3, 0))</f>
        <v/>
      </c>
      <c r="C14" s="100" t="str">
        <f aca="false">IF(C13="", "", VLOOKUP(C13, FoodEmission, 3, 0))</f>
        <v/>
      </c>
      <c r="D14" s="100" t="str">
        <f aca="false">IF(D13="", "", VLOOKUP(D13, FoodEmission, 3, 0))</f>
        <v/>
      </c>
      <c r="E14" s="100" t="str">
        <f aca="false">IF(E13="", "", VLOOKUP(E13, FoodEmission, 3, 0))</f>
        <v/>
      </c>
      <c r="F14" s="100" t="str">
        <f aca="false">IF(F13="", "", VLOOKUP(F13, FoodEmission, 3, 0))</f>
        <v/>
      </c>
      <c r="G14" s="100" t="str">
        <f aca="false">IF(G13="", "", VLOOKUP(G13, FoodEmission, 3, 0))</f>
        <v/>
      </c>
      <c r="H14" s="100" t="str">
        <f aca="false">IF(H13="", "", VLOOKUP(H13, FoodEmission, 3, 0))</f>
        <v/>
      </c>
      <c r="I14" s="0" t="str">
        <f aca="false">IF(I13="", "", VLOOKUP(I13, FoodEmission, 3, 0))</f>
        <v/>
      </c>
      <c r="J14" s="0" t="str">
        <f aca="false">IF(J13="", "", VLOOKUP(J13, FoodEmission, 3, 0))</f>
        <v/>
      </c>
      <c r="K14" s="0" t="str">
        <f aca="false">IF(K13="", "", VLOOKUP(K13, FoodEmission, 3, 0))</f>
        <v/>
      </c>
      <c r="L14" s="0" t="str">
        <f aca="false">IF(L13="", "", VLOOKUP(L13, FoodEmission, 3, 0))</f>
        <v/>
      </c>
      <c r="M14" s="0" t="str">
        <f aca="false">IF(M13="", "", VLOOKUP(M13, FoodEmission, 3, 0))</f>
        <v/>
      </c>
      <c r="N14" s="0" t="str">
        <f aca="false">IF(N13="", "", VLOOKUP(N13, FoodEmission, 3, 0))</f>
        <v/>
      </c>
      <c r="O14" s="0" t="str">
        <f aca="false">IF(O13="", "", VLOOKUP(O13, FoodEmission, 3, 0))</f>
        <v/>
      </c>
      <c r="P14" s="0" t="str">
        <f aca="false">IF(P13="", "", VLOOKUP(P13, FoodEmission, 3, 0))</f>
        <v/>
      </c>
      <c r="Q14" s="0" t="str">
        <f aca="false">IF(Q13="", "", VLOOKUP(Q13, FoodEmission, 3, 0))</f>
        <v/>
      </c>
      <c r="R14" s="0" t="str">
        <f aca="false">IF(R13="", "", VLOOKUP(R13, FoodEmission, 3, 0))</f>
        <v/>
      </c>
      <c r="S14" s="0" t="str">
        <f aca="false">IF(S13="", "", VLOOKUP(S13, FoodEmission, 3, 0))</f>
        <v/>
      </c>
      <c r="T14" s="0" t="str">
        <f aca="false">IF(T13="", "", VLOOKUP(T13, FoodEmission, 3, 0))</f>
        <v/>
      </c>
      <c r="U14" s="0" t="str">
        <f aca="false">IF(U13="", "", VLOOKUP(U13, FoodEmission, 3, 0))</f>
        <v/>
      </c>
      <c r="V14" s="0" t="str">
        <f aca="false">IF(V13="", "", VLOOKUP(V13, FoodEmission, 3, 0))</f>
        <v/>
      </c>
      <c r="W14" s="0" t="str">
        <f aca="false">IF(W13="", "", VLOOKUP(W13, FoodEmission, 3, 0))</f>
        <v/>
      </c>
      <c r="X14" s="0" t="str">
        <f aca="false">IF(X13="", "", VLOOKUP(X13, FoodEmission, 3, 0))</f>
        <v/>
      </c>
      <c r="Y14" s="0" t="str">
        <f aca="false">IF(Y13="", "", VLOOKUP(Y13, FoodEmission, 3, 0))</f>
        <v/>
      </c>
      <c r="Z14" s="0" t="str">
        <f aca="false">IF(Z13="", "", VLOOKUP(Z13, FoodEmission, 3, 0))</f>
        <v/>
      </c>
    </row>
    <row r="15" customFormat="false" ht="14.5" hidden="false" customHeight="false" outlineLevel="0" collapsed="false">
      <c r="A15" s="248" t="s">
        <v>118</v>
      </c>
      <c r="B15" s="100"/>
      <c r="C15" s="100"/>
      <c r="D15" s="100"/>
      <c r="E15" s="100"/>
      <c r="F15" s="100"/>
      <c r="G15" s="100"/>
      <c r="H15" s="100"/>
    </row>
    <row r="17" customFormat="false" ht="15" hidden="false" customHeight="false" outlineLevel="0" collapsed="false">
      <c r="A17" s="99" t="s">
        <v>111</v>
      </c>
    </row>
    <row r="18" customFormat="false" ht="15" hidden="false" customHeight="false" outlineLevel="0" collapsed="false">
      <c r="A18" s="248" t="s">
        <v>123</v>
      </c>
      <c r="B18" s="100"/>
      <c r="C18" s="100"/>
      <c r="D18" s="100"/>
      <c r="E18" s="100"/>
      <c r="F18" s="100"/>
      <c r="G18" s="100"/>
      <c r="H18" s="100"/>
    </row>
    <row r="19" customFormat="false" ht="15" hidden="false" customHeight="false" outlineLevel="0" collapsed="false">
      <c r="A19" s="248" t="s">
        <v>114</v>
      </c>
      <c r="B19" s="100"/>
      <c r="C19" s="100"/>
      <c r="D19" s="100"/>
      <c r="E19" s="100"/>
      <c r="F19" s="100"/>
      <c r="G19" s="100"/>
      <c r="H19" s="100"/>
    </row>
    <row r="20" customFormat="false" ht="15" hidden="false" customHeight="false" outlineLevel="0" collapsed="false">
      <c r="A20" s="248" t="s">
        <v>311</v>
      </c>
      <c r="B20" s="100" t="str">
        <f aca="false">IF(B19="", "", VLOOKUP(B19, FoodEmission, 3, 0))</f>
        <v/>
      </c>
      <c r="C20" s="100" t="str">
        <f aca="false">IF(C19="", "", VLOOKUP(C19, FoodEmission, 3, 0))</f>
        <v/>
      </c>
      <c r="D20" s="100" t="str">
        <f aca="false">IF(D19="", "", VLOOKUP(D19, FoodEmission, 3, 0))</f>
        <v/>
      </c>
      <c r="E20" s="100" t="str">
        <f aca="false">IF(E19="", "", VLOOKUP(E19, FoodEmission, 3, 0))</f>
        <v/>
      </c>
      <c r="F20" s="100" t="str">
        <f aca="false">IF(F19="", "", VLOOKUP(F19, FoodEmission, 3, 0))</f>
        <v/>
      </c>
      <c r="G20" s="100" t="str">
        <f aca="false">IF(G19="", "", VLOOKUP(G19, FoodEmission, 3, 0))</f>
        <v/>
      </c>
      <c r="H20" s="100" t="str">
        <f aca="false">IF(H19="", "", VLOOKUP(H19, FoodEmission, 3, 0))</f>
        <v/>
      </c>
      <c r="I20" s="0" t="str">
        <f aca="false">IF(I19="", "", VLOOKUP(I19, FoodEmission, 3, 0))</f>
        <v/>
      </c>
      <c r="J20" s="0" t="str">
        <f aca="false">IF(J19="", "", VLOOKUP(J19, FoodEmission, 3, 0))</f>
        <v/>
      </c>
      <c r="K20" s="0" t="str">
        <f aca="false">IF(K19="", "", VLOOKUP(K19, FoodEmission, 3, 0))</f>
        <v/>
      </c>
      <c r="L20" s="0" t="str">
        <f aca="false">IF(L19="", "", VLOOKUP(L19, FoodEmission, 3, 0))</f>
        <v/>
      </c>
      <c r="M20" s="0" t="str">
        <f aca="false">IF(M19="", "", VLOOKUP(M19, FoodEmission, 3, 0))</f>
        <v/>
      </c>
      <c r="N20" s="0" t="str">
        <f aca="false">IF(N19="", "", VLOOKUP(N19, FoodEmission, 3, 0))</f>
        <v/>
      </c>
      <c r="O20" s="0" t="str">
        <f aca="false">IF(O19="", "", VLOOKUP(O19, FoodEmission, 3, 0))</f>
        <v/>
      </c>
      <c r="P20" s="0" t="str">
        <f aca="false">IF(P19="", "", VLOOKUP(P19, FoodEmission, 3, 0))</f>
        <v/>
      </c>
      <c r="Q20" s="0" t="str">
        <f aca="false">IF(Q19="", "", VLOOKUP(Q19, FoodEmission, 3, 0))</f>
        <v/>
      </c>
      <c r="R20" s="0" t="str">
        <f aca="false">IF(R19="", "", VLOOKUP(R19, FoodEmission, 3, 0))</f>
        <v/>
      </c>
      <c r="S20" s="0" t="str">
        <f aca="false">IF(S19="", "", VLOOKUP(S19, FoodEmission, 3, 0))</f>
        <v/>
      </c>
      <c r="T20" s="0" t="str">
        <f aca="false">IF(T19="", "", VLOOKUP(T19, FoodEmission, 3, 0))</f>
        <v/>
      </c>
      <c r="U20" s="0" t="str">
        <f aca="false">IF(U19="", "", VLOOKUP(U19, FoodEmission, 3, 0))</f>
        <v/>
      </c>
      <c r="V20" s="0" t="str">
        <f aca="false">IF(V19="", "", VLOOKUP(V19, FoodEmission, 3, 0))</f>
        <v/>
      </c>
      <c r="W20" s="0" t="str">
        <f aca="false">IF(W19="", "", VLOOKUP(W19, FoodEmission, 3, 0))</f>
        <v/>
      </c>
      <c r="X20" s="0" t="str">
        <f aca="false">IF(X19="", "", VLOOKUP(X19, FoodEmission, 3, 0))</f>
        <v/>
      </c>
      <c r="Y20" s="0" t="str">
        <f aca="false">IF(Y19="", "", VLOOKUP(Y19, FoodEmission, 3, 0))</f>
        <v/>
      </c>
      <c r="Z20" s="0" t="str">
        <f aca="false">IF(Z19="", "", VLOOKUP(Z19, FoodEmission, 3, 0))</f>
        <v/>
      </c>
    </row>
    <row r="21" customFormat="false" ht="14.5" hidden="false" customHeight="false" outlineLevel="0" collapsed="false">
      <c r="A21" s="248" t="s">
        <v>118</v>
      </c>
      <c r="B21" s="100"/>
      <c r="C21" s="100"/>
      <c r="D21" s="100"/>
      <c r="E21" s="100"/>
      <c r="F21" s="100"/>
      <c r="G21" s="100"/>
      <c r="H21" s="100"/>
    </row>
    <row r="23" customFormat="false" ht="15" hidden="false" customHeight="false" outlineLevel="0" collapsed="false">
      <c r="A23" s="99" t="s">
        <v>112</v>
      </c>
    </row>
    <row r="24" customFormat="false" ht="15" hidden="false" customHeight="false" outlineLevel="0" collapsed="false">
      <c r="A24" s="248" t="s">
        <v>123</v>
      </c>
      <c r="B24" s="100"/>
      <c r="C24" s="100"/>
      <c r="D24" s="100"/>
      <c r="E24" s="100"/>
      <c r="F24" s="100"/>
      <c r="G24" s="100"/>
      <c r="H24" s="100"/>
    </row>
    <row r="25" customFormat="false" ht="15" hidden="false" customHeight="false" outlineLevel="0" collapsed="false">
      <c r="A25" s="248" t="s">
        <v>114</v>
      </c>
      <c r="B25" s="100"/>
      <c r="C25" s="100"/>
      <c r="D25" s="100"/>
      <c r="E25" s="100"/>
      <c r="F25" s="100"/>
      <c r="G25" s="100"/>
      <c r="H25" s="100"/>
    </row>
    <row r="26" customFormat="false" ht="15" hidden="false" customHeight="false" outlineLevel="0" collapsed="false">
      <c r="A26" s="248" t="s">
        <v>311</v>
      </c>
      <c r="B26" s="100" t="str">
        <f aca="false">IF(B25="", "", VLOOKUP(B25, FoodEmission, 3, 0))</f>
        <v/>
      </c>
      <c r="C26" s="100" t="str">
        <f aca="false">IF(C25="", "", VLOOKUP(C25, FoodEmission, 3, 0))</f>
        <v/>
      </c>
      <c r="D26" s="100" t="str">
        <f aca="false">IF(D25="", "", VLOOKUP(D25, FoodEmission, 3, 0))</f>
        <v/>
      </c>
      <c r="E26" s="100" t="str">
        <f aca="false">IF(E25="", "", VLOOKUP(E25, FoodEmission, 3, 0))</f>
        <v/>
      </c>
      <c r="F26" s="100" t="str">
        <f aca="false">IF(F25="", "", VLOOKUP(F25, FoodEmission, 3, 0))</f>
        <v/>
      </c>
      <c r="G26" s="100" t="str">
        <f aca="false">IF(G25="", "", VLOOKUP(G25, FoodEmission, 3, 0))</f>
        <v/>
      </c>
      <c r="H26" s="100" t="str">
        <f aca="false">IF(H25="", "", VLOOKUP(H25, FoodEmission, 3, 0))</f>
        <v/>
      </c>
      <c r="I26" s="0" t="str">
        <f aca="false">IF(I25="", "", VLOOKUP(I25, FoodEmission, 3, 0))</f>
        <v/>
      </c>
      <c r="J26" s="0" t="str">
        <f aca="false">IF(J25="", "", VLOOKUP(J25, FoodEmission, 3, 0))</f>
        <v/>
      </c>
      <c r="K26" s="0" t="str">
        <f aca="false">IF(K25="", "", VLOOKUP(K25, FoodEmission, 3, 0))</f>
        <v/>
      </c>
      <c r="L26" s="0" t="str">
        <f aca="false">IF(L25="", "", VLOOKUP(L25, FoodEmission, 3, 0))</f>
        <v/>
      </c>
      <c r="M26" s="0" t="str">
        <f aca="false">IF(M25="", "", VLOOKUP(M25, FoodEmission, 3, 0))</f>
        <v/>
      </c>
      <c r="N26" s="0" t="str">
        <f aca="false">IF(N25="", "", VLOOKUP(N25, FoodEmission, 3, 0))</f>
        <v/>
      </c>
      <c r="O26" s="0" t="str">
        <f aca="false">IF(O25="", "", VLOOKUP(O25, FoodEmission, 3, 0))</f>
        <v/>
      </c>
      <c r="P26" s="0" t="str">
        <f aca="false">IF(P25="", "", VLOOKUP(P25, FoodEmission, 3, 0))</f>
        <v/>
      </c>
      <c r="Q26" s="0" t="str">
        <f aca="false">IF(Q25="", "", VLOOKUP(Q25, FoodEmission, 3, 0))</f>
        <v/>
      </c>
      <c r="R26" s="0" t="str">
        <f aca="false">IF(R25="", "", VLOOKUP(R25, FoodEmission, 3, 0))</f>
        <v/>
      </c>
      <c r="S26" s="0" t="str">
        <f aca="false">IF(S25="", "", VLOOKUP(S25, FoodEmission, 3, 0))</f>
        <v/>
      </c>
      <c r="T26" s="0" t="str">
        <f aca="false">IF(T25="", "", VLOOKUP(T25, FoodEmission, 3, 0))</f>
        <v/>
      </c>
      <c r="U26" s="0" t="str">
        <f aca="false">IF(U25="", "", VLOOKUP(U25, FoodEmission, 3, 0))</f>
        <v/>
      </c>
      <c r="V26" s="0" t="str">
        <f aca="false">IF(V25="", "", VLOOKUP(V25, FoodEmission, 3, 0))</f>
        <v/>
      </c>
      <c r="W26" s="0" t="str">
        <f aca="false">IF(W25="", "", VLOOKUP(W25, FoodEmission, 3, 0))</f>
        <v/>
      </c>
      <c r="X26" s="0" t="str">
        <f aca="false">IF(X25="", "", VLOOKUP(X25, FoodEmission, 3, 0))</f>
        <v/>
      </c>
      <c r="Y26" s="0" t="str">
        <f aca="false">IF(Y25="", "", VLOOKUP(Y25, FoodEmission, 3, 0))</f>
        <v/>
      </c>
      <c r="Z26" s="0" t="str">
        <f aca="false">IF(Z25="", "", VLOOKUP(Z25, FoodEmission, 3, 0))</f>
        <v/>
      </c>
    </row>
    <row r="27" customFormat="false" ht="14.5" hidden="false" customHeight="false" outlineLevel="0" collapsed="false">
      <c r="A27" s="248" t="s">
        <v>118</v>
      </c>
      <c r="B27" s="100"/>
      <c r="C27" s="100"/>
      <c r="D27" s="100"/>
      <c r="E27" s="100"/>
      <c r="F27" s="100"/>
      <c r="G27" s="100"/>
      <c r="H27" s="100"/>
    </row>
    <row r="1048576" customFormat="false" ht="14.5" hidden="false" customHeight="false" outlineLevel="0" collapsed="false"/>
  </sheetData>
  <mergeCells count="5">
    <mergeCell ref="A1:C2"/>
    <mergeCell ref="D1:H1"/>
    <mergeCell ref="D2:H3"/>
    <mergeCell ref="A3:B3"/>
    <mergeCell ref="B4:H4"/>
  </mergeCells>
  <dataValidations count="5">
    <dataValidation allowBlank="true" operator="between" showDropDown="false" showErrorMessage="true" showInputMessage="true" sqref="B25:Z25" type="list">
      <formula1>INDIRECT(B$24)</formula1>
      <formula2>0</formula2>
    </dataValidation>
    <dataValidation allowBlank="true" operator="between" showDropDown="false" showErrorMessage="true" showInputMessage="true" sqref="B19:Z19" type="list">
      <formula1>INDIRECT(B$18)</formula1>
      <formula2>0</formula2>
    </dataValidation>
    <dataValidation allowBlank="true" operator="between" showDropDown="false" showErrorMessage="true" showInputMessage="true" sqref="B13:Z13" type="list">
      <formula1>INDIRECT(B$12)</formula1>
      <formula2>0</formula2>
    </dataValidation>
    <dataValidation allowBlank="true" operator="between" showDropDown="false" showErrorMessage="true" showInputMessage="true" sqref="B7:Z7" type="list">
      <formula1>INDIRECT(B$6)</formula1>
      <formula2>0</formula2>
    </dataValidation>
    <dataValidation allowBlank="true" operator="between" showDropDown="false" showErrorMessage="true" showInputMessage="true" sqref="C3" type="list">
      <formula1>"1,2,3,4,5,6,7"</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tabColor rgb="FFFAC090"/>
    <pageSetUpPr fitToPage="false"/>
  </sheetPr>
  <dimension ref="A1:K31"/>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15" activeCellId="0" sqref="A15"/>
    </sheetView>
  </sheetViews>
  <sheetFormatPr defaultRowHeight="14.5"/>
  <cols>
    <col collapsed="false" hidden="false" max="1" min="1" style="0" width="31.8571428571429"/>
    <col collapsed="false" hidden="false" max="2" min="2" style="0" width="13.3622448979592"/>
    <col collapsed="false" hidden="false" max="3" min="3" style="0" width="14.3112244897959"/>
    <col collapsed="false" hidden="false" max="4" min="4" style="0" width="17.5510204081633"/>
    <col collapsed="false" hidden="false" max="5" min="5" style="0" width="18.6275510204082"/>
    <col collapsed="false" hidden="false" max="6" min="6" style="0" width="14.3112244897959"/>
    <col collapsed="false" hidden="false" max="7" min="7" style="0" width="13.9030612244898"/>
    <col collapsed="false" hidden="false" max="8" min="8" style="0" width="14.3112244897959"/>
    <col collapsed="false" hidden="false" max="9" min="9" style="0" width="17.5510204081633"/>
    <col collapsed="false" hidden="false" max="10" min="10" style="0" width="18.6275510204082"/>
    <col collapsed="false" hidden="false" max="11" min="11" style="0" width="14.3112244897959"/>
    <col collapsed="false" hidden="false" max="1025" min="12" style="0" width="8.50510204081633"/>
  </cols>
  <sheetData>
    <row r="1" customFormat="false" ht="14.5" hidden="false" customHeight="false" outlineLevel="0" collapsed="false">
      <c r="A1" s="0" t="s">
        <v>312</v>
      </c>
    </row>
    <row r="2" customFormat="false" ht="15" hidden="false" customHeight="false" outlineLevel="0" collapsed="false"/>
    <row r="3" customFormat="false" ht="14.5" hidden="false" customHeight="false" outlineLevel="0" collapsed="false">
      <c r="B3" s="138" t="s">
        <v>313</v>
      </c>
      <c r="C3" s="138"/>
      <c r="D3" s="138"/>
      <c r="E3" s="138"/>
      <c r="F3" s="138"/>
      <c r="G3" s="139" t="s">
        <v>314</v>
      </c>
      <c r="H3" s="139"/>
      <c r="I3" s="139"/>
      <c r="J3" s="139"/>
      <c r="K3" s="139"/>
    </row>
    <row r="4" customFormat="false" ht="15" hidden="false" customHeight="false" outlineLevel="0" collapsed="false">
      <c r="B4" s="138"/>
      <c r="C4" s="138"/>
      <c r="D4" s="138"/>
      <c r="E4" s="138"/>
      <c r="F4" s="138"/>
      <c r="G4" s="139"/>
      <c r="H4" s="139"/>
      <c r="I4" s="139"/>
      <c r="J4" s="139"/>
      <c r="K4" s="139"/>
    </row>
    <row r="5" customFormat="false" ht="14.5" hidden="false" customHeight="false" outlineLevel="0" collapsed="false">
      <c r="A5" s="145" t="s">
        <v>276</v>
      </c>
      <c r="B5" s="148" t="s">
        <v>277</v>
      </c>
      <c r="C5" s="149" t="s">
        <v>278</v>
      </c>
      <c r="D5" s="149" t="s">
        <v>279</v>
      </c>
      <c r="E5" s="149" t="s">
        <v>280</v>
      </c>
      <c r="F5" s="150" t="s">
        <v>281</v>
      </c>
      <c r="G5" s="148" t="s">
        <v>277</v>
      </c>
      <c r="H5" s="149" t="s">
        <v>278</v>
      </c>
      <c r="I5" s="149" t="s">
        <v>279</v>
      </c>
      <c r="J5" s="149" t="s">
        <v>280</v>
      </c>
      <c r="K5" s="150" t="s">
        <v>281</v>
      </c>
    </row>
    <row r="6" customFormat="false" ht="14.5" hidden="false" customHeight="false" outlineLevel="0" collapsed="false">
      <c r="A6" s="161" t="s">
        <v>315</v>
      </c>
      <c r="B6" s="158"/>
      <c r="C6" s="159"/>
      <c r="D6" s="159"/>
      <c r="E6" s="159"/>
      <c r="F6" s="160"/>
      <c r="G6" s="158"/>
      <c r="H6" s="159"/>
      <c r="I6" s="159"/>
      <c r="J6" s="159"/>
      <c r="K6" s="160"/>
    </row>
    <row r="7" customFormat="false" ht="14.5" hidden="false" customHeight="false" outlineLevel="0" collapsed="false">
      <c r="A7" s="167" t="n">
        <f aca="false">VLOOKUP('Household Input'!B11,'back end data'!A8:B10,2,0)</f>
        <v>10</v>
      </c>
      <c r="B7" s="165" t="n">
        <f aca="false">'Household Input'!C11*A7</f>
        <v>600</v>
      </c>
      <c r="C7" s="166"/>
      <c r="D7" s="166" t="n">
        <f aca="false">B7*VLOOKUP(Start!B15,'back end data'!A76:G77,4,0)</f>
        <v>4.10528637037037</v>
      </c>
      <c r="E7" s="167"/>
      <c r="F7" s="164" t="n">
        <f aca="false">B7*VLOOKUP(Start!B15,'back end data'!A76:G77,6,0)</f>
        <v>21.6740740740741</v>
      </c>
      <c r="G7" s="163" t="n">
        <f aca="false">52.14*B7</f>
        <v>31284</v>
      </c>
      <c r="H7" s="167" t="n">
        <f aca="false">52.14*C7</f>
        <v>0</v>
      </c>
      <c r="I7" s="249" t="n">
        <f aca="false">52.14*D7</f>
        <v>214.049631351111</v>
      </c>
      <c r="J7" s="167" t="n">
        <f aca="false">52.14*E7</f>
        <v>0</v>
      </c>
      <c r="K7" s="164" t="n">
        <f aca="false">52.14*F7</f>
        <v>1130.08622222222</v>
      </c>
    </row>
    <row r="8" customFormat="false" ht="14.5" hidden="false" customHeight="false" outlineLevel="0" collapsed="false">
      <c r="A8" s="167" t="n">
        <f aca="false">VLOOKUP('Household Input'!B12,'back end data'!A12:B14, 2, 0)</f>
        <v>0</v>
      </c>
      <c r="B8" s="165" t="n">
        <f aca="false">'Household Input'!C12*A8</f>
        <v>0</v>
      </c>
      <c r="C8" s="166"/>
      <c r="D8" s="166" t="n">
        <f aca="false">B8*VLOOKUP(Start!B15,'back end data'!A76:G77,4,0)</f>
        <v>0</v>
      </c>
      <c r="E8" s="166"/>
      <c r="F8" s="178" t="n">
        <f aca="false">B8*VLOOKUP(Start!B15,'back end data'!A76:G77,6,0)</f>
        <v>0</v>
      </c>
      <c r="G8" s="163" t="n">
        <f aca="false">52.14*B8</f>
        <v>0</v>
      </c>
      <c r="H8" s="167" t="n">
        <f aca="false">52.14*C8</f>
        <v>0</v>
      </c>
      <c r="I8" s="249" t="n">
        <f aca="false">52.14*D8</f>
        <v>0</v>
      </c>
      <c r="J8" s="167" t="n">
        <f aca="false">52.14*E8</f>
        <v>0</v>
      </c>
      <c r="K8" s="164" t="n">
        <f aca="false">52.14*F8</f>
        <v>0</v>
      </c>
    </row>
    <row r="9" customFormat="false" ht="14.5" hidden="false" customHeight="false" outlineLevel="0" collapsed="false">
      <c r="A9" s="167" t="n">
        <f aca="false">VLOOKUP('Household Input'!B13,'back end data'!A16:B18,2,0)</f>
        <v>13</v>
      </c>
      <c r="B9" s="165" t="n">
        <f aca="false">7*'Household Input'!C13*A9</f>
        <v>455</v>
      </c>
      <c r="C9" s="166"/>
      <c r="D9" s="166" t="n">
        <v>0</v>
      </c>
      <c r="E9" s="166"/>
      <c r="F9" s="178" t="n">
        <v>0</v>
      </c>
      <c r="G9" s="163" t="n">
        <f aca="false">52.14*B9</f>
        <v>23723.7</v>
      </c>
      <c r="H9" s="167" t="n">
        <f aca="false">52.14*C9</f>
        <v>0</v>
      </c>
      <c r="I9" s="249" t="n">
        <f aca="false">52.14*D9</f>
        <v>0</v>
      </c>
      <c r="J9" s="167" t="n">
        <f aca="false">52.14*E9</f>
        <v>0</v>
      </c>
      <c r="K9" s="164" t="n">
        <f aca="false">52.14*F9</f>
        <v>0</v>
      </c>
    </row>
    <row r="10" customFormat="false" ht="14.5" hidden="false" customHeight="false" outlineLevel="0" collapsed="false">
      <c r="A10" s="167" t="n">
        <f aca="false">VLOOKUP('Household Input'!B14,'back end data'!A22:B23,2,0)</f>
        <v>3</v>
      </c>
      <c r="B10" s="165" t="n">
        <f aca="false">7*'Household Input'!C14*A10</f>
        <v>42</v>
      </c>
      <c r="C10" s="166"/>
      <c r="D10" s="166" t="n">
        <v>0</v>
      </c>
      <c r="E10" s="166"/>
      <c r="F10" s="178" t="n">
        <v>0</v>
      </c>
      <c r="G10" s="163" t="n">
        <f aca="false">52.14*B10</f>
        <v>2189.88</v>
      </c>
      <c r="H10" s="167" t="n">
        <f aca="false">52.14*C10</f>
        <v>0</v>
      </c>
      <c r="I10" s="249" t="n">
        <f aca="false">52.14*D10</f>
        <v>0</v>
      </c>
      <c r="J10" s="167" t="n">
        <f aca="false">52.14*E10</f>
        <v>0</v>
      </c>
      <c r="K10" s="164" t="n">
        <f aca="false">52.14*F10</f>
        <v>0</v>
      </c>
    </row>
    <row r="11" customFormat="false" ht="14.5" hidden="false" customHeight="false" outlineLevel="0" collapsed="false">
      <c r="A11" s="167" t="n">
        <f aca="false">'back end data'!B25</f>
        <v>1</v>
      </c>
      <c r="B11" s="165" t="n">
        <f aca="false">7*'Household Input'!C15*A11</f>
        <v>70</v>
      </c>
      <c r="C11" s="166"/>
      <c r="D11" s="166" t="n">
        <v>0</v>
      </c>
      <c r="E11" s="166"/>
      <c r="F11" s="178" t="n">
        <v>0</v>
      </c>
      <c r="G11" s="163" t="n">
        <f aca="false">52.14*B11</f>
        <v>3649.8</v>
      </c>
      <c r="H11" s="167" t="n">
        <f aca="false">52.14*C11</f>
        <v>0</v>
      </c>
      <c r="I11" s="249" t="n">
        <f aca="false">52.14*D11</f>
        <v>0</v>
      </c>
      <c r="J11" s="167" t="n">
        <f aca="false">52.14*E11</f>
        <v>0</v>
      </c>
      <c r="K11" s="164" t="n">
        <f aca="false">52.14*F11</f>
        <v>0</v>
      </c>
    </row>
    <row r="12" customFormat="false" ht="14.5" hidden="false" customHeight="false" outlineLevel="0" collapsed="false">
      <c r="A12" s="167" t="n">
        <f aca="false">'back end data'!B27</f>
        <v>5</v>
      </c>
      <c r="B12" s="165" t="n">
        <f aca="false">'Household Input'!C16*A12</f>
        <v>0</v>
      </c>
      <c r="C12" s="166"/>
      <c r="D12" s="166" t="n">
        <v>0</v>
      </c>
      <c r="E12" s="166"/>
      <c r="F12" s="178" t="n">
        <v>0</v>
      </c>
      <c r="G12" s="163" t="n">
        <f aca="false">52.14*B12</f>
        <v>0</v>
      </c>
      <c r="H12" s="167" t="n">
        <f aca="false">52.14*C12</f>
        <v>0</v>
      </c>
      <c r="I12" s="249" t="n">
        <f aca="false">52.14*D12</f>
        <v>0</v>
      </c>
      <c r="J12" s="167" t="n">
        <f aca="false">52.14*E12</f>
        <v>0</v>
      </c>
      <c r="K12" s="164" t="n">
        <f aca="false">52.14*F12</f>
        <v>0</v>
      </c>
    </row>
    <row r="13" customFormat="false" ht="14.5" hidden="false" customHeight="false" outlineLevel="0" collapsed="false">
      <c r="A13" s="167"/>
      <c r="B13" s="165"/>
      <c r="C13" s="166"/>
      <c r="D13" s="166"/>
      <c r="E13" s="166"/>
      <c r="F13" s="178"/>
      <c r="G13" s="163"/>
      <c r="H13" s="167"/>
      <c r="I13" s="249"/>
      <c r="J13" s="167" t="n">
        <f aca="false">52.14*E13</f>
        <v>0</v>
      </c>
      <c r="K13" s="164" t="n">
        <f aca="false">52.14*F13</f>
        <v>0</v>
      </c>
    </row>
    <row r="14" customFormat="false" ht="14.5" hidden="false" customHeight="false" outlineLevel="0" collapsed="false">
      <c r="A14" s="161" t="s">
        <v>316</v>
      </c>
      <c r="B14" s="158"/>
      <c r="C14" s="159"/>
      <c r="D14" s="159"/>
      <c r="E14" s="159"/>
      <c r="F14" s="160"/>
      <c r="G14" s="154"/>
      <c r="H14" s="161"/>
      <c r="I14" s="250"/>
      <c r="J14" s="161"/>
      <c r="K14" s="156"/>
    </row>
    <row r="15" customFormat="false" ht="14.5" hidden="false" customHeight="false" outlineLevel="0" collapsed="false">
      <c r="A15" s="167" t="n">
        <f aca="false">VLOOKUP('Household Input'!B19,'back end data'!A30:B32,2,0)</f>
        <v>7.14</v>
      </c>
      <c r="B15" s="165" t="n">
        <f aca="false">'Household Input'!C19*A15</f>
        <v>21.42</v>
      </c>
      <c r="C15" s="166"/>
      <c r="D15" s="166" t="n">
        <f aca="false">'Household Input'!C19*VLOOKUP(Start!B15,'back end data'!A80:I81,8,0)</f>
        <v>0.290302393333333</v>
      </c>
      <c r="E15" s="166"/>
      <c r="F15" s="178" t="n">
        <f aca="false">'Household Input'!C19*VLOOKUP(Start!B15,'back end data'!A80:I81,6,0)</f>
        <v>0.127722222222222</v>
      </c>
      <c r="G15" s="163" t="n">
        <f aca="false">52.14*B15</f>
        <v>1116.8388</v>
      </c>
      <c r="H15" s="167" t="n">
        <f aca="false">52.14*C15</f>
        <v>0</v>
      </c>
      <c r="I15" s="249" t="n">
        <f aca="false">52.14*D15</f>
        <v>15.1363667884</v>
      </c>
      <c r="J15" s="167" t="n">
        <f aca="false">52.14*E15</f>
        <v>0</v>
      </c>
      <c r="K15" s="164" t="n">
        <f aca="false">52.14*F15</f>
        <v>6.65943666666667</v>
      </c>
    </row>
    <row r="16" customFormat="false" ht="14.5" hidden="false" customHeight="false" outlineLevel="0" collapsed="false">
      <c r="A16" s="167" t="n">
        <f aca="false">VLOOKUP('Household Input'!B20,'back end data'!A34:B35,2,0)</f>
        <v>0.53</v>
      </c>
      <c r="B16" s="165" t="n">
        <v>0</v>
      </c>
      <c r="C16" s="166"/>
      <c r="D16" s="166" t="n">
        <f aca="false">F16*'back end data'!B63</f>
        <v>0.3011619</v>
      </c>
      <c r="E16" s="166"/>
      <c r="F16" s="178" t="n">
        <f aca="false">'Household Input'!C20*A16</f>
        <v>1.59</v>
      </c>
      <c r="G16" s="163" t="n">
        <f aca="false">52.14*B16</f>
        <v>0</v>
      </c>
      <c r="H16" s="167" t="n">
        <f aca="false">52.14*C16</f>
        <v>0</v>
      </c>
      <c r="I16" s="249" t="n">
        <f aca="false">52.14*D16</f>
        <v>15.702581466</v>
      </c>
      <c r="J16" s="167" t="n">
        <f aca="false">52.14*E16</f>
        <v>0</v>
      </c>
      <c r="K16" s="164" t="n">
        <f aca="false">52.14*F16</f>
        <v>82.9026</v>
      </c>
    </row>
    <row r="17" customFormat="false" ht="14.5" hidden="false" customHeight="false" outlineLevel="0" collapsed="false">
      <c r="A17" s="167"/>
      <c r="B17" s="165"/>
      <c r="C17" s="166"/>
      <c r="D17" s="166"/>
      <c r="E17" s="166"/>
      <c r="F17" s="178"/>
      <c r="G17" s="163"/>
      <c r="H17" s="167"/>
      <c r="I17" s="249"/>
      <c r="J17" s="167"/>
      <c r="K17" s="164" t="n">
        <f aca="false">52.14*F17</f>
        <v>0</v>
      </c>
    </row>
    <row r="18" customFormat="false" ht="14.5" hidden="false" customHeight="false" outlineLevel="0" collapsed="false">
      <c r="A18" s="161" t="s">
        <v>317</v>
      </c>
      <c r="B18" s="158"/>
      <c r="C18" s="159"/>
      <c r="D18" s="159"/>
      <c r="E18" s="159"/>
      <c r="F18" s="160"/>
      <c r="G18" s="154"/>
      <c r="H18" s="161"/>
      <c r="I18" s="250"/>
      <c r="J18" s="161"/>
      <c r="K18" s="156"/>
    </row>
    <row r="19" customFormat="false" ht="14.5" hidden="false" customHeight="false" outlineLevel="0" collapsed="false">
      <c r="A19" s="167" t="n">
        <f aca="false">VLOOKUP('Household Input'!B23,'back end data'!A38:B40,2,0)</f>
        <v>0.36</v>
      </c>
      <c r="B19" s="165" t="n">
        <f aca="false">'Household Input'!C23*7</f>
        <v>7</v>
      </c>
      <c r="C19" s="166"/>
      <c r="D19" s="166" t="n">
        <f aca="false">F19*'back end data'!B63</f>
        <v>0.4773132</v>
      </c>
      <c r="E19" s="166"/>
      <c r="F19" s="178" t="n">
        <f aca="false">'Household Input'!C23*7*A19</f>
        <v>2.52</v>
      </c>
      <c r="G19" s="163" t="n">
        <f aca="false">52.14*B19</f>
        <v>364.98</v>
      </c>
      <c r="H19" s="167" t="n">
        <f aca="false">52.14*C19</f>
        <v>0</v>
      </c>
      <c r="I19" s="249" t="n">
        <f aca="false">52.14*D19</f>
        <v>24.887110248</v>
      </c>
      <c r="J19" s="167" t="n">
        <f aca="false">52.14*E19</f>
        <v>0</v>
      </c>
      <c r="K19" s="164" t="n">
        <f aca="false">52.14*F19</f>
        <v>131.3928</v>
      </c>
    </row>
    <row r="20" customFormat="false" ht="14.5" hidden="false" customHeight="false" outlineLevel="0" collapsed="false">
      <c r="A20" s="167" t="n">
        <f aca="false">VLOOKUP('Household Input'!B24,'back end data'!A42:B43,2,0)</f>
        <v>30</v>
      </c>
      <c r="B20" s="165" t="n">
        <f aca="false">'Household Input'!C24*'household calculator'!A20</f>
        <v>210</v>
      </c>
      <c r="C20" s="166"/>
      <c r="D20" s="166" t="n">
        <f aca="false">B20*0.5*VLOOKUP(Start!B15,'back end data'!A83:G84,4,0)</f>
        <v>0.975005512962963</v>
      </c>
      <c r="E20" s="166"/>
      <c r="F20" s="178" t="n">
        <f aca="false">B20*0.5*VLOOKUP(Start!B15,'back end data'!A83:G84,6,0)</f>
        <v>5.14759259259259</v>
      </c>
      <c r="G20" s="163" t="n">
        <f aca="false">52.14*B20</f>
        <v>10949.4</v>
      </c>
      <c r="H20" s="167" t="n">
        <f aca="false">52.14*C20</f>
        <v>0</v>
      </c>
      <c r="I20" s="249" t="n">
        <f aca="false">52.14*D20</f>
        <v>50.8367874458889</v>
      </c>
      <c r="J20" s="167" t="n">
        <f aca="false">52.14*E20</f>
        <v>0</v>
      </c>
      <c r="K20" s="164" t="n">
        <f aca="false">52.14*F20</f>
        <v>268.395477777778</v>
      </c>
    </row>
    <row r="21" customFormat="false" ht="14.5" hidden="false" customHeight="false" outlineLevel="0" collapsed="false">
      <c r="A21" s="167" t="n">
        <f aca="false">VLOOKUP('Household Input'!B25,'back end data'!A45:B47,2,0)</f>
        <v>0</v>
      </c>
      <c r="B21" s="165" t="n">
        <f aca="false">'Household Input'!C25*A21</f>
        <v>0</v>
      </c>
      <c r="C21" s="166"/>
      <c r="D21" s="166" t="n">
        <f aca="false">B21*VLOOKUP(Start!B15,'back end data'!A83:G84,4,0)</f>
        <v>0</v>
      </c>
      <c r="E21" s="166"/>
      <c r="F21" s="178" t="n">
        <f aca="false">B21*VLOOKUP(Start!B15,'back end data'!A83:G84,6,0)</f>
        <v>0</v>
      </c>
      <c r="G21" s="163" t="n">
        <f aca="false">52.14*B21</f>
        <v>0</v>
      </c>
      <c r="H21" s="167" t="n">
        <f aca="false">52.14*C21</f>
        <v>0</v>
      </c>
      <c r="I21" s="249" t="n">
        <f aca="false">52.14*D21</f>
        <v>0</v>
      </c>
      <c r="J21" s="167" t="n">
        <f aca="false">52.14*E21</f>
        <v>0</v>
      </c>
      <c r="K21" s="164" t="n">
        <f aca="false">52.14*F21</f>
        <v>0</v>
      </c>
    </row>
    <row r="22" customFormat="false" ht="14.5" hidden="false" customHeight="false" outlineLevel="0" collapsed="false">
      <c r="A22" s="167"/>
      <c r="B22" s="165"/>
      <c r="C22" s="166"/>
      <c r="D22" s="166"/>
      <c r="E22" s="166"/>
      <c r="F22" s="178"/>
      <c r="G22" s="163"/>
      <c r="H22" s="167"/>
      <c r="I22" s="167"/>
      <c r="J22" s="167" t="n">
        <f aca="false">52.14*E22</f>
        <v>0</v>
      </c>
      <c r="K22" s="164" t="n">
        <f aca="false">52.14*F22</f>
        <v>0</v>
      </c>
    </row>
    <row r="23" customFormat="false" ht="14.5" hidden="false" customHeight="false" outlineLevel="0" collapsed="false">
      <c r="A23" s="161" t="s">
        <v>318</v>
      </c>
      <c r="B23" s="158"/>
      <c r="C23" s="159"/>
      <c r="D23" s="159"/>
      <c r="E23" s="159"/>
      <c r="F23" s="160"/>
      <c r="G23" s="154"/>
      <c r="H23" s="161"/>
      <c r="I23" s="161"/>
      <c r="J23" s="161"/>
      <c r="K23" s="156"/>
    </row>
    <row r="24" customFormat="false" ht="14.5" hidden="false" customHeight="false" outlineLevel="0" collapsed="false">
      <c r="A24" s="167" t="n">
        <f aca="false">VLOOKUP('Household Input'!B28,'back end data'!A50:B52,2,0)</f>
        <v>0.05</v>
      </c>
      <c r="B24" s="165" t="n">
        <v>0</v>
      </c>
      <c r="C24" s="166"/>
      <c r="D24" s="166" t="n">
        <f aca="false">F24*'back end data'!$B$63</f>
        <v>0</v>
      </c>
      <c r="E24" s="166"/>
      <c r="F24" s="178" t="n">
        <f aca="false">'Household Input'!C28*A24</f>
        <v>0</v>
      </c>
      <c r="G24" s="163" t="n">
        <f aca="false">52.14*B24</f>
        <v>0</v>
      </c>
      <c r="H24" s="167" t="n">
        <f aca="false">52.14*C24</f>
        <v>0</v>
      </c>
      <c r="I24" s="167" t="n">
        <f aca="false">52.14*D24</f>
        <v>0</v>
      </c>
      <c r="J24" s="167" t="n">
        <f aca="false">52.14*E24</f>
        <v>0</v>
      </c>
      <c r="K24" s="164" t="n">
        <f aca="false">52.14*F24</f>
        <v>0</v>
      </c>
    </row>
    <row r="25" customFormat="false" ht="14.5" hidden="false" customHeight="false" outlineLevel="0" collapsed="false">
      <c r="A25" s="167" t="n">
        <f aca="false">VLOOKUP('Household Input'!B29,'back end data'!A54:B55,2,0)</f>
        <v>0.05</v>
      </c>
      <c r="B25" s="165" t="n">
        <v>0</v>
      </c>
      <c r="C25" s="166"/>
      <c r="D25" s="166" t="n">
        <f aca="false">F25*'back end data'!$B$63</f>
        <v>0.662935</v>
      </c>
      <c r="E25" s="166"/>
      <c r="F25" s="178" t="n">
        <f aca="false">7*'Household Input'!C29*A25</f>
        <v>3.5</v>
      </c>
      <c r="G25" s="163" t="n">
        <f aca="false">52.14*B25</f>
        <v>0</v>
      </c>
      <c r="H25" s="167" t="n">
        <f aca="false">52.14*C25</f>
        <v>0</v>
      </c>
      <c r="I25" s="167" t="n">
        <f aca="false">52.14*D25</f>
        <v>34.5654309</v>
      </c>
      <c r="J25" s="167" t="n">
        <f aca="false">52.14*E25</f>
        <v>0</v>
      </c>
      <c r="K25" s="164" t="n">
        <f aca="false">52.14*F25</f>
        <v>182.49</v>
      </c>
    </row>
    <row r="26" customFormat="false" ht="14.5" hidden="false" customHeight="false" outlineLevel="0" collapsed="false">
      <c r="A26" s="167" t="n">
        <f aca="false">VLOOKUP('Household Input'!B30,'back end data'!A60:B61,2,0)</f>
        <v>0.005</v>
      </c>
      <c r="B26" s="165" t="n">
        <v>0</v>
      </c>
      <c r="C26" s="166"/>
      <c r="D26" s="166" t="n">
        <f aca="false">F26*'back end data'!$B$63</f>
        <v>0.00662935</v>
      </c>
      <c r="E26" s="166"/>
      <c r="F26" s="178" t="n">
        <f aca="false">7*'Household Input'!C30*A26</f>
        <v>0.035</v>
      </c>
      <c r="G26" s="163" t="n">
        <f aca="false">52.14*B26</f>
        <v>0</v>
      </c>
      <c r="H26" s="167" t="n">
        <f aca="false">52.14*C26</f>
        <v>0</v>
      </c>
      <c r="I26" s="167" t="n">
        <f aca="false">52.14*D26</f>
        <v>0.345654309</v>
      </c>
      <c r="J26" s="167" t="n">
        <f aca="false">52.14*E26</f>
        <v>0</v>
      </c>
      <c r="K26" s="164" t="n">
        <f aca="false">52.14*F26</f>
        <v>1.8249</v>
      </c>
    </row>
    <row r="27" customFormat="false" ht="14.5" hidden="false" customHeight="false" outlineLevel="0" collapsed="false">
      <c r="A27" s="167" t="n">
        <f aca="false">VLOOKUP('Household Input'!B31,'back end data'!A57:B58,2,0)</f>
        <v>0</v>
      </c>
      <c r="B27" s="165" t="n">
        <v>0</v>
      </c>
      <c r="C27" s="166"/>
      <c r="D27" s="166" t="n">
        <f aca="false">F27*'back end data'!$B$63</f>
        <v>0</v>
      </c>
      <c r="E27" s="166"/>
      <c r="F27" s="178" t="n">
        <f aca="false">7*'Household Input'!C31*A27</f>
        <v>0</v>
      </c>
      <c r="G27" s="163" t="n">
        <f aca="false">52.14*B27</f>
        <v>0</v>
      </c>
      <c r="H27" s="167" t="n">
        <f aca="false">52.14*C27</f>
        <v>0</v>
      </c>
      <c r="I27" s="167" t="n">
        <f aca="false">52.14*D27</f>
        <v>0</v>
      </c>
      <c r="J27" s="167" t="n">
        <f aca="false">52.14*E27</f>
        <v>0</v>
      </c>
      <c r="K27" s="164" t="n">
        <f aca="false">52.14*F27</f>
        <v>0</v>
      </c>
    </row>
    <row r="28" customFormat="false" ht="14.5" hidden="false" customHeight="false" outlineLevel="0" collapsed="false">
      <c r="A28" s="167"/>
      <c r="B28" s="165"/>
      <c r="C28" s="166"/>
      <c r="D28" s="166"/>
      <c r="E28" s="166"/>
      <c r="F28" s="178"/>
      <c r="G28" s="163"/>
      <c r="H28" s="167"/>
      <c r="I28" s="167"/>
      <c r="J28" s="167"/>
      <c r="K28" s="164"/>
    </row>
    <row r="29" customFormat="false" ht="14.5" hidden="false" customHeight="false" outlineLevel="0" collapsed="false">
      <c r="A29" s="161" t="s">
        <v>319</v>
      </c>
      <c r="B29" s="158"/>
      <c r="C29" s="159"/>
      <c r="D29" s="159"/>
      <c r="E29" s="159"/>
      <c r="F29" s="160"/>
      <c r="G29" s="154"/>
      <c r="H29" s="161"/>
      <c r="I29" s="161"/>
      <c r="J29" s="161"/>
      <c r="K29" s="156"/>
    </row>
    <row r="30" customFormat="false" ht="15" hidden="false" customHeight="false" outlineLevel="0" collapsed="false">
      <c r="A30" s="196" t="n">
        <f aca="false">VLOOKUP('Household Input'!B34,'back end data'!A67:B71,2,0)</f>
        <v>0.06</v>
      </c>
      <c r="B30" s="193" t="n">
        <v>0</v>
      </c>
      <c r="C30" s="194"/>
      <c r="D30" s="194" t="n">
        <f aca="false">F30*'back end data'!B63</f>
        <v>3.182088</v>
      </c>
      <c r="E30" s="194"/>
      <c r="F30" s="195" t="n">
        <f aca="false">'Household Input'!C34*4*7*A30</f>
        <v>16.8</v>
      </c>
      <c r="G30" s="191" t="n">
        <f aca="false">52.14*B30</f>
        <v>0</v>
      </c>
      <c r="H30" s="196" t="n">
        <f aca="false">52.14*C30</f>
        <v>0</v>
      </c>
      <c r="I30" s="196" t="n">
        <f aca="false">52.14*D30</f>
        <v>165.91406832</v>
      </c>
      <c r="J30" s="196" t="n">
        <f aca="false">52.14*E30</f>
        <v>0</v>
      </c>
      <c r="K30" s="192" t="n">
        <f aca="false">52.14*F30</f>
        <v>875.952</v>
      </c>
    </row>
    <row r="31" customFormat="false" ht="23.5" hidden="false" customHeight="false" outlineLevel="0" collapsed="false">
      <c r="A31" s="208"/>
      <c r="B31" s="209" t="n">
        <f aca="false">SUM(B7:B30)</f>
        <v>1405.42</v>
      </c>
      <c r="C31" s="209" t="n">
        <f aca="false">SUM(C7:C30)</f>
        <v>0</v>
      </c>
      <c r="D31" s="209" t="n">
        <f aca="false">SUM(D7:D30)</f>
        <v>10.0007217266667</v>
      </c>
      <c r="E31" s="209" t="n">
        <f aca="false">SUM(E7:E30)</f>
        <v>0</v>
      </c>
      <c r="F31" s="209" t="n">
        <f aca="false">SUM(F7:F30)</f>
        <v>51.3943888888889</v>
      </c>
      <c r="G31" s="209" t="n">
        <f aca="false">SUM(G7:G30)</f>
        <v>73278.5988</v>
      </c>
      <c r="H31" s="209" t="n">
        <f aca="false">SUM(H7:H30)</f>
        <v>0</v>
      </c>
      <c r="I31" s="209" t="n">
        <f aca="false">SUM(I7:I30)</f>
        <v>521.4376308284</v>
      </c>
      <c r="J31" s="209" t="n">
        <f aca="false">SUM(J7:J30)</f>
        <v>0</v>
      </c>
      <c r="K31" s="209" t="n">
        <f aca="false">SUM(K7:K30)</f>
        <v>2679.70343666667</v>
      </c>
    </row>
  </sheetData>
  <mergeCells count="2">
    <mergeCell ref="B3:F4"/>
    <mergeCell ref="G3:K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5:P122"/>
  <sheetViews>
    <sheetView windowProtection="false" showFormulas="false" showGridLines="true" showRowColHeaders="true" showZeros="true" rightToLeft="false" tabSelected="false" showOutlineSymbols="true" defaultGridColor="true" view="normal" topLeftCell="A73" colorId="64" zoomScale="90" zoomScaleNormal="90" zoomScalePageLayoutView="100" workbookViewId="0">
      <selection pane="topLeft" activeCell="E80" activeCellId="0" sqref="E80"/>
    </sheetView>
  </sheetViews>
  <sheetFormatPr defaultRowHeight="14.5"/>
  <cols>
    <col collapsed="false" hidden="false" max="1" min="1" style="0" width="28.7551020408163"/>
    <col collapsed="false" hidden="false" max="2" min="2" style="0" width="10.2602040816327"/>
    <col collapsed="false" hidden="false" max="3" min="3" style="0" width="17.280612244898"/>
    <col collapsed="false" hidden="false" max="1025" min="4" style="0" width="8.50510204081633"/>
  </cols>
  <sheetData>
    <row r="5" customFormat="false" ht="14.5" hidden="false" customHeight="false" outlineLevel="0" collapsed="false">
      <c r="A5" s="71" t="s">
        <v>320</v>
      </c>
      <c r="B5" s="71"/>
      <c r="C5" s="71"/>
      <c r="P5" s="0" t="s">
        <v>91</v>
      </c>
    </row>
    <row r="6" customFormat="false" ht="14.5" hidden="false" customHeight="false" outlineLevel="0" collapsed="false">
      <c r="A6" s="251" t="s">
        <v>321</v>
      </c>
      <c r="P6" s="0" t="n">
        <v>1930</v>
      </c>
    </row>
    <row r="7" customFormat="false" ht="14.5" hidden="false" customHeight="false" outlineLevel="0" collapsed="false">
      <c r="A7" s="252" t="s">
        <v>322</v>
      </c>
      <c r="P7" s="0" t="n">
        <v>1931</v>
      </c>
    </row>
    <row r="8" customFormat="false" ht="14.5" hidden="false" customHeight="false" outlineLevel="0" collapsed="false">
      <c r="A8" s="0" t="s">
        <v>43</v>
      </c>
      <c r="B8" s="0" t="n">
        <v>10</v>
      </c>
      <c r="C8" s="0" t="s">
        <v>323</v>
      </c>
      <c r="P8" s="0" t="n">
        <v>1932</v>
      </c>
    </row>
    <row r="9" customFormat="false" ht="14.5" hidden="false" customHeight="false" outlineLevel="0" collapsed="false">
      <c r="A9" s="0" t="s">
        <v>282</v>
      </c>
      <c r="B9" s="0" t="n">
        <v>5.5</v>
      </c>
      <c r="C9" s="0" t="s">
        <v>323</v>
      </c>
      <c r="P9" s="0" t="n">
        <v>1933</v>
      </c>
    </row>
    <row r="10" customFormat="false" ht="14.5" hidden="false" customHeight="false" outlineLevel="0" collapsed="false">
      <c r="A10" s="0" t="s">
        <v>324</v>
      </c>
      <c r="B10" s="0" t="n">
        <f aca="false">AVERAGE(B8:B9)</f>
        <v>7.75</v>
      </c>
      <c r="C10" s="0" t="s">
        <v>323</v>
      </c>
      <c r="P10" s="0" t="n">
        <v>1934</v>
      </c>
    </row>
    <row r="11" customFormat="false" ht="14.5" hidden="false" customHeight="false" outlineLevel="0" collapsed="false">
      <c r="A11" s="253" t="s">
        <v>322</v>
      </c>
      <c r="P11" s="0" t="n">
        <v>1935</v>
      </c>
    </row>
    <row r="12" customFormat="false" ht="14.5" hidden="false" customHeight="false" outlineLevel="0" collapsed="false">
      <c r="A12" s="0" t="s">
        <v>283</v>
      </c>
      <c r="B12" s="0" t="n">
        <v>110</v>
      </c>
      <c r="C12" s="0" t="s">
        <v>325</v>
      </c>
      <c r="P12" s="0" t="n">
        <v>1936</v>
      </c>
    </row>
    <row r="13" customFormat="false" ht="14.5" hidden="false" customHeight="false" outlineLevel="0" collapsed="false">
      <c r="A13" s="0" t="s">
        <v>326</v>
      </c>
      <c r="B13" s="0" t="n">
        <v>60</v>
      </c>
      <c r="C13" s="0" t="s">
        <v>325</v>
      </c>
      <c r="P13" s="0" t="n">
        <v>1937</v>
      </c>
    </row>
    <row r="14" customFormat="false" ht="14.5" hidden="false" customHeight="false" outlineLevel="0" collapsed="false">
      <c r="A14" s="0" t="s">
        <v>46</v>
      </c>
      <c r="B14" s="0" t="n">
        <v>0</v>
      </c>
      <c r="C14" s="0" t="s">
        <v>325</v>
      </c>
      <c r="P14" s="0" t="n">
        <v>1938</v>
      </c>
    </row>
    <row r="15" customFormat="false" ht="14.5" hidden="false" customHeight="false" outlineLevel="0" collapsed="false">
      <c r="A15" s="253" t="s">
        <v>322</v>
      </c>
      <c r="P15" s="0" t="n">
        <v>1939</v>
      </c>
    </row>
    <row r="16" customFormat="false" ht="14.5" hidden="false" customHeight="false" outlineLevel="0" collapsed="false">
      <c r="A16" s="0" t="s">
        <v>49</v>
      </c>
      <c r="B16" s="0" t="n">
        <v>13</v>
      </c>
      <c r="C16" s="0" t="s">
        <v>325</v>
      </c>
      <c r="P16" s="0" t="n">
        <v>1940</v>
      </c>
    </row>
    <row r="17" customFormat="false" ht="14.5" hidden="false" customHeight="false" outlineLevel="0" collapsed="false">
      <c r="A17" s="0" t="s">
        <v>284</v>
      </c>
      <c r="B17" s="0" t="n">
        <v>3.5</v>
      </c>
      <c r="C17" s="0" t="s">
        <v>325</v>
      </c>
      <c r="P17" s="0" t="n">
        <v>1941</v>
      </c>
    </row>
    <row r="18" customFormat="false" ht="14.5" hidden="false" customHeight="false" outlineLevel="0" collapsed="false">
      <c r="A18" s="0" t="s">
        <v>324</v>
      </c>
      <c r="B18" s="0" t="n">
        <f aca="false">AVERAGE(B16:B17)</f>
        <v>8.25</v>
      </c>
      <c r="C18" s="0" t="s">
        <v>325</v>
      </c>
      <c r="P18" s="0" t="n">
        <v>1942</v>
      </c>
    </row>
    <row r="19" customFormat="false" ht="14.5" hidden="false" customHeight="false" outlineLevel="0" collapsed="false">
      <c r="A19" s="0" t="s">
        <v>327</v>
      </c>
      <c r="B19" s="0" t="n">
        <v>2.5</v>
      </c>
      <c r="C19" s="0" t="s">
        <v>325</v>
      </c>
      <c r="P19" s="0" t="n">
        <v>1943</v>
      </c>
    </row>
    <row r="20" customFormat="false" ht="14.5" hidden="false" customHeight="false" outlineLevel="0" collapsed="false">
      <c r="A20" s="0" t="s">
        <v>328</v>
      </c>
      <c r="B20" s="0" t="n">
        <v>6</v>
      </c>
      <c r="C20" s="0" t="s">
        <v>325</v>
      </c>
      <c r="P20" s="0" t="n">
        <v>1944</v>
      </c>
    </row>
    <row r="21" customFormat="false" ht="14.5" hidden="false" customHeight="false" outlineLevel="0" collapsed="false">
      <c r="A21" s="253" t="s">
        <v>322</v>
      </c>
      <c r="P21" s="0" t="n">
        <v>1945</v>
      </c>
    </row>
    <row r="22" customFormat="false" ht="14.5" hidden="false" customHeight="false" outlineLevel="0" collapsed="false">
      <c r="A22" s="0" t="s">
        <v>52</v>
      </c>
      <c r="B22" s="0" t="n">
        <v>3</v>
      </c>
      <c r="C22" s="0" t="s">
        <v>325</v>
      </c>
      <c r="P22" s="0" t="n">
        <v>1946</v>
      </c>
    </row>
    <row r="23" customFormat="false" ht="14.5" hidden="false" customHeight="false" outlineLevel="0" collapsed="false">
      <c r="A23" s="0" t="s">
        <v>329</v>
      </c>
      <c r="B23" s="0" t="n">
        <v>12</v>
      </c>
      <c r="C23" s="0" t="s">
        <v>325</v>
      </c>
      <c r="P23" s="0" t="n">
        <v>1947</v>
      </c>
    </row>
    <row r="24" customFormat="false" ht="14.5" hidden="false" customHeight="false" outlineLevel="0" collapsed="false">
      <c r="A24" s="253" t="s">
        <v>322</v>
      </c>
      <c r="P24" s="0" t="n">
        <v>1948</v>
      </c>
    </row>
    <row r="25" customFormat="false" ht="14.5" hidden="false" customHeight="false" outlineLevel="0" collapsed="false">
      <c r="A25" s="0" t="s">
        <v>53</v>
      </c>
      <c r="B25" s="0" t="n">
        <v>1</v>
      </c>
      <c r="C25" s="0" t="s">
        <v>325</v>
      </c>
      <c r="P25" s="0" t="n">
        <v>1949</v>
      </c>
    </row>
    <row r="26" customFormat="false" ht="14.5" hidden="false" customHeight="false" outlineLevel="0" collapsed="false">
      <c r="A26" s="253" t="s">
        <v>322</v>
      </c>
      <c r="P26" s="0" t="n">
        <v>1950</v>
      </c>
    </row>
    <row r="27" customFormat="false" ht="14.5" hidden="false" customHeight="false" outlineLevel="0" collapsed="false">
      <c r="A27" s="0" t="s">
        <v>55</v>
      </c>
      <c r="B27" s="0" t="n">
        <v>5</v>
      </c>
      <c r="C27" s="0" t="s">
        <v>325</v>
      </c>
      <c r="P27" s="0" t="n">
        <v>1951</v>
      </c>
    </row>
    <row r="28" customFormat="false" ht="14.5" hidden="false" customHeight="false" outlineLevel="0" collapsed="false">
      <c r="P28" s="0" t="n">
        <v>1952</v>
      </c>
    </row>
    <row r="29" customFormat="false" ht="14.5" hidden="false" customHeight="false" outlineLevel="0" collapsed="false">
      <c r="A29" s="0" t="s">
        <v>322</v>
      </c>
      <c r="P29" s="0" t="n">
        <v>1953</v>
      </c>
    </row>
    <row r="30" customFormat="false" ht="14.5" hidden="false" customHeight="false" outlineLevel="0" collapsed="false">
      <c r="A30" s="0" t="s">
        <v>330</v>
      </c>
      <c r="B30" s="0" t="n">
        <v>30</v>
      </c>
      <c r="C30" s="0" t="s">
        <v>331</v>
      </c>
      <c r="D30" s="0" t="n">
        <v>0</v>
      </c>
      <c r="P30" s="0" t="n">
        <v>1954</v>
      </c>
    </row>
    <row r="31" customFormat="false" ht="14.5" hidden="false" customHeight="false" outlineLevel="0" collapsed="false">
      <c r="A31" s="0" t="s">
        <v>285</v>
      </c>
      <c r="B31" s="0" t="n">
        <v>13.95</v>
      </c>
      <c r="C31" s="0" t="s">
        <v>331</v>
      </c>
      <c r="D31" s="0" t="n">
        <v>0.3</v>
      </c>
      <c r="E31" s="0" t="s">
        <v>332</v>
      </c>
      <c r="P31" s="0" t="n">
        <v>1955</v>
      </c>
    </row>
    <row r="32" customFormat="false" ht="14.5" hidden="false" customHeight="false" outlineLevel="0" collapsed="false">
      <c r="A32" s="0" t="s">
        <v>58</v>
      </c>
      <c r="B32" s="0" t="n">
        <v>7.14</v>
      </c>
      <c r="C32" s="0" t="s">
        <v>331</v>
      </c>
      <c r="D32" s="0" t="n">
        <v>0.2</v>
      </c>
      <c r="E32" s="0" t="s">
        <v>332</v>
      </c>
      <c r="P32" s="0" t="n">
        <v>1956</v>
      </c>
    </row>
    <row r="33" customFormat="false" ht="14.5" hidden="false" customHeight="false" outlineLevel="0" collapsed="false">
      <c r="A33" s="0" t="s">
        <v>322</v>
      </c>
      <c r="P33" s="0" t="n">
        <v>1957</v>
      </c>
    </row>
    <row r="34" customFormat="false" ht="14.5" hidden="false" customHeight="false" outlineLevel="0" collapsed="false">
      <c r="A34" s="0" t="s">
        <v>61</v>
      </c>
      <c r="B34" s="0" t="n">
        <v>0.53</v>
      </c>
      <c r="C34" s="0" t="s">
        <v>332</v>
      </c>
      <c r="P34" s="0" t="n">
        <v>1958</v>
      </c>
    </row>
    <row r="35" customFormat="false" ht="14.5" hidden="false" customHeight="false" outlineLevel="0" collapsed="false">
      <c r="A35" s="0" t="s">
        <v>304</v>
      </c>
      <c r="B35" s="0" t="n">
        <v>0</v>
      </c>
      <c r="C35" s="0" t="s">
        <v>332</v>
      </c>
      <c r="P35" s="0" t="n">
        <v>1959</v>
      </c>
    </row>
    <row r="36" customFormat="false" ht="14.5" hidden="false" customHeight="false" outlineLevel="0" collapsed="false">
      <c r="P36" s="0" t="n">
        <v>1960</v>
      </c>
    </row>
    <row r="37" customFormat="false" ht="14.5" hidden="false" customHeight="false" outlineLevel="0" collapsed="false">
      <c r="A37" s="0" t="s">
        <v>322</v>
      </c>
      <c r="P37" s="0" t="n">
        <v>1961</v>
      </c>
    </row>
    <row r="38" customFormat="false" ht="14.5" hidden="false" customHeight="false" outlineLevel="0" collapsed="false">
      <c r="A38" s="0" t="s">
        <v>287</v>
      </c>
      <c r="B38" s="0" t="n">
        <v>0.12</v>
      </c>
      <c r="C38" s="0" t="s">
        <v>333</v>
      </c>
      <c r="P38" s="0" t="n">
        <v>1962</v>
      </c>
    </row>
    <row r="39" customFormat="false" ht="14.5" hidden="false" customHeight="false" outlineLevel="0" collapsed="false">
      <c r="A39" s="0" t="s">
        <v>334</v>
      </c>
      <c r="B39" s="0" t="n">
        <v>0.22</v>
      </c>
      <c r="C39" s="0" t="s">
        <v>333</v>
      </c>
      <c r="P39" s="0" t="n">
        <v>1963</v>
      </c>
    </row>
    <row r="40" customFormat="false" ht="14.5" hidden="false" customHeight="false" outlineLevel="0" collapsed="false">
      <c r="A40" s="0" t="s">
        <v>64</v>
      </c>
      <c r="B40" s="0" t="n">
        <v>0.36</v>
      </c>
      <c r="C40" s="0" t="s">
        <v>333</v>
      </c>
      <c r="P40" s="0" t="n">
        <v>1964</v>
      </c>
    </row>
    <row r="41" customFormat="false" ht="14.5" hidden="false" customHeight="false" outlineLevel="0" collapsed="false">
      <c r="A41" s="0" t="s">
        <v>322</v>
      </c>
      <c r="P41" s="0" t="n">
        <v>1965</v>
      </c>
    </row>
    <row r="42" customFormat="false" ht="14.5" hidden="false" customHeight="false" outlineLevel="0" collapsed="false">
      <c r="A42" s="0" t="s">
        <v>67</v>
      </c>
      <c r="B42" s="0" t="n">
        <v>30</v>
      </c>
      <c r="C42" s="0" t="s">
        <v>335</v>
      </c>
      <c r="P42" s="0" t="n">
        <v>1966</v>
      </c>
    </row>
    <row r="43" customFormat="false" ht="14.5" hidden="false" customHeight="false" outlineLevel="0" collapsed="false">
      <c r="A43" s="0" t="s">
        <v>336</v>
      </c>
      <c r="B43" s="0" t="n">
        <v>0</v>
      </c>
      <c r="C43" s="0" t="s">
        <v>335</v>
      </c>
      <c r="P43" s="0" t="n">
        <v>1967</v>
      </c>
    </row>
    <row r="44" customFormat="false" ht="14.5" hidden="false" customHeight="false" outlineLevel="0" collapsed="false">
      <c r="A44" s="0" t="s">
        <v>322</v>
      </c>
      <c r="P44" s="0" t="n">
        <v>1968</v>
      </c>
    </row>
    <row r="45" customFormat="false" ht="14.5" hidden="false" customHeight="false" outlineLevel="0" collapsed="false">
      <c r="A45" s="0" t="s">
        <v>337</v>
      </c>
      <c r="B45" s="0" t="n">
        <v>13</v>
      </c>
      <c r="C45" s="0" t="s">
        <v>338</v>
      </c>
      <c r="D45" s="0" t="n">
        <v>1.2</v>
      </c>
      <c r="E45" s="0" t="s">
        <v>339</v>
      </c>
      <c r="P45" s="0" t="n">
        <v>1969</v>
      </c>
    </row>
    <row r="46" customFormat="false" ht="14.5" hidden="false" customHeight="false" outlineLevel="0" collapsed="false">
      <c r="A46" s="0" t="s">
        <v>288</v>
      </c>
      <c r="B46" s="0" t="n">
        <v>13</v>
      </c>
      <c r="C46" s="0" t="s">
        <v>338</v>
      </c>
      <c r="P46" s="0" t="n">
        <v>1970</v>
      </c>
    </row>
    <row r="47" customFormat="false" ht="14.5" hidden="false" customHeight="false" outlineLevel="0" collapsed="false">
      <c r="A47" s="0" t="s">
        <v>69</v>
      </c>
      <c r="B47" s="0" t="n">
        <v>0</v>
      </c>
      <c r="C47" s="0" t="s">
        <v>338</v>
      </c>
      <c r="P47" s="0" t="n">
        <v>1971</v>
      </c>
    </row>
    <row r="48" customFormat="false" ht="14.5" hidden="false" customHeight="false" outlineLevel="0" collapsed="false">
      <c r="P48" s="0" t="n">
        <v>1972</v>
      </c>
    </row>
    <row r="49" customFormat="false" ht="14.5" hidden="false" customHeight="false" outlineLevel="0" collapsed="false">
      <c r="A49" s="0" t="s">
        <v>322</v>
      </c>
      <c r="P49" s="0" t="n">
        <v>1973</v>
      </c>
    </row>
    <row r="50" customFormat="false" ht="14.5" hidden="false" customHeight="false" outlineLevel="0" collapsed="false">
      <c r="A50" s="0" t="s">
        <v>340</v>
      </c>
      <c r="B50" s="0" t="n">
        <v>0.18</v>
      </c>
      <c r="C50" s="0" t="n">
        <v>0.003</v>
      </c>
      <c r="D50" s="0" t="s">
        <v>341</v>
      </c>
      <c r="P50" s="0" t="n">
        <v>1974</v>
      </c>
    </row>
    <row r="51" customFormat="false" ht="14.5" hidden="false" customHeight="false" outlineLevel="0" collapsed="false">
      <c r="A51" s="0" t="s">
        <v>73</v>
      </c>
      <c r="B51" s="0" t="n">
        <v>0.05</v>
      </c>
      <c r="C51" s="0" t="n">
        <v>0.0003</v>
      </c>
      <c r="D51" s="0" t="s">
        <v>341</v>
      </c>
      <c r="P51" s="0" t="n">
        <v>1975</v>
      </c>
    </row>
    <row r="52" customFormat="false" ht="14.5" hidden="false" customHeight="false" outlineLevel="0" collapsed="false">
      <c r="A52" s="0" t="s">
        <v>342</v>
      </c>
      <c r="B52" s="0" t="n">
        <v>0.3</v>
      </c>
      <c r="C52" s="0" t="n">
        <v>0.003</v>
      </c>
      <c r="D52" s="0" t="s">
        <v>341</v>
      </c>
      <c r="P52" s="0" t="n">
        <v>1976</v>
      </c>
    </row>
    <row r="53" customFormat="false" ht="14.5" hidden="false" customHeight="false" outlineLevel="0" collapsed="false">
      <c r="A53" s="0" t="s">
        <v>322</v>
      </c>
      <c r="P53" s="0" t="n">
        <v>1977</v>
      </c>
    </row>
    <row r="54" customFormat="false" ht="14.5" hidden="false" customHeight="false" outlineLevel="0" collapsed="false">
      <c r="A54" s="0" t="s">
        <v>289</v>
      </c>
      <c r="B54" s="0" t="n">
        <v>0.3</v>
      </c>
      <c r="D54" s="0" t="s">
        <v>341</v>
      </c>
      <c r="P54" s="0" t="n">
        <v>1978</v>
      </c>
    </row>
    <row r="55" customFormat="false" ht="14.5" hidden="false" customHeight="false" outlineLevel="0" collapsed="false">
      <c r="A55" s="0" t="s">
        <v>76</v>
      </c>
      <c r="B55" s="0" t="n">
        <f aca="false">50/1000</f>
        <v>0.05</v>
      </c>
      <c r="D55" s="0" t="s">
        <v>341</v>
      </c>
      <c r="P55" s="0" t="n">
        <v>1979</v>
      </c>
    </row>
    <row r="56" customFormat="false" ht="14.5" hidden="false" customHeight="false" outlineLevel="0" collapsed="false">
      <c r="A56" s="0" t="s">
        <v>322</v>
      </c>
      <c r="P56" s="0" t="n">
        <v>1980</v>
      </c>
    </row>
    <row r="57" customFormat="false" ht="14.5" hidden="false" customHeight="false" outlineLevel="0" collapsed="false">
      <c r="A57" s="0" t="s">
        <v>80</v>
      </c>
      <c r="B57" s="0" t="n">
        <v>0.015</v>
      </c>
      <c r="D57" s="0" t="s">
        <v>341</v>
      </c>
      <c r="P57" s="0" t="n">
        <v>1981</v>
      </c>
    </row>
    <row r="58" customFormat="false" ht="14.5" hidden="false" customHeight="false" outlineLevel="0" collapsed="false">
      <c r="A58" s="0" t="s">
        <v>81</v>
      </c>
      <c r="B58" s="0" t="n">
        <v>0</v>
      </c>
      <c r="P58" s="0" t="n">
        <v>1982</v>
      </c>
    </row>
    <row r="59" customFormat="false" ht="14.5" hidden="false" customHeight="false" outlineLevel="0" collapsed="false">
      <c r="A59" s="0" t="s">
        <v>322</v>
      </c>
      <c r="P59" s="0" t="n">
        <v>1983</v>
      </c>
    </row>
    <row r="60" customFormat="false" ht="14.5" hidden="false" customHeight="false" outlineLevel="0" collapsed="false">
      <c r="A60" s="0" t="s">
        <v>79</v>
      </c>
      <c r="B60" s="0" t="n">
        <v>0.005</v>
      </c>
      <c r="D60" s="0" t="s">
        <v>341</v>
      </c>
      <c r="P60" s="0" t="n">
        <v>1984</v>
      </c>
    </row>
    <row r="61" customFormat="false" ht="14.5" hidden="false" customHeight="false" outlineLevel="0" collapsed="false">
      <c r="A61" s="0" t="s">
        <v>343</v>
      </c>
      <c r="B61" s="0" t="n">
        <v>0</v>
      </c>
      <c r="P61" s="0" t="n">
        <v>1985</v>
      </c>
    </row>
    <row r="62" customFormat="false" ht="14.5" hidden="false" customHeight="false" outlineLevel="0" collapsed="false">
      <c r="P62" s="0" t="n">
        <v>1986</v>
      </c>
    </row>
    <row r="63" customFormat="false" ht="14.5" hidden="false" customHeight="false" outlineLevel="0" collapsed="false">
      <c r="A63" s="0" t="s">
        <v>344</v>
      </c>
      <c r="B63" s="0" t="n">
        <f aca="false">VLOOKUP(Start!B14,'Electricity mix footprint'!A7:D67,4,0)</f>
        <v>0.18941</v>
      </c>
      <c r="C63" s="0" t="s">
        <v>345</v>
      </c>
      <c r="F63" s="0" t="n">
        <f aca="false">0.2*B63</f>
        <v>0.037882</v>
      </c>
      <c r="P63" s="0" t="n">
        <v>1987</v>
      </c>
    </row>
    <row r="64" customFormat="false" ht="14.5" hidden="false" customHeight="false" outlineLevel="0" collapsed="false">
      <c r="A64" s="0" t="s">
        <v>346</v>
      </c>
      <c r="B64" s="0" t="n">
        <v>0.23</v>
      </c>
      <c r="C64" s="0" t="s">
        <v>345</v>
      </c>
      <c r="P64" s="0" t="n">
        <v>1988</v>
      </c>
    </row>
    <row r="65" customFormat="false" ht="14.5" hidden="false" customHeight="false" outlineLevel="0" collapsed="false">
      <c r="P65" s="0" t="n">
        <v>1989</v>
      </c>
    </row>
    <row r="66" customFormat="false" ht="14.5" hidden="false" customHeight="false" outlineLevel="0" collapsed="false">
      <c r="A66" s="0" t="s">
        <v>322</v>
      </c>
      <c r="P66" s="0" t="n">
        <v>1990</v>
      </c>
    </row>
    <row r="67" customFormat="false" ht="14.5" hidden="false" customHeight="false" outlineLevel="0" collapsed="false">
      <c r="A67" s="0" t="s">
        <v>84</v>
      </c>
      <c r="B67" s="0" t="n">
        <f aca="false">60/1000</f>
        <v>0.06</v>
      </c>
      <c r="C67" s="0" t="s">
        <v>341</v>
      </c>
      <c r="D67" s="0" t="s">
        <v>347</v>
      </c>
      <c r="P67" s="0" t="n">
        <v>1991</v>
      </c>
    </row>
    <row r="68" customFormat="false" ht="14.5" hidden="false" customHeight="false" outlineLevel="0" collapsed="false">
      <c r="A68" s="0" t="s">
        <v>348</v>
      </c>
      <c r="B68" s="0" t="n">
        <f aca="false">42/1000</f>
        <v>0.042</v>
      </c>
      <c r="C68" s="0" t="s">
        <v>341</v>
      </c>
      <c r="P68" s="0" t="n">
        <v>1992</v>
      </c>
    </row>
    <row r="69" customFormat="false" ht="14.5" hidden="false" customHeight="false" outlineLevel="0" collapsed="false">
      <c r="A69" s="0" t="s">
        <v>349</v>
      </c>
      <c r="B69" s="0" t="n">
        <f aca="false">13/1000</f>
        <v>0.013</v>
      </c>
      <c r="C69" s="0" t="s">
        <v>341</v>
      </c>
      <c r="P69" s="0" t="n">
        <v>1993</v>
      </c>
    </row>
    <row r="70" customFormat="false" ht="14.5" hidden="false" customHeight="false" outlineLevel="0" collapsed="false">
      <c r="A70" s="0" t="s">
        <v>305</v>
      </c>
      <c r="B70" s="0" t="n">
        <f aca="false">10/1000</f>
        <v>0.01</v>
      </c>
      <c r="C70" s="0" t="s">
        <v>341</v>
      </c>
      <c r="P70" s="0" t="n">
        <v>1994</v>
      </c>
    </row>
    <row r="71" customFormat="false" ht="14.5" hidden="false" customHeight="false" outlineLevel="0" collapsed="false">
      <c r="A71" s="0" t="s">
        <v>324</v>
      </c>
      <c r="B71" s="0" t="n">
        <f aca="false">AVERAGE(B67:B70)</f>
        <v>0.03125</v>
      </c>
      <c r="C71" s="0" t="s">
        <v>341</v>
      </c>
      <c r="P71" s="0" t="n">
        <v>1995</v>
      </c>
    </row>
    <row r="72" customFormat="false" ht="14.5" hidden="false" customHeight="false" outlineLevel="0" collapsed="false">
      <c r="P72" s="0" t="n">
        <v>1996</v>
      </c>
    </row>
    <row r="73" customFormat="false" ht="14.5" hidden="false" customHeight="false" outlineLevel="0" collapsed="false">
      <c r="P73" s="0" t="n">
        <v>1997</v>
      </c>
    </row>
    <row r="74" customFormat="false" ht="14.5" hidden="false" customHeight="false" outlineLevel="0" collapsed="false">
      <c r="P74" s="0" t="n">
        <v>1998</v>
      </c>
    </row>
    <row r="75" customFormat="false" ht="14.5" hidden="false" customHeight="false" outlineLevel="0" collapsed="false">
      <c r="A75" s="0" t="s">
        <v>350</v>
      </c>
      <c r="B75" s="0" t="n">
        <v>35</v>
      </c>
      <c r="C75" s="0" t="s">
        <v>351</v>
      </c>
      <c r="P75" s="0" t="n">
        <v>1999</v>
      </c>
    </row>
    <row r="76" customFormat="false" ht="14.5" hidden="false" customHeight="false" outlineLevel="0" collapsed="false">
      <c r="A76" s="0" t="s">
        <v>352</v>
      </c>
      <c r="B76" s="92" t="n">
        <f aca="false">$J$77*$J$76*($B$75-7)/(1000*$M$76*(3.6*10^3))</f>
        <v>0.0650222222222222</v>
      </c>
      <c r="C76" s="0" t="s">
        <v>353</v>
      </c>
      <c r="D76" s="92" t="n">
        <f aca="false">B76*$B$64</f>
        <v>0.0149551111111111</v>
      </c>
      <c r="E76" s="0" t="s">
        <v>354</v>
      </c>
      <c r="F76" s="92" t="n">
        <v>0</v>
      </c>
      <c r="G76" s="0" t="s">
        <v>355</v>
      </c>
      <c r="I76" s="254" t="s">
        <v>356</v>
      </c>
      <c r="J76" s="254" t="n">
        <v>4.18</v>
      </c>
      <c r="K76" s="254" t="s">
        <v>357</v>
      </c>
      <c r="L76" s="0" t="s">
        <v>358</v>
      </c>
      <c r="M76" s="255" t="n">
        <v>0.5</v>
      </c>
      <c r="P76" s="0" t="n">
        <v>2000</v>
      </c>
    </row>
    <row r="77" customFormat="false" ht="14.5" hidden="false" customHeight="false" outlineLevel="0" collapsed="false">
      <c r="A77" s="0" t="s">
        <v>19</v>
      </c>
      <c r="B77" s="92" t="n">
        <f aca="false">$J$77*$J$76*($B$75-7)/(1000*$M$77*(3.6*10^3))</f>
        <v>0.0361234567901235</v>
      </c>
      <c r="C77" s="0" t="s">
        <v>359</v>
      </c>
      <c r="D77" s="92" t="n">
        <f aca="false">B77*B63</f>
        <v>0.00684214395061728</v>
      </c>
      <c r="E77" s="0" t="s">
        <v>354</v>
      </c>
      <c r="F77" s="92" t="n">
        <f aca="false">B77</f>
        <v>0.0361234567901235</v>
      </c>
      <c r="G77" s="0" t="s">
        <v>355</v>
      </c>
      <c r="I77" s="254" t="s">
        <v>360</v>
      </c>
      <c r="J77" s="254" t="n">
        <v>1000</v>
      </c>
      <c r="K77" s="254" t="s">
        <v>361</v>
      </c>
      <c r="L77" s="0" t="s">
        <v>362</v>
      </c>
      <c r="M77" s="255" t="n">
        <v>0.9</v>
      </c>
      <c r="P77" s="0" t="n">
        <v>2001</v>
      </c>
    </row>
    <row r="78" customFormat="false" ht="14.5" hidden="false" customHeight="false" outlineLevel="0" collapsed="false">
      <c r="A78" s="0" t="s">
        <v>316</v>
      </c>
      <c r="B78" s="92" t="n">
        <v>40</v>
      </c>
      <c r="C78" s="0" t="s">
        <v>351</v>
      </c>
      <c r="D78" s="92"/>
      <c r="F78" s="92"/>
      <c r="P78" s="0" t="n">
        <v>2002</v>
      </c>
    </row>
    <row r="79" customFormat="false" ht="14.5" hidden="false" customHeight="false" outlineLevel="0" collapsed="false">
      <c r="A79" s="0" t="s">
        <v>322</v>
      </c>
      <c r="B79" s="92"/>
      <c r="D79" s="92"/>
      <c r="F79" s="92"/>
      <c r="P79" s="0" t="n">
        <v>2003</v>
      </c>
    </row>
    <row r="80" customFormat="false" ht="14.5" hidden="false" customHeight="false" outlineLevel="0" collapsed="false">
      <c r="A80" s="0" t="s">
        <v>352</v>
      </c>
      <c r="B80" s="92" t="n">
        <f aca="false">$J$77*$J$76*($B$78-7)/(1000*$M$76*(3.6*10^3))</f>
        <v>0.0766333333333333</v>
      </c>
      <c r="C80" s="0" t="s">
        <v>353</v>
      </c>
      <c r="D80" s="92" t="n">
        <f aca="false">B80*$B$64</f>
        <v>0.0176256666666667</v>
      </c>
      <c r="E80" s="0" t="s">
        <v>354</v>
      </c>
      <c r="F80" s="92" t="n">
        <v>0</v>
      </c>
      <c r="G80" s="0" t="s">
        <v>355</v>
      </c>
      <c r="H80" s="0" t="n">
        <f aca="false">D80*12</f>
        <v>0.211508</v>
      </c>
      <c r="I80" s="0" t="s">
        <v>363</v>
      </c>
      <c r="P80" s="0" t="n">
        <v>2004</v>
      </c>
    </row>
    <row r="81" customFormat="false" ht="14.5" hidden="false" customHeight="false" outlineLevel="0" collapsed="false">
      <c r="A81" s="0" t="s">
        <v>19</v>
      </c>
      <c r="B81" s="92" t="n">
        <f aca="false">$J$77*$J$76*($B$78-7)/(1000*$M$77*(3.6*10^3))</f>
        <v>0.0425740740740741</v>
      </c>
      <c r="C81" s="0" t="s">
        <v>359</v>
      </c>
      <c r="D81" s="92" t="n">
        <f aca="false">B81*B63</f>
        <v>0.00806395537037037</v>
      </c>
      <c r="E81" s="0" t="s">
        <v>354</v>
      </c>
      <c r="F81" s="92" t="n">
        <f aca="false">B81</f>
        <v>0.0425740740740741</v>
      </c>
      <c r="G81" s="0" t="s">
        <v>355</v>
      </c>
      <c r="H81" s="0" t="n">
        <f aca="false">D81*12</f>
        <v>0.0967674644444445</v>
      </c>
      <c r="I81" s="0" t="s">
        <v>363</v>
      </c>
      <c r="P81" s="0" t="n">
        <v>2005</v>
      </c>
    </row>
    <row r="82" customFormat="false" ht="14.5" hidden="false" customHeight="false" outlineLevel="0" collapsed="false">
      <c r="A82" s="0" t="s">
        <v>364</v>
      </c>
      <c r="B82" s="92" t="n">
        <v>45</v>
      </c>
      <c r="C82" s="0" t="s">
        <v>351</v>
      </c>
      <c r="D82" s="92"/>
      <c r="F82" s="92"/>
      <c r="P82" s="0" t="n">
        <v>2006</v>
      </c>
    </row>
    <row r="83" customFormat="false" ht="14.5" hidden="false" customHeight="false" outlineLevel="0" collapsed="false">
      <c r="A83" s="0" t="s">
        <v>352</v>
      </c>
      <c r="B83" s="92" t="n">
        <f aca="false">$J$77*$J$76*($B$82-7)/(1000*$M$76*(3.6*10^3))</f>
        <v>0.0882444444444445</v>
      </c>
      <c r="C83" s="0" t="s">
        <v>353</v>
      </c>
      <c r="D83" s="92" t="n">
        <f aca="false">B83*$B$64</f>
        <v>0.0202962222222222</v>
      </c>
      <c r="E83" s="0" t="s">
        <v>354</v>
      </c>
      <c r="F83" s="92" t="n">
        <v>0</v>
      </c>
      <c r="G83" s="0" t="s">
        <v>355</v>
      </c>
      <c r="P83" s="0" t="n">
        <v>2007</v>
      </c>
    </row>
    <row r="84" customFormat="false" ht="14.5" hidden="false" customHeight="false" outlineLevel="0" collapsed="false">
      <c r="A84" s="0" t="s">
        <v>19</v>
      </c>
      <c r="B84" s="92" t="n">
        <f aca="false">$J$77*$J$76*($B$82-7)/(1000*$M$77*(3.6*10^3))</f>
        <v>0.0490246913580247</v>
      </c>
      <c r="C84" s="0" t="s">
        <v>359</v>
      </c>
      <c r="D84" s="92" t="n">
        <f aca="false">B84*B63</f>
        <v>0.00928576679012346</v>
      </c>
      <c r="E84" s="0" t="s">
        <v>354</v>
      </c>
      <c r="F84" s="92" t="n">
        <f aca="false">B84</f>
        <v>0.0490246913580247</v>
      </c>
      <c r="G84" s="0" t="s">
        <v>355</v>
      </c>
      <c r="P84" s="0" t="n">
        <v>2008</v>
      </c>
    </row>
    <row r="85" customFormat="false" ht="14.5" hidden="false" customHeight="false" outlineLevel="0" collapsed="false">
      <c r="P85" s="0" t="n">
        <v>2009</v>
      </c>
    </row>
    <row r="86" customFormat="false" ht="14.5" hidden="false" customHeight="false" outlineLevel="0" collapsed="false">
      <c r="P86" s="0" t="n">
        <v>2010</v>
      </c>
    </row>
    <row r="87" customFormat="false" ht="14.5" hidden="false" customHeight="false" outlineLevel="0" collapsed="false">
      <c r="A87" s="0" t="s">
        <v>365</v>
      </c>
      <c r="B87" s="0" t="n">
        <v>100</v>
      </c>
      <c r="C87" s="0" t="s">
        <v>325</v>
      </c>
      <c r="P87" s="0" t="n">
        <v>2011</v>
      </c>
    </row>
    <row r="88" customFormat="false" ht="14.5" hidden="false" customHeight="false" outlineLevel="0" collapsed="false">
      <c r="A88" s="0" t="s">
        <v>366</v>
      </c>
      <c r="B88" s="0" t="n">
        <v>1000000</v>
      </c>
      <c r="C88" s="0" t="s">
        <v>325</v>
      </c>
      <c r="P88" s="0" t="n">
        <v>2012</v>
      </c>
    </row>
    <row r="89" customFormat="false" ht="14.5" hidden="false" customHeight="false" outlineLevel="0" collapsed="false">
      <c r="A89" s="0" t="s">
        <v>367</v>
      </c>
      <c r="B89" s="0" t="n">
        <v>3.3</v>
      </c>
      <c r="C89" s="0" t="s">
        <v>325</v>
      </c>
      <c r="P89" s="0" t="n">
        <v>2013</v>
      </c>
    </row>
    <row r="90" customFormat="false" ht="14.5" hidden="false" customHeight="false" outlineLevel="0" collapsed="false">
      <c r="P90" s="0" t="n">
        <v>2014</v>
      </c>
    </row>
    <row r="91" customFormat="false" ht="14.5" hidden="false" customHeight="false" outlineLevel="0" collapsed="false">
      <c r="A91" s="0" t="s">
        <v>368</v>
      </c>
      <c r="B91" s="256" t="n">
        <v>1.92</v>
      </c>
      <c r="C91" s="0" t="s">
        <v>236</v>
      </c>
      <c r="P91" s="0" t="n">
        <v>2015</v>
      </c>
    </row>
    <row r="92" customFormat="false" ht="14.5" hidden="false" customHeight="false" outlineLevel="0" collapsed="false">
      <c r="A92" s="0" t="s">
        <v>369</v>
      </c>
      <c r="B92" s="92" t="n">
        <v>0.16</v>
      </c>
      <c r="C92" s="0" t="s">
        <v>236</v>
      </c>
    </row>
    <row r="93" customFormat="false" ht="14.5" hidden="false" customHeight="false" outlineLevel="0" collapsed="false">
      <c r="A93" s="0" t="s">
        <v>370</v>
      </c>
      <c r="B93" s="0" t="n">
        <v>0.0105</v>
      </c>
      <c r="C93" s="0" t="s">
        <v>236</v>
      </c>
    </row>
    <row r="95" customFormat="false" ht="14.5" hidden="false" customHeight="false" outlineLevel="0" collapsed="false">
      <c r="A95" s="0" t="s">
        <v>371</v>
      </c>
      <c r="B95" s="257" t="n">
        <v>2.98</v>
      </c>
      <c r="C95" s="0" t="s">
        <v>234</v>
      </c>
    </row>
    <row r="96" customFormat="false" ht="14.5" hidden="false" customHeight="false" outlineLevel="0" collapsed="false">
      <c r="A96" s="0" t="s">
        <v>372</v>
      </c>
      <c r="B96" s="0" t="n">
        <v>4.007</v>
      </c>
      <c r="C96" s="0" t="s">
        <v>373</v>
      </c>
    </row>
    <row r="97" customFormat="false" ht="14.5" hidden="false" customHeight="false" outlineLevel="0" collapsed="false">
      <c r="A97" s="0" t="s">
        <v>374</v>
      </c>
      <c r="B97" s="0" t="n">
        <v>2</v>
      </c>
      <c r="C97" s="0" t="s">
        <v>375</v>
      </c>
    </row>
    <row r="99" customFormat="false" ht="14.5" hidden="false" customHeight="false" outlineLevel="0" collapsed="false">
      <c r="A99" s="0" t="s">
        <v>91</v>
      </c>
    </row>
    <row r="100" customFormat="false" ht="14.5" hidden="false" customHeight="false" outlineLevel="0" collapsed="false">
      <c r="A100" s="0" t="s">
        <v>376</v>
      </c>
    </row>
    <row r="101" customFormat="false" ht="14.5" hidden="false" customHeight="false" outlineLevel="0" collapsed="false">
      <c r="A101" s="0" t="s">
        <v>377</v>
      </c>
    </row>
    <row r="102" customFormat="false" ht="14.5" hidden="false" customHeight="false" outlineLevel="0" collapsed="false">
      <c r="A102" s="0" t="s">
        <v>91</v>
      </c>
    </row>
    <row r="103" customFormat="false" ht="14.5" hidden="false" customHeight="false" outlineLevel="0" collapsed="false">
      <c r="A103" s="0" t="s">
        <v>378</v>
      </c>
    </row>
    <row r="104" customFormat="false" ht="14.5" hidden="false" customHeight="false" outlineLevel="0" collapsed="false">
      <c r="A104" s="0" t="s">
        <v>379</v>
      </c>
    </row>
    <row r="105" customFormat="false" ht="14.5" hidden="false" customHeight="false" outlineLevel="0" collapsed="false">
      <c r="A105" s="0" t="s">
        <v>380</v>
      </c>
    </row>
    <row r="106" customFormat="false" ht="14.5" hidden="false" customHeight="false" outlineLevel="0" collapsed="false">
      <c r="A106" s="0" t="s">
        <v>381</v>
      </c>
    </row>
    <row r="107" customFormat="false" ht="14.5" hidden="false" customHeight="false" outlineLevel="0" collapsed="false">
      <c r="A107" s="0" t="s">
        <v>91</v>
      </c>
    </row>
    <row r="108" customFormat="false" ht="14.5" hidden="false" customHeight="false" outlineLevel="0" collapsed="false">
      <c r="A108" s="0" t="s">
        <v>382</v>
      </c>
    </row>
    <row r="109" customFormat="false" ht="14.5" hidden="false" customHeight="false" outlineLevel="0" collapsed="false">
      <c r="A109" s="0" t="s">
        <v>383</v>
      </c>
    </row>
    <row r="111" customFormat="false" ht="14.5" hidden="false" customHeight="false" outlineLevel="0" collapsed="false">
      <c r="A111" s="0" t="s">
        <v>91</v>
      </c>
      <c r="B111" s="0" t="s">
        <v>91</v>
      </c>
    </row>
    <row r="112" customFormat="false" ht="14.5" hidden="false" customHeight="false" outlineLevel="0" collapsed="false">
      <c r="A112" s="0" t="s">
        <v>384</v>
      </c>
      <c r="B112" s="0" t="s">
        <v>385</v>
      </c>
    </row>
    <row r="113" customFormat="false" ht="14.5" hidden="false" customHeight="false" outlineLevel="0" collapsed="false">
      <c r="A113" s="0" t="s">
        <v>14</v>
      </c>
      <c r="B113" s="0" t="s">
        <v>12</v>
      </c>
    </row>
    <row r="114" customFormat="false" ht="14.5" hidden="false" customHeight="false" outlineLevel="0" collapsed="false">
      <c r="A114" s="0" t="s">
        <v>386</v>
      </c>
    </row>
    <row r="115" customFormat="false" ht="14.5" hidden="false" customHeight="false" outlineLevel="0" collapsed="false">
      <c r="A115" s="0" t="s">
        <v>387</v>
      </c>
    </row>
    <row r="116" customFormat="false" ht="14.5" hidden="false" customHeight="false" outlineLevel="0" collapsed="false">
      <c r="A116" s="0" t="s">
        <v>388</v>
      </c>
    </row>
    <row r="117" customFormat="false" ht="14.5" hidden="false" customHeight="false" outlineLevel="0" collapsed="false">
      <c r="A117" s="0" t="s">
        <v>389</v>
      </c>
    </row>
    <row r="118" customFormat="false" ht="14.5" hidden="false" customHeight="false" outlineLevel="0" collapsed="false">
      <c r="A118" s="0" t="s">
        <v>390</v>
      </c>
    </row>
    <row r="119" customFormat="false" ht="14.5" hidden="false" customHeight="false" outlineLevel="0" collapsed="false">
      <c r="A119" s="0" t="s">
        <v>120</v>
      </c>
    </row>
    <row r="121" customFormat="false" ht="14.5" hidden="false" customHeight="false" outlineLevel="0" collapsed="false">
      <c r="A121" s="258" t="n">
        <v>1900</v>
      </c>
    </row>
    <row r="122" customFormat="false" ht="14.5" hidden="false" customHeight="false" outlineLevel="0" collapsed="false">
      <c r="A122" s="258" t="n">
        <v>2015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FAC090"/>
    <pageSetUpPr fitToPage="false"/>
  </sheetPr>
  <dimension ref="A1:AM70"/>
  <sheetViews>
    <sheetView windowProtection="false" showFormulas="false" showGridLines="true" showRowColHeaders="true" showZeros="true" rightToLeft="false" tabSelected="false" showOutlineSymbols="true" defaultGridColor="true" view="normal" topLeftCell="A4" colorId="64" zoomScale="90" zoomScaleNormal="90" zoomScalePageLayoutView="100" workbookViewId="0">
      <selection pane="topLeft" activeCell="B33" activeCellId="0" sqref="B33"/>
    </sheetView>
  </sheetViews>
  <sheetFormatPr defaultRowHeight="14.5"/>
  <cols>
    <col collapsed="false" hidden="false" max="1" min="1" style="0" width="33.6122448979592"/>
    <col collapsed="false" hidden="false" max="2" min="2" style="0" width="23.8928571428571"/>
    <col collapsed="false" hidden="false" max="3" min="3" style="0" width="14.1734693877551"/>
    <col collapsed="false" hidden="false" max="4" min="4" style="0" width="15.7959183673469"/>
    <col collapsed="false" hidden="false" max="5" min="5" style="0" width="14.1734693877551"/>
    <col collapsed="false" hidden="true" max="10" min="6" style="133" width="0"/>
    <col collapsed="false" hidden="true" max="12" min="11" style="0" width="0"/>
    <col collapsed="false" hidden="false" max="13" min="13" style="0" width="17.5510204081633"/>
    <col collapsed="false" hidden="true" max="17" min="14" style="0" width="0"/>
    <col collapsed="false" hidden="false" max="18" min="18" style="0" width="17.280612244898"/>
    <col collapsed="false" hidden="true" max="20" min="19" style="0" width="0"/>
    <col collapsed="false" hidden="false" max="21" min="21" style="0" width="14.1734693877551"/>
    <col collapsed="false" hidden="false" max="22" min="22" style="0" width="13.3622448979592"/>
    <col collapsed="false" hidden="false" max="23" min="23" style="0" width="5.66836734693878"/>
    <col collapsed="false" hidden="false" max="24" min="24" style="0" width="17.5510204081633"/>
    <col collapsed="false" hidden="false" max="25" min="25" style="0" width="6.47959183673469"/>
    <col collapsed="false" hidden="false" max="26" min="26" style="0" width="14.3112244897959"/>
    <col collapsed="false" hidden="false" max="27" min="27" style="0" width="8.50510204081633"/>
    <col collapsed="false" hidden="true" max="39" min="28" style="0" width="0"/>
    <col collapsed="false" hidden="false" max="1025" min="40" style="0" width="8.50510204081633"/>
  </cols>
  <sheetData>
    <row r="1" customFormat="false" ht="28.5" hidden="false" customHeight="false" outlineLevel="0" collapsed="false">
      <c r="A1" s="134" t="s">
        <v>264</v>
      </c>
      <c r="F1" s="0"/>
      <c r="G1" s="0"/>
      <c r="H1" s="0"/>
      <c r="I1" s="0"/>
      <c r="J1" s="0"/>
    </row>
    <row r="2" customFormat="false" ht="14.5" hidden="false" customHeight="false" outlineLevel="0" collapsed="false">
      <c r="A2" s="135" t="s">
        <v>265</v>
      </c>
      <c r="B2" s="135"/>
      <c r="C2" s="135"/>
      <c r="D2" s="135"/>
      <c r="E2" s="85"/>
      <c r="F2" s="0"/>
      <c r="G2" s="0"/>
      <c r="H2" s="0"/>
      <c r="I2" s="0"/>
      <c r="J2" s="0"/>
      <c r="U2" s="85"/>
      <c r="V2" s="85"/>
      <c r="W2" s="85"/>
      <c r="X2" s="85"/>
      <c r="Y2" s="85"/>
      <c r="Z2" s="85"/>
      <c r="AA2" s="85"/>
      <c r="AB2" s="85"/>
      <c r="AC2" s="85"/>
      <c r="AD2" s="85"/>
      <c r="AE2" s="85"/>
      <c r="AF2" s="85"/>
      <c r="AG2" s="85"/>
      <c r="AH2" s="85"/>
      <c r="AI2" s="85"/>
      <c r="AJ2" s="85"/>
      <c r="AK2" s="85"/>
      <c r="AL2" s="85"/>
      <c r="AM2" s="85"/>
    </row>
    <row r="3" customFormat="false" ht="14.5" hidden="false" customHeight="false" outlineLevel="0" collapsed="false">
      <c r="A3" s="135" t="s">
        <v>266</v>
      </c>
      <c r="B3" s="136" t="s">
        <v>22</v>
      </c>
      <c r="C3" s="135"/>
      <c r="D3" s="135"/>
      <c r="E3" s="85"/>
      <c r="F3" s="0"/>
      <c r="G3" s="0"/>
      <c r="H3" s="0"/>
      <c r="I3" s="0"/>
      <c r="J3" s="0"/>
      <c r="U3" s="85"/>
      <c r="V3" s="85"/>
      <c r="W3" s="85"/>
      <c r="X3" s="85"/>
      <c r="Y3" s="85"/>
      <c r="Z3" s="85"/>
      <c r="AA3" s="85"/>
      <c r="AB3" s="85"/>
      <c r="AC3" s="85"/>
      <c r="AD3" s="85"/>
      <c r="AE3" s="85"/>
      <c r="AF3" s="85"/>
      <c r="AG3" s="85"/>
      <c r="AH3" s="85"/>
      <c r="AI3" s="85"/>
      <c r="AJ3" s="85"/>
      <c r="AK3" s="85"/>
      <c r="AL3" s="85"/>
      <c r="AM3" s="85"/>
    </row>
    <row r="4" customFormat="false" ht="14.5" hidden="false" customHeight="false" outlineLevel="0" collapsed="false">
      <c r="A4" s="135"/>
      <c r="B4" s="135"/>
      <c r="C4" s="135"/>
      <c r="D4" s="135"/>
      <c r="E4" s="85"/>
      <c r="F4" s="0"/>
      <c r="G4" s="0"/>
      <c r="H4" s="0"/>
      <c r="I4" s="0"/>
      <c r="J4" s="0"/>
      <c r="U4" s="85"/>
      <c r="V4" s="85"/>
      <c r="W4" s="85"/>
      <c r="X4" s="85"/>
      <c r="Y4" s="85"/>
      <c r="Z4" s="85"/>
      <c r="AA4" s="85"/>
      <c r="AB4" s="85"/>
      <c r="AC4" s="85"/>
      <c r="AD4" s="85"/>
      <c r="AE4" s="85"/>
      <c r="AF4" s="85"/>
      <c r="AG4" s="85"/>
      <c r="AH4" s="85"/>
      <c r="AI4" s="85"/>
      <c r="AJ4" s="85"/>
      <c r="AK4" s="85"/>
      <c r="AL4" s="85"/>
      <c r="AM4" s="85"/>
    </row>
    <row r="5" customFormat="false" ht="15" hidden="false" customHeight="false" outlineLevel="0" collapsed="false">
      <c r="A5" s="85"/>
      <c r="B5" s="85"/>
      <c r="C5" s="85"/>
      <c r="D5" s="85"/>
      <c r="E5" s="85"/>
      <c r="F5" s="0"/>
      <c r="G5" s="0"/>
      <c r="H5" s="0"/>
      <c r="I5" s="0"/>
      <c r="J5" s="0"/>
      <c r="U5" s="85"/>
      <c r="V5" s="85"/>
      <c r="W5" s="85"/>
      <c r="X5" s="85"/>
      <c r="Y5" s="85"/>
      <c r="Z5" s="85"/>
      <c r="AA5" s="85"/>
      <c r="AB5" s="85"/>
      <c r="AC5" s="85"/>
      <c r="AD5" s="85"/>
      <c r="AE5" s="85"/>
      <c r="AF5" s="85"/>
      <c r="AG5" s="85"/>
      <c r="AH5" s="85"/>
      <c r="AI5" s="85"/>
      <c r="AJ5" s="85"/>
      <c r="AK5" s="85"/>
      <c r="AL5" s="85"/>
      <c r="AM5" s="85"/>
    </row>
    <row r="6" customFormat="false" ht="18.5" hidden="false" customHeight="true" outlineLevel="0" collapsed="false">
      <c r="A6" s="85"/>
      <c r="B6" s="137" t="s">
        <v>267</v>
      </c>
      <c r="C6" s="137"/>
      <c r="D6" s="137"/>
      <c r="E6" s="85"/>
      <c r="F6" s="138" t="s">
        <v>268</v>
      </c>
      <c r="G6" s="138"/>
      <c r="H6" s="138"/>
      <c r="I6" s="138"/>
      <c r="J6" s="138"/>
      <c r="K6" s="259" t="s">
        <v>269</v>
      </c>
      <c r="L6" s="259"/>
      <c r="M6" s="259"/>
      <c r="N6" s="259"/>
      <c r="O6" s="259"/>
      <c r="P6" s="140" t="s">
        <v>270</v>
      </c>
      <c r="Q6" s="140"/>
      <c r="R6" s="140"/>
      <c r="S6" s="140"/>
      <c r="T6" s="140"/>
      <c r="U6" s="141"/>
      <c r="V6" s="142" t="s">
        <v>271</v>
      </c>
      <c r="W6" s="142"/>
      <c r="X6" s="142"/>
      <c r="Y6" s="142"/>
      <c r="Z6" s="142"/>
      <c r="AA6" s="85"/>
      <c r="AB6" s="143" t="s">
        <v>272</v>
      </c>
      <c r="AC6" s="143"/>
      <c r="AD6" s="143"/>
      <c r="AE6" s="143"/>
      <c r="AF6" s="143"/>
      <c r="AG6" s="142" t="s">
        <v>273</v>
      </c>
      <c r="AH6" s="142"/>
      <c r="AI6" s="142"/>
      <c r="AJ6" s="142"/>
      <c r="AK6" s="142"/>
      <c r="AL6" s="85"/>
      <c r="AM6" s="85"/>
    </row>
    <row r="7" customFormat="false" ht="15" hidden="false" customHeight="true" outlineLevel="0" collapsed="false">
      <c r="A7" s="85"/>
      <c r="B7" s="137"/>
      <c r="C7" s="137"/>
      <c r="D7" s="137"/>
      <c r="E7" s="85"/>
      <c r="F7" s="138"/>
      <c r="G7" s="138"/>
      <c r="H7" s="138"/>
      <c r="I7" s="138"/>
      <c r="J7" s="138"/>
      <c r="K7" s="259"/>
      <c r="L7" s="259"/>
      <c r="M7" s="259"/>
      <c r="N7" s="259"/>
      <c r="O7" s="259"/>
      <c r="P7" s="140"/>
      <c r="Q7" s="140"/>
      <c r="R7" s="140"/>
      <c r="S7" s="140"/>
      <c r="T7" s="140"/>
      <c r="U7" s="141"/>
      <c r="V7" s="142"/>
      <c r="W7" s="142"/>
      <c r="X7" s="142"/>
      <c r="Y7" s="142"/>
      <c r="Z7" s="142"/>
      <c r="AA7" s="85"/>
      <c r="AB7" s="143"/>
      <c r="AC7" s="143"/>
      <c r="AD7" s="143"/>
      <c r="AE7" s="143"/>
      <c r="AF7" s="143"/>
      <c r="AG7" s="142"/>
      <c r="AH7" s="142"/>
      <c r="AI7" s="142"/>
      <c r="AJ7" s="142"/>
      <c r="AK7" s="142"/>
      <c r="AL7" s="85"/>
      <c r="AM7" s="85"/>
    </row>
    <row r="8" customFormat="false" ht="15" hidden="false" customHeight="true" outlineLevel="0" collapsed="false">
      <c r="A8" s="144" t="s">
        <v>34</v>
      </c>
      <c r="B8" s="144" t="s">
        <v>274</v>
      </c>
      <c r="C8" s="145" t="s">
        <v>275</v>
      </c>
      <c r="D8" s="146" t="s">
        <v>37</v>
      </c>
      <c r="E8" s="147" t="s">
        <v>276</v>
      </c>
      <c r="F8" s="148" t="s">
        <v>277</v>
      </c>
      <c r="G8" s="149" t="s">
        <v>278</v>
      </c>
      <c r="H8" s="149" t="s">
        <v>279</v>
      </c>
      <c r="I8" s="149" t="s">
        <v>280</v>
      </c>
      <c r="J8" s="150" t="s">
        <v>281</v>
      </c>
      <c r="K8" s="148" t="s">
        <v>277</v>
      </c>
      <c r="L8" s="149" t="s">
        <v>278</v>
      </c>
      <c r="M8" s="149" t="s">
        <v>279</v>
      </c>
      <c r="N8" s="149" t="s">
        <v>280</v>
      </c>
      <c r="O8" s="150" t="s">
        <v>281</v>
      </c>
      <c r="P8" s="151" t="str">
        <f aca="false">'household calculator'!G5</f>
        <v>direct water [L]</v>
      </c>
      <c r="Q8" s="152" t="str">
        <f aca="false">'household calculator'!H5</f>
        <v>hidden water [L]</v>
      </c>
      <c r="R8" s="152" t="str">
        <f aca="false">'household calculator'!I5</f>
        <v>direct CO2 [kgCO2e]</v>
      </c>
      <c r="S8" s="152" t="str">
        <f aca="false">'household calculator'!J5</f>
        <v>hidden CO2 [kgCO2e]</v>
      </c>
      <c r="T8" s="152" t="str">
        <f aca="false">'household calculator'!K5</f>
        <v>electricity [kWh]</v>
      </c>
      <c r="U8" s="10"/>
      <c r="V8" s="148" t="s">
        <v>277</v>
      </c>
      <c r="W8" s="149" t="s">
        <v>278</v>
      </c>
      <c r="X8" s="149" t="s">
        <v>279</v>
      </c>
      <c r="Y8" s="149" t="s">
        <v>280</v>
      </c>
      <c r="Z8" s="150" t="s">
        <v>281</v>
      </c>
      <c r="AA8" s="85"/>
      <c r="AB8" s="148" t="s">
        <v>277</v>
      </c>
      <c r="AC8" s="149"/>
      <c r="AD8" s="149" t="s">
        <v>279</v>
      </c>
      <c r="AE8" s="149"/>
      <c r="AF8" s="149" t="s">
        <v>281</v>
      </c>
      <c r="AG8" s="148" t="s">
        <v>277</v>
      </c>
      <c r="AH8" s="149" t="s">
        <v>278</v>
      </c>
      <c r="AI8" s="149" t="s">
        <v>279</v>
      </c>
      <c r="AJ8" s="149" t="s">
        <v>280</v>
      </c>
      <c r="AK8" s="150" t="s">
        <v>281</v>
      </c>
      <c r="AL8" s="85"/>
      <c r="AM8" s="85"/>
    </row>
    <row r="9" customFormat="false" ht="15" hidden="false" customHeight="true" outlineLevel="0" collapsed="false">
      <c r="A9" s="153" t="s">
        <v>41</v>
      </c>
      <c r="B9" s="154"/>
      <c r="C9" s="155"/>
      <c r="D9" s="156"/>
      <c r="E9" s="157"/>
      <c r="F9" s="158"/>
      <c r="G9" s="159"/>
      <c r="H9" s="159"/>
      <c r="I9" s="159"/>
      <c r="J9" s="160"/>
      <c r="K9" s="158"/>
      <c r="L9" s="159"/>
      <c r="M9" s="260"/>
      <c r="N9" s="159"/>
      <c r="O9" s="160"/>
      <c r="P9" s="154" t="n">
        <f aca="false">'household calculator'!G6</f>
        <v>0</v>
      </c>
      <c r="Q9" s="161" t="n">
        <f aca="false">'household calculator'!H6</f>
        <v>0</v>
      </c>
      <c r="R9" s="261" t="n">
        <f aca="false">'household calculator'!I6</f>
        <v>0</v>
      </c>
      <c r="S9" s="161" t="n">
        <f aca="false">'household calculator'!J6</f>
        <v>0</v>
      </c>
      <c r="T9" s="161" t="n">
        <f aca="false">'household calculator'!K6</f>
        <v>0</v>
      </c>
      <c r="U9" s="10"/>
      <c r="V9" s="154"/>
      <c r="W9" s="161"/>
      <c r="X9" s="161"/>
      <c r="Y9" s="161"/>
      <c r="Z9" s="156"/>
      <c r="AA9" s="85"/>
      <c r="AB9" s="154"/>
      <c r="AC9" s="161"/>
      <c r="AD9" s="161"/>
      <c r="AE9" s="161"/>
      <c r="AF9" s="161"/>
      <c r="AG9" s="154"/>
      <c r="AH9" s="161"/>
      <c r="AI9" s="161"/>
      <c r="AJ9" s="161"/>
      <c r="AK9" s="156"/>
      <c r="AL9" s="85"/>
      <c r="AM9" s="85"/>
    </row>
    <row r="10" customFormat="false" ht="15" hidden="false" customHeight="true" outlineLevel="0" collapsed="false">
      <c r="A10" s="162" t="s">
        <v>42</v>
      </c>
      <c r="B10" s="163" t="str">
        <f aca="false">'Style Change'!C4</f>
        <v>Water saving shower head (flow reduction)</v>
      </c>
      <c r="C10" s="49" t="n">
        <f aca="false">'Household Input'!C11</f>
        <v>60</v>
      </c>
      <c r="D10" s="164" t="s">
        <v>44</v>
      </c>
      <c r="E10" s="162" t="n">
        <f aca="false">VLOOKUP(B10,'back end data'!A8:B10,2,0)</f>
        <v>5.5</v>
      </c>
      <c r="F10" s="165" t="n">
        <f aca="false">C10*E10</f>
        <v>330</v>
      </c>
      <c r="G10" s="166"/>
      <c r="H10" s="166" t="n">
        <f aca="false">F10*VLOOKUP(Start!B15,'back end data'!A76:G77,4,0)</f>
        <v>2.2579075037037</v>
      </c>
      <c r="I10" s="167"/>
      <c r="J10" s="164" t="n">
        <f aca="false">F10*VLOOKUP(Start!B15,'back end data'!A76:G77,6,0)</f>
        <v>11.9207407407407</v>
      </c>
      <c r="K10" s="163" t="n">
        <f aca="false">52.14*F10</f>
        <v>17206.2</v>
      </c>
      <c r="L10" s="167" t="n">
        <f aca="false">52.14*G10</f>
        <v>0</v>
      </c>
      <c r="M10" s="262" t="n">
        <f aca="false">52.14*H10</f>
        <v>117.727297243111</v>
      </c>
      <c r="N10" s="167" t="n">
        <f aca="false">52.14*I10</f>
        <v>0</v>
      </c>
      <c r="O10" s="164" t="n">
        <f aca="false">52.14*J10</f>
        <v>621.547422222222</v>
      </c>
      <c r="P10" s="168" t="n">
        <f aca="false">'household calculator'!G7</f>
        <v>31284</v>
      </c>
      <c r="Q10" s="169" t="n">
        <f aca="false">'household calculator'!H7</f>
        <v>0</v>
      </c>
      <c r="R10" s="263" t="n">
        <f aca="false">'household calculator'!I7</f>
        <v>214.049631351111</v>
      </c>
      <c r="S10" s="169" t="n">
        <f aca="false">'household calculator'!J7</f>
        <v>0</v>
      </c>
      <c r="T10" s="169" t="n">
        <f aca="false">'household calculator'!K7</f>
        <v>1130.08622222222</v>
      </c>
      <c r="U10" s="10"/>
      <c r="V10" s="170" t="n">
        <f aca="false">IF(P10&lt;&gt;0,(P10-K10)/P10,"")</f>
        <v>0.45</v>
      </c>
      <c r="W10" s="171" t="str">
        <f aca="false">IF(Q10&lt;&gt;0,(Q10-L10)/Q10,"")</f>
        <v/>
      </c>
      <c r="X10" s="171" t="n">
        <f aca="false">IF(R10&lt;&gt;0,(R10-M10)/R10,"")</f>
        <v>0.45</v>
      </c>
      <c r="Y10" s="171" t="str">
        <f aca="false">IF(S10&lt;&gt;0,(S10-N10)/S10,"")</f>
        <v/>
      </c>
      <c r="Z10" s="172" t="n">
        <f aca="false">IF(T10&lt;&gt;0,(T10-O10)/T10,"")</f>
        <v>0.45</v>
      </c>
      <c r="AA10" s="85"/>
      <c r="AB10" s="173" t="n">
        <f aca="false">(P10-K10)/(P$34-K$34)</f>
        <v>0.448132780082988</v>
      </c>
      <c r="AC10" s="174"/>
      <c r="AD10" s="174" t="n">
        <f aca="false">(R10-M10)/(R$34-M$34)</f>
        <v>0.360922659430122</v>
      </c>
      <c r="AE10" s="174"/>
      <c r="AF10" s="174" t="n">
        <f aca="false">(T10-O10)/(T$34-O$34)</f>
        <v>0.360922659430122</v>
      </c>
      <c r="AG10" s="175" t="n">
        <f aca="false">IF(P10&lt;&gt;0,(P10-K10),"")</f>
        <v>14077.8</v>
      </c>
      <c r="AH10" s="176" t="str">
        <f aca="false">IF(Q10&lt;&gt;0,(Q10-L10),"")</f>
        <v/>
      </c>
      <c r="AI10" s="176" t="n">
        <f aca="false">IF(R10&lt;&gt;0,(R10-M10),"")</f>
        <v>96.322334108</v>
      </c>
      <c r="AJ10" s="176" t="str">
        <f aca="false">IF(S10&lt;&gt;0,(S10-N10),"")</f>
        <v/>
      </c>
      <c r="AK10" s="177" t="n">
        <f aca="false">IF(T10&lt;&gt;0,(T10-O10),"")</f>
        <v>508.5388</v>
      </c>
      <c r="AL10" s="85"/>
      <c r="AM10" s="85"/>
    </row>
    <row r="11" customFormat="false" ht="14.5" hidden="false" customHeight="false" outlineLevel="0" collapsed="false">
      <c r="A11" s="162" t="s">
        <v>45</v>
      </c>
      <c r="B11" s="163" t="str">
        <f aca="false">'Style Change'!C5</f>
        <v>I don't take baths</v>
      </c>
      <c r="C11" s="49" t="n">
        <f aca="false">'Household Input'!C12</f>
        <v>0</v>
      </c>
      <c r="D11" s="164" t="s">
        <v>47</v>
      </c>
      <c r="E11" s="162" t="n">
        <f aca="false">VLOOKUP(B11,'back end data'!A12:B14,2,0)</f>
        <v>0</v>
      </c>
      <c r="F11" s="165" t="n">
        <f aca="false">C11*E11</f>
        <v>0</v>
      </c>
      <c r="G11" s="166"/>
      <c r="H11" s="166" t="n">
        <f aca="false">F11*VLOOKUP(Start!B15,'back end data'!A76:G77,4,0)</f>
        <v>0</v>
      </c>
      <c r="I11" s="166"/>
      <c r="J11" s="178" t="n">
        <f aca="false">F11*VLOOKUP(Start!B15,'back end data'!A76:G77,6,0)</f>
        <v>0</v>
      </c>
      <c r="K11" s="163" t="n">
        <f aca="false">52.14*F11</f>
        <v>0</v>
      </c>
      <c r="L11" s="167" t="n">
        <f aca="false">52.14*G11</f>
        <v>0</v>
      </c>
      <c r="M11" s="262" t="n">
        <f aca="false">52.14*H11</f>
        <v>0</v>
      </c>
      <c r="N11" s="167" t="n">
        <f aca="false">52.14*I11</f>
        <v>0</v>
      </c>
      <c r="O11" s="164" t="n">
        <f aca="false">52.14*J11</f>
        <v>0</v>
      </c>
      <c r="P11" s="168" t="n">
        <f aca="false">'household calculator'!G8</f>
        <v>0</v>
      </c>
      <c r="Q11" s="169" t="n">
        <f aca="false">'household calculator'!H8</f>
        <v>0</v>
      </c>
      <c r="R11" s="263" t="n">
        <f aca="false">'household calculator'!I8</f>
        <v>0</v>
      </c>
      <c r="S11" s="169" t="n">
        <f aca="false">'household calculator'!J8</f>
        <v>0</v>
      </c>
      <c r="T11" s="169" t="n">
        <f aca="false">'household calculator'!K8</f>
        <v>0</v>
      </c>
      <c r="U11" s="10"/>
      <c r="V11" s="170" t="str">
        <f aca="false">IF(P11&lt;&gt;0,(P11-K11)/P11,"")</f>
        <v/>
      </c>
      <c r="W11" s="171" t="str">
        <f aca="false">IF(Q11&lt;&gt;0,(Q11-L11)/Q11,"")</f>
        <v/>
      </c>
      <c r="X11" s="171" t="str">
        <f aca="false">IF(R11&lt;&gt;0,(R11-M11)/R11,"")</f>
        <v/>
      </c>
      <c r="Y11" s="171" t="str">
        <f aca="false">IF(S11&lt;&gt;0,(S11-N11)/S11,"")</f>
        <v/>
      </c>
      <c r="Z11" s="172" t="str">
        <f aca="false">IF(T11&lt;&gt;0,(T11-O11)/T11,"")</f>
        <v/>
      </c>
      <c r="AA11" s="85"/>
      <c r="AB11" s="173" t="n">
        <f aca="false">(P11-K11)/(P$34-K$34)</f>
        <v>0</v>
      </c>
      <c r="AC11" s="179"/>
      <c r="AD11" s="174" t="n">
        <f aca="false">(R11-M11)/(R$34-M$34)</f>
        <v>0</v>
      </c>
      <c r="AE11" s="179"/>
      <c r="AF11" s="174" t="n">
        <f aca="false">(T11-O11)/(T$34-O$34)</f>
        <v>0</v>
      </c>
      <c r="AG11" s="175" t="str">
        <f aca="false">IF(P11&lt;&gt;0,(P11-K11),"")</f>
        <v/>
      </c>
      <c r="AH11" s="176" t="str">
        <f aca="false">IF(Q11&lt;&gt;0,(Q11-L11),"")</f>
        <v/>
      </c>
      <c r="AI11" s="176" t="str">
        <f aca="false">IF(R11&lt;&gt;0,(R11-M11),"")</f>
        <v/>
      </c>
      <c r="AJ11" s="176" t="str">
        <f aca="false">IF(S11&lt;&gt;0,(S11-N11),"")</f>
        <v/>
      </c>
      <c r="AK11" s="177" t="str">
        <f aca="false">IF(T11&lt;&gt;0,(T11-O11),"")</f>
        <v/>
      </c>
      <c r="AL11" s="85"/>
      <c r="AM11" s="85"/>
    </row>
    <row r="12" customFormat="false" ht="14.5" hidden="false" customHeight="false" outlineLevel="0" collapsed="false">
      <c r="A12" s="162" t="s">
        <v>48</v>
      </c>
      <c r="B12" s="163" t="str">
        <f aca="false">'Style Change'!C6</f>
        <v>Toilet with two flush options (urine/faeces)</v>
      </c>
      <c r="C12" s="49" t="n">
        <f aca="false">'Household Input'!C13</f>
        <v>5</v>
      </c>
      <c r="D12" s="164" t="s">
        <v>50</v>
      </c>
      <c r="E12" s="162" t="n">
        <f aca="false">VLOOKUP(B12,'back end data'!A16:B18,2,0)</f>
        <v>3.5</v>
      </c>
      <c r="F12" s="165" t="n">
        <f aca="false">7*C12*E12</f>
        <v>122.5</v>
      </c>
      <c r="G12" s="166"/>
      <c r="H12" s="166" t="n">
        <v>0</v>
      </c>
      <c r="I12" s="166"/>
      <c r="J12" s="178" t="n">
        <v>0</v>
      </c>
      <c r="K12" s="163" t="n">
        <f aca="false">52.14*F12</f>
        <v>6387.15</v>
      </c>
      <c r="L12" s="167" t="n">
        <f aca="false">52.14*G12</f>
        <v>0</v>
      </c>
      <c r="M12" s="262" t="n">
        <f aca="false">52.14*H12</f>
        <v>0</v>
      </c>
      <c r="N12" s="167" t="n">
        <f aca="false">52.14*I12</f>
        <v>0</v>
      </c>
      <c r="O12" s="164" t="n">
        <f aca="false">52.14*J12</f>
        <v>0</v>
      </c>
      <c r="P12" s="168" t="n">
        <f aca="false">'household calculator'!G9</f>
        <v>23723.7</v>
      </c>
      <c r="Q12" s="169" t="n">
        <f aca="false">'household calculator'!H9</f>
        <v>0</v>
      </c>
      <c r="R12" s="263" t="n">
        <f aca="false">'household calculator'!I9</f>
        <v>0</v>
      </c>
      <c r="S12" s="169" t="n">
        <f aca="false">'household calculator'!J9</f>
        <v>0</v>
      </c>
      <c r="T12" s="169" t="n">
        <f aca="false">'household calculator'!K9</f>
        <v>0</v>
      </c>
      <c r="U12" s="10"/>
      <c r="V12" s="170" t="n">
        <f aca="false">IF(P12&lt;&gt;0,(P12-K12)/P12,"")</f>
        <v>0.730769230769231</v>
      </c>
      <c r="W12" s="171" t="str">
        <f aca="false">IF(Q12&lt;&gt;0,(Q12-L12)/Q12,"")</f>
        <v/>
      </c>
      <c r="X12" s="171" t="str">
        <f aca="false">IF(R12&lt;&gt;0,(R12-M12)/R12,"")</f>
        <v/>
      </c>
      <c r="Y12" s="171" t="str">
        <f aca="false">IF(S12&lt;&gt;0,(S12-N12)/S12,"")</f>
        <v/>
      </c>
      <c r="Z12" s="172" t="str">
        <f aca="false">IF(T12&lt;&gt;0,(T12-O12)/T12,"")</f>
        <v/>
      </c>
      <c r="AA12" s="85"/>
      <c r="AB12" s="173" t="n">
        <f aca="false">(P12-K12)/(P$34-K$34)</f>
        <v>0.551867219917013</v>
      </c>
      <c r="AC12" s="179"/>
      <c r="AD12" s="174" t="n">
        <f aca="false">(R12-M12)/(R$34-M$34)</f>
        <v>0</v>
      </c>
      <c r="AE12" s="179"/>
      <c r="AF12" s="174" t="n">
        <f aca="false">(T12-O12)/(T$34-O$34)</f>
        <v>0</v>
      </c>
      <c r="AG12" s="175" t="n">
        <f aca="false">IF(P12&lt;&gt;0,(P12-K12),"")</f>
        <v>17336.55</v>
      </c>
      <c r="AH12" s="176" t="str">
        <f aca="false">IF(Q12&lt;&gt;0,(Q12-L12),"")</f>
        <v/>
      </c>
      <c r="AI12" s="176" t="str">
        <f aca="false">IF(R12&lt;&gt;0,(R12-M12),"")</f>
        <v/>
      </c>
      <c r="AJ12" s="176" t="str">
        <f aca="false">IF(S12&lt;&gt;0,(S12-N12),"")</f>
        <v/>
      </c>
      <c r="AK12" s="177" t="str">
        <f aca="false">IF(T12&lt;&gt;0,(T12-O12),"")</f>
        <v/>
      </c>
      <c r="AL12" s="85"/>
      <c r="AM12" s="85"/>
    </row>
    <row r="13" customFormat="false" ht="14.5" hidden="false" customHeight="false" outlineLevel="0" collapsed="false">
      <c r="A13" s="162" t="s">
        <v>51</v>
      </c>
      <c r="B13" s="163" t="str">
        <f aca="false">'Style Change'!C7</f>
        <v>Brushing teeth closed tap</v>
      </c>
      <c r="C13" s="49" t="n">
        <f aca="false">'Household Input'!C14</f>
        <v>2</v>
      </c>
      <c r="D13" s="164" t="s">
        <v>50</v>
      </c>
      <c r="E13" s="162" t="n">
        <f aca="false">VLOOKUP(B13,'back end data'!A22:B23,2,0)</f>
        <v>3</v>
      </c>
      <c r="F13" s="165" t="n">
        <f aca="false">7*C13*E13</f>
        <v>42</v>
      </c>
      <c r="G13" s="166"/>
      <c r="H13" s="166" t="n">
        <v>0</v>
      </c>
      <c r="I13" s="166"/>
      <c r="J13" s="178" t="n">
        <v>0</v>
      </c>
      <c r="K13" s="163" t="n">
        <f aca="false">52.14*F13</f>
        <v>2189.88</v>
      </c>
      <c r="L13" s="167" t="n">
        <f aca="false">52.14*G13</f>
        <v>0</v>
      </c>
      <c r="M13" s="262" t="n">
        <f aca="false">52.14*H13</f>
        <v>0</v>
      </c>
      <c r="N13" s="167" t="n">
        <f aca="false">52.14*I13</f>
        <v>0</v>
      </c>
      <c r="O13" s="164" t="n">
        <f aca="false">52.14*J13</f>
        <v>0</v>
      </c>
      <c r="P13" s="168" t="n">
        <f aca="false">'household calculator'!G10</f>
        <v>2189.88</v>
      </c>
      <c r="Q13" s="169" t="n">
        <f aca="false">'household calculator'!H10</f>
        <v>0</v>
      </c>
      <c r="R13" s="263" t="n">
        <f aca="false">'household calculator'!I10</f>
        <v>0</v>
      </c>
      <c r="S13" s="169" t="n">
        <f aca="false">'household calculator'!J10</f>
        <v>0</v>
      </c>
      <c r="T13" s="169" t="n">
        <f aca="false">'household calculator'!K10</f>
        <v>0</v>
      </c>
      <c r="U13" s="10"/>
      <c r="V13" s="170" t="n">
        <f aca="false">IF(P13&lt;&gt;0,(P13-K13)/P13,"")</f>
        <v>0</v>
      </c>
      <c r="W13" s="171" t="str">
        <f aca="false">IF(Q13&lt;&gt;0,(Q13-L13)/Q13,"")</f>
        <v/>
      </c>
      <c r="X13" s="171" t="str">
        <f aca="false">IF(R13&lt;&gt;0,(R13-M13)/R13,"")</f>
        <v/>
      </c>
      <c r="Y13" s="171" t="str">
        <f aca="false">IF(S13&lt;&gt;0,(S13-N13)/S13,"")</f>
        <v/>
      </c>
      <c r="Z13" s="172" t="str">
        <f aca="false">IF(T13&lt;&gt;0,(T13-O13)/T13,"")</f>
        <v/>
      </c>
      <c r="AA13" s="85"/>
      <c r="AB13" s="173" t="n">
        <f aca="false">(P13-K13)/(P$34-K$34)</f>
        <v>0</v>
      </c>
      <c r="AC13" s="179"/>
      <c r="AD13" s="174" t="n">
        <f aca="false">(R13-M13)/(R$34-M$34)</f>
        <v>0</v>
      </c>
      <c r="AE13" s="179"/>
      <c r="AF13" s="174" t="n">
        <f aca="false">(T13-O13)/(T$34-O$34)</f>
        <v>0</v>
      </c>
      <c r="AG13" s="175" t="n">
        <f aca="false">IF(P13&lt;&gt;0,(P13-K13),"")</f>
        <v>0</v>
      </c>
      <c r="AH13" s="176" t="str">
        <f aca="false">IF(Q13&lt;&gt;0,(Q13-L13),"")</f>
        <v/>
      </c>
      <c r="AI13" s="176" t="str">
        <f aca="false">IF(R13&lt;&gt;0,(R13-M13),"")</f>
        <v/>
      </c>
      <c r="AJ13" s="176" t="str">
        <f aca="false">IF(S13&lt;&gt;0,(S13-N13),"")</f>
        <v/>
      </c>
      <c r="AK13" s="177" t="str">
        <f aca="false">IF(T13&lt;&gt;0,(T13-O13),"")</f>
        <v/>
      </c>
      <c r="AL13" s="85"/>
      <c r="AM13" s="85"/>
    </row>
    <row r="14" customFormat="false" ht="14.5" hidden="false" customHeight="false" outlineLevel="0" collapsed="false">
      <c r="A14" s="162" t="s">
        <v>53</v>
      </c>
      <c r="B14" s="180" t="s">
        <v>54</v>
      </c>
      <c r="C14" s="49" t="n">
        <f aca="false">'Household Input'!C15</f>
        <v>10</v>
      </c>
      <c r="D14" s="164" t="s">
        <v>50</v>
      </c>
      <c r="E14" s="162" t="n">
        <f aca="false">'back end data'!B25</f>
        <v>1</v>
      </c>
      <c r="F14" s="165" t="n">
        <f aca="false">7*C14*E14</f>
        <v>70</v>
      </c>
      <c r="G14" s="166"/>
      <c r="H14" s="166" t="n">
        <v>0</v>
      </c>
      <c r="I14" s="166"/>
      <c r="J14" s="178" t="n">
        <v>0</v>
      </c>
      <c r="K14" s="163" t="n">
        <f aca="false">52.14*F14</f>
        <v>3649.8</v>
      </c>
      <c r="L14" s="167" t="n">
        <f aca="false">52.14*G14</f>
        <v>0</v>
      </c>
      <c r="M14" s="262" t="n">
        <f aca="false">52.14*H14</f>
        <v>0</v>
      </c>
      <c r="N14" s="167" t="n">
        <f aca="false">52.14*I14</f>
        <v>0</v>
      </c>
      <c r="O14" s="164" t="n">
        <f aca="false">52.14*J14</f>
        <v>0</v>
      </c>
      <c r="P14" s="168" t="n">
        <f aca="false">'household calculator'!G11</f>
        <v>3649.8</v>
      </c>
      <c r="Q14" s="169" t="n">
        <f aca="false">'household calculator'!H11</f>
        <v>0</v>
      </c>
      <c r="R14" s="263" t="n">
        <f aca="false">'household calculator'!I11</f>
        <v>0</v>
      </c>
      <c r="S14" s="169" t="n">
        <f aca="false">'household calculator'!J11</f>
        <v>0</v>
      </c>
      <c r="T14" s="169" t="n">
        <f aca="false">'household calculator'!K11</f>
        <v>0</v>
      </c>
      <c r="U14" s="10"/>
      <c r="V14" s="170" t="n">
        <f aca="false">IF(P14&lt;&gt;0,(P14-K14)/P14,"")</f>
        <v>0</v>
      </c>
      <c r="W14" s="171" t="str">
        <f aca="false">IF(Q14&lt;&gt;0,(Q14-L14)/Q14,"")</f>
        <v/>
      </c>
      <c r="X14" s="171" t="str">
        <f aca="false">IF(R14&lt;&gt;0,(R14-M14)/R14,"")</f>
        <v/>
      </c>
      <c r="Y14" s="171" t="str">
        <f aca="false">IF(S14&lt;&gt;0,(S14-N14)/S14,"")</f>
        <v/>
      </c>
      <c r="Z14" s="172" t="str">
        <f aca="false">IF(T14&lt;&gt;0,(T14-O14)/T14,"")</f>
        <v/>
      </c>
      <c r="AA14" s="85"/>
      <c r="AB14" s="173" t="n">
        <f aca="false">(P14-K14)/(P$34-K$34)</f>
        <v>0</v>
      </c>
      <c r="AC14" s="179"/>
      <c r="AD14" s="174" t="n">
        <f aca="false">(R14-M14)/(R$34-M$34)</f>
        <v>0</v>
      </c>
      <c r="AE14" s="179"/>
      <c r="AF14" s="174" t="n">
        <f aca="false">(T14-O14)/(T$34-O$34)</f>
        <v>0</v>
      </c>
      <c r="AG14" s="175" t="n">
        <f aca="false">IF(P14&lt;&gt;0,(P14-K14),"")</f>
        <v>0</v>
      </c>
      <c r="AH14" s="176" t="str">
        <f aca="false">IF(Q14&lt;&gt;0,(Q14-L14),"")</f>
        <v/>
      </c>
      <c r="AI14" s="176" t="str">
        <f aca="false">IF(R14&lt;&gt;0,(R14-M14),"")</f>
        <v/>
      </c>
      <c r="AJ14" s="176" t="str">
        <f aca="false">IF(S14&lt;&gt;0,(S14-N14),"")</f>
        <v/>
      </c>
      <c r="AK14" s="177" t="str">
        <f aca="false">IF(T14&lt;&gt;0,(T14-O14),"")</f>
        <v/>
      </c>
      <c r="AL14" s="85"/>
      <c r="AM14" s="85"/>
    </row>
    <row r="15" customFormat="false" ht="14.5" hidden="false" customHeight="false" outlineLevel="0" collapsed="false">
      <c r="A15" s="162" t="s">
        <v>55</v>
      </c>
      <c r="B15" s="180" t="s">
        <v>54</v>
      </c>
      <c r="C15" s="49" t="n">
        <f aca="false">'Household Input'!C16</f>
        <v>0</v>
      </c>
      <c r="D15" s="164" t="s">
        <v>47</v>
      </c>
      <c r="E15" s="162" t="n">
        <f aca="false">'back end data'!B27</f>
        <v>5</v>
      </c>
      <c r="F15" s="165" t="n">
        <f aca="false">C15*E15</f>
        <v>0</v>
      </c>
      <c r="G15" s="166"/>
      <c r="H15" s="166" t="n">
        <v>0</v>
      </c>
      <c r="I15" s="166"/>
      <c r="J15" s="178" t="n">
        <v>0</v>
      </c>
      <c r="K15" s="163" t="n">
        <f aca="false">52.14*F15</f>
        <v>0</v>
      </c>
      <c r="L15" s="167" t="n">
        <f aca="false">52.14*G15</f>
        <v>0</v>
      </c>
      <c r="M15" s="262" t="n">
        <f aca="false">52.14*H15</f>
        <v>0</v>
      </c>
      <c r="N15" s="167" t="n">
        <f aca="false">52.14*I15</f>
        <v>0</v>
      </c>
      <c r="O15" s="164" t="n">
        <f aca="false">52.14*J15</f>
        <v>0</v>
      </c>
      <c r="P15" s="168" t="n">
        <f aca="false">'household calculator'!G12</f>
        <v>0</v>
      </c>
      <c r="Q15" s="169" t="n">
        <f aca="false">'household calculator'!H12</f>
        <v>0</v>
      </c>
      <c r="R15" s="263" t="n">
        <f aca="false">'household calculator'!I12</f>
        <v>0</v>
      </c>
      <c r="S15" s="169" t="n">
        <f aca="false">'household calculator'!J12</f>
        <v>0</v>
      </c>
      <c r="T15" s="169" t="n">
        <f aca="false">'household calculator'!K12</f>
        <v>0</v>
      </c>
      <c r="U15" s="10"/>
      <c r="V15" s="170" t="str">
        <f aca="false">IF(P15&lt;&gt;0,(P15-K15)/P15,"")</f>
        <v/>
      </c>
      <c r="W15" s="171" t="str">
        <f aca="false">IF(Q15&lt;&gt;0,(Q15-L15)/Q15,"")</f>
        <v/>
      </c>
      <c r="X15" s="171" t="str">
        <f aca="false">IF(R15&lt;&gt;0,(R15-M15)/R15,"")</f>
        <v/>
      </c>
      <c r="Y15" s="171" t="str">
        <f aca="false">IF(S15&lt;&gt;0,(S15-N15)/S15,"")</f>
        <v/>
      </c>
      <c r="Z15" s="172" t="str">
        <f aca="false">IF(T15&lt;&gt;0,(T15-O15)/T15,"")</f>
        <v/>
      </c>
      <c r="AA15" s="85"/>
      <c r="AB15" s="173" t="n">
        <f aca="false">(P15-K15)/(P$34-K$34)</f>
        <v>0</v>
      </c>
      <c r="AC15" s="179"/>
      <c r="AD15" s="174" t="n">
        <f aca="false">(R15-M15)/(R$34-M$34)</f>
        <v>0</v>
      </c>
      <c r="AE15" s="179"/>
      <c r="AF15" s="174" t="n">
        <f aca="false">(T15-O15)/(T$34-O$34)</f>
        <v>0</v>
      </c>
      <c r="AG15" s="175" t="str">
        <f aca="false">IF(P15&lt;&gt;0,(P15-K15),"")</f>
        <v/>
      </c>
      <c r="AH15" s="176" t="str">
        <f aca="false">IF(Q15&lt;&gt;0,(Q15-L15),"")</f>
        <v/>
      </c>
      <c r="AI15" s="176" t="str">
        <f aca="false">IF(R15&lt;&gt;0,(R15-M15),"")</f>
        <v/>
      </c>
      <c r="AJ15" s="176" t="str">
        <f aca="false">IF(S15&lt;&gt;0,(S15-N15),"")</f>
        <v/>
      </c>
      <c r="AK15" s="177" t="str">
        <f aca="false">IF(T15&lt;&gt;0,(T15-O15),"")</f>
        <v/>
      </c>
      <c r="AL15" s="85"/>
      <c r="AM15" s="85"/>
    </row>
    <row r="16" customFormat="false" ht="14.5" hidden="false" customHeight="false" outlineLevel="0" collapsed="false">
      <c r="A16" s="162"/>
      <c r="B16" s="163"/>
      <c r="C16" s="49"/>
      <c r="D16" s="164"/>
      <c r="E16" s="162"/>
      <c r="F16" s="165"/>
      <c r="G16" s="166"/>
      <c r="H16" s="166"/>
      <c r="I16" s="166"/>
      <c r="J16" s="178"/>
      <c r="K16" s="163" t="n">
        <f aca="false">52.14*F16</f>
        <v>0</v>
      </c>
      <c r="L16" s="167" t="n">
        <f aca="false">52.14*G16</f>
        <v>0</v>
      </c>
      <c r="M16" s="262" t="n">
        <f aca="false">52.14*H16</f>
        <v>0</v>
      </c>
      <c r="N16" s="167" t="n">
        <f aca="false">52.14*I16</f>
        <v>0</v>
      </c>
      <c r="O16" s="164" t="n">
        <f aca="false">52.14*J16</f>
        <v>0</v>
      </c>
      <c r="P16" s="168" t="n">
        <f aca="false">'household calculator'!G13</f>
        <v>0</v>
      </c>
      <c r="Q16" s="169" t="n">
        <f aca="false">'household calculator'!H13</f>
        <v>0</v>
      </c>
      <c r="R16" s="263" t="n">
        <f aca="false">'household calculator'!I13</f>
        <v>0</v>
      </c>
      <c r="S16" s="169" t="n">
        <f aca="false">'household calculator'!J13</f>
        <v>0</v>
      </c>
      <c r="T16" s="169" t="n">
        <f aca="false">'household calculator'!K13</f>
        <v>0</v>
      </c>
      <c r="U16" s="10"/>
      <c r="V16" s="170" t="str">
        <f aca="false">IF(P16&lt;&gt;0,(P16-K16)/P16,"")</f>
        <v/>
      </c>
      <c r="W16" s="171" t="str">
        <f aca="false">IF(Q16&lt;&gt;0,(Q16-L16)/Q16,"")</f>
        <v/>
      </c>
      <c r="X16" s="171" t="str">
        <f aca="false">IF(R16&lt;&gt;0,(R16-M16)/R16,"")</f>
        <v/>
      </c>
      <c r="Y16" s="171" t="str">
        <f aca="false">IF(S16&lt;&gt;0,(S16-N16)/S16,"")</f>
        <v/>
      </c>
      <c r="Z16" s="172" t="str">
        <f aca="false">IF(T16&lt;&gt;0,(T16-O16)/T16,"")</f>
        <v/>
      </c>
      <c r="AA16" s="85"/>
      <c r="AB16" s="173" t="n">
        <f aca="false">(P16-K16)/(P$34-K$34)</f>
        <v>0</v>
      </c>
      <c r="AC16" s="179"/>
      <c r="AD16" s="174" t="n">
        <f aca="false">(R16-M16)/(R$34-M$34)</f>
        <v>0</v>
      </c>
      <c r="AE16" s="179"/>
      <c r="AF16" s="174" t="n">
        <f aca="false">(T16-O16)/(T$34-O$34)</f>
        <v>0</v>
      </c>
      <c r="AG16" s="175" t="str">
        <f aca="false">IF(P16&lt;&gt;0,(P16-K16),"")</f>
        <v/>
      </c>
      <c r="AH16" s="176" t="str">
        <f aca="false">IF(Q16&lt;&gt;0,(Q16-L16),"")</f>
        <v/>
      </c>
      <c r="AI16" s="176" t="str">
        <f aca="false">IF(R16&lt;&gt;0,(R16-M16),"")</f>
        <v/>
      </c>
      <c r="AJ16" s="176" t="str">
        <f aca="false">IF(S16&lt;&gt;0,(S16-N16),"")</f>
        <v/>
      </c>
      <c r="AK16" s="177" t="str">
        <f aca="false">IF(T16&lt;&gt;0,(T16-O16),"")</f>
        <v/>
      </c>
      <c r="AL16" s="85"/>
      <c r="AM16" s="85"/>
    </row>
    <row r="17" customFormat="false" ht="14.5" hidden="false" customHeight="false" outlineLevel="0" collapsed="false">
      <c r="A17" s="153" t="s">
        <v>56</v>
      </c>
      <c r="B17" s="154"/>
      <c r="C17" s="52"/>
      <c r="D17" s="156"/>
      <c r="E17" s="157"/>
      <c r="F17" s="158"/>
      <c r="G17" s="159"/>
      <c r="H17" s="159"/>
      <c r="I17" s="159"/>
      <c r="J17" s="160"/>
      <c r="K17" s="154"/>
      <c r="L17" s="161"/>
      <c r="M17" s="261"/>
      <c r="N17" s="161"/>
      <c r="O17" s="156"/>
      <c r="P17" s="154" t="n">
        <f aca="false">'household calculator'!G14</f>
        <v>0</v>
      </c>
      <c r="Q17" s="161" t="n">
        <f aca="false">'household calculator'!H14</f>
        <v>0</v>
      </c>
      <c r="R17" s="261" t="n">
        <f aca="false">'household calculator'!I14</f>
        <v>0</v>
      </c>
      <c r="S17" s="161" t="n">
        <f aca="false">'household calculator'!J14</f>
        <v>0</v>
      </c>
      <c r="T17" s="161" t="n">
        <f aca="false">'household calculator'!K14</f>
        <v>0</v>
      </c>
      <c r="U17" s="10"/>
      <c r="V17" s="181" t="str">
        <f aca="false">IF(P17&lt;&gt;0,(P17-K17)/P17,"")</f>
        <v/>
      </c>
      <c r="W17" s="182" t="str">
        <f aca="false">IF(Q17&lt;&gt;0,(Q17-L17)/Q17,"")</f>
        <v/>
      </c>
      <c r="X17" s="182" t="str">
        <f aca="false">IF(R17&lt;&gt;0,(R17-M17)/R17,"")</f>
        <v/>
      </c>
      <c r="Y17" s="182" t="str">
        <f aca="false">IF(S17&lt;&gt;0,(S17-N17)/S17,"")</f>
        <v/>
      </c>
      <c r="Z17" s="183" t="str">
        <f aca="false">IF(T17&lt;&gt;0,(T17-O17)/T17,"")</f>
        <v/>
      </c>
      <c r="AA17" s="85"/>
      <c r="AB17" s="184"/>
      <c r="AC17" s="185"/>
      <c r="AD17" s="186"/>
      <c r="AE17" s="185"/>
      <c r="AF17" s="186"/>
      <c r="AG17" s="187" t="str">
        <f aca="false">IF(P17&lt;&gt;0,(P17-K17),"")</f>
        <v/>
      </c>
      <c r="AH17" s="188" t="str">
        <f aca="false">IF(Q17&lt;&gt;0,(Q17-L17),"")</f>
        <v/>
      </c>
      <c r="AI17" s="188" t="str">
        <f aca="false">IF(R17&lt;&gt;0,(R17-M17),"")</f>
        <v/>
      </c>
      <c r="AJ17" s="188" t="str">
        <f aca="false">IF(S17&lt;&gt;0,(S17-N17),"")</f>
        <v/>
      </c>
      <c r="AK17" s="189" t="str">
        <f aca="false">IF(T17&lt;&gt;0,(T17-O17),"")</f>
        <v/>
      </c>
      <c r="AL17" s="85"/>
      <c r="AM17" s="85"/>
    </row>
    <row r="18" customFormat="false" ht="14.5" hidden="false" customHeight="false" outlineLevel="0" collapsed="false">
      <c r="A18" s="162" t="s">
        <v>57</v>
      </c>
      <c r="B18" s="163" t="str">
        <f aca="false">'Style Change'!C8</f>
        <v>Washing machine eco mode</v>
      </c>
      <c r="C18" s="49" t="n">
        <f aca="false">'Household Input'!C19</f>
        <v>3</v>
      </c>
      <c r="D18" s="164" t="s">
        <v>59</v>
      </c>
      <c r="E18" s="162" t="n">
        <f aca="false">VLOOKUP(B18,'back end data'!A30:B32,2,0)</f>
        <v>7.14</v>
      </c>
      <c r="F18" s="165" t="n">
        <f aca="false">C18*E18</f>
        <v>21.42</v>
      </c>
      <c r="G18" s="166"/>
      <c r="H18" s="166" t="n">
        <f aca="false">C18*VLOOKUP(Start!B15,'back end data'!A80:I81,8,0)</f>
        <v>0.290302393333333</v>
      </c>
      <c r="I18" s="166"/>
      <c r="J18" s="178" t="n">
        <f aca="false">C18*VLOOKUP(Start!B15,'back end data'!A80:I81,6,0)</f>
        <v>0.127722222222222</v>
      </c>
      <c r="K18" s="163" t="n">
        <f aca="false">52.14*F18</f>
        <v>1116.8388</v>
      </c>
      <c r="L18" s="167" t="n">
        <f aca="false">52.14*G18</f>
        <v>0</v>
      </c>
      <c r="M18" s="262" t="n">
        <f aca="false">52.14*H18</f>
        <v>15.1363667884</v>
      </c>
      <c r="N18" s="167" t="n">
        <f aca="false">52.14*I18</f>
        <v>0</v>
      </c>
      <c r="O18" s="164" t="n">
        <f aca="false">52.14*J18</f>
        <v>6.65943666666667</v>
      </c>
      <c r="P18" s="168" t="n">
        <f aca="false">'household calculator'!G15</f>
        <v>1116.8388</v>
      </c>
      <c r="Q18" s="169" t="n">
        <f aca="false">'household calculator'!H15</f>
        <v>0</v>
      </c>
      <c r="R18" s="263" t="n">
        <f aca="false">'household calculator'!I15</f>
        <v>15.1363667884</v>
      </c>
      <c r="S18" s="169" t="n">
        <f aca="false">'household calculator'!J15</f>
        <v>0</v>
      </c>
      <c r="T18" s="169" t="n">
        <f aca="false">'household calculator'!K15</f>
        <v>6.65943666666667</v>
      </c>
      <c r="U18" s="10"/>
      <c r="V18" s="170" t="n">
        <f aca="false">IF(P18&lt;&gt;0,(P18-K18)/P18,"")</f>
        <v>0</v>
      </c>
      <c r="W18" s="171" t="str">
        <f aca="false">IF(Q18&lt;&gt;0,(Q18-L18)/Q18,"")</f>
        <v/>
      </c>
      <c r="X18" s="171" t="n">
        <f aca="false">IF(R18&lt;&gt;0,(R18-M18)/R18,"")</f>
        <v>0</v>
      </c>
      <c r="Y18" s="171" t="str">
        <f aca="false">IF(S18&lt;&gt;0,(S18-N18)/S18,"")</f>
        <v/>
      </c>
      <c r="Z18" s="172" t="n">
        <f aca="false">IF(T18&lt;&gt;0,(T18-O18)/T18,"")</f>
        <v>0</v>
      </c>
      <c r="AA18" s="85"/>
      <c r="AB18" s="173" t="n">
        <f aca="false">(P18-K18)/(P$34-K$34)</f>
        <v>0</v>
      </c>
      <c r="AC18" s="179"/>
      <c r="AD18" s="174" t="n">
        <f aca="false">(R18-M18)/(R$34-M$34)</f>
        <v>0</v>
      </c>
      <c r="AE18" s="179"/>
      <c r="AF18" s="174" t="n">
        <f aca="false">(T18-O18)/(T$34-O$34)</f>
        <v>0</v>
      </c>
      <c r="AG18" s="175" t="n">
        <f aca="false">IF(P18&lt;&gt;0,(P18-K18),"")</f>
        <v>0</v>
      </c>
      <c r="AH18" s="176" t="str">
        <f aca="false">IF(Q18&lt;&gt;0,(Q18-L18),"")</f>
        <v/>
      </c>
      <c r="AI18" s="176" t="n">
        <f aca="false">IF(R18&lt;&gt;0,(R18-M18),"")</f>
        <v>0</v>
      </c>
      <c r="AJ18" s="176" t="str">
        <f aca="false">IF(S18&lt;&gt;0,(S18-N18),"")</f>
        <v/>
      </c>
      <c r="AK18" s="177" t="n">
        <f aca="false">IF(T18&lt;&gt;0,(T18-O18),"")</f>
        <v>0</v>
      </c>
      <c r="AL18" s="85"/>
      <c r="AM18" s="85"/>
    </row>
    <row r="19" customFormat="false" ht="14.5" hidden="false" customHeight="false" outlineLevel="0" collapsed="false">
      <c r="A19" s="162" t="s">
        <v>60</v>
      </c>
      <c r="B19" s="163" t="str">
        <f aca="false">'Style Change'!C9</f>
        <v>Dry in sun and wind</v>
      </c>
      <c r="C19" s="49" t="n">
        <f aca="false">'Household Input'!C20</f>
        <v>3</v>
      </c>
      <c r="D19" s="164" t="s">
        <v>59</v>
      </c>
      <c r="E19" s="162" t="n">
        <f aca="false">VLOOKUP(B19,'back end data'!A34:B35,2,0)</f>
        <v>0</v>
      </c>
      <c r="F19" s="165" t="n">
        <v>0</v>
      </c>
      <c r="G19" s="166"/>
      <c r="H19" s="166" t="n">
        <f aca="false">J19*'back end data'!B63</f>
        <v>0</v>
      </c>
      <c r="I19" s="166"/>
      <c r="J19" s="178" t="n">
        <f aca="false">C19*GreenStyleUser!E19</f>
        <v>0</v>
      </c>
      <c r="K19" s="163" t="n">
        <f aca="false">52.14*F19</f>
        <v>0</v>
      </c>
      <c r="L19" s="167" t="n">
        <f aca="false">52.14*G19</f>
        <v>0</v>
      </c>
      <c r="M19" s="262" t="n">
        <f aca="false">52.14*H19</f>
        <v>0</v>
      </c>
      <c r="N19" s="167" t="n">
        <f aca="false">52.14*I19</f>
        <v>0</v>
      </c>
      <c r="O19" s="164" t="n">
        <f aca="false">52.14*J19</f>
        <v>0</v>
      </c>
      <c r="P19" s="168" t="n">
        <f aca="false">'household calculator'!G16</f>
        <v>0</v>
      </c>
      <c r="Q19" s="169" t="n">
        <f aca="false">'household calculator'!H16</f>
        <v>0</v>
      </c>
      <c r="R19" s="263" t="n">
        <f aca="false">'household calculator'!I16</f>
        <v>15.702581466</v>
      </c>
      <c r="S19" s="169" t="n">
        <f aca="false">'household calculator'!J16</f>
        <v>0</v>
      </c>
      <c r="T19" s="169" t="n">
        <f aca="false">'household calculator'!K16</f>
        <v>82.9026</v>
      </c>
      <c r="U19" s="10"/>
      <c r="V19" s="170" t="str">
        <f aca="false">IF(P19&lt;&gt;0,(P19-K19)/P19,"")</f>
        <v/>
      </c>
      <c r="W19" s="171" t="str">
        <f aca="false">IF(Q19&lt;&gt;0,(Q19-L19)/Q19,"")</f>
        <v/>
      </c>
      <c r="X19" s="171" t="n">
        <f aca="false">IF(R19&lt;&gt;0,(R19-M19)/R19,"")</f>
        <v>1</v>
      </c>
      <c r="Y19" s="171" t="str">
        <f aca="false">IF(S19&lt;&gt;0,(S19-N19)/S19,"")</f>
        <v/>
      </c>
      <c r="Z19" s="172" t="n">
        <f aca="false">IF(T19&lt;&gt;0,(T19-O19)/T19,"")</f>
        <v>1</v>
      </c>
      <c r="AA19" s="85"/>
      <c r="AB19" s="173" t="n">
        <f aca="false">(P19-K19)/(P$34-K$34)</f>
        <v>0</v>
      </c>
      <c r="AC19" s="179"/>
      <c r="AD19" s="174" t="n">
        <f aca="false">(R19-M19)/(R$34-M$34)</f>
        <v>0.0588380411989639</v>
      </c>
      <c r="AE19" s="179"/>
      <c r="AF19" s="174" t="n">
        <f aca="false">(T19-O19)/(T$34-O$34)</f>
        <v>0.0588380411989639</v>
      </c>
      <c r="AG19" s="175" t="str">
        <f aca="false">IF(P19&lt;&gt;0,(P19-K19),"")</f>
        <v/>
      </c>
      <c r="AH19" s="176" t="str">
        <f aca="false">IF(Q19&lt;&gt;0,(Q19-L19),"")</f>
        <v/>
      </c>
      <c r="AI19" s="176" t="n">
        <f aca="false">IF(R19&lt;&gt;0,(R19-M19),"")</f>
        <v>15.702581466</v>
      </c>
      <c r="AJ19" s="176" t="str">
        <f aca="false">IF(S19&lt;&gt;0,(S19-N19),"")</f>
        <v/>
      </c>
      <c r="AK19" s="177" t="n">
        <f aca="false">IF(T19&lt;&gt;0,(T19-O19),"")</f>
        <v>82.9026</v>
      </c>
      <c r="AL19" s="85"/>
      <c r="AM19" s="85"/>
    </row>
    <row r="20" customFormat="false" ht="14.5" hidden="false" customHeight="false" outlineLevel="0" collapsed="false">
      <c r="A20" s="162"/>
      <c r="B20" s="163"/>
      <c r="C20" s="49"/>
      <c r="D20" s="164"/>
      <c r="E20" s="162"/>
      <c r="F20" s="165"/>
      <c r="G20" s="166"/>
      <c r="H20" s="166"/>
      <c r="I20" s="166"/>
      <c r="J20" s="178"/>
      <c r="K20" s="163" t="n">
        <f aca="false">52.14*F20</f>
        <v>0</v>
      </c>
      <c r="L20" s="167" t="n">
        <f aca="false">52.14*G20</f>
        <v>0</v>
      </c>
      <c r="M20" s="262" t="n">
        <f aca="false">52.14*H20</f>
        <v>0</v>
      </c>
      <c r="N20" s="167"/>
      <c r="O20" s="164" t="n">
        <f aca="false">52.14*J20</f>
        <v>0</v>
      </c>
      <c r="P20" s="168" t="n">
        <f aca="false">'household calculator'!G17</f>
        <v>0</v>
      </c>
      <c r="Q20" s="169" t="n">
        <f aca="false">'household calculator'!H17</f>
        <v>0</v>
      </c>
      <c r="R20" s="263" t="n">
        <f aca="false">'household calculator'!I17</f>
        <v>0</v>
      </c>
      <c r="S20" s="169" t="n">
        <f aca="false">'household calculator'!J17</f>
        <v>0</v>
      </c>
      <c r="T20" s="169" t="n">
        <f aca="false">'household calculator'!K17</f>
        <v>0</v>
      </c>
      <c r="U20" s="10"/>
      <c r="V20" s="170" t="str">
        <f aca="false">IF(P20&lt;&gt;0,(P20-K20)/P20,"")</f>
        <v/>
      </c>
      <c r="W20" s="171" t="str">
        <f aca="false">IF(Q20&lt;&gt;0,(Q20-L20)/Q20,"")</f>
        <v/>
      </c>
      <c r="X20" s="171" t="str">
        <f aca="false">IF(R20&lt;&gt;0,(R20-M20)/R20,"")</f>
        <v/>
      </c>
      <c r="Y20" s="171" t="str">
        <f aca="false">IF(S20&lt;&gt;0,(S20-N20)/S20,"")</f>
        <v/>
      </c>
      <c r="Z20" s="172" t="str">
        <f aca="false">IF(T20&lt;&gt;0,(T20-O20)/T20,"")</f>
        <v/>
      </c>
      <c r="AA20" s="85"/>
      <c r="AB20" s="173" t="n">
        <f aca="false">(P20-K20)/(P$34-K$34)</f>
        <v>0</v>
      </c>
      <c r="AC20" s="179"/>
      <c r="AD20" s="174" t="n">
        <f aca="false">(R20-M20)/(R$34-M$34)</f>
        <v>0</v>
      </c>
      <c r="AE20" s="179"/>
      <c r="AF20" s="174" t="n">
        <f aca="false">(T20-O20)/(T$34-O$34)</f>
        <v>0</v>
      </c>
      <c r="AG20" s="175" t="str">
        <f aca="false">IF(P20&lt;&gt;0,(P20-K20),"")</f>
        <v/>
      </c>
      <c r="AH20" s="176" t="str">
        <f aca="false">IF(Q20&lt;&gt;0,(Q20-L20),"")</f>
        <v/>
      </c>
      <c r="AI20" s="176" t="str">
        <f aca="false">IF(R20&lt;&gt;0,(R20-M20),"")</f>
        <v/>
      </c>
      <c r="AJ20" s="176" t="str">
        <f aca="false">IF(S20&lt;&gt;0,(S20-N20),"")</f>
        <v/>
      </c>
      <c r="AK20" s="177" t="str">
        <f aca="false">IF(T20&lt;&gt;0,(T20-O20),"")</f>
        <v/>
      </c>
      <c r="AL20" s="85"/>
      <c r="AM20" s="85"/>
    </row>
    <row r="21" customFormat="false" ht="14.5" hidden="false" customHeight="false" outlineLevel="0" collapsed="false">
      <c r="A21" s="153" t="s">
        <v>62</v>
      </c>
      <c r="B21" s="154"/>
      <c r="C21" s="52"/>
      <c r="D21" s="156"/>
      <c r="E21" s="157"/>
      <c r="F21" s="158"/>
      <c r="G21" s="159"/>
      <c r="H21" s="159"/>
      <c r="I21" s="159"/>
      <c r="J21" s="160"/>
      <c r="K21" s="154"/>
      <c r="L21" s="161"/>
      <c r="M21" s="261"/>
      <c r="N21" s="161"/>
      <c r="O21" s="156"/>
      <c r="P21" s="154" t="n">
        <f aca="false">'household calculator'!G18</f>
        <v>0</v>
      </c>
      <c r="Q21" s="161" t="n">
        <f aca="false">'household calculator'!H18</f>
        <v>0</v>
      </c>
      <c r="R21" s="261" t="n">
        <f aca="false">'household calculator'!I18</f>
        <v>0</v>
      </c>
      <c r="S21" s="161" t="n">
        <f aca="false">'household calculator'!J18</f>
        <v>0</v>
      </c>
      <c r="T21" s="161" t="n">
        <f aca="false">'household calculator'!K18</f>
        <v>0</v>
      </c>
      <c r="U21" s="10"/>
      <c r="V21" s="181" t="str">
        <f aca="false">IF(P21&lt;&gt;0,(P21-K21)/P21,"")</f>
        <v/>
      </c>
      <c r="W21" s="182" t="str">
        <f aca="false">IF(Q21&lt;&gt;0,(Q21-L21)/Q21,"")</f>
        <v/>
      </c>
      <c r="X21" s="182" t="str">
        <f aca="false">IF(R21&lt;&gt;0,(R21-M21)/R21,"")</f>
        <v/>
      </c>
      <c r="Y21" s="182" t="str">
        <f aca="false">IF(S21&lt;&gt;0,(S21-N21)/S21,"")</f>
        <v/>
      </c>
      <c r="Z21" s="183" t="str">
        <f aca="false">IF(T21&lt;&gt;0,(T21-O21)/T21,"")</f>
        <v/>
      </c>
      <c r="AA21" s="85"/>
      <c r="AB21" s="184"/>
      <c r="AC21" s="185"/>
      <c r="AD21" s="186"/>
      <c r="AE21" s="185"/>
      <c r="AF21" s="186"/>
      <c r="AG21" s="187" t="str">
        <f aca="false">IF(P21&lt;&gt;0,(P21-K21),"")</f>
        <v/>
      </c>
      <c r="AH21" s="188" t="str">
        <f aca="false">IF(Q21&lt;&gt;0,(Q21-L21),"")</f>
        <v/>
      </c>
      <c r="AI21" s="188" t="str">
        <f aca="false">IF(R21&lt;&gt;0,(R21-M21),"")</f>
        <v/>
      </c>
      <c r="AJ21" s="188" t="str">
        <f aca="false">IF(S21&lt;&gt;0,(S21-N21),"")</f>
        <v/>
      </c>
      <c r="AK21" s="189" t="str">
        <f aca="false">IF(T21&lt;&gt;0,(T21-O21),"")</f>
        <v/>
      </c>
      <c r="AL21" s="85"/>
      <c r="AM21" s="85"/>
    </row>
    <row r="22" customFormat="false" ht="14.5" hidden="false" customHeight="false" outlineLevel="0" collapsed="false">
      <c r="A22" s="162" t="s">
        <v>63</v>
      </c>
      <c r="B22" s="163" t="str">
        <f aca="false">'Style Change'!C10</f>
        <v>Kettle</v>
      </c>
      <c r="C22" s="49" t="n">
        <f aca="false">'Household Input'!C23</f>
        <v>1</v>
      </c>
      <c r="D22" s="164" t="s">
        <v>65</v>
      </c>
      <c r="E22" s="162" t="n">
        <f aca="false">VLOOKUP(B22,'back end data'!A38:B40,2,0)</f>
        <v>0.12</v>
      </c>
      <c r="F22" s="165" t="n">
        <f aca="false">C22*7</f>
        <v>7</v>
      </c>
      <c r="G22" s="166"/>
      <c r="H22" s="166" t="n">
        <f aca="false">J22*'back end data'!B63</f>
        <v>0.1591044</v>
      </c>
      <c r="I22" s="166"/>
      <c r="J22" s="178" t="n">
        <f aca="false">C22*7*E22</f>
        <v>0.84</v>
      </c>
      <c r="K22" s="163" t="n">
        <f aca="false">52.14*F22</f>
        <v>364.98</v>
      </c>
      <c r="L22" s="167" t="n">
        <f aca="false">52.14*G22</f>
        <v>0</v>
      </c>
      <c r="M22" s="262" t="n">
        <f aca="false">52.14*H22</f>
        <v>8.295703416</v>
      </c>
      <c r="N22" s="167" t="n">
        <f aca="false">52.14*I22</f>
        <v>0</v>
      </c>
      <c r="O22" s="164" t="n">
        <f aca="false">52.14*J22</f>
        <v>43.7976</v>
      </c>
      <c r="P22" s="168" t="n">
        <f aca="false">'household calculator'!G19</f>
        <v>364.98</v>
      </c>
      <c r="Q22" s="169" t="n">
        <f aca="false">'household calculator'!H19</f>
        <v>0</v>
      </c>
      <c r="R22" s="263" t="n">
        <f aca="false">'household calculator'!I19</f>
        <v>24.887110248</v>
      </c>
      <c r="S22" s="169" t="n">
        <f aca="false">'household calculator'!J19</f>
        <v>0</v>
      </c>
      <c r="T22" s="169" t="n">
        <f aca="false">'household calculator'!K19</f>
        <v>131.3928</v>
      </c>
      <c r="U22" s="10"/>
      <c r="V22" s="170" t="n">
        <f aca="false">IF(P22&lt;&gt;0,(P22-K22)/P22,"")</f>
        <v>0</v>
      </c>
      <c r="W22" s="171" t="str">
        <f aca="false">IF(Q22&lt;&gt;0,(Q22-L22)/Q22,"")</f>
        <v/>
      </c>
      <c r="X22" s="171" t="n">
        <f aca="false">IF(R22&lt;&gt;0,(R22-M22)/R22,"")</f>
        <v>0.666666666666667</v>
      </c>
      <c r="Y22" s="171" t="str">
        <f aca="false">IF(S22&lt;&gt;0,(S22-N22)/S22,"")</f>
        <v/>
      </c>
      <c r="Z22" s="172" t="n">
        <f aca="false">IF(T22&lt;&gt;0,(T22-O22)/T22,"")</f>
        <v>0.666666666666667</v>
      </c>
      <c r="AA22" s="85"/>
      <c r="AB22" s="173" t="n">
        <f aca="false">(P22-K22)/(P$34-K$34)</f>
        <v>0</v>
      </c>
      <c r="AC22" s="179"/>
      <c r="AD22" s="174" t="n">
        <f aca="false">(R22-M22)/(R$34-M$34)</f>
        <v>0.0621684963611694</v>
      </c>
      <c r="AE22" s="179"/>
      <c r="AF22" s="174" t="n">
        <f aca="false">(T22-O22)/(T$34-O$34)</f>
        <v>0.0621684963611694</v>
      </c>
      <c r="AG22" s="175" t="n">
        <f aca="false">IF(P22&lt;&gt;0,(P22-K22),"")</f>
        <v>0</v>
      </c>
      <c r="AH22" s="176" t="str">
        <f aca="false">IF(Q22&lt;&gt;0,(Q22-L22),"")</f>
        <v/>
      </c>
      <c r="AI22" s="176" t="n">
        <f aca="false">IF(R22&lt;&gt;0,(R22-M22),"")</f>
        <v>16.591406832</v>
      </c>
      <c r="AJ22" s="176" t="str">
        <f aca="false">IF(S22&lt;&gt;0,(S22-N22),"")</f>
        <v/>
      </c>
      <c r="AK22" s="177" t="n">
        <f aca="false">IF(T22&lt;&gt;0,(T22-O22),"")</f>
        <v>87.5952</v>
      </c>
      <c r="AL22" s="85"/>
      <c r="AM22" s="85"/>
    </row>
    <row r="23" customFormat="false" ht="14.5" hidden="false" customHeight="false" outlineLevel="0" collapsed="false">
      <c r="A23" s="162" t="s">
        <v>66</v>
      </c>
      <c r="B23" s="163" t="str">
        <f aca="false">'Style Change'!C11</f>
        <v>I (sometimes) do the dishes manually</v>
      </c>
      <c r="C23" s="49" t="n">
        <f aca="false">'Household Input'!C24</f>
        <v>7</v>
      </c>
      <c r="D23" s="164" t="s">
        <v>47</v>
      </c>
      <c r="E23" s="162" t="n">
        <f aca="false">VLOOKUP(B23,'back end data'!A42:B43,2,0)</f>
        <v>30</v>
      </c>
      <c r="F23" s="165" t="n">
        <f aca="false">GreenStyleUser!C23*GreenStyleUser!E23</f>
        <v>210</v>
      </c>
      <c r="G23" s="166"/>
      <c r="H23" s="166" t="n">
        <f aca="false">F23*0.5*VLOOKUP(Start!B15,'back end data'!A83:G84,4,0)</f>
        <v>0.975005512962963</v>
      </c>
      <c r="I23" s="166"/>
      <c r="J23" s="178" t="n">
        <f aca="false">F23*0.5*VLOOKUP(Start!B15,'back end data'!A83:G84,6,0)</f>
        <v>5.14759259259259</v>
      </c>
      <c r="K23" s="163" t="n">
        <f aca="false">52.14*F23</f>
        <v>10949.4</v>
      </c>
      <c r="L23" s="167" t="n">
        <f aca="false">52.14*G23</f>
        <v>0</v>
      </c>
      <c r="M23" s="262" t="n">
        <f aca="false">52.14*H23</f>
        <v>50.8367874458889</v>
      </c>
      <c r="N23" s="167" t="n">
        <f aca="false">52.14*I23</f>
        <v>0</v>
      </c>
      <c r="O23" s="164" t="n">
        <f aca="false">52.14*J23</f>
        <v>268.395477777778</v>
      </c>
      <c r="P23" s="168" t="n">
        <f aca="false">'household calculator'!G20</f>
        <v>10949.4</v>
      </c>
      <c r="Q23" s="169" t="n">
        <f aca="false">'household calculator'!H20</f>
        <v>0</v>
      </c>
      <c r="R23" s="263" t="n">
        <f aca="false">'household calculator'!I20</f>
        <v>50.8367874458889</v>
      </c>
      <c r="S23" s="169" t="n">
        <f aca="false">'household calculator'!J20</f>
        <v>0</v>
      </c>
      <c r="T23" s="169" t="n">
        <f aca="false">'household calculator'!K20</f>
        <v>268.395477777778</v>
      </c>
      <c r="U23" s="10"/>
      <c r="V23" s="170" t="n">
        <f aca="false">IF(P23&lt;&gt;0,(P23-K23)/P23,"")</f>
        <v>0</v>
      </c>
      <c r="W23" s="171" t="str">
        <f aca="false">IF(Q23&lt;&gt;0,(Q23-L23)/Q23,"")</f>
        <v/>
      </c>
      <c r="X23" s="171" t="n">
        <f aca="false">IF(R23&lt;&gt;0,(R23-M23)/R23,"")</f>
        <v>0</v>
      </c>
      <c r="Y23" s="171" t="str">
        <f aca="false">IF(S23&lt;&gt;0,(S23-N23)/S23,"")</f>
        <v/>
      </c>
      <c r="Z23" s="172" t="n">
        <f aca="false">IF(T23&lt;&gt;0,(T23-O23)/T23,"")</f>
        <v>0</v>
      </c>
      <c r="AA23" s="85"/>
      <c r="AB23" s="173" t="n">
        <f aca="false">(P23-K23)/(P$34-K$34)</f>
        <v>0</v>
      </c>
      <c r="AC23" s="179"/>
      <c r="AD23" s="174" t="n">
        <f aca="false">(R23-M23)/(R$34-M$34)</f>
        <v>0</v>
      </c>
      <c r="AE23" s="179"/>
      <c r="AF23" s="174" t="n">
        <f aca="false">(T23-O23)/(T$34-O$34)</f>
        <v>0</v>
      </c>
      <c r="AG23" s="175" t="n">
        <f aca="false">IF(P23&lt;&gt;0,(P23-K23),"")</f>
        <v>0</v>
      </c>
      <c r="AH23" s="176" t="str">
        <f aca="false">IF(Q23&lt;&gt;0,(Q23-L23),"")</f>
        <v/>
      </c>
      <c r="AI23" s="176" t="n">
        <f aca="false">IF(R23&lt;&gt;0,(R23-M23),"")</f>
        <v>0</v>
      </c>
      <c r="AJ23" s="176" t="str">
        <f aca="false">IF(S23&lt;&gt;0,(S23-N23),"")</f>
        <v/>
      </c>
      <c r="AK23" s="177" t="n">
        <f aca="false">IF(T23&lt;&gt;0,(T23-O23),"")</f>
        <v>0</v>
      </c>
      <c r="AL23" s="85"/>
      <c r="AM23" s="85"/>
    </row>
    <row r="24" customFormat="false" ht="14.5" hidden="false" customHeight="false" outlineLevel="0" collapsed="false">
      <c r="A24" s="162" t="s">
        <v>68</v>
      </c>
      <c r="B24" s="163" t="str">
        <f aca="false">'Style Change'!C12</f>
        <v>I don't have a dishwasher</v>
      </c>
      <c r="C24" s="49" t="n">
        <f aca="false">'Household Input'!C25</f>
        <v>0</v>
      </c>
      <c r="D24" s="164" t="s">
        <v>70</v>
      </c>
      <c r="E24" s="162" t="n">
        <f aca="false">VLOOKUP(B24,'back end data'!A45:B47,2,0)</f>
        <v>0</v>
      </c>
      <c r="F24" s="165" t="n">
        <f aca="false">C24*E24</f>
        <v>0</v>
      </c>
      <c r="G24" s="166"/>
      <c r="H24" s="166" t="n">
        <f aca="false">F24*VLOOKUP(Start!B15,'back end data'!A83:G84,4,0)</f>
        <v>0</v>
      </c>
      <c r="I24" s="166"/>
      <c r="J24" s="178" t="n">
        <f aca="false">F24*VLOOKUP(Start!B15,'back end data'!A83:G84,6,0)</f>
        <v>0</v>
      </c>
      <c r="K24" s="163" t="n">
        <f aca="false">52.14*F24</f>
        <v>0</v>
      </c>
      <c r="L24" s="167" t="n">
        <f aca="false">52.14*G24</f>
        <v>0</v>
      </c>
      <c r="M24" s="262" t="n">
        <f aca="false">52.14*H24</f>
        <v>0</v>
      </c>
      <c r="N24" s="167" t="n">
        <f aca="false">52.14*I24</f>
        <v>0</v>
      </c>
      <c r="O24" s="164" t="n">
        <f aca="false">52.14*J24</f>
        <v>0</v>
      </c>
      <c r="P24" s="168" t="n">
        <f aca="false">'household calculator'!G21</f>
        <v>0</v>
      </c>
      <c r="Q24" s="169" t="n">
        <f aca="false">'household calculator'!H21</f>
        <v>0</v>
      </c>
      <c r="R24" s="263" t="n">
        <f aca="false">'household calculator'!I21</f>
        <v>0</v>
      </c>
      <c r="S24" s="169" t="n">
        <f aca="false">'household calculator'!J21</f>
        <v>0</v>
      </c>
      <c r="T24" s="169" t="n">
        <f aca="false">'household calculator'!K21</f>
        <v>0</v>
      </c>
      <c r="U24" s="10"/>
      <c r="V24" s="170" t="str">
        <f aca="false">IF(P24&lt;&gt;0,(P24-K24)/P24,"")</f>
        <v/>
      </c>
      <c r="W24" s="171" t="str">
        <f aca="false">IF(Q24&lt;&gt;0,(Q24-L24)/Q24,"")</f>
        <v/>
      </c>
      <c r="X24" s="171" t="str">
        <f aca="false">IF(R24&lt;&gt;0,(R24-M24)/R24,"")</f>
        <v/>
      </c>
      <c r="Y24" s="171" t="str">
        <f aca="false">IF(S24&lt;&gt;0,(S24-N24)/S24,"")</f>
        <v/>
      </c>
      <c r="Z24" s="172" t="str">
        <f aca="false">IF(T24&lt;&gt;0,(T24-O24)/T24,"")</f>
        <v/>
      </c>
      <c r="AA24" s="85"/>
      <c r="AB24" s="173" t="n">
        <f aca="false">(P24-K24)/(P$34-K$34)</f>
        <v>0</v>
      </c>
      <c r="AC24" s="179"/>
      <c r="AD24" s="174" t="n">
        <f aca="false">(R24-M24)/(R$34-M$34)</f>
        <v>0</v>
      </c>
      <c r="AE24" s="179"/>
      <c r="AF24" s="174" t="n">
        <f aca="false">(T24-O24)/(T$34-O$34)</f>
        <v>0</v>
      </c>
      <c r="AG24" s="175" t="str">
        <f aca="false">IF(P24&lt;&gt;0,(P24-K24),"")</f>
        <v/>
      </c>
      <c r="AH24" s="176" t="str">
        <f aca="false">IF(Q24&lt;&gt;0,(Q24-L24),"")</f>
        <v/>
      </c>
      <c r="AI24" s="176" t="str">
        <f aca="false">IF(R24&lt;&gt;0,(R24-M24),"")</f>
        <v/>
      </c>
      <c r="AJ24" s="176" t="str">
        <f aca="false">IF(S24&lt;&gt;0,(S24-N24),"")</f>
        <v/>
      </c>
      <c r="AK24" s="177" t="str">
        <f aca="false">IF(T24&lt;&gt;0,(T24-O24),"")</f>
        <v/>
      </c>
      <c r="AL24" s="85"/>
      <c r="AM24" s="85"/>
    </row>
    <row r="25" customFormat="false" ht="14.5" hidden="false" customHeight="false" outlineLevel="0" collapsed="false">
      <c r="A25" s="162"/>
      <c r="B25" s="163"/>
      <c r="C25" s="49"/>
      <c r="D25" s="164"/>
      <c r="E25" s="162"/>
      <c r="F25" s="165"/>
      <c r="G25" s="166"/>
      <c r="H25" s="166"/>
      <c r="I25" s="166"/>
      <c r="J25" s="178"/>
      <c r="K25" s="163" t="n">
        <f aca="false">52.14*F25</f>
        <v>0</v>
      </c>
      <c r="L25" s="167" t="n">
        <f aca="false">52.14*G25</f>
        <v>0</v>
      </c>
      <c r="M25" s="262" t="n">
        <f aca="false">52.14*H25</f>
        <v>0</v>
      </c>
      <c r="N25" s="167" t="n">
        <f aca="false">52.14*I25</f>
        <v>0</v>
      </c>
      <c r="O25" s="164" t="n">
        <f aca="false">52.14*J25</f>
        <v>0</v>
      </c>
      <c r="P25" s="168" t="n">
        <f aca="false">'household calculator'!G22</f>
        <v>0</v>
      </c>
      <c r="Q25" s="169" t="n">
        <f aca="false">'household calculator'!H22</f>
        <v>0</v>
      </c>
      <c r="R25" s="263" t="n">
        <f aca="false">'household calculator'!I22</f>
        <v>0</v>
      </c>
      <c r="S25" s="169" t="n">
        <f aca="false">'household calculator'!J22</f>
        <v>0</v>
      </c>
      <c r="T25" s="169" t="n">
        <f aca="false">'household calculator'!K22</f>
        <v>0</v>
      </c>
      <c r="U25" s="10"/>
      <c r="V25" s="170" t="str">
        <f aca="false">IF(P25&lt;&gt;0,(P25-K25)/P25,"")</f>
        <v/>
      </c>
      <c r="W25" s="171" t="str">
        <f aca="false">IF(Q25&lt;&gt;0,(Q25-L25)/Q25,"")</f>
        <v/>
      </c>
      <c r="X25" s="171" t="str">
        <f aca="false">IF(R25&lt;&gt;0,(R25-M25)/R25,"")</f>
        <v/>
      </c>
      <c r="Y25" s="171" t="str">
        <f aca="false">IF(S25&lt;&gt;0,(S25-N25)/S25,"")</f>
        <v/>
      </c>
      <c r="Z25" s="172" t="str">
        <f aca="false">IF(T25&lt;&gt;0,(T25-O25)/T25,"")</f>
        <v/>
      </c>
      <c r="AA25" s="85"/>
      <c r="AB25" s="173" t="n">
        <f aca="false">(P25-K25)/(P$34-K$34)</f>
        <v>0</v>
      </c>
      <c r="AC25" s="179"/>
      <c r="AD25" s="174" t="n">
        <f aca="false">(R25-M25)/(R$34-M$34)</f>
        <v>0</v>
      </c>
      <c r="AE25" s="179"/>
      <c r="AF25" s="174" t="n">
        <f aca="false">(T25-O25)/(T$34-O$34)</f>
        <v>0</v>
      </c>
      <c r="AG25" s="175" t="str">
        <f aca="false">IF(P25&lt;&gt;0,(P25-K25),"")</f>
        <v/>
      </c>
      <c r="AH25" s="176" t="str">
        <f aca="false">IF(Q25&lt;&gt;0,(Q25-L25),"")</f>
        <v/>
      </c>
      <c r="AI25" s="176" t="str">
        <f aca="false">IF(R25&lt;&gt;0,(R25-M25),"")</f>
        <v/>
      </c>
      <c r="AJ25" s="176" t="str">
        <f aca="false">IF(S25&lt;&gt;0,(S25-N25),"")</f>
        <v/>
      </c>
      <c r="AK25" s="177" t="str">
        <f aca="false">IF(T25&lt;&gt;0,(T25-O25),"")</f>
        <v/>
      </c>
      <c r="AL25" s="85"/>
      <c r="AM25" s="85"/>
    </row>
    <row r="26" customFormat="false" ht="14.5" hidden="false" customHeight="false" outlineLevel="0" collapsed="false">
      <c r="A26" s="153" t="s">
        <v>71</v>
      </c>
      <c r="B26" s="154"/>
      <c r="C26" s="52"/>
      <c r="D26" s="156"/>
      <c r="E26" s="157"/>
      <c r="F26" s="158"/>
      <c r="G26" s="159"/>
      <c r="H26" s="159"/>
      <c r="I26" s="159"/>
      <c r="J26" s="160"/>
      <c r="K26" s="154"/>
      <c r="L26" s="161"/>
      <c r="M26" s="261"/>
      <c r="N26" s="161"/>
      <c r="O26" s="156"/>
      <c r="P26" s="154" t="n">
        <f aca="false">'household calculator'!G23</f>
        <v>0</v>
      </c>
      <c r="Q26" s="161" t="n">
        <f aca="false">'household calculator'!H23</f>
        <v>0</v>
      </c>
      <c r="R26" s="261" t="n">
        <f aca="false">'household calculator'!I23</f>
        <v>0</v>
      </c>
      <c r="S26" s="161" t="n">
        <f aca="false">'household calculator'!J23</f>
        <v>0</v>
      </c>
      <c r="T26" s="161" t="n">
        <f aca="false">'household calculator'!K23</f>
        <v>0</v>
      </c>
      <c r="U26" s="10"/>
      <c r="V26" s="181" t="str">
        <f aca="false">IF(P26&lt;&gt;0,(P26-K26)/P26,"")</f>
        <v/>
      </c>
      <c r="W26" s="182" t="str">
        <f aca="false">IF(Q26&lt;&gt;0,(Q26-L26)/Q26,"")</f>
        <v/>
      </c>
      <c r="X26" s="182" t="str">
        <f aca="false">IF(R26&lt;&gt;0,(R26-M26)/R26,"")</f>
        <v/>
      </c>
      <c r="Y26" s="182" t="str">
        <f aca="false">IF(S26&lt;&gt;0,(S26-N26)/S26,"")</f>
        <v/>
      </c>
      <c r="Z26" s="183" t="str">
        <f aca="false">IF(T26&lt;&gt;0,(T26-O26)/T26,"")</f>
        <v/>
      </c>
      <c r="AA26" s="85"/>
      <c r="AB26" s="184"/>
      <c r="AC26" s="185"/>
      <c r="AD26" s="186"/>
      <c r="AE26" s="185"/>
      <c r="AF26" s="186"/>
      <c r="AG26" s="187" t="str">
        <f aca="false">IF(P26&lt;&gt;0,(P26-K26),"")</f>
        <v/>
      </c>
      <c r="AH26" s="188" t="str">
        <f aca="false">IF(Q26&lt;&gt;0,(Q26-L26),"")</f>
        <v/>
      </c>
      <c r="AI26" s="188" t="str">
        <f aca="false">IF(R26&lt;&gt;0,(R26-M26),"")</f>
        <v/>
      </c>
      <c r="AJ26" s="188" t="str">
        <f aca="false">IF(S26&lt;&gt;0,(S26-N26),"")</f>
        <v/>
      </c>
      <c r="AK26" s="189" t="str">
        <f aca="false">IF(T26&lt;&gt;0,(T26-O26),"")</f>
        <v/>
      </c>
      <c r="AL26" s="85"/>
      <c r="AM26" s="85"/>
    </row>
    <row r="27" customFormat="false" ht="14.5" hidden="false" customHeight="false" outlineLevel="0" collapsed="false">
      <c r="A27" s="162" t="s">
        <v>72</v>
      </c>
      <c r="B27" s="163" t="str">
        <f aca="false">'Style Change'!C13</f>
        <v>LED TV</v>
      </c>
      <c r="C27" s="49" t="n">
        <f aca="false">'Household Input'!C28</f>
        <v>0</v>
      </c>
      <c r="D27" s="164" t="s">
        <v>74</v>
      </c>
      <c r="E27" s="162" t="n">
        <f aca="false">VLOOKUP(B27,'back end data'!A50:B52,2,0)</f>
        <v>0.05</v>
      </c>
      <c r="F27" s="165" t="n">
        <v>0</v>
      </c>
      <c r="G27" s="166"/>
      <c r="H27" s="166" t="n">
        <f aca="false">J27*'back end data'!$B$63</f>
        <v>0</v>
      </c>
      <c r="I27" s="166"/>
      <c r="J27" s="178" t="n">
        <f aca="false">C27*E27</f>
        <v>0</v>
      </c>
      <c r="K27" s="163" t="n">
        <f aca="false">52.14*F27</f>
        <v>0</v>
      </c>
      <c r="L27" s="167" t="n">
        <f aca="false">52.14*G27</f>
        <v>0</v>
      </c>
      <c r="M27" s="262" t="n">
        <f aca="false">52.14*H27</f>
        <v>0</v>
      </c>
      <c r="N27" s="167" t="n">
        <f aca="false">52.14*I27</f>
        <v>0</v>
      </c>
      <c r="O27" s="164" t="n">
        <f aca="false">52.14*J27</f>
        <v>0</v>
      </c>
      <c r="P27" s="168" t="n">
        <f aca="false">'household calculator'!G24</f>
        <v>0</v>
      </c>
      <c r="Q27" s="169" t="n">
        <f aca="false">'household calculator'!H24</f>
        <v>0</v>
      </c>
      <c r="R27" s="263" t="n">
        <f aca="false">'household calculator'!I24</f>
        <v>0</v>
      </c>
      <c r="S27" s="169" t="n">
        <f aca="false">'household calculator'!J24</f>
        <v>0</v>
      </c>
      <c r="T27" s="169" t="n">
        <f aca="false">'household calculator'!K24</f>
        <v>0</v>
      </c>
      <c r="U27" s="10"/>
      <c r="V27" s="170" t="str">
        <f aca="false">IF(P27&lt;&gt;0,(P27-K27)/P27,"")</f>
        <v/>
      </c>
      <c r="W27" s="171" t="str">
        <f aca="false">IF(Q27&lt;&gt;0,(Q27-L27)/Q27,"")</f>
        <v/>
      </c>
      <c r="X27" s="171" t="str">
        <f aca="false">IF(R27&lt;&gt;0,(R27-M27)/R27,"")</f>
        <v/>
      </c>
      <c r="Y27" s="171" t="str">
        <f aca="false">IF(S27&lt;&gt;0,(S27-N27)/S27,"")</f>
        <v/>
      </c>
      <c r="Z27" s="172" t="str">
        <f aca="false">IF(T27&lt;&gt;0,(T27-O27)/T27,"")</f>
        <v/>
      </c>
      <c r="AA27" s="85"/>
      <c r="AB27" s="173" t="n">
        <f aca="false">(P27-K27)/(P$34-K$34)</f>
        <v>0</v>
      </c>
      <c r="AC27" s="179"/>
      <c r="AD27" s="174" t="n">
        <f aca="false">(R27-M27)/(R$34-M$34)</f>
        <v>0</v>
      </c>
      <c r="AE27" s="179"/>
      <c r="AF27" s="174" t="n">
        <f aca="false">(T27-O27)/(T$34-O$34)</f>
        <v>0</v>
      </c>
      <c r="AG27" s="175" t="str">
        <f aca="false">IF(P27&lt;&gt;0,(P27-K27),"")</f>
        <v/>
      </c>
      <c r="AH27" s="176" t="str">
        <f aca="false">IF(Q27&lt;&gt;0,(Q27-L27),"")</f>
        <v/>
      </c>
      <c r="AI27" s="176" t="str">
        <f aca="false">IF(R27&lt;&gt;0,(R27-M27),"")</f>
        <v/>
      </c>
      <c r="AJ27" s="176" t="str">
        <f aca="false">IF(S27&lt;&gt;0,(S27-N27),"")</f>
        <v/>
      </c>
      <c r="AK27" s="177" t="str">
        <f aca="false">IF(T27&lt;&gt;0,(T27-O27),"")</f>
        <v/>
      </c>
      <c r="AL27" s="85"/>
      <c r="AM27" s="85"/>
    </row>
    <row r="28" customFormat="false" ht="14.5" hidden="false" customHeight="false" outlineLevel="0" collapsed="false">
      <c r="A28" s="162" t="s">
        <v>75</v>
      </c>
      <c r="B28" s="163" t="str">
        <f aca="false">'Style Change'!C14</f>
        <v>Laptop</v>
      </c>
      <c r="C28" s="49" t="n">
        <f aca="false">'Household Input'!C29</f>
        <v>10</v>
      </c>
      <c r="D28" s="164" t="s">
        <v>77</v>
      </c>
      <c r="E28" s="162" t="n">
        <f aca="false">VLOOKUP(B28,'back end data'!A54:B55,2,0)</f>
        <v>0.05</v>
      </c>
      <c r="F28" s="165" t="n">
        <v>0</v>
      </c>
      <c r="G28" s="166"/>
      <c r="H28" s="166" t="n">
        <f aca="false">J28*'back end data'!$B$63</f>
        <v>0.662935</v>
      </c>
      <c r="I28" s="166"/>
      <c r="J28" s="178" t="n">
        <f aca="false">7*C28*E28</f>
        <v>3.5</v>
      </c>
      <c r="K28" s="163" t="n">
        <f aca="false">52.14*F28</f>
        <v>0</v>
      </c>
      <c r="L28" s="167" t="n">
        <f aca="false">52.14*G28</f>
        <v>0</v>
      </c>
      <c r="M28" s="262" t="n">
        <f aca="false">52.14*H28</f>
        <v>34.5654309</v>
      </c>
      <c r="N28" s="167" t="n">
        <f aca="false">52.14*I28</f>
        <v>0</v>
      </c>
      <c r="O28" s="164" t="n">
        <f aca="false">52.14*J28</f>
        <v>182.49</v>
      </c>
      <c r="P28" s="168" t="n">
        <f aca="false">'household calculator'!G25</f>
        <v>0</v>
      </c>
      <c r="Q28" s="169" t="n">
        <f aca="false">'household calculator'!H25</f>
        <v>0</v>
      </c>
      <c r="R28" s="263" t="n">
        <f aca="false">'household calculator'!I25</f>
        <v>34.5654309</v>
      </c>
      <c r="S28" s="169" t="n">
        <f aca="false">'household calculator'!J25</f>
        <v>0</v>
      </c>
      <c r="T28" s="169" t="n">
        <f aca="false">'household calculator'!K25</f>
        <v>182.49</v>
      </c>
      <c r="U28" s="10"/>
      <c r="V28" s="170" t="str">
        <f aca="false">IF(P28&lt;&gt;0,(P28-K28)/P28,"")</f>
        <v/>
      </c>
      <c r="W28" s="171" t="str">
        <f aca="false">IF(Q28&lt;&gt;0,(Q28-L28)/Q28,"")</f>
        <v/>
      </c>
      <c r="X28" s="171" t="n">
        <f aca="false">IF(R28&lt;&gt;0,(R28-M28)/R28,"")</f>
        <v>0</v>
      </c>
      <c r="Y28" s="171" t="str">
        <f aca="false">IF(S28&lt;&gt;0,(S28-N28)/S28,"")</f>
        <v/>
      </c>
      <c r="Z28" s="172" t="n">
        <f aca="false">IF(T28&lt;&gt;0,(T28-O28)/T28,"")</f>
        <v>0</v>
      </c>
      <c r="AA28" s="85"/>
      <c r="AB28" s="173" t="n">
        <f aca="false">(P28-K28)/(P$34-K$34)</f>
        <v>0</v>
      </c>
      <c r="AC28" s="179"/>
      <c r="AD28" s="174" t="n">
        <f aca="false">(R28-M28)/(R$34-M$34)</f>
        <v>0</v>
      </c>
      <c r="AE28" s="179"/>
      <c r="AF28" s="174" t="n">
        <f aca="false">(T28-O28)/(T$34-O$34)</f>
        <v>0</v>
      </c>
      <c r="AG28" s="175" t="str">
        <f aca="false">IF(P28&lt;&gt;0,(P28-K28),"")</f>
        <v/>
      </c>
      <c r="AH28" s="176" t="str">
        <f aca="false">IF(Q28&lt;&gt;0,(Q28-L28),"")</f>
        <v/>
      </c>
      <c r="AI28" s="176" t="n">
        <f aca="false">IF(R28&lt;&gt;0,(R28-M28),"")</f>
        <v>0</v>
      </c>
      <c r="AJ28" s="176" t="str">
        <f aca="false">IF(S28&lt;&gt;0,(S28-N28),"")</f>
        <v/>
      </c>
      <c r="AK28" s="177" t="n">
        <f aca="false">IF(T28&lt;&gt;0,(T28-O28),"")</f>
        <v>0</v>
      </c>
      <c r="AL28" s="85"/>
      <c r="AM28" s="85"/>
    </row>
    <row r="29" customFormat="false" ht="14.5" hidden="false" customHeight="false" outlineLevel="0" collapsed="false">
      <c r="A29" s="162" t="s">
        <v>78</v>
      </c>
      <c r="B29" s="163" t="str">
        <f aca="false">'Style Change'!C15</f>
        <v>Mobile phone, and I charge it…</v>
      </c>
      <c r="C29" s="49" t="n">
        <f aca="false">'Household Input'!C30</f>
        <v>1</v>
      </c>
      <c r="D29" s="164" t="s">
        <v>77</v>
      </c>
      <c r="E29" s="162" t="n">
        <f aca="false">VLOOKUP(B29,'back end data'!A60:B61,2,0)</f>
        <v>0.005</v>
      </c>
      <c r="F29" s="165" t="n">
        <v>0</v>
      </c>
      <c r="G29" s="166"/>
      <c r="H29" s="166" t="n">
        <f aca="false">J29*'back end data'!$B$63</f>
        <v>0.00662935</v>
      </c>
      <c r="I29" s="166"/>
      <c r="J29" s="178" t="n">
        <f aca="false">7*C29*E29</f>
        <v>0.035</v>
      </c>
      <c r="K29" s="163" t="n">
        <f aca="false">52.14*F29</f>
        <v>0</v>
      </c>
      <c r="L29" s="167" t="n">
        <f aca="false">52.14*G29</f>
        <v>0</v>
      </c>
      <c r="M29" s="262" t="n">
        <f aca="false">52.14*H29</f>
        <v>0.345654309</v>
      </c>
      <c r="N29" s="167" t="n">
        <f aca="false">52.14*I29</f>
        <v>0</v>
      </c>
      <c r="O29" s="164" t="n">
        <f aca="false">52.14*J29</f>
        <v>1.8249</v>
      </c>
      <c r="P29" s="168" t="n">
        <f aca="false">'household calculator'!G26</f>
        <v>0</v>
      </c>
      <c r="Q29" s="169" t="n">
        <f aca="false">'household calculator'!H26</f>
        <v>0</v>
      </c>
      <c r="R29" s="263" t="n">
        <f aca="false">'household calculator'!I26</f>
        <v>0.345654309</v>
      </c>
      <c r="S29" s="169" t="n">
        <f aca="false">'household calculator'!J26</f>
        <v>0</v>
      </c>
      <c r="T29" s="169" t="n">
        <f aca="false">'household calculator'!K26</f>
        <v>1.8249</v>
      </c>
      <c r="U29" s="10"/>
      <c r="V29" s="170" t="str">
        <f aca="false">IF(P29&lt;&gt;0,(P29-K29)/P29,"")</f>
        <v/>
      </c>
      <c r="W29" s="171" t="str">
        <f aca="false">IF(Q29&lt;&gt;0,(Q29-L29)/Q29,"")</f>
        <v/>
      </c>
      <c r="X29" s="171" t="n">
        <f aca="false">IF(R29&lt;&gt;0,(R29-M29)/R29,"")</f>
        <v>0</v>
      </c>
      <c r="Y29" s="171" t="str">
        <f aca="false">IF(S29&lt;&gt;0,(S29-N29)/S29,"")</f>
        <v/>
      </c>
      <c r="Z29" s="172" t="n">
        <f aca="false">IF(T29&lt;&gt;0,(T29-O29)/T29,"")</f>
        <v>0</v>
      </c>
      <c r="AA29" s="85"/>
      <c r="AB29" s="173" t="n">
        <f aca="false">(P29-K29)/(P$34-K$34)</f>
        <v>0</v>
      </c>
      <c r="AC29" s="179"/>
      <c r="AD29" s="174" t="n">
        <f aca="false">(R29-M29)/(R$34-M$34)</f>
        <v>0</v>
      </c>
      <c r="AE29" s="179"/>
      <c r="AF29" s="174" t="n">
        <f aca="false">(T29-O29)/(T$34-O$34)</f>
        <v>0</v>
      </c>
      <c r="AG29" s="175" t="str">
        <f aca="false">IF(P29&lt;&gt;0,(P29-K29),"")</f>
        <v/>
      </c>
      <c r="AH29" s="176" t="str">
        <f aca="false">IF(Q29&lt;&gt;0,(Q29-L29),"")</f>
        <v/>
      </c>
      <c r="AI29" s="176" t="n">
        <f aca="false">IF(R29&lt;&gt;0,(R29-M29),"")</f>
        <v>0</v>
      </c>
      <c r="AJ29" s="176" t="str">
        <f aca="false">IF(S29&lt;&gt;0,(S29-N29),"")</f>
        <v/>
      </c>
      <c r="AK29" s="177" t="n">
        <f aca="false">IF(T29&lt;&gt;0,(T29-O29),"")</f>
        <v>0</v>
      </c>
      <c r="AL29" s="85"/>
      <c r="AM29" s="85"/>
    </row>
    <row r="30" customFormat="false" ht="14.5" hidden="false" customHeight="false" outlineLevel="0" collapsed="false">
      <c r="A30" s="162" t="s">
        <v>80</v>
      </c>
      <c r="B30" s="163" t="str">
        <f aca="false">'Style Change'!C16</f>
        <v>I don't have a tablet</v>
      </c>
      <c r="C30" s="49" t="n">
        <f aca="false">'Household Input'!C31</f>
        <v>0</v>
      </c>
      <c r="D30" s="164" t="s">
        <v>77</v>
      </c>
      <c r="E30" s="162" t="n">
        <f aca="false">VLOOKUP(B30,'back end data'!A57:B58,2,0)</f>
        <v>0</v>
      </c>
      <c r="F30" s="165" t="n">
        <v>0</v>
      </c>
      <c r="G30" s="166"/>
      <c r="H30" s="166" t="n">
        <f aca="false">J30*'back end data'!$B$63</f>
        <v>0</v>
      </c>
      <c r="I30" s="166"/>
      <c r="J30" s="178" t="n">
        <f aca="false">7*C30*E30</f>
        <v>0</v>
      </c>
      <c r="K30" s="163" t="n">
        <f aca="false">52.14*F30</f>
        <v>0</v>
      </c>
      <c r="L30" s="167" t="n">
        <f aca="false">52.14*G30</f>
        <v>0</v>
      </c>
      <c r="M30" s="262" t="n">
        <f aca="false">52.14*H30</f>
        <v>0</v>
      </c>
      <c r="N30" s="167" t="n">
        <f aca="false">52.14*I30</f>
        <v>0</v>
      </c>
      <c r="O30" s="164" t="n">
        <f aca="false">52.14*J30</f>
        <v>0</v>
      </c>
      <c r="P30" s="168" t="n">
        <f aca="false">'household calculator'!G27</f>
        <v>0</v>
      </c>
      <c r="Q30" s="169" t="n">
        <f aca="false">'household calculator'!H27</f>
        <v>0</v>
      </c>
      <c r="R30" s="263" t="n">
        <f aca="false">'household calculator'!I27</f>
        <v>0</v>
      </c>
      <c r="S30" s="169" t="n">
        <f aca="false">'household calculator'!J27</f>
        <v>0</v>
      </c>
      <c r="T30" s="169" t="n">
        <f aca="false">'household calculator'!K27</f>
        <v>0</v>
      </c>
      <c r="U30" s="10"/>
      <c r="V30" s="170" t="str">
        <f aca="false">IF(P30&lt;&gt;0,(P30-K30)/P30,"")</f>
        <v/>
      </c>
      <c r="W30" s="171" t="str">
        <f aca="false">IF(Q30&lt;&gt;0,(Q30-L30)/Q30,"")</f>
        <v/>
      </c>
      <c r="X30" s="171" t="str">
        <f aca="false">IF(R30&lt;&gt;0,(R30-M30)/R30,"")</f>
        <v/>
      </c>
      <c r="Y30" s="171" t="str">
        <f aca="false">IF(S30&lt;&gt;0,(S30-N30)/S30,"")</f>
        <v/>
      </c>
      <c r="Z30" s="172" t="str">
        <f aca="false">IF(T30&lt;&gt;0,(T30-O30)/T30,"")</f>
        <v/>
      </c>
      <c r="AA30" s="85"/>
      <c r="AB30" s="173" t="n">
        <f aca="false">(P30-K30)/(P$34-K$34)</f>
        <v>0</v>
      </c>
      <c r="AC30" s="179"/>
      <c r="AD30" s="174" t="n">
        <f aca="false">(R30-M30)/(R$34-M$34)</f>
        <v>0</v>
      </c>
      <c r="AE30" s="179"/>
      <c r="AF30" s="174" t="n">
        <f aca="false">(T30-O30)/(T$34-O$34)</f>
        <v>0</v>
      </c>
      <c r="AG30" s="175" t="str">
        <f aca="false">IF(P30&lt;&gt;0,(P30-K30),"")</f>
        <v/>
      </c>
      <c r="AH30" s="176" t="str">
        <f aca="false">IF(Q30&lt;&gt;0,(Q30-L30),"")</f>
        <v/>
      </c>
      <c r="AI30" s="176" t="str">
        <f aca="false">IF(R30&lt;&gt;0,(R30-M30),"")</f>
        <v/>
      </c>
      <c r="AJ30" s="176" t="str">
        <f aca="false">IF(S30&lt;&gt;0,(S30-N30),"")</f>
        <v/>
      </c>
      <c r="AK30" s="177" t="str">
        <f aca="false">IF(T30&lt;&gt;0,(T30-O30),"")</f>
        <v/>
      </c>
      <c r="AL30" s="85"/>
      <c r="AM30" s="85"/>
    </row>
    <row r="31" customFormat="false" ht="14.5" hidden="false" customHeight="false" outlineLevel="0" collapsed="false">
      <c r="A31" s="162"/>
      <c r="B31" s="163"/>
      <c r="C31" s="53"/>
      <c r="D31" s="164"/>
      <c r="E31" s="162"/>
      <c r="F31" s="165"/>
      <c r="G31" s="166"/>
      <c r="H31" s="166"/>
      <c r="I31" s="166"/>
      <c r="J31" s="178"/>
      <c r="K31" s="163" t="n">
        <f aca="false">52.14*F31</f>
        <v>0</v>
      </c>
      <c r="L31" s="167" t="n">
        <f aca="false">52.14*G31</f>
        <v>0</v>
      </c>
      <c r="M31" s="262" t="n">
        <f aca="false">52.14*H31</f>
        <v>0</v>
      </c>
      <c r="N31" s="167" t="n">
        <f aca="false">52.14*I31</f>
        <v>0</v>
      </c>
      <c r="O31" s="164" t="n">
        <f aca="false">52.14*J31</f>
        <v>0</v>
      </c>
      <c r="P31" s="168" t="n">
        <f aca="false">'household calculator'!G28</f>
        <v>0</v>
      </c>
      <c r="Q31" s="169" t="n">
        <f aca="false">'household calculator'!H28</f>
        <v>0</v>
      </c>
      <c r="R31" s="263" t="n">
        <f aca="false">'household calculator'!I28</f>
        <v>0</v>
      </c>
      <c r="S31" s="169" t="n">
        <f aca="false">'household calculator'!J28</f>
        <v>0</v>
      </c>
      <c r="T31" s="169" t="n">
        <f aca="false">'household calculator'!K28</f>
        <v>0</v>
      </c>
      <c r="U31" s="10"/>
      <c r="V31" s="170" t="str">
        <f aca="false">IF(P31&lt;&gt;0,(P31-K31)/P31,"")</f>
        <v/>
      </c>
      <c r="W31" s="171" t="str">
        <f aca="false">IF(Q31&lt;&gt;0,(Q31-L31)/Q31,"")</f>
        <v/>
      </c>
      <c r="X31" s="171" t="str">
        <f aca="false">IF(R31&lt;&gt;0,(R31-M31)/R31,"")</f>
        <v/>
      </c>
      <c r="Y31" s="171" t="str">
        <f aca="false">IF(S31&lt;&gt;0,(S31-N31)/S31,"")</f>
        <v/>
      </c>
      <c r="Z31" s="172" t="str">
        <f aca="false">IF(T31&lt;&gt;0,(T31-O31)/T31,"")</f>
        <v/>
      </c>
      <c r="AA31" s="85"/>
      <c r="AB31" s="173" t="n">
        <f aca="false">(P31-K31)/(P$34-K$34)</f>
        <v>0</v>
      </c>
      <c r="AC31" s="179"/>
      <c r="AD31" s="174" t="n">
        <f aca="false">(R31-M31)/(R$34-M$34)</f>
        <v>0</v>
      </c>
      <c r="AE31" s="179"/>
      <c r="AF31" s="174" t="n">
        <f aca="false">(T31-O31)/(T$34-O$34)</f>
        <v>0</v>
      </c>
      <c r="AG31" s="175" t="str">
        <f aca="false">IF(P31&lt;&gt;0,(P31-K31),"")</f>
        <v/>
      </c>
      <c r="AH31" s="176" t="str">
        <f aca="false">IF(Q31&lt;&gt;0,(Q31-L31),"")</f>
        <v/>
      </c>
      <c r="AI31" s="176" t="str">
        <f aca="false">IF(R31&lt;&gt;0,(R31-M31),"")</f>
        <v/>
      </c>
      <c r="AJ31" s="176" t="str">
        <f aca="false">IF(S31&lt;&gt;0,(S31-N31),"")</f>
        <v/>
      </c>
      <c r="AK31" s="177" t="str">
        <f aca="false">IF(T31&lt;&gt;0,(T31-O31),"")</f>
        <v/>
      </c>
      <c r="AL31" s="85"/>
      <c r="AM31" s="85"/>
    </row>
    <row r="32" customFormat="false" ht="14.5" hidden="false" customHeight="false" outlineLevel="0" collapsed="false">
      <c r="A32" s="153" t="s">
        <v>82</v>
      </c>
      <c r="B32" s="154"/>
      <c r="C32" s="54"/>
      <c r="D32" s="156"/>
      <c r="E32" s="157"/>
      <c r="F32" s="158"/>
      <c r="G32" s="159"/>
      <c r="H32" s="159"/>
      <c r="I32" s="159"/>
      <c r="J32" s="160"/>
      <c r="K32" s="154"/>
      <c r="L32" s="161"/>
      <c r="M32" s="261"/>
      <c r="N32" s="161"/>
      <c r="O32" s="156"/>
      <c r="P32" s="154" t="n">
        <f aca="false">'household calculator'!G29</f>
        <v>0</v>
      </c>
      <c r="Q32" s="161" t="n">
        <f aca="false">'household calculator'!H29</f>
        <v>0</v>
      </c>
      <c r="R32" s="261" t="n">
        <f aca="false">'household calculator'!I29</f>
        <v>0</v>
      </c>
      <c r="S32" s="161" t="n">
        <f aca="false">'household calculator'!J29</f>
        <v>0</v>
      </c>
      <c r="T32" s="161" t="n">
        <f aca="false">'household calculator'!K29</f>
        <v>0</v>
      </c>
      <c r="U32" s="10"/>
      <c r="V32" s="181" t="str">
        <f aca="false">IF(P32&lt;&gt;0,(P32-K32)/P32,"")</f>
        <v/>
      </c>
      <c r="W32" s="182" t="str">
        <f aca="false">IF(Q32&lt;&gt;0,(Q32-L32)/Q32,"")</f>
        <v/>
      </c>
      <c r="X32" s="182" t="str">
        <f aca="false">IF(R32&lt;&gt;0,(R32-M32)/R32,"")</f>
        <v/>
      </c>
      <c r="Y32" s="182" t="str">
        <f aca="false">IF(S32&lt;&gt;0,(S32-N32)/S32,"")</f>
        <v/>
      </c>
      <c r="Z32" s="183" t="str">
        <f aca="false">IF(T32&lt;&gt;0,(T32-O32)/T32,"")</f>
        <v/>
      </c>
      <c r="AA32" s="85"/>
      <c r="AB32" s="184"/>
      <c r="AC32" s="185"/>
      <c r="AD32" s="186"/>
      <c r="AE32" s="185"/>
      <c r="AF32" s="186"/>
      <c r="AG32" s="187" t="str">
        <f aca="false">IF(P32&lt;&gt;0,(P32-K32),"")</f>
        <v/>
      </c>
      <c r="AH32" s="188" t="str">
        <f aca="false">IF(Q32&lt;&gt;0,(Q32-L32),"")</f>
        <v/>
      </c>
      <c r="AI32" s="188" t="str">
        <f aca="false">IF(R32&lt;&gt;0,(R32-M32),"")</f>
        <v/>
      </c>
      <c r="AJ32" s="188" t="str">
        <f aca="false">IF(S32&lt;&gt;0,(S32-N32),"")</f>
        <v/>
      </c>
      <c r="AK32" s="189" t="str">
        <f aca="false">IF(T32&lt;&gt;0,(T32-O32),"")</f>
        <v/>
      </c>
      <c r="AL32" s="85"/>
      <c r="AM32" s="85"/>
    </row>
    <row r="33" customFormat="false" ht="15" hidden="false" customHeight="false" outlineLevel="0" collapsed="false">
      <c r="A33" s="190" t="s">
        <v>83</v>
      </c>
      <c r="B33" s="191" t="str">
        <f aca="false">'Style Change'!C17</f>
        <v>mainly LED lighting</v>
      </c>
      <c r="C33" s="57" t="n">
        <f aca="false">'Household Input'!C34</f>
        <v>10</v>
      </c>
      <c r="D33" s="192" t="s">
        <v>77</v>
      </c>
      <c r="E33" s="190" t="n">
        <f aca="false">VLOOKUP(B33,'back end data'!A67:B71,2,0)</f>
        <v>0.01</v>
      </c>
      <c r="F33" s="193" t="n">
        <v>0</v>
      </c>
      <c r="G33" s="194"/>
      <c r="H33" s="194" t="n">
        <f aca="false">J33*'back end data'!B63</f>
        <v>0.530348</v>
      </c>
      <c r="I33" s="194"/>
      <c r="J33" s="195" t="n">
        <f aca="false">C33*4*7*E33</f>
        <v>2.8</v>
      </c>
      <c r="K33" s="191" t="n">
        <f aca="false">52.14*F33</f>
        <v>0</v>
      </c>
      <c r="L33" s="196" t="n">
        <f aca="false">52.14*G33</f>
        <v>0</v>
      </c>
      <c r="M33" s="264" t="n">
        <f aca="false">52.14*H33</f>
        <v>27.65234472</v>
      </c>
      <c r="N33" s="196" t="n">
        <f aca="false">52.14*I33</f>
        <v>0</v>
      </c>
      <c r="O33" s="192" t="n">
        <f aca="false">52.14*J33</f>
        <v>145.992</v>
      </c>
      <c r="P33" s="197" t="n">
        <f aca="false">'household calculator'!G30</f>
        <v>0</v>
      </c>
      <c r="Q33" s="198" t="n">
        <f aca="false">'household calculator'!H30</f>
        <v>0</v>
      </c>
      <c r="R33" s="265" t="n">
        <f aca="false">'household calculator'!I30</f>
        <v>165.91406832</v>
      </c>
      <c r="S33" s="198" t="n">
        <f aca="false">'household calculator'!J30</f>
        <v>0</v>
      </c>
      <c r="T33" s="198" t="n">
        <f aca="false">'household calculator'!K30</f>
        <v>875.952</v>
      </c>
      <c r="U33" s="10"/>
      <c r="V33" s="199" t="str">
        <f aca="false">IF(P33&lt;&gt;0,(P33-K33)/P33,"")</f>
        <v/>
      </c>
      <c r="W33" s="200" t="str">
        <f aca="false">IF(Q33&lt;&gt;0,(Q33-L33)/Q33,"")</f>
        <v/>
      </c>
      <c r="X33" s="200" t="n">
        <f aca="false">IF(R33&lt;&gt;0,(R33-M33)/R33,"")</f>
        <v>0.833333333333333</v>
      </c>
      <c r="Y33" s="200" t="str">
        <f aca="false">IF(S33&lt;&gt;0,(S33-N33)/S33,"")</f>
        <v/>
      </c>
      <c r="Z33" s="201" t="n">
        <f aca="false">IF(T33&lt;&gt;0,(T33-O33)/T33,"")</f>
        <v>0.833333333333333</v>
      </c>
      <c r="AA33" s="85"/>
      <c r="AB33" s="202" t="n">
        <f aca="false">(P33-K33)/(P$34-K$34)</f>
        <v>0</v>
      </c>
      <c r="AC33" s="203"/>
      <c r="AD33" s="204" t="n">
        <f aca="false">(R33-M33)/(R$34-M$34)</f>
        <v>0.518070803009745</v>
      </c>
      <c r="AE33" s="203"/>
      <c r="AF33" s="204" t="n">
        <f aca="false">(T33-O33)/(T$34-O$34)</f>
        <v>0.518070803009745</v>
      </c>
      <c r="AG33" s="205" t="str">
        <f aca="false">IF(P33&lt;&gt;0,(P33-K33),"")</f>
        <v/>
      </c>
      <c r="AH33" s="206" t="str">
        <f aca="false">IF(Q33&lt;&gt;0,(Q33-L33),"")</f>
        <v/>
      </c>
      <c r="AI33" s="206" t="n">
        <f aca="false">IF(R33&lt;&gt;0,(R33-M33),"")</f>
        <v>138.2617236</v>
      </c>
      <c r="AJ33" s="206" t="str">
        <f aca="false">IF(S33&lt;&gt;0,(S33-N33),"")</f>
        <v/>
      </c>
      <c r="AK33" s="207" t="n">
        <f aca="false">IF(T33&lt;&gt;0,(T33-O33),"")</f>
        <v>729.96</v>
      </c>
      <c r="AL33" s="85"/>
      <c r="AM33" s="85"/>
    </row>
    <row r="34" s="221" customFormat="true" ht="24" hidden="false" customHeight="false" outlineLevel="0" collapsed="false">
      <c r="A34" s="208"/>
      <c r="B34" s="208"/>
      <c r="C34" s="208"/>
      <c r="D34" s="208"/>
      <c r="E34" s="208"/>
      <c r="F34" s="209" t="n">
        <f aca="false">SUM(F10:F33)</f>
        <v>802.92</v>
      </c>
      <c r="G34" s="209" t="n">
        <f aca="false">SUM(G10:G31)</f>
        <v>0</v>
      </c>
      <c r="H34" s="209" t="n">
        <f aca="false">SUM(H10:H33)</f>
        <v>4.88223216</v>
      </c>
      <c r="I34" s="209" t="n">
        <f aca="false">SUM(I10:I31)</f>
        <v>0</v>
      </c>
      <c r="J34" s="209" t="n">
        <f aca="false">SUM(J10:J33)</f>
        <v>24.3710555555556</v>
      </c>
      <c r="K34" s="209" t="n">
        <f aca="false">SUM(K10:K33)</f>
        <v>41864.2488</v>
      </c>
      <c r="L34" s="209" t="n">
        <f aca="false">SUM(L10:L31)</f>
        <v>0</v>
      </c>
      <c r="M34" s="266" t="n">
        <f aca="false">SUM(M10:M33)</f>
        <v>254.5595848224</v>
      </c>
      <c r="N34" s="209" t="n">
        <f aca="false">SUM(N10:N33)</f>
        <v>0</v>
      </c>
      <c r="O34" s="209" t="n">
        <f aca="false">SUM(O10:O33)</f>
        <v>1270.70683666667</v>
      </c>
      <c r="P34" s="210" t="n">
        <f aca="false">'household calculator'!G31</f>
        <v>73278.5988</v>
      </c>
      <c r="Q34" s="211" t="n">
        <f aca="false">'household calculator'!H31</f>
        <v>0</v>
      </c>
      <c r="R34" s="267" t="n">
        <f aca="false">'household calculator'!I31</f>
        <v>521.4376308284</v>
      </c>
      <c r="S34" s="211" t="n">
        <f aca="false">'household calculator'!J31</f>
        <v>0</v>
      </c>
      <c r="T34" s="211" t="n">
        <f aca="false">'household calculator'!K31</f>
        <v>2679.70343666667</v>
      </c>
      <c r="U34" s="212"/>
      <c r="V34" s="213" t="n">
        <f aca="false">IF(P34&lt;&gt;0,(P34-K34)/P34,"")</f>
        <v>0.428697471218568</v>
      </c>
      <c r="W34" s="214" t="str">
        <f aca="false">IF(Q34&lt;&gt;0,(Q34-L34)/Q34,"")</f>
        <v/>
      </c>
      <c r="X34" s="214" t="n">
        <f aca="false">IF(R34&lt;&gt;0,(R34-M34)/R34,"")</f>
        <v>0.511812017828508</v>
      </c>
      <c r="Y34" s="214" t="str">
        <f aca="false">IF(S34&lt;&gt;0,(S34-N34)/S34,"")</f>
        <v/>
      </c>
      <c r="Z34" s="215" t="n">
        <f aca="false">IF(T34&lt;&gt;0,(T34-O34)/T34,"")</f>
        <v>0.525803184307842</v>
      </c>
      <c r="AA34" s="216"/>
      <c r="AB34" s="217" t="n">
        <f aca="false">(P34-K34)/(P$34-K$34)</f>
        <v>1</v>
      </c>
      <c r="AC34" s="218"/>
      <c r="AD34" s="217" t="n">
        <f aca="false">(R34-M34)/(R$34-M$34)</f>
        <v>1</v>
      </c>
      <c r="AE34" s="218"/>
      <c r="AF34" s="217" t="n">
        <f aca="false">(T34-O34)/(T$34-O$34)</f>
        <v>1</v>
      </c>
      <c r="AG34" s="219" t="n">
        <f aca="false">IF(P34&lt;&gt;0,(P34-K34),"")</f>
        <v>31414.35</v>
      </c>
      <c r="AH34" s="219" t="str">
        <f aca="false">IF(Q34&lt;&gt;0,(Q34-L34),"")</f>
        <v/>
      </c>
      <c r="AI34" s="219" t="n">
        <f aca="false">IF(R34&lt;&gt;0,(R34-M34),"")</f>
        <v>266.878046006</v>
      </c>
      <c r="AJ34" s="219" t="str">
        <f aca="false">IF(S34&lt;&gt;0,(S34-N34),"")</f>
        <v/>
      </c>
      <c r="AK34" s="220" t="n">
        <f aca="false">IF(T34&lt;&gt;0,(T34-O34),"")</f>
        <v>1408.9966</v>
      </c>
      <c r="AL34" s="216"/>
      <c r="AM34" s="216"/>
    </row>
    <row r="35" customFormat="false" ht="14.5" hidden="false" customHeight="false" outlineLevel="0" collapsed="false">
      <c r="A35" s="85"/>
      <c r="B35" s="85"/>
      <c r="C35" s="85"/>
      <c r="D35" s="85"/>
      <c r="E35" s="10"/>
      <c r="F35" s="118"/>
      <c r="G35" s="118"/>
      <c r="H35" s="118"/>
      <c r="I35" s="118"/>
      <c r="J35" s="118"/>
      <c r="K35" s="85"/>
      <c r="L35" s="85"/>
      <c r="M35" s="85"/>
      <c r="N35" s="85"/>
      <c r="O35" s="85"/>
      <c r="P35" s="85"/>
      <c r="Q35" s="85"/>
      <c r="R35" s="85"/>
      <c r="S35" s="85"/>
      <c r="T35" s="85"/>
      <c r="U35" s="85"/>
      <c r="V35" s="85"/>
      <c r="W35" s="85"/>
      <c r="X35" s="85"/>
      <c r="Y35" s="85"/>
      <c r="Z35" s="85"/>
      <c r="AA35" s="85"/>
      <c r="AG35" s="85"/>
      <c r="AH35" s="85"/>
      <c r="AI35" s="85"/>
      <c r="AJ35" s="85"/>
      <c r="AK35" s="85"/>
      <c r="AL35" s="85"/>
      <c r="AM35" s="85"/>
    </row>
    <row r="36" customFormat="false" ht="35" hidden="false" customHeight="true" outlineLevel="0" collapsed="false">
      <c r="A36" s="85"/>
      <c r="B36" s="85"/>
      <c r="C36" s="85"/>
      <c r="D36" s="85"/>
      <c r="E36" s="85"/>
      <c r="F36" s="118"/>
      <c r="G36" s="118"/>
      <c r="H36" s="118"/>
      <c r="I36" s="118"/>
      <c r="J36" s="118"/>
      <c r="K36" s="85"/>
      <c r="L36" s="85"/>
      <c r="M36" s="85"/>
      <c r="N36" s="85"/>
      <c r="O36" s="85"/>
      <c r="P36" s="85"/>
      <c r="Q36" s="85"/>
      <c r="R36" s="85"/>
      <c r="S36" s="85"/>
      <c r="T36" s="85"/>
      <c r="U36" s="85"/>
      <c r="V36" s="222" t="s">
        <v>290</v>
      </c>
      <c r="W36" s="222"/>
      <c r="X36" s="222"/>
      <c r="Y36" s="222"/>
      <c r="Z36" s="222"/>
      <c r="AA36" s="85"/>
      <c r="AG36" s="85"/>
      <c r="AH36" s="85"/>
      <c r="AI36" s="85"/>
      <c r="AJ36" s="85"/>
      <c r="AK36" s="85"/>
      <c r="AL36" s="85"/>
      <c r="AM36" s="85"/>
    </row>
    <row r="37" customFormat="false" ht="14.5" hidden="false" customHeight="false" outlineLevel="0" collapsed="false">
      <c r="F37" s="0"/>
      <c r="G37" s="0"/>
    </row>
    <row r="38" customFormat="false" ht="14.5" hidden="false" customHeight="false" outlineLevel="0" collapsed="false">
      <c r="F38" s="0"/>
      <c r="G38" s="0"/>
    </row>
    <row r="39" customFormat="false" ht="14.5" hidden="false" customHeight="false" outlineLevel="0" collapsed="false">
      <c r="F39" s="0"/>
      <c r="G39" s="0"/>
    </row>
    <row r="40" customFormat="false" ht="14.5" hidden="false" customHeight="false" outlineLevel="0" collapsed="false">
      <c r="F40" s="0"/>
      <c r="G40" s="0"/>
    </row>
    <row r="41" customFormat="false" ht="14.5" hidden="false" customHeight="false" outlineLevel="0" collapsed="false">
      <c r="F41" s="0"/>
      <c r="G41" s="0"/>
    </row>
    <row r="42" customFormat="false" ht="14.5" hidden="false" customHeight="false" outlineLevel="0" collapsed="false">
      <c r="F42" s="0"/>
      <c r="G42" s="0"/>
    </row>
    <row r="43" customFormat="false" ht="14.5" hidden="false" customHeight="false" outlineLevel="0" collapsed="false">
      <c r="F43" s="0"/>
      <c r="G43" s="0"/>
    </row>
    <row r="44" customFormat="false" ht="14.5" hidden="false" customHeight="false" outlineLevel="0" collapsed="false">
      <c r="F44" s="0"/>
      <c r="G44" s="0"/>
    </row>
    <row r="45" customFormat="false" ht="14.5" hidden="false" customHeight="false" outlineLevel="0" collapsed="false">
      <c r="F45" s="0"/>
      <c r="G45" s="0"/>
    </row>
    <row r="46" customFormat="false" ht="14.5" hidden="false" customHeight="false" outlineLevel="0" collapsed="false">
      <c r="F46" s="0"/>
      <c r="G46" s="0"/>
    </row>
    <row r="47" customFormat="false" ht="14.5" hidden="false" customHeight="false" outlineLevel="0" collapsed="false">
      <c r="F47" s="0"/>
      <c r="G47" s="0"/>
    </row>
    <row r="48" customFormat="false" ht="14.5" hidden="false" customHeight="false" outlineLevel="0" collapsed="false">
      <c r="F48" s="0"/>
      <c r="G48" s="0"/>
    </row>
    <row r="49" customFormat="false" ht="14.5" hidden="false" customHeight="false" outlineLevel="0" collapsed="false">
      <c r="F49" s="0"/>
      <c r="G49" s="0"/>
    </row>
    <row r="50" customFormat="false" ht="14.5" hidden="false" customHeight="false" outlineLevel="0" collapsed="false">
      <c r="F50" s="0"/>
      <c r="G50" s="0"/>
    </row>
    <row r="51" customFormat="false" ht="14.5" hidden="false" customHeight="false" outlineLevel="0" collapsed="false">
      <c r="F51" s="0"/>
      <c r="G51" s="0"/>
    </row>
    <row r="52" customFormat="false" ht="14.5" hidden="false" customHeight="false" outlineLevel="0" collapsed="false">
      <c r="F52" s="0"/>
      <c r="G52" s="0"/>
    </row>
    <row r="53" customFormat="false" ht="14.5" hidden="false" customHeight="false" outlineLevel="0" collapsed="false">
      <c r="F53" s="0"/>
      <c r="G53" s="0"/>
    </row>
    <row r="54" customFormat="false" ht="14.5" hidden="false" customHeight="false" outlineLevel="0" collapsed="false">
      <c r="F54" s="0"/>
      <c r="G54" s="0"/>
    </row>
    <row r="55" customFormat="false" ht="14.5" hidden="false" customHeight="false" outlineLevel="0" collapsed="false">
      <c r="F55" s="0"/>
      <c r="G55" s="0"/>
    </row>
    <row r="56" customFormat="false" ht="14.5" hidden="false" customHeight="false" outlineLevel="0" collapsed="false">
      <c r="F56" s="0"/>
      <c r="G56" s="0"/>
    </row>
    <row r="57" customFormat="false" ht="14.5" hidden="false" customHeight="false" outlineLevel="0" collapsed="false">
      <c r="F57" s="0"/>
      <c r="G57" s="0"/>
    </row>
    <row r="58" customFormat="false" ht="14.5" hidden="false" customHeight="false" outlineLevel="0" collapsed="false">
      <c r="F58" s="0"/>
      <c r="G58" s="0"/>
    </row>
    <row r="59" customFormat="false" ht="14.5" hidden="false" customHeight="false" outlineLevel="0" collapsed="false">
      <c r="F59" s="0"/>
      <c r="G59" s="0"/>
    </row>
    <row r="60" customFormat="false" ht="14.5" hidden="false" customHeight="false" outlineLevel="0" collapsed="false">
      <c r="F60" s="0"/>
      <c r="G60" s="0"/>
    </row>
    <row r="61" customFormat="false" ht="14.5" hidden="false" customHeight="false" outlineLevel="0" collapsed="false">
      <c r="F61" s="0"/>
      <c r="G61" s="0"/>
    </row>
    <row r="62" customFormat="false" ht="14.5" hidden="false" customHeight="false" outlineLevel="0" collapsed="false">
      <c r="F62" s="0"/>
      <c r="G62" s="0"/>
    </row>
    <row r="63" customFormat="false" ht="14.5" hidden="false" customHeight="false" outlineLevel="0" collapsed="false">
      <c r="F63" s="0"/>
      <c r="G63" s="0"/>
    </row>
    <row r="64" customFormat="false" ht="14.5" hidden="false" customHeight="false" outlineLevel="0" collapsed="false">
      <c r="F64" s="0"/>
      <c r="G64" s="0"/>
    </row>
    <row r="65" customFormat="false" ht="14.5" hidden="false" customHeight="false" outlineLevel="0" collapsed="false">
      <c r="F65" s="0"/>
      <c r="G65" s="0"/>
    </row>
    <row r="66" customFormat="false" ht="14.5" hidden="false" customHeight="false" outlineLevel="0" collapsed="false">
      <c r="F66" s="133" t="s">
        <v>291</v>
      </c>
      <c r="G66" s="133" t="n">
        <f aca="false">F10</f>
        <v>330</v>
      </c>
      <c r="L66" s="133" t="n">
        <f aca="false">SUM(J18:J19)</f>
        <v>0.127722222222222</v>
      </c>
    </row>
    <row r="67" customFormat="false" ht="14.5" hidden="false" customHeight="false" outlineLevel="0" collapsed="false">
      <c r="F67" s="133" t="s">
        <v>245</v>
      </c>
      <c r="G67" s="133" t="n">
        <f aca="false">F12</f>
        <v>122.5</v>
      </c>
      <c r="L67" s="133" t="n">
        <f aca="false">J22</f>
        <v>0.84</v>
      </c>
    </row>
    <row r="68" customFormat="false" ht="14.5" hidden="false" customHeight="false" outlineLevel="0" collapsed="false">
      <c r="F68" s="133" t="s">
        <v>292</v>
      </c>
      <c r="G68" s="133" t="n">
        <f aca="false">SUM(F13:F15)</f>
        <v>112</v>
      </c>
      <c r="L68" s="133" t="n">
        <f aca="false">SUM(J27:J30)</f>
        <v>3.535</v>
      </c>
    </row>
    <row r="69" customFormat="false" ht="14.5" hidden="false" customHeight="false" outlineLevel="0" collapsed="false">
      <c r="F69" s="133" t="s">
        <v>247</v>
      </c>
      <c r="G69" s="133" t="n">
        <f aca="false">F18</f>
        <v>21.42</v>
      </c>
      <c r="L69" s="133" t="n">
        <f aca="false">J33</f>
        <v>2.8</v>
      </c>
    </row>
    <row r="70" customFormat="false" ht="14.5" hidden="false" customHeight="false" outlineLevel="0" collapsed="false">
      <c r="F70" s="133" t="s">
        <v>248</v>
      </c>
      <c r="G70" s="133" t="n">
        <f aca="false">SUM(F23:F24)</f>
        <v>210</v>
      </c>
    </row>
  </sheetData>
  <mergeCells count="8">
    <mergeCell ref="B6:D7"/>
    <mergeCell ref="F6:J7"/>
    <mergeCell ref="K6:O7"/>
    <mergeCell ref="P6:T7"/>
    <mergeCell ref="V6:Z7"/>
    <mergeCell ref="AB6:AF7"/>
    <mergeCell ref="AG6:AK7"/>
    <mergeCell ref="V36:Z36"/>
  </mergeCells>
  <hyperlinks>
    <hyperlink ref="B3" location="Start!A1" display="click he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FAC090"/>
    <pageSetUpPr fitToPage="false"/>
  </sheetPr>
  <dimension ref="A1:L5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8" activeCellId="0" sqref="I8"/>
    </sheetView>
  </sheetViews>
  <sheetFormatPr defaultRowHeight="14.5"/>
  <cols>
    <col collapsed="false" hidden="false" max="1" min="1" style="0" width="35.234693877551"/>
    <col collapsed="false" hidden="false" max="2" min="2" style="0" width="13.7704081632653"/>
    <col collapsed="false" hidden="false" max="5" min="3" style="0" width="8.50510204081633"/>
    <col collapsed="false" hidden="false" max="6" min="6" style="0" width="22.8112244897959"/>
    <col collapsed="false" hidden="false" max="7" min="7" style="0" width="17.8214285714286"/>
    <col collapsed="false" hidden="false" max="1025" min="8" style="0" width="8.50510204081633"/>
  </cols>
  <sheetData>
    <row r="1" customFormat="false" ht="14.5" hidden="false" customHeight="false" outlineLevel="0" collapsed="false">
      <c r="A1" s="268" t="s">
        <v>391</v>
      </c>
      <c r="B1" s="269" t="str">
        <f aca="false">Start!B7</f>
        <v>Mina Mirzadeh</v>
      </c>
      <c r="E1" s="270" t="s">
        <v>392</v>
      </c>
      <c r="F1" s="271" t="s">
        <v>393</v>
      </c>
      <c r="G1" s="272" t="s">
        <v>394</v>
      </c>
    </row>
    <row r="2" customFormat="false" ht="14.5" hidden="false" customHeight="false" outlineLevel="0" collapsed="false">
      <c r="A2" s="273" t="s">
        <v>395</v>
      </c>
      <c r="B2" s="274" t="n">
        <f aca="false">Start!B9</f>
        <v>1991</v>
      </c>
      <c r="E2" s="275" t="s">
        <v>396</v>
      </c>
      <c r="F2" s="169" t="str">
        <f aca="false">'Household Input'!A11</f>
        <v>Shower</v>
      </c>
      <c r="G2" s="274" t="n">
        <v>1000</v>
      </c>
    </row>
    <row r="3" customFormat="false" ht="14.5" hidden="false" customHeight="false" outlineLevel="0" collapsed="false">
      <c r="A3" s="273" t="s">
        <v>397</v>
      </c>
      <c r="B3" s="274" t="str">
        <f aca="false">Start!B10</f>
        <v>female</v>
      </c>
      <c r="E3" s="275" t="s">
        <v>398</v>
      </c>
      <c r="F3" s="169" t="str">
        <f aca="false">'Household Input'!A12</f>
        <v>Bath</v>
      </c>
      <c r="G3" s="274" t="n">
        <v>0</v>
      </c>
    </row>
    <row r="4" customFormat="false" ht="14.5" hidden="false" customHeight="false" outlineLevel="0" collapsed="false">
      <c r="A4" s="273" t="s">
        <v>399</v>
      </c>
      <c r="B4" s="274" t="str">
        <f aca="false">Start!B11</f>
        <v>Student</v>
      </c>
      <c r="E4" s="276" t="s">
        <v>400</v>
      </c>
      <c r="F4" s="277" t="str">
        <f aca="false">'Household Input'!A13</f>
        <v>Toilet</v>
      </c>
      <c r="G4" s="278" t="n">
        <v>4</v>
      </c>
    </row>
    <row r="5" customFormat="false" ht="14.5" hidden="false" customHeight="false" outlineLevel="0" collapsed="false">
      <c r="A5" s="273" t="s">
        <v>401</v>
      </c>
      <c r="B5" s="274" t="str">
        <f aca="false">Start!B14</f>
        <v> Belgium</v>
      </c>
      <c r="E5" s="276" t="s">
        <v>402</v>
      </c>
      <c r="F5" s="277" t="str">
        <f aca="false">'Household Input'!A14</f>
        <v>Brushing teeth</v>
      </c>
      <c r="G5" s="278" t="n">
        <v>2</v>
      </c>
    </row>
    <row r="6" customFormat="false" ht="14.5" hidden="false" customHeight="false" outlineLevel="0" collapsed="false">
      <c r="A6" s="273" t="s">
        <v>403</v>
      </c>
      <c r="B6" s="274" t="str">
        <f aca="false">Start!B15</f>
        <v>Electric boiler</v>
      </c>
      <c r="E6" s="276" t="s">
        <v>404</v>
      </c>
      <c r="F6" s="277" t="str">
        <f aca="false">'Household Input'!A15</f>
        <v>Washing hands</v>
      </c>
      <c r="G6" s="278" t="n">
        <v>12</v>
      </c>
    </row>
    <row r="7" customFormat="false" ht="14.5" hidden="false" customHeight="false" outlineLevel="0" collapsed="false">
      <c r="A7" s="273"/>
      <c r="B7" s="274"/>
      <c r="E7" s="276" t="s">
        <v>405</v>
      </c>
      <c r="F7" s="277" t="str">
        <f aca="false">'Household Input'!A16</f>
        <v>Shaving</v>
      </c>
      <c r="G7" s="278" t="n">
        <v>1</v>
      </c>
    </row>
    <row r="8" customFormat="false" ht="14.5" hidden="false" customHeight="false" outlineLevel="0" collapsed="false">
      <c r="A8" s="273" t="s">
        <v>244</v>
      </c>
      <c r="B8" s="279" t="n">
        <f aca="false">'total footprint report'!B16</f>
        <v>37123.68</v>
      </c>
      <c r="E8" s="275" t="s">
        <v>406</v>
      </c>
      <c r="F8" s="169" t="str">
        <f aca="false">'Household Input'!A19</f>
        <v>Washing</v>
      </c>
      <c r="G8" s="274" t="n">
        <v>5</v>
      </c>
    </row>
    <row r="9" customFormat="false" ht="14.5" hidden="false" customHeight="false" outlineLevel="0" collapsed="false">
      <c r="A9" s="273" t="s">
        <v>245</v>
      </c>
      <c r="B9" s="279" t="n">
        <f aca="false">'total footprint report'!B17</f>
        <v>23723.7</v>
      </c>
      <c r="E9" s="275" t="s">
        <v>407</v>
      </c>
      <c r="F9" s="169" t="str">
        <f aca="false">'Household Input'!A20</f>
        <v>Drying</v>
      </c>
      <c r="G9" s="274" t="n">
        <v>5</v>
      </c>
    </row>
    <row r="10" customFormat="false" ht="14.5" hidden="false" customHeight="false" outlineLevel="0" collapsed="false">
      <c r="A10" s="273" t="s">
        <v>246</v>
      </c>
      <c r="B10" s="279" t="n">
        <f aca="false">'total footprint report'!B18</f>
        <v>364.98</v>
      </c>
      <c r="E10" s="275" t="s">
        <v>408</v>
      </c>
      <c r="F10" s="169" t="str">
        <f aca="false">'Household Input'!A23</f>
        <v>Boiling water (tea/coffee)</v>
      </c>
      <c r="G10" s="274" t="n">
        <v>2</v>
      </c>
    </row>
    <row r="11" customFormat="false" ht="14.5" hidden="false" customHeight="false" outlineLevel="0" collapsed="false">
      <c r="A11" s="273"/>
      <c r="B11" s="279" t="n">
        <f aca="false">'total footprint report'!B19</f>
        <v>1116.8388</v>
      </c>
      <c r="E11" s="275" t="s">
        <v>409</v>
      </c>
      <c r="F11" s="169" t="str">
        <f aca="false">'Household Input'!A24</f>
        <v>Doing the dishes manually</v>
      </c>
      <c r="G11" s="274" t="n">
        <v>14</v>
      </c>
    </row>
    <row r="12" customFormat="false" ht="14.5" hidden="false" customHeight="false" outlineLevel="0" collapsed="false">
      <c r="A12" s="273" t="s">
        <v>248</v>
      </c>
      <c r="B12" s="279" t="n">
        <f aca="false">'total footprint report'!B20</f>
        <v>10949.4</v>
      </c>
      <c r="E12" s="275" t="s">
        <v>410</v>
      </c>
      <c r="F12" s="169" t="str">
        <f aca="false">'Household Input'!A25</f>
        <v>Dishwasher</v>
      </c>
      <c r="G12" s="274" t="n">
        <v>0</v>
      </c>
    </row>
    <row r="13" customFormat="false" ht="14.5" hidden="false" customHeight="false" outlineLevel="0" collapsed="false">
      <c r="A13" s="273" t="s">
        <v>121</v>
      </c>
      <c r="B13" s="279" t="n">
        <f aca="false">'total footprint report'!B21</f>
        <v>73278.5988</v>
      </c>
      <c r="E13" s="275" t="s">
        <v>411</v>
      </c>
      <c r="F13" s="169" t="str">
        <f aca="false">'Household Input'!A28</f>
        <v>Television</v>
      </c>
      <c r="G13" s="274" t="n">
        <v>2</v>
      </c>
    </row>
    <row r="14" customFormat="false" ht="14.5" hidden="false" customHeight="false" outlineLevel="0" collapsed="false">
      <c r="A14" s="273"/>
      <c r="B14" s="274"/>
      <c r="E14" s="275" t="s">
        <v>412</v>
      </c>
      <c r="F14" s="169" t="str">
        <f aca="false">'Household Input'!A29</f>
        <v>Personal computer</v>
      </c>
      <c r="G14" s="274" t="n">
        <v>10</v>
      </c>
    </row>
    <row r="15" customFormat="false" ht="14.5" hidden="false" customHeight="false" outlineLevel="0" collapsed="false">
      <c r="A15" s="273" t="s">
        <v>253</v>
      </c>
      <c r="B15" s="279" t="n">
        <f aca="false">'total footprint report'!B28</f>
        <v>875.952</v>
      </c>
      <c r="E15" s="275" t="s">
        <v>413</v>
      </c>
      <c r="F15" s="169" t="str">
        <f aca="false">'Household Input'!A30</f>
        <v>Mobile phone</v>
      </c>
      <c r="G15" s="274" t="n">
        <v>2</v>
      </c>
    </row>
    <row r="16" customFormat="false" ht="14.5" hidden="false" customHeight="false" outlineLevel="0" collapsed="false">
      <c r="A16" s="273" t="s">
        <v>254</v>
      </c>
      <c r="B16" s="279" t="n">
        <f aca="false">'total footprint report'!B29</f>
        <v>184.3149</v>
      </c>
      <c r="E16" s="275" t="s">
        <v>414</v>
      </c>
      <c r="F16" s="169" t="str">
        <f aca="false">'Household Input'!A31</f>
        <v>Tablet</v>
      </c>
      <c r="G16" s="274" t="n">
        <v>0</v>
      </c>
    </row>
    <row r="17" customFormat="false" ht="14.5" hidden="false" customHeight="false" outlineLevel="0" collapsed="false">
      <c r="A17" s="273" t="s">
        <v>255</v>
      </c>
      <c r="B17" s="279" t="n">
        <f aca="false">'total footprint report'!B30</f>
        <v>0</v>
      </c>
      <c r="E17" s="280" t="s">
        <v>415</v>
      </c>
      <c r="F17" s="281" t="str">
        <f aca="false">'Household Input'!A34</f>
        <v>Lighting technology around the house</v>
      </c>
      <c r="G17" s="282" t="n">
        <v>5</v>
      </c>
    </row>
    <row r="18" customFormat="false" ht="14.5" hidden="false" customHeight="false" outlineLevel="0" collapsed="false">
      <c r="A18" s="273" t="s">
        <v>247</v>
      </c>
      <c r="B18" s="279" t="n">
        <f aca="false">'total footprint report'!B31</f>
        <v>89.5620366666667</v>
      </c>
      <c r="E18" s="255"/>
    </row>
    <row r="19" customFormat="false" ht="14.5" hidden="false" customHeight="false" outlineLevel="0" collapsed="false">
      <c r="A19" s="273" t="n">
        <f aca="false">'Data Aggregation'!G32=VLOOKUP('Household Input'!B23,'back end data'!A38:B40,2,0)</f>
        <v>0</v>
      </c>
      <c r="B19" s="279" t="n">
        <f aca="false">'total footprint report'!B32</f>
        <v>1529.8745</v>
      </c>
      <c r="E19" s="255"/>
    </row>
    <row r="20" customFormat="false" ht="14.5" hidden="false" customHeight="false" outlineLevel="0" collapsed="false">
      <c r="A20" s="273" t="s">
        <v>121</v>
      </c>
      <c r="B20" s="279" t="n">
        <f aca="false">'total footprint report'!B33</f>
        <v>2679.70343666667</v>
      </c>
      <c r="E20" s="270" t="s">
        <v>416</v>
      </c>
      <c r="F20" s="283" t="s">
        <v>417</v>
      </c>
      <c r="G20" s="272" t="s">
        <v>418</v>
      </c>
    </row>
    <row r="21" customFormat="false" ht="14.5" hidden="false" customHeight="false" outlineLevel="0" collapsed="false">
      <c r="A21" s="284"/>
      <c r="B21" s="282"/>
      <c r="E21" s="285" t="s">
        <v>419</v>
      </c>
      <c r="F21" s="169" t="s">
        <v>420</v>
      </c>
      <c r="G21" s="274" t="n">
        <f aca="false">VLOOKUP(Start!B15,'back end data'!A76:G77,4,0)</f>
        <v>0.00684214395061728</v>
      </c>
    </row>
    <row r="22" customFormat="false" ht="14.5" hidden="false" customHeight="false" outlineLevel="0" collapsed="false">
      <c r="A22" s="286" t="s">
        <v>253</v>
      </c>
      <c r="B22" s="287" t="n">
        <f aca="false">'total footprint report'!B40</f>
        <v>165.91406832</v>
      </c>
      <c r="E22" s="288" t="s">
        <v>421</v>
      </c>
      <c r="F22" s="169" t="s">
        <v>422</v>
      </c>
      <c r="G22" s="274" t="n">
        <f aca="false">VLOOKUP(Start!B14,'Electricity mix footprint'!A7:D67,4,0)</f>
        <v>0.18941</v>
      </c>
    </row>
    <row r="23" customFormat="false" ht="14.5" hidden="false" customHeight="false" outlineLevel="0" collapsed="false">
      <c r="A23" s="289" t="s">
        <v>261</v>
      </c>
      <c r="B23" s="279" t="n">
        <f aca="false">'total footprint report'!B41</f>
        <v>34.911085209</v>
      </c>
      <c r="E23" s="288" t="s">
        <v>423</v>
      </c>
      <c r="F23" s="169" t="s">
        <v>42</v>
      </c>
      <c r="G23" s="274" t="n">
        <f aca="false">VLOOKUP('Style Change'!C4,'back end data'!A8:B10,2,0)</f>
        <v>5.5</v>
      </c>
    </row>
    <row r="24" customFormat="false" ht="14.5" hidden="false" customHeight="false" outlineLevel="0" collapsed="false">
      <c r="A24" s="289" t="s">
        <v>262</v>
      </c>
      <c r="B24" s="279" t="n">
        <f aca="false">'total footprint report'!B42</f>
        <v>289.773529045</v>
      </c>
      <c r="E24" s="288" t="s">
        <v>424</v>
      </c>
      <c r="F24" s="169" t="s">
        <v>425</v>
      </c>
      <c r="G24" s="274" t="n">
        <f aca="false">VLOOKUP('Style Change'!C5,'back end data'!A12:B14, 2, 0)</f>
        <v>0</v>
      </c>
    </row>
    <row r="25" customFormat="false" ht="14.5" hidden="false" customHeight="false" outlineLevel="0" collapsed="false">
      <c r="A25" s="289" t="s">
        <v>247</v>
      </c>
      <c r="B25" s="279" t="n">
        <f aca="false">'total footprint report'!B43</f>
        <v>30.8389482544</v>
      </c>
      <c r="E25" s="290" t="s">
        <v>426</v>
      </c>
      <c r="F25" s="277" t="s">
        <v>48</v>
      </c>
      <c r="G25" s="278" t="n">
        <f aca="false">VLOOKUP('Style Change'!C6,'back end data'!A16:B18,2,0)</f>
        <v>3.5</v>
      </c>
    </row>
    <row r="26" customFormat="false" ht="14.5" hidden="false" customHeight="false" outlineLevel="0" collapsed="false">
      <c r="A26" s="289" t="s">
        <v>263</v>
      </c>
      <c r="B26" s="279" t="n">
        <f aca="false">'total footprint report'!B44</f>
        <v>0</v>
      </c>
      <c r="E26" s="290" t="s">
        <v>427</v>
      </c>
      <c r="F26" s="277" t="s">
        <v>428</v>
      </c>
      <c r="G26" s="278" t="n">
        <f aca="false">VLOOKUP('Style Change'!C7,'back end data'!A22:B23,2,0)</f>
        <v>3</v>
      </c>
    </row>
    <row r="27" customFormat="false" ht="14.5" hidden="false" customHeight="false" outlineLevel="0" collapsed="false">
      <c r="A27" s="291" t="s">
        <v>121</v>
      </c>
      <c r="B27" s="292" t="n">
        <f aca="false">'total footprint report'!B45</f>
        <v>521.4376308284</v>
      </c>
      <c r="E27" s="290" t="s">
        <v>429</v>
      </c>
      <c r="F27" s="277" t="s">
        <v>430</v>
      </c>
      <c r="G27" s="278" t="n">
        <v>1</v>
      </c>
    </row>
    <row r="28" customFormat="false" ht="14.5" hidden="false" customHeight="false" outlineLevel="0" collapsed="false">
      <c r="A28" s="293" t="s">
        <v>431</v>
      </c>
      <c r="B28" s="269" t="n">
        <f aca="false">GreenStyleUser!M33</f>
        <v>27.65234472</v>
      </c>
      <c r="E28" s="290" t="s">
        <v>432</v>
      </c>
      <c r="F28" s="277" t="s">
        <v>55</v>
      </c>
      <c r="G28" s="278" t="n">
        <v>5</v>
      </c>
      <c r="I28" s="0" t="n">
        <f aca="false">B28</f>
        <v>27.65234472</v>
      </c>
      <c r="J28" s="0" t="n">
        <f aca="false">B29</f>
        <v>34.911085209</v>
      </c>
      <c r="K28" s="0" t="n">
        <f aca="false">B30</f>
        <v>176.859788105</v>
      </c>
      <c r="L28" s="0" t="n">
        <f aca="false">B31</f>
        <v>15.1363667884</v>
      </c>
    </row>
    <row r="29" customFormat="false" ht="14.5" hidden="false" customHeight="false" outlineLevel="0" collapsed="false">
      <c r="A29" s="294" t="s">
        <v>433</v>
      </c>
      <c r="B29" s="274" t="n">
        <f aca="false">SUM(GreenStyleUser!M27:M30)</f>
        <v>34.911085209</v>
      </c>
      <c r="E29" s="290" t="s">
        <v>434</v>
      </c>
      <c r="F29" s="277" t="s">
        <v>57</v>
      </c>
      <c r="G29" s="278" t="n">
        <f aca="false">VLOOKUP('Style Change'!C8,'back end data'!A30:B32,2,0)</f>
        <v>7.14</v>
      </c>
    </row>
    <row r="30" customFormat="false" ht="14.5" hidden="false" customHeight="false" outlineLevel="0" collapsed="false">
      <c r="A30" s="294" t="s">
        <v>435</v>
      </c>
      <c r="B30" s="274" t="n">
        <f aca="false">SUM(GreenStyleUser!M10:M15,GreenStyleUser!M22:M25)</f>
        <v>176.859788105</v>
      </c>
      <c r="E30" s="288" t="s">
        <v>436</v>
      </c>
      <c r="F30" s="169" t="s">
        <v>437</v>
      </c>
      <c r="G30" s="274" t="n">
        <f aca="false">VLOOKUP('Style Change'!C9,'back end data'!A34:B35,2,0)</f>
        <v>0</v>
      </c>
    </row>
    <row r="31" customFormat="false" ht="14.5" hidden="false" customHeight="false" outlineLevel="0" collapsed="false">
      <c r="A31" s="294" t="s">
        <v>438</v>
      </c>
      <c r="B31" s="274" t="n">
        <f aca="false">SUM(GreenStyleUser!M18:M19)</f>
        <v>15.1363667884</v>
      </c>
      <c r="E31" s="288" t="s">
        <v>439</v>
      </c>
      <c r="F31" s="169" t="s">
        <v>440</v>
      </c>
      <c r="G31" s="274" t="n">
        <f aca="false">VLOOKUP('Style Change'!C10,'back end data'!A38:B40,2,0)</f>
        <v>0.12</v>
      </c>
    </row>
    <row r="32" customFormat="false" ht="14.5" hidden="false" customHeight="false" outlineLevel="0" collapsed="false">
      <c r="A32" s="294" t="s">
        <v>263</v>
      </c>
      <c r="B32" s="279" t="n">
        <f aca="false">'total footprint report'!B44</f>
        <v>0</v>
      </c>
      <c r="E32" s="288" t="s">
        <v>441</v>
      </c>
      <c r="F32" s="169" t="s">
        <v>442</v>
      </c>
      <c r="G32" s="274" t="n">
        <f aca="false">VLOOKUP('Style Change'!C11,'back end data'!A42:B43,2,0)</f>
        <v>30</v>
      </c>
    </row>
    <row r="33" customFormat="false" ht="14.5" hidden="false" customHeight="false" outlineLevel="0" collapsed="false">
      <c r="A33" s="295" t="s">
        <v>443</v>
      </c>
      <c r="B33" s="282" t="n">
        <f aca="false">SUM(B28:B32)</f>
        <v>254.5595848224</v>
      </c>
      <c r="E33" s="288" t="s">
        <v>444</v>
      </c>
      <c r="F33" s="169" t="s">
        <v>68</v>
      </c>
      <c r="G33" s="274" t="n">
        <f aca="false">VLOOKUP('Style Change'!C12,'back end data'!A45:B47,2,0)</f>
        <v>0</v>
      </c>
    </row>
    <row r="34" customFormat="false" ht="14.5" hidden="false" customHeight="false" outlineLevel="0" collapsed="false">
      <c r="A34" s="296" t="s">
        <v>445</v>
      </c>
      <c r="B34" s="297" t="n">
        <f aca="false">GreenUser!M33</f>
        <v>13.82617236</v>
      </c>
      <c r="E34" s="288" t="s">
        <v>446</v>
      </c>
      <c r="F34" s="169" t="s">
        <v>255</v>
      </c>
      <c r="G34" s="274" t="n">
        <f aca="false">VLOOKUP('Style Change'!C13,'back end data'!A50:B52,2,0)</f>
        <v>0.05</v>
      </c>
    </row>
    <row r="35" customFormat="false" ht="14.5" hidden="false" customHeight="false" outlineLevel="0" collapsed="false">
      <c r="A35" s="298" t="s">
        <v>447</v>
      </c>
      <c r="B35" s="299" t="n">
        <f aca="false">SUM(GreenUser!M27:M30)</f>
        <v>36.244323258</v>
      </c>
      <c r="E35" s="288" t="s">
        <v>448</v>
      </c>
      <c r="F35" s="169" t="s">
        <v>449</v>
      </c>
      <c r="G35" s="274" t="n">
        <f aca="false">VLOOKUP('Style Change'!C14,'back end data'!A54:B55,2,0)</f>
        <v>0.05</v>
      </c>
    </row>
    <row r="36" customFormat="false" ht="14.5" hidden="false" customHeight="false" outlineLevel="0" collapsed="false">
      <c r="A36" s="298" t="s">
        <v>450</v>
      </c>
      <c r="B36" s="299" t="n">
        <f aca="false">SUM(GreenUser!M10:M15,GreenUser!M22:M24)</f>
        <v>2080.3866024423</v>
      </c>
      <c r="E36" s="288" t="s">
        <v>451</v>
      </c>
      <c r="F36" s="169" t="s">
        <v>452</v>
      </c>
      <c r="G36" s="274" t="n">
        <f aca="false">VLOOKUP('Style Change'!C15,'back end data'!A60:B61,2,0)</f>
        <v>0.005</v>
      </c>
    </row>
    <row r="37" customFormat="false" ht="14.5" hidden="false" customHeight="false" outlineLevel="0" collapsed="false">
      <c r="A37" s="298" t="s">
        <v>453</v>
      </c>
      <c r="B37" s="299" t="n">
        <f aca="false">SUM(GreenUser!M18:M19)</f>
        <v>25.2272779806667</v>
      </c>
      <c r="E37" s="288" t="s">
        <v>454</v>
      </c>
      <c r="F37" s="169" t="s">
        <v>80</v>
      </c>
      <c r="G37" s="274" t="n">
        <f aca="false">VLOOKUP('Style Change'!C16,'back end data'!A57:B58,2,0)</f>
        <v>0</v>
      </c>
    </row>
    <row r="38" customFormat="false" ht="14.5" hidden="false" customHeight="false" outlineLevel="0" collapsed="false">
      <c r="A38" s="298" t="s">
        <v>263</v>
      </c>
      <c r="B38" s="300" t="n">
        <f aca="false">'total footprint report'!B44</f>
        <v>0</v>
      </c>
      <c r="E38" s="288" t="s">
        <v>455</v>
      </c>
      <c r="F38" s="169" t="s">
        <v>456</v>
      </c>
      <c r="G38" s="274" t="n">
        <f aca="false">VLOOKUP('Style Change'!C17,'back end data'!A67:B71,2,0)</f>
        <v>0.01</v>
      </c>
    </row>
    <row r="39" customFormat="false" ht="14.5" hidden="false" customHeight="false" outlineLevel="0" collapsed="false">
      <c r="A39" s="301" t="s">
        <v>457</v>
      </c>
      <c r="B39" s="302" t="n">
        <f aca="false">SUM(B34:B38)</f>
        <v>2155.68437604096</v>
      </c>
      <c r="E39" s="288" t="s">
        <v>458</v>
      </c>
      <c r="F39" s="169" t="s">
        <v>459</v>
      </c>
      <c r="G39" s="303" t="n">
        <f aca="false">VLOOKUP(Start!B15,'back end data'!A80:I81,8,0)</f>
        <v>0.0967674644444445</v>
      </c>
    </row>
    <row r="40" customFormat="false" ht="14.5" hidden="false" customHeight="false" outlineLevel="0" collapsed="false">
      <c r="A40" s="255" t="s">
        <v>460</v>
      </c>
      <c r="B40" s="133"/>
      <c r="E40" s="111" t="s">
        <v>461</v>
      </c>
      <c r="F40" s="304" t="s">
        <v>462</v>
      </c>
      <c r="G40" s="305" t="n">
        <f aca="false">VLOOKUP(Start!B15,'back end data'!A83:G84,4,0)</f>
        <v>0.00928576679012346</v>
      </c>
    </row>
    <row r="41" customFormat="false" ht="14.5" hidden="false" customHeight="false" outlineLevel="0" collapsed="false">
      <c r="A41" s="255" t="s">
        <v>463</v>
      </c>
      <c r="B41" s="0" t="s">
        <v>319</v>
      </c>
    </row>
    <row r="42" customFormat="false" ht="14.5" hidden="false" customHeight="false" outlineLevel="0" collapsed="false">
      <c r="A42" s="255" t="s">
        <v>464</v>
      </c>
      <c r="B42" s="0" t="s">
        <v>465</v>
      </c>
      <c r="E42" s="270" t="s">
        <v>392</v>
      </c>
      <c r="F42" s="271" t="s">
        <v>466</v>
      </c>
      <c r="G42" s="306"/>
      <c r="H42" s="306"/>
      <c r="I42" s="306"/>
      <c r="J42" s="307"/>
    </row>
    <row r="43" customFormat="false" ht="14.5" hidden="false" customHeight="false" outlineLevel="0" collapsed="false">
      <c r="A43" s="255" t="s">
        <v>467</v>
      </c>
      <c r="B43" s="0" t="s">
        <v>468</v>
      </c>
      <c r="E43" s="275" t="n">
        <v>1</v>
      </c>
      <c r="F43" s="169" t="s">
        <v>42</v>
      </c>
      <c r="G43" s="169" t="n">
        <v>5.5</v>
      </c>
      <c r="H43" s="169" t="n">
        <v>7.75</v>
      </c>
      <c r="I43" s="169" t="n">
        <v>10</v>
      </c>
      <c r="J43" s="274"/>
    </row>
    <row r="44" customFormat="false" ht="14.5" hidden="false" customHeight="false" outlineLevel="0" collapsed="false">
      <c r="A44" s="255" t="s">
        <v>469</v>
      </c>
      <c r="B44" s="0" t="s">
        <v>316</v>
      </c>
      <c r="E44" s="275" t="n">
        <v>7</v>
      </c>
      <c r="F44" s="169" t="s">
        <v>57</v>
      </c>
      <c r="G44" s="169"/>
      <c r="H44" s="169"/>
      <c r="I44" s="169"/>
      <c r="J44" s="274"/>
    </row>
    <row r="45" customFormat="false" ht="14.5" hidden="false" customHeight="false" outlineLevel="0" collapsed="false">
      <c r="E45" s="275" t="n">
        <v>8</v>
      </c>
      <c r="F45" s="169" t="s">
        <v>60</v>
      </c>
      <c r="G45" s="169" t="n">
        <v>0</v>
      </c>
      <c r="H45" s="169" t="n">
        <v>0.53</v>
      </c>
      <c r="I45" s="169"/>
      <c r="J45" s="274"/>
    </row>
    <row r="46" customFormat="false" ht="14.5" hidden="false" customHeight="false" outlineLevel="0" collapsed="false">
      <c r="E46" s="275" t="n">
        <v>9</v>
      </c>
      <c r="F46" s="169" t="s">
        <v>440</v>
      </c>
      <c r="G46" s="169" t="n">
        <v>0.12</v>
      </c>
      <c r="H46" s="169" t="n">
        <v>0.22</v>
      </c>
      <c r="I46" s="169" t="n">
        <v>0.36</v>
      </c>
      <c r="J46" s="274"/>
    </row>
    <row r="47" customFormat="false" ht="14.5" hidden="false" customHeight="false" outlineLevel="0" collapsed="false">
      <c r="E47" s="275" t="n">
        <v>11</v>
      </c>
      <c r="F47" s="169" t="s">
        <v>364</v>
      </c>
      <c r="G47" s="169"/>
      <c r="H47" s="169"/>
      <c r="I47" s="169"/>
      <c r="J47" s="274"/>
    </row>
    <row r="48" customFormat="false" ht="14.5" hidden="false" customHeight="false" outlineLevel="0" collapsed="false">
      <c r="E48" s="275" t="n">
        <v>12</v>
      </c>
      <c r="F48" s="169" t="s">
        <v>255</v>
      </c>
      <c r="G48" s="169" t="n">
        <v>0.18</v>
      </c>
      <c r="H48" s="169" t="n">
        <v>0.05</v>
      </c>
      <c r="I48" s="169" t="n">
        <v>0.3</v>
      </c>
      <c r="J48" s="274"/>
    </row>
    <row r="49" customFormat="false" ht="14.5" hidden="false" customHeight="false" outlineLevel="0" collapsed="false">
      <c r="E49" s="275" t="n">
        <v>12</v>
      </c>
      <c r="F49" s="169" t="s">
        <v>449</v>
      </c>
      <c r="G49" s="169" t="n">
        <v>0.3</v>
      </c>
      <c r="H49" s="169" t="n">
        <f aca="false">50/1000</f>
        <v>0.05</v>
      </c>
      <c r="I49" s="169"/>
      <c r="J49" s="274"/>
    </row>
    <row r="50" customFormat="false" ht="14.5" hidden="false" customHeight="false" outlineLevel="0" collapsed="false">
      <c r="E50" s="280" t="n">
        <v>16</v>
      </c>
      <c r="F50" s="281" t="s">
        <v>456</v>
      </c>
      <c r="G50" s="281" t="n">
        <f aca="false">60/1000</f>
        <v>0.06</v>
      </c>
      <c r="H50" s="281" t="n">
        <f aca="false">42/1000</f>
        <v>0.042</v>
      </c>
      <c r="I50" s="281" t="n">
        <f aca="false">13/1000</f>
        <v>0.013</v>
      </c>
      <c r="J50" s="282" t="n">
        <f aca="false">10/1000</f>
        <v>0.01</v>
      </c>
    </row>
  </sheetData>
  <conditionalFormatting sqref="A41:A44">
    <cfRule type="uniqu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AC090"/>
    <pageSetUpPr fitToPage="false"/>
  </sheetPr>
  <dimension ref="A1:AM70"/>
  <sheetViews>
    <sheetView windowProtection="false" showFormulas="false" showGridLines="true" showRowColHeaders="true" showZeros="true" rightToLeft="false" tabSelected="false" showOutlineSymbols="true" defaultGridColor="true" view="normal" topLeftCell="C8" colorId="64" zoomScale="90" zoomScaleNormal="90" zoomScalePageLayoutView="100" workbookViewId="0">
      <selection pane="topLeft" activeCell="H22" activeCellId="0" sqref="H22"/>
    </sheetView>
  </sheetViews>
  <sheetFormatPr defaultRowHeight="14.5"/>
  <cols>
    <col collapsed="false" hidden="false" max="1" min="1" style="0" width="33.6122448979592"/>
    <col collapsed="false" hidden="false" max="2" min="2" style="0" width="23.8928571428571"/>
    <col collapsed="false" hidden="false" max="3" min="3" style="0" width="14.1734693877551"/>
    <col collapsed="false" hidden="false" max="4" min="4" style="0" width="15.7959183673469"/>
    <col collapsed="false" hidden="false" max="5" min="5" style="0" width="14.1734693877551"/>
    <col collapsed="false" hidden="false" max="6" min="6" style="133" width="13.3622448979592"/>
    <col collapsed="false" hidden="false" max="7" min="7" style="133" width="14.3112244897959"/>
    <col collapsed="false" hidden="false" max="8" min="8" style="133" width="17.5510204081633"/>
    <col collapsed="false" hidden="false" max="9" min="9" style="133" width="18.6275510204082"/>
    <col collapsed="false" hidden="false" max="10" min="10" style="133" width="14.3112244897959"/>
    <col collapsed="false" hidden="false" max="11" min="11" style="0" width="13.9030612244898"/>
    <col collapsed="false" hidden="false" max="12" min="12" style="0" width="14.3112244897959"/>
    <col collapsed="false" hidden="false" max="13" min="13" style="0" width="17.5510204081633"/>
    <col collapsed="false" hidden="true" max="17" min="14" style="0" width="0"/>
    <col collapsed="false" hidden="false" max="18" min="18" style="0" width="17.280612244898"/>
    <col collapsed="false" hidden="true" max="20" min="19" style="0" width="0"/>
    <col collapsed="false" hidden="false" max="21" min="21" style="0" width="14.1734693877551"/>
    <col collapsed="false" hidden="false" max="22" min="22" style="0" width="13.3622448979592"/>
    <col collapsed="false" hidden="false" max="23" min="23" style="0" width="5.66836734693878"/>
    <col collapsed="false" hidden="false" max="24" min="24" style="0" width="17.5510204081633"/>
    <col collapsed="false" hidden="false" max="25" min="25" style="0" width="6.47959183673469"/>
    <col collapsed="false" hidden="false" max="26" min="26" style="0" width="14.3112244897959"/>
    <col collapsed="false" hidden="false" max="27" min="27" style="0" width="8.50510204081633"/>
    <col collapsed="false" hidden="true" max="39" min="28" style="0" width="0"/>
    <col collapsed="false" hidden="false" max="1025" min="40" style="0" width="8.50510204081633"/>
  </cols>
  <sheetData>
    <row r="1" customFormat="false" ht="28.5" hidden="false" customHeight="false" outlineLevel="0" collapsed="false">
      <c r="A1" s="134" t="s">
        <v>264</v>
      </c>
      <c r="F1" s="0"/>
      <c r="G1" s="0"/>
      <c r="H1" s="0"/>
      <c r="I1" s="0"/>
      <c r="J1" s="0"/>
    </row>
    <row r="2" customFormat="false" ht="14.5" hidden="false" customHeight="false" outlineLevel="0" collapsed="false">
      <c r="A2" s="135" t="s">
        <v>265</v>
      </c>
      <c r="B2" s="135"/>
      <c r="C2" s="135"/>
      <c r="D2" s="135"/>
      <c r="E2" s="85"/>
      <c r="F2" s="0"/>
      <c r="G2" s="0"/>
      <c r="H2" s="0"/>
      <c r="I2" s="0"/>
      <c r="J2" s="0"/>
      <c r="U2" s="85"/>
      <c r="V2" s="85"/>
      <c r="W2" s="85"/>
      <c r="X2" s="85"/>
      <c r="Y2" s="85"/>
      <c r="Z2" s="85"/>
      <c r="AA2" s="85"/>
      <c r="AB2" s="85"/>
      <c r="AC2" s="85"/>
      <c r="AD2" s="85"/>
      <c r="AE2" s="85"/>
      <c r="AF2" s="85"/>
      <c r="AG2" s="85"/>
      <c r="AH2" s="85"/>
      <c r="AI2" s="85"/>
      <c r="AJ2" s="85"/>
      <c r="AK2" s="85"/>
      <c r="AL2" s="85"/>
      <c r="AM2" s="85"/>
    </row>
    <row r="3" customFormat="false" ht="14.5" hidden="false" customHeight="false" outlineLevel="0" collapsed="false">
      <c r="A3" s="135" t="s">
        <v>266</v>
      </c>
      <c r="B3" s="136" t="s">
        <v>22</v>
      </c>
      <c r="C3" s="135"/>
      <c r="D3" s="135"/>
      <c r="E3" s="85"/>
      <c r="F3" s="0"/>
      <c r="G3" s="0"/>
      <c r="H3" s="0"/>
      <c r="I3" s="0"/>
      <c r="J3" s="0"/>
      <c r="U3" s="85"/>
      <c r="V3" s="85"/>
      <c r="W3" s="85"/>
      <c r="X3" s="85"/>
      <c r="Y3" s="85"/>
      <c r="Z3" s="85"/>
      <c r="AA3" s="85"/>
      <c r="AB3" s="85"/>
      <c r="AC3" s="85"/>
      <c r="AD3" s="85"/>
      <c r="AE3" s="85"/>
      <c r="AF3" s="85"/>
      <c r="AG3" s="85"/>
      <c r="AH3" s="85"/>
      <c r="AI3" s="85"/>
      <c r="AJ3" s="85"/>
      <c r="AK3" s="85"/>
      <c r="AL3" s="85"/>
      <c r="AM3" s="85"/>
    </row>
    <row r="4" customFormat="false" ht="14.5" hidden="false" customHeight="false" outlineLevel="0" collapsed="false">
      <c r="A4" s="135"/>
      <c r="B4" s="135"/>
      <c r="C4" s="135"/>
      <c r="D4" s="135"/>
      <c r="E4" s="85"/>
      <c r="F4" s="0"/>
      <c r="G4" s="0"/>
      <c r="H4" s="0"/>
      <c r="I4" s="0"/>
      <c r="J4" s="0"/>
      <c r="U4" s="85"/>
      <c r="V4" s="85"/>
      <c r="W4" s="85"/>
      <c r="X4" s="85"/>
      <c r="Y4" s="85"/>
      <c r="Z4" s="85"/>
      <c r="AA4" s="85"/>
      <c r="AB4" s="85"/>
      <c r="AC4" s="85"/>
      <c r="AD4" s="85"/>
      <c r="AE4" s="85"/>
      <c r="AF4" s="85"/>
      <c r="AG4" s="85"/>
      <c r="AH4" s="85"/>
      <c r="AI4" s="85"/>
      <c r="AJ4" s="85"/>
      <c r="AK4" s="85"/>
      <c r="AL4" s="85"/>
      <c r="AM4" s="85"/>
    </row>
    <row r="5" customFormat="false" ht="15" hidden="false" customHeight="false" outlineLevel="0" collapsed="false">
      <c r="A5" s="85"/>
      <c r="B5" s="85"/>
      <c r="C5" s="85"/>
      <c r="D5" s="85"/>
      <c r="E5" s="85"/>
      <c r="F5" s="0"/>
      <c r="G5" s="0"/>
      <c r="H5" s="0"/>
      <c r="I5" s="0"/>
      <c r="J5" s="0"/>
      <c r="U5" s="85"/>
      <c r="V5" s="85"/>
      <c r="W5" s="85"/>
      <c r="X5" s="85"/>
      <c r="Y5" s="85"/>
      <c r="Z5" s="85"/>
      <c r="AA5" s="85"/>
      <c r="AB5" s="85"/>
      <c r="AC5" s="85"/>
      <c r="AD5" s="85"/>
      <c r="AE5" s="85"/>
      <c r="AF5" s="85"/>
      <c r="AG5" s="85"/>
      <c r="AH5" s="85"/>
      <c r="AI5" s="85"/>
      <c r="AJ5" s="85"/>
      <c r="AK5" s="85"/>
      <c r="AL5" s="85"/>
      <c r="AM5" s="85"/>
    </row>
    <row r="6" customFormat="false" ht="18.5" hidden="false" customHeight="true" outlineLevel="0" collapsed="false">
      <c r="A6" s="85"/>
      <c r="B6" s="137" t="s">
        <v>267</v>
      </c>
      <c r="C6" s="137"/>
      <c r="D6" s="137"/>
      <c r="E6" s="85"/>
      <c r="F6" s="138" t="s">
        <v>268</v>
      </c>
      <c r="G6" s="138"/>
      <c r="H6" s="138"/>
      <c r="I6" s="138"/>
      <c r="J6" s="138"/>
      <c r="K6" s="259" t="s">
        <v>269</v>
      </c>
      <c r="L6" s="259"/>
      <c r="M6" s="259"/>
      <c r="N6" s="259"/>
      <c r="O6" s="259"/>
      <c r="P6" s="140" t="s">
        <v>270</v>
      </c>
      <c r="Q6" s="140"/>
      <c r="R6" s="140"/>
      <c r="S6" s="140"/>
      <c r="T6" s="140"/>
      <c r="U6" s="141"/>
      <c r="V6" s="142" t="s">
        <v>271</v>
      </c>
      <c r="W6" s="142"/>
      <c r="X6" s="142"/>
      <c r="Y6" s="142"/>
      <c r="Z6" s="142"/>
      <c r="AA6" s="85"/>
      <c r="AB6" s="143" t="s">
        <v>272</v>
      </c>
      <c r="AC6" s="143"/>
      <c r="AD6" s="143"/>
      <c r="AE6" s="143"/>
      <c r="AF6" s="143"/>
      <c r="AG6" s="142" t="s">
        <v>273</v>
      </c>
      <c r="AH6" s="142"/>
      <c r="AI6" s="142"/>
      <c r="AJ6" s="142"/>
      <c r="AK6" s="142"/>
      <c r="AL6" s="85"/>
      <c r="AM6" s="85"/>
    </row>
    <row r="7" customFormat="false" ht="15" hidden="false" customHeight="true" outlineLevel="0" collapsed="false">
      <c r="A7" s="85"/>
      <c r="B7" s="137"/>
      <c r="C7" s="137"/>
      <c r="D7" s="137"/>
      <c r="E7" s="85"/>
      <c r="F7" s="138"/>
      <c r="G7" s="138"/>
      <c r="H7" s="138"/>
      <c r="I7" s="138"/>
      <c r="J7" s="138"/>
      <c r="K7" s="259"/>
      <c r="L7" s="259"/>
      <c r="M7" s="259"/>
      <c r="N7" s="259"/>
      <c r="O7" s="259"/>
      <c r="P7" s="140"/>
      <c r="Q7" s="140"/>
      <c r="R7" s="140"/>
      <c r="S7" s="140"/>
      <c r="T7" s="140"/>
      <c r="U7" s="141"/>
      <c r="V7" s="142"/>
      <c r="W7" s="142"/>
      <c r="X7" s="142"/>
      <c r="Y7" s="142"/>
      <c r="Z7" s="142"/>
      <c r="AA7" s="85"/>
      <c r="AB7" s="143"/>
      <c r="AC7" s="143"/>
      <c r="AD7" s="143"/>
      <c r="AE7" s="143"/>
      <c r="AF7" s="143"/>
      <c r="AG7" s="142"/>
      <c r="AH7" s="142"/>
      <c r="AI7" s="142"/>
      <c r="AJ7" s="142"/>
      <c r="AK7" s="142"/>
      <c r="AL7" s="85"/>
      <c r="AM7" s="85"/>
    </row>
    <row r="8" customFormat="false" ht="15" hidden="false" customHeight="true" outlineLevel="0" collapsed="false">
      <c r="A8" s="144" t="s">
        <v>34</v>
      </c>
      <c r="B8" s="144" t="s">
        <v>274</v>
      </c>
      <c r="C8" s="145" t="s">
        <v>275</v>
      </c>
      <c r="D8" s="146" t="s">
        <v>37</v>
      </c>
      <c r="E8" s="147" t="s">
        <v>276</v>
      </c>
      <c r="F8" s="148" t="s">
        <v>277</v>
      </c>
      <c r="G8" s="149" t="s">
        <v>278</v>
      </c>
      <c r="H8" s="149" t="s">
        <v>279</v>
      </c>
      <c r="I8" s="149" t="s">
        <v>280</v>
      </c>
      <c r="J8" s="150" t="s">
        <v>281</v>
      </c>
      <c r="K8" s="148" t="s">
        <v>277</v>
      </c>
      <c r="L8" s="149" t="s">
        <v>278</v>
      </c>
      <c r="M8" s="149" t="s">
        <v>279</v>
      </c>
      <c r="N8" s="149" t="s">
        <v>280</v>
      </c>
      <c r="O8" s="150" t="s">
        <v>281</v>
      </c>
      <c r="P8" s="151" t="str">
        <f aca="false">'household calculator'!G5</f>
        <v>direct water [L]</v>
      </c>
      <c r="Q8" s="152" t="str">
        <f aca="false">'household calculator'!H5</f>
        <v>hidden water [L]</v>
      </c>
      <c r="R8" s="152" t="str">
        <f aca="false">'household calculator'!I5</f>
        <v>direct CO2 [kgCO2e]</v>
      </c>
      <c r="S8" s="152" t="str">
        <f aca="false">'household calculator'!J5</f>
        <v>hidden CO2 [kgCO2e]</v>
      </c>
      <c r="T8" s="152" t="str">
        <f aca="false">'household calculator'!K5</f>
        <v>electricity [kWh]</v>
      </c>
      <c r="U8" s="10"/>
      <c r="V8" s="148" t="s">
        <v>277</v>
      </c>
      <c r="W8" s="149" t="s">
        <v>278</v>
      </c>
      <c r="X8" s="149" t="s">
        <v>279</v>
      </c>
      <c r="Y8" s="149" t="s">
        <v>280</v>
      </c>
      <c r="Z8" s="150" t="s">
        <v>281</v>
      </c>
      <c r="AA8" s="85"/>
      <c r="AB8" s="148" t="s">
        <v>277</v>
      </c>
      <c r="AC8" s="149"/>
      <c r="AD8" s="149" t="s">
        <v>279</v>
      </c>
      <c r="AE8" s="149"/>
      <c r="AF8" s="149" t="s">
        <v>281</v>
      </c>
      <c r="AG8" s="148" t="s">
        <v>277</v>
      </c>
      <c r="AH8" s="149" t="s">
        <v>278</v>
      </c>
      <c r="AI8" s="149" t="s">
        <v>279</v>
      </c>
      <c r="AJ8" s="149" t="s">
        <v>280</v>
      </c>
      <c r="AK8" s="150" t="s">
        <v>281</v>
      </c>
      <c r="AL8" s="85"/>
      <c r="AM8" s="85"/>
    </row>
    <row r="9" customFormat="false" ht="15" hidden="false" customHeight="true" outlineLevel="0" collapsed="false">
      <c r="A9" s="153" t="s">
        <v>41</v>
      </c>
      <c r="B9" s="154"/>
      <c r="C9" s="155"/>
      <c r="D9" s="156"/>
      <c r="E9" s="157"/>
      <c r="F9" s="158"/>
      <c r="G9" s="159"/>
      <c r="H9" s="159"/>
      <c r="I9" s="159"/>
      <c r="J9" s="160"/>
      <c r="K9" s="158"/>
      <c r="L9" s="159"/>
      <c r="M9" s="260"/>
      <c r="N9" s="159"/>
      <c r="O9" s="160"/>
      <c r="P9" s="154" t="n">
        <f aca="false">'household calculator'!G6</f>
        <v>0</v>
      </c>
      <c r="Q9" s="161" t="n">
        <f aca="false">'household calculator'!H6</f>
        <v>0</v>
      </c>
      <c r="R9" s="261" t="n">
        <f aca="false">'household calculator'!I6</f>
        <v>0</v>
      </c>
      <c r="S9" s="161" t="n">
        <f aca="false">'household calculator'!J6</f>
        <v>0</v>
      </c>
      <c r="T9" s="161" t="n">
        <f aca="false">'household calculator'!K6</f>
        <v>0</v>
      </c>
      <c r="U9" s="10"/>
      <c r="V9" s="154"/>
      <c r="W9" s="161"/>
      <c r="X9" s="161"/>
      <c r="Y9" s="161"/>
      <c r="Z9" s="156"/>
      <c r="AA9" s="85"/>
      <c r="AB9" s="154"/>
      <c r="AC9" s="161"/>
      <c r="AD9" s="161"/>
      <c r="AE9" s="161"/>
      <c r="AF9" s="161"/>
      <c r="AG9" s="154"/>
      <c r="AH9" s="161"/>
      <c r="AI9" s="161"/>
      <c r="AJ9" s="161"/>
      <c r="AK9" s="156"/>
      <c r="AL9" s="85"/>
      <c r="AM9" s="85"/>
    </row>
    <row r="10" customFormat="false" ht="15" hidden="false" customHeight="true" outlineLevel="0" collapsed="false">
      <c r="A10" s="162" t="s">
        <v>42</v>
      </c>
      <c r="B10" s="163" t="str">
        <f aca="false">GreenStyleUser!B10</f>
        <v>Water saving shower head (flow reduction)</v>
      </c>
      <c r="C10" s="49" t="n">
        <f aca="false">'Data Aggregation'!G2</f>
        <v>1000</v>
      </c>
      <c r="D10" s="164" t="s">
        <v>44</v>
      </c>
      <c r="E10" s="162" t="n">
        <f aca="false">VLOOKUP(B10,'back end data'!A8:B10,2,0)</f>
        <v>5.5</v>
      </c>
      <c r="F10" s="165" t="n">
        <f aca="false">C10*E10</f>
        <v>5500</v>
      </c>
      <c r="G10" s="166"/>
      <c r="H10" s="166" t="n">
        <f aca="false">F10*VLOOKUP(Start!B15,'back end data'!A76:G77,4,0)</f>
        <v>37.6317917283951</v>
      </c>
      <c r="I10" s="167"/>
      <c r="J10" s="164" t="n">
        <f aca="false">F10*VLOOKUP(Start!B15,'back end data'!A76:G77,6,0)</f>
        <v>198.679012345679</v>
      </c>
      <c r="K10" s="163" t="n">
        <f aca="false">52.14*F10</f>
        <v>286770</v>
      </c>
      <c r="L10" s="167" t="n">
        <f aca="false">52.14*G10</f>
        <v>0</v>
      </c>
      <c r="M10" s="262" t="n">
        <f aca="false">52.14*H10</f>
        <v>1962.12162071852</v>
      </c>
      <c r="N10" s="167" t="n">
        <f aca="false">52.14*I10</f>
        <v>0</v>
      </c>
      <c r="O10" s="164" t="n">
        <f aca="false">52.14*J10</f>
        <v>10359.1237037037</v>
      </c>
      <c r="P10" s="168" t="n">
        <f aca="false">'household calculator'!G7</f>
        <v>31284</v>
      </c>
      <c r="Q10" s="169" t="n">
        <f aca="false">'household calculator'!H7</f>
        <v>0</v>
      </c>
      <c r="R10" s="263" t="n">
        <f aca="false">'household calculator'!I7</f>
        <v>214.049631351111</v>
      </c>
      <c r="S10" s="169" t="n">
        <f aca="false">'household calculator'!J7</f>
        <v>0</v>
      </c>
      <c r="T10" s="169" t="n">
        <f aca="false">'household calculator'!K7</f>
        <v>1130.08622222222</v>
      </c>
      <c r="U10" s="10"/>
      <c r="V10" s="170" t="n">
        <f aca="false">IF(P10&lt;&gt;0,(P10-K10)/P10,"")</f>
        <v>-8.16666666666667</v>
      </c>
      <c r="W10" s="171" t="str">
        <f aca="false">IF(Q10&lt;&gt;0,(Q10-L10)/Q10,"")</f>
        <v/>
      </c>
      <c r="X10" s="171" t="n">
        <f aca="false">IF(R10&lt;&gt;0,(R10-M10)/R10,"")</f>
        <v>-8.16666666666667</v>
      </c>
      <c r="Y10" s="171" t="str">
        <f aca="false">IF(S10&lt;&gt;0,(S10-N10)/S10,"")</f>
        <v/>
      </c>
      <c r="Z10" s="172" t="n">
        <f aca="false">IF(T10&lt;&gt;0,(T10-O10)/T10,"")</f>
        <v>-8.16666666666667</v>
      </c>
      <c r="AA10" s="85"/>
      <c r="AB10" s="173" t="n">
        <f aca="false">(P10-K10)/(P$34-K$34)</f>
        <v>1.02226450363843</v>
      </c>
      <c r="AC10" s="174"/>
      <c r="AD10" s="174" t="n">
        <f aca="false">(R10-M10)/(R$34-M$34)</f>
        <v>1.06964997451474</v>
      </c>
      <c r="AE10" s="174"/>
      <c r="AF10" s="174" t="n">
        <f aca="false">(T10-O10)/(T$34-O$34)</f>
        <v>1.07573876476342</v>
      </c>
      <c r="AG10" s="175" t="n">
        <f aca="false">IF(P10&lt;&gt;0,(P10-K10),"")</f>
        <v>-255486</v>
      </c>
      <c r="AH10" s="176" t="str">
        <f aca="false">IF(Q10&lt;&gt;0,(Q10-L10),"")</f>
        <v/>
      </c>
      <c r="AI10" s="176" t="n">
        <f aca="false">IF(R10&lt;&gt;0,(R10-M10),"")</f>
        <v>-1748.07198936741</v>
      </c>
      <c r="AJ10" s="176" t="str">
        <f aca="false">IF(S10&lt;&gt;0,(S10-N10),"")</f>
        <v/>
      </c>
      <c r="AK10" s="177" t="n">
        <f aca="false">IF(T10&lt;&gt;0,(T10-O10),"")</f>
        <v>-9229.03748148148</v>
      </c>
      <c r="AL10" s="85"/>
      <c r="AM10" s="85"/>
    </row>
    <row r="11" customFormat="false" ht="14.5" hidden="false" customHeight="false" outlineLevel="0" collapsed="false">
      <c r="A11" s="162" t="s">
        <v>45</v>
      </c>
      <c r="B11" s="163" t="str">
        <f aca="false">GreenStyleUser!B11</f>
        <v>I don't take baths</v>
      </c>
      <c r="C11" s="49" t="n">
        <f aca="false">'Data Aggregation'!G3</f>
        <v>0</v>
      </c>
      <c r="D11" s="164" t="s">
        <v>47</v>
      </c>
      <c r="E11" s="162" t="n">
        <f aca="false">VLOOKUP(B11,'back end data'!A12:B14,2,0)</f>
        <v>0</v>
      </c>
      <c r="F11" s="165" t="n">
        <f aca="false">C11*E11</f>
        <v>0</v>
      </c>
      <c r="G11" s="166"/>
      <c r="H11" s="166" t="n">
        <f aca="false">F11*VLOOKUP(Start!B15,'back end data'!A76:G77,4,0)</f>
        <v>0</v>
      </c>
      <c r="I11" s="166"/>
      <c r="J11" s="178" t="n">
        <f aca="false">F11*VLOOKUP(Start!B15,'back end data'!A76:G77,6,0)</f>
        <v>0</v>
      </c>
      <c r="K11" s="163" t="n">
        <f aca="false">52.14*F11</f>
        <v>0</v>
      </c>
      <c r="L11" s="167" t="n">
        <f aca="false">52.14*G11</f>
        <v>0</v>
      </c>
      <c r="M11" s="262" t="n">
        <f aca="false">52.14*H11</f>
        <v>0</v>
      </c>
      <c r="N11" s="167" t="n">
        <f aca="false">52.14*I11</f>
        <v>0</v>
      </c>
      <c r="O11" s="164" t="n">
        <f aca="false">52.14*J11</f>
        <v>0</v>
      </c>
      <c r="P11" s="168" t="n">
        <f aca="false">'household calculator'!G8</f>
        <v>0</v>
      </c>
      <c r="Q11" s="169" t="n">
        <f aca="false">'household calculator'!H8</f>
        <v>0</v>
      </c>
      <c r="R11" s="263" t="n">
        <f aca="false">'household calculator'!I8</f>
        <v>0</v>
      </c>
      <c r="S11" s="169" t="n">
        <f aca="false">'household calculator'!J8</f>
        <v>0</v>
      </c>
      <c r="T11" s="169" t="n">
        <f aca="false">'household calculator'!K8</f>
        <v>0</v>
      </c>
      <c r="U11" s="10"/>
      <c r="V11" s="170" t="str">
        <f aca="false">IF(P11&lt;&gt;0,(P11-K11)/P11,"")</f>
        <v/>
      </c>
      <c r="W11" s="171" t="str">
        <f aca="false">IF(Q11&lt;&gt;0,(Q11-L11)/Q11,"")</f>
        <v/>
      </c>
      <c r="X11" s="171" t="str">
        <f aca="false">IF(R11&lt;&gt;0,(R11-M11)/R11,"")</f>
        <v/>
      </c>
      <c r="Y11" s="171" t="str">
        <f aca="false">IF(S11&lt;&gt;0,(S11-N11)/S11,"")</f>
        <v/>
      </c>
      <c r="Z11" s="172" t="str">
        <f aca="false">IF(T11&lt;&gt;0,(T11-O11)/T11,"")</f>
        <v/>
      </c>
      <c r="AA11" s="85"/>
      <c r="AB11" s="173" t="n">
        <f aca="false">(P11-K11)/(P$34-K$34)</f>
        <v>-0</v>
      </c>
      <c r="AC11" s="179"/>
      <c r="AD11" s="174" t="n">
        <f aca="false">(R11-M11)/(R$34-M$34)</f>
        <v>-0</v>
      </c>
      <c r="AE11" s="179"/>
      <c r="AF11" s="174" t="n">
        <f aca="false">(T11-O11)/(T$34-O$34)</f>
        <v>-0</v>
      </c>
      <c r="AG11" s="175" t="str">
        <f aca="false">IF(P11&lt;&gt;0,(P11-K11),"")</f>
        <v/>
      </c>
      <c r="AH11" s="176" t="str">
        <f aca="false">IF(Q11&lt;&gt;0,(Q11-L11),"")</f>
        <v/>
      </c>
      <c r="AI11" s="176" t="str">
        <f aca="false">IF(R11&lt;&gt;0,(R11-M11),"")</f>
        <v/>
      </c>
      <c r="AJ11" s="176" t="str">
        <f aca="false">IF(S11&lt;&gt;0,(S11-N11),"")</f>
        <v/>
      </c>
      <c r="AK11" s="177" t="str">
        <f aca="false">IF(T11&lt;&gt;0,(T11-O11),"")</f>
        <v/>
      </c>
      <c r="AL11" s="85"/>
      <c r="AM11" s="85"/>
    </row>
    <row r="12" customFormat="false" ht="14.5" hidden="false" customHeight="false" outlineLevel="0" collapsed="false">
      <c r="A12" s="162" t="s">
        <v>48</v>
      </c>
      <c r="B12" s="163" t="str">
        <f aca="false">GreenStyleUser!B12</f>
        <v>Toilet with two flush options (urine/faeces)</v>
      </c>
      <c r="C12" s="49" t="n">
        <f aca="false">'Data Aggregation'!G4</f>
        <v>4</v>
      </c>
      <c r="D12" s="164" t="s">
        <v>50</v>
      </c>
      <c r="E12" s="162" t="n">
        <f aca="false">VLOOKUP(B12,'back end data'!A16:B18,2,0)</f>
        <v>3.5</v>
      </c>
      <c r="F12" s="165" t="n">
        <f aca="false">7*C12*E12</f>
        <v>98</v>
      </c>
      <c r="G12" s="166"/>
      <c r="H12" s="166" t="n">
        <v>0</v>
      </c>
      <c r="I12" s="166"/>
      <c r="J12" s="178" t="n">
        <v>0</v>
      </c>
      <c r="K12" s="163" t="n">
        <f aca="false">52.14*F12</f>
        <v>5109.72</v>
      </c>
      <c r="L12" s="167" t="n">
        <f aca="false">52.14*G12</f>
        <v>0</v>
      </c>
      <c r="M12" s="262" t="n">
        <f aca="false">52.14*H12</f>
        <v>0</v>
      </c>
      <c r="N12" s="167" t="n">
        <f aca="false">52.14*I12</f>
        <v>0</v>
      </c>
      <c r="O12" s="164" t="n">
        <f aca="false">52.14*J12</f>
        <v>0</v>
      </c>
      <c r="P12" s="168" t="n">
        <f aca="false">'household calculator'!G9</f>
        <v>23723.7</v>
      </c>
      <c r="Q12" s="169" t="n">
        <f aca="false">'household calculator'!H9</f>
        <v>0</v>
      </c>
      <c r="R12" s="263" t="n">
        <f aca="false">'household calculator'!I9</f>
        <v>0</v>
      </c>
      <c r="S12" s="169" t="n">
        <f aca="false">'household calculator'!J9</f>
        <v>0</v>
      </c>
      <c r="T12" s="169" t="n">
        <f aca="false">'household calculator'!K9</f>
        <v>0</v>
      </c>
      <c r="U12" s="10"/>
      <c r="V12" s="170" t="n">
        <f aca="false">IF(P12&lt;&gt;0,(P12-K12)/P12,"")</f>
        <v>0.784615384615385</v>
      </c>
      <c r="W12" s="171" t="str">
        <f aca="false">IF(Q12&lt;&gt;0,(Q12-L12)/Q12,"")</f>
        <v/>
      </c>
      <c r="X12" s="171" t="str">
        <f aca="false">IF(R12&lt;&gt;0,(R12-M12)/R12,"")</f>
        <v/>
      </c>
      <c r="Y12" s="171" t="str">
        <f aca="false">IF(S12&lt;&gt;0,(S12-N12)/S12,"")</f>
        <v/>
      </c>
      <c r="Z12" s="172" t="str">
        <f aca="false">IF(T12&lt;&gt;0,(T12-O12)/T12,"")</f>
        <v/>
      </c>
      <c r="AA12" s="85"/>
      <c r="AB12" s="173" t="n">
        <f aca="false">(P12-K12)/(P$34-K$34)</f>
        <v>-0.0744792709793711</v>
      </c>
      <c r="AC12" s="179"/>
      <c r="AD12" s="174" t="n">
        <f aca="false">(R12-M12)/(R$34-M$34)</f>
        <v>-0</v>
      </c>
      <c r="AE12" s="179"/>
      <c r="AF12" s="174" t="n">
        <f aca="false">(T12-O12)/(T$34-O$34)</f>
        <v>-0</v>
      </c>
      <c r="AG12" s="175" t="n">
        <f aca="false">IF(P12&lt;&gt;0,(P12-K12),"")</f>
        <v>18613.98</v>
      </c>
      <c r="AH12" s="176" t="str">
        <f aca="false">IF(Q12&lt;&gt;0,(Q12-L12),"")</f>
        <v/>
      </c>
      <c r="AI12" s="176" t="str">
        <f aca="false">IF(R12&lt;&gt;0,(R12-M12),"")</f>
        <v/>
      </c>
      <c r="AJ12" s="176" t="str">
        <f aca="false">IF(S12&lt;&gt;0,(S12-N12),"")</f>
        <v/>
      </c>
      <c r="AK12" s="177" t="str">
        <f aca="false">IF(T12&lt;&gt;0,(T12-O12),"")</f>
        <v/>
      </c>
      <c r="AL12" s="85"/>
      <c r="AM12" s="85"/>
    </row>
    <row r="13" customFormat="false" ht="14.5" hidden="false" customHeight="false" outlineLevel="0" collapsed="false">
      <c r="A13" s="162" t="s">
        <v>51</v>
      </c>
      <c r="B13" s="163" t="str">
        <f aca="false">GreenStyleUser!B13</f>
        <v>Brushing teeth closed tap</v>
      </c>
      <c r="C13" s="49" t="n">
        <f aca="false">'Data Aggregation'!G5</f>
        <v>2</v>
      </c>
      <c r="D13" s="164" t="s">
        <v>50</v>
      </c>
      <c r="E13" s="162" t="n">
        <f aca="false">VLOOKUP(B13,'back end data'!A22:B23,2,0)</f>
        <v>3</v>
      </c>
      <c r="F13" s="165" t="n">
        <f aca="false">7*C13*E13</f>
        <v>42</v>
      </c>
      <c r="G13" s="166"/>
      <c r="H13" s="166" t="n">
        <v>0</v>
      </c>
      <c r="I13" s="166"/>
      <c r="J13" s="178" t="n">
        <v>0</v>
      </c>
      <c r="K13" s="163" t="n">
        <f aca="false">52.14*F13</f>
        <v>2189.88</v>
      </c>
      <c r="L13" s="167" t="n">
        <f aca="false">52.14*G13</f>
        <v>0</v>
      </c>
      <c r="M13" s="262" t="n">
        <f aca="false">52.14*H13</f>
        <v>0</v>
      </c>
      <c r="N13" s="167" t="n">
        <f aca="false">52.14*I13</f>
        <v>0</v>
      </c>
      <c r="O13" s="164" t="n">
        <f aca="false">52.14*J13</f>
        <v>0</v>
      </c>
      <c r="P13" s="168" t="n">
        <f aca="false">'household calculator'!G10</f>
        <v>2189.88</v>
      </c>
      <c r="Q13" s="169" t="n">
        <f aca="false">'household calculator'!H10</f>
        <v>0</v>
      </c>
      <c r="R13" s="263" t="n">
        <f aca="false">'household calculator'!I10</f>
        <v>0</v>
      </c>
      <c r="S13" s="169" t="n">
        <f aca="false">'household calculator'!J10</f>
        <v>0</v>
      </c>
      <c r="T13" s="169" t="n">
        <f aca="false">'household calculator'!K10</f>
        <v>0</v>
      </c>
      <c r="U13" s="10"/>
      <c r="V13" s="170" t="n">
        <f aca="false">IF(P13&lt;&gt;0,(P13-K13)/P13,"")</f>
        <v>0</v>
      </c>
      <c r="W13" s="171" t="str">
        <f aca="false">IF(Q13&lt;&gt;0,(Q13-L13)/Q13,"")</f>
        <v/>
      </c>
      <c r="X13" s="171" t="str">
        <f aca="false">IF(R13&lt;&gt;0,(R13-M13)/R13,"")</f>
        <v/>
      </c>
      <c r="Y13" s="171" t="str">
        <f aca="false">IF(S13&lt;&gt;0,(S13-N13)/S13,"")</f>
        <v/>
      </c>
      <c r="Z13" s="172" t="str">
        <f aca="false">IF(T13&lt;&gt;0,(T13-O13)/T13,"")</f>
        <v/>
      </c>
      <c r="AA13" s="85"/>
      <c r="AB13" s="173" t="n">
        <f aca="false">(P13-K13)/(P$34-K$34)</f>
        <v>-0</v>
      </c>
      <c r="AC13" s="179"/>
      <c r="AD13" s="174" t="n">
        <f aca="false">(R13-M13)/(R$34-M$34)</f>
        <v>-0</v>
      </c>
      <c r="AE13" s="179"/>
      <c r="AF13" s="174" t="n">
        <f aca="false">(T13-O13)/(T$34-O$34)</f>
        <v>-0</v>
      </c>
      <c r="AG13" s="175" t="n">
        <f aca="false">IF(P13&lt;&gt;0,(P13-K13),"")</f>
        <v>0</v>
      </c>
      <c r="AH13" s="176" t="str">
        <f aca="false">IF(Q13&lt;&gt;0,(Q13-L13),"")</f>
        <v/>
      </c>
      <c r="AI13" s="176" t="str">
        <f aca="false">IF(R13&lt;&gt;0,(R13-M13),"")</f>
        <v/>
      </c>
      <c r="AJ13" s="176" t="str">
        <f aca="false">IF(S13&lt;&gt;0,(S13-N13),"")</f>
        <v/>
      </c>
      <c r="AK13" s="177" t="str">
        <f aca="false">IF(T13&lt;&gt;0,(T13-O13),"")</f>
        <v/>
      </c>
      <c r="AL13" s="85"/>
      <c r="AM13" s="85"/>
    </row>
    <row r="14" customFormat="false" ht="14.5" hidden="false" customHeight="false" outlineLevel="0" collapsed="false">
      <c r="A14" s="162" t="s">
        <v>53</v>
      </c>
      <c r="B14" s="163" t="str">
        <f aca="false">GreenStyleUser!B14</f>
        <v>nothing to select</v>
      </c>
      <c r="C14" s="49" t="n">
        <f aca="false">'Data Aggregation'!G6</f>
        <v>12</v>
      </c>
      <c r="D14" s="164" t="s">
        <v>50</v>
      </c>
      <c r="E14" s="162" t="n">
        <f aca="false">'back end data'!B25</f>
        <v>1</v>
      </c>
      <c r="F14" s="165" t="n">
        <f aca="false">7*C14*E14</f>
        <v>84</v>
      </c>
      <c r="G14" s="166"/>
      <c r="H14" s="166" t="n">
        <v>0</v>
      </c>
      <c r="I14" s="166"/>
      <c r="J14" s="178" t="n">
        <v>0</v>
      </c>
      <c r="K14" s="163" t="n">
        <f aca="false">52.14*F14</f>
        <v>4379.76</v>
      </c>
      <c r="L14" s="167" t="n">
        <f aca="false">52.14*G14</f>
        <v>0</v>
      </c>
      <c r="M14" s="262" t="n">
        <f aca="false">52.14*H14</f>
        <v>0</v>
      </c>
      <c r="N14" s="167" t="n">
        <f aca="false">52.14*I14</f>
        <v>0</v>
      </c>
      <c r="O14" s="164" t="n">
        <f aca="false">52.14*J14</f>
        <v>0</v>
      </c>
      <c r="P14" s="168" t="n">
        <f aca="false">'household calculator'!G11</f>
        <v>3649.8</v>
      </c>
      <c r="Q14" s="169" t="n">
        <f aca="false">'household calculator'!H11</f>
        <v>0</v>
      </c>
      <c r="R14" s="263" t="n">
        <f aca="false">'household calculator'!I11</f>
        <v>0</v>
      </c>
      <c r="S14" s="169" t="n">
        <f aca="false">'household calculator'!J11</f>
        <v>0</v>
      </c>
      <c r="T14" s="169" t="n">
        <f aca="false">'household calculator'!K11</f>
        <v>0</v>
      </c>
      <c r="U14" s="10"/>
      <c r="V14" s="170" t="n">
        <f aca="false">IF(P14&lt;&gt;0,(P14-K14)/P14,"")</f>
        <v>-0.2</v>
      </c>
      <c r="W14" s="171" t="str">
        <f aca="false">IF(Q14&lt;&gt;0,(Q14-L14)/Q14,"")</f>
        <v/>
      </c>
      <c r="X14" s="171" t="str">
        <f aca="false">IF(R14&lt;&gt;0,(R14-M14)/R14,"")</f>
        <v/>
      </c>
      <c r="Y14" s="171" t="str">
        <f aca="false">IF(S14&lt;&gt;0,(S14-N14)/S14,"")</f>
        <v/>
      </c>
      <c r="Z14" s="172" t="str">
        <f aca="false">IF(T14&lt;&gt;0,(T14-O14)/T14,"")</f>
        <v/>
      </c>
      <c r="AA14" s="85"/>
      <c r="AB14" s="173" t="n">
        <f aca="false">(P14-K14)/(P$34-K$34)</f>
        <v>0.00292075572468122</v>
      </c>
      <c r="AC14" s="179"/>
      <c r="AD14" s="174" t="n">
        <f aca="false">(R14-M14)/(R$34-M$34)</f>
        <v>-0</v>
      </c>
      <c r="AE14" s="179"/>
      <c r="AF14" s="174" t="n">
        <f aca="false">(T14-O14)/(T$34-O$34)</f>
        <v>-0</v>
      </c>
      <c r="AG14" s="175" t="n">
        <f aca="false">IF(P14&lt;&gt;0,(P14-K14),"")</f>
        <v>-729.96</v>
      </c>
      <c r="AH14" s="176" t="str">
        <f aca="false">IF(Q14&lt;&gt;0,(Q14-L14),"")</f>
        <v/>
      </c>
      <c r="AI14" s="176" t="str">
        <f aca="false">IF(R14&lt;&gt;0,(R14-M14),"")</f>
        <v/>
      </c>
      <c r="AJ14" s="176" t="str">
        <f aca="false">IF(S14&lt;&gt;0,(S14-N14),"")</f>
        <v/>
      </c>
      <c r="AK14" s="177" t="str">
        <f aca="false">IF(T14&lt;&gt;0,(T14-O14),"")</f>
        <v/>
      </c>
      <c r="AL14" s="85"/>
      <c r="AM14" s="85"/>
    </row>
    <row r="15" customFormat="false" ht="14.5" hidden="false" customHeight="false" outlineLevel="0" collapsed="false">
      <c r="A15" s="162" t="s">
        <v>55</v>
      </c>
      <c r="B15" s="163" t="str">
        <f aca="false">GreenStyleUser!B15</f>
        <v>nothing to select</v>
      </c>
      <c r="C15" s="49" t="n">
        <f aca="false">'Data Aggregation'!G7</f>
        <v>1</v>
      </c>
      <c r="D15" s="164" t="s">
        <v>47</v>
      </c>
      <c r="E15" s="162" t="n">
        <f aca="false">'back end data'!B27</f>
        <v>5</v>
      </c>
      <c r="F15" s="165" t="n">
        <f aca="false">C15*E15</f>
        <v>5</v>
      </c>
      <c r="G15" s="166"/>
      <c r="H15" s="166" t="n">
        <v>0</v>
      </c>
      <c r="I15" s="166"/>
      <c r="J15" s="178" t="n">
        <v>0</v>
      </c>
      <c r="K15" s="163" t="n">
        <f aca="false">52.14*F15</f>
        <v>260.7</v>
      </c>
      <c r="L15" s="167" t="n">
        <f aca="false">52.14*G15</f>
        <v>0</v>
      </c>
      <c r="M15" s="262" t="n">
        <f aca="false">52.14*H15</f>
        <v>0</v>
      </c>
      <c r="N15" s="167" t="n">
        <f aca="false">52.14*I15</f>
        <v>0</v>
      </c>
      <c r="O15" s="164" t="n">
        <f aca="false">52.14*J15</f>
        <v>0</v>
      </c>
      <c r="P15" s="168" t="n">
        <f aca="false">'household calculator'!G12</f>
        <v>0</v>
      </c>
      <c r="Q15" s="169" t="n">
        <f aca="false">'household calculator'!H12</f>
        <v>0</v>
      </c>
      <c r="R15" s="263" t="n">
        <f aca="false">'household calculator'!I12</f>
        <v>0</v>
      </c>
      <c r="S15" s="169" t="n">
        <f aca="false">'household calculator'!J12</f>
        <v>0</v>
      </c>
      <c r="T15" s="169" t="n">
        <f aca="false">'household calculator'!K12</f>
        <v>0</v>
      </c>
      <c r="U15" s="10"/>
      <c r="V15" s="170" t="str">
        <f aca="false">IF(P15&lt;&gt;0,(P15-K15)/P15,"")</f>
        <v/>
      </c>
      <c r="W15" s="171" t="str">
        <f aca="false">IF(Q15&lt;&gt;0,(Q15-L15)/Q15,"")</f>
        <v/>
      </c>
      <c r="X15" s="171" t="str">
        <f aca="false">IF(R15&lt;&gt;0,(R15-M15)/R15,"")</f>
        <v/>
      </c>
      <c r="Y15" s="171" t="str">
        <f aca="false">IF(S15&lt;&gt;0,(S15-N15)/S15,"")</f>
        <v/>
      </c>
      <c r="Z15" s="172" t="str">
        <f aca="false">IF(T15&lt;&gt;0,(T15-O15)/T15,"")</f>
        <v/>
      </c>
      <c r="AA15" s="85"/>
      <c r="AB15" s="173" t="n">
        <f aca="false">(P15-K15)/(P$34-K$34)</f>
        <v>0.00104312704452901</v>
      </c>
      <c r="AC15" s="179"/>
      <c r="AD15" s="174" t="n">
        <f aca="false">(R15-M15)/(R$34-M$34)</f>
        <v>-0</v>
      </c>
      <c r="AE15" s="179"/>
      <c r="AF15" s="174" t="n">
        <f aca="false">(T15-O15)/(T$34-O$34)</f>
        <v>-0</v>
      </c>
      <c r="AG15" s="175" t="str">
        <f aca="false">IF(P15&lt;&gt;0,(P15-K15),"")</f>
        <v/>
      </c>
      <c r="AH15" s="176" t="str">
        <f aca="false">IF(Q15&lt;&gt;0,(Q15-L15),"")</f>
        <v/>
      </c>
      <c r="AI15" s="176" t="str">
        <f aca="false">IF(R15&lt;&gt;0,(R15-M15),"")</f>
        <v/>
      </c>
      <c r="AJ15" s="176" t="str">
        <f aca="false">IF(S15&lt;&gt;0,(S15-N15),"")</f>
        <v/>
      </c>
      <c r="AK15" s="177" t="str">
        <f aca="false">IF(T15&lt;&gt;0,(T15-O15),"")</f>
        <v/>
      </c>
      <c r="AL15" s="85"/>
      <c r="AM15" s="85"/>
    </row>
    <row r="16" customFormat="false" ht="14.5" hidden="false" customHeight="false" outlineLevel="0" collapsed="false">
      <c r="A16" s="162"/>
      <c r="B16" s="163"/>
      <c r="C16" s="49"/>
      <c r="D16" s="164"/>
      <c r="E16" s="162"/>
      <c r="F16" s="165"/>
      <c r="G16" s="166"/>
      <c r="H16" s="166"/>
      <c r="I16" s="166"/>
      <c r="J16" s="178"/>
      <c r="K16" s="163" t="n">
        <f aca="false">52.14*F16</f>
        <v>0</v>
      </c>
      <c r="L16" s="167" t="n">
        <f aca="false">52.14*G16</f>
        <v>0</v>
      </c>
      <c r="M16" s="262"/>
      <c r="N16" s="167" t="n">
        <f aca="false">52.14*I16</f>
        <v>0</v>
      </c>
      <c r="O16" s="164" t="n">
        <f aca="false">52.14*J16</f>
        <v>0</v>
      </c>
      <c r="P16" s="168" t="n">
        <f aca="false">'household calculator'!G13</f>
        <v>0</v>
      </c>
      <c r="Q16" s="169" t="n">
        <f aca="false">'household calculator'!H13</f>
        <v>0</v>
      </c>
      <c r="R16" s="263" t="n">
        <f aca="false">'household calculator'!I13</f>
        <v>0</v>
      </c>
      <c r="S16" s="169" t="n">
        <f aca="false">'household calculator'!J13</f>
        <v>0</v>
      </c>
      <c r="T16" s="169" t="n">
        <f aca="false">'household calculator'!K13</f>
        <v>0</v>
      </c>
      <c r="U16" s="10"/>
      <c r="V16" s="170" t="str">
        <f aca="false">IF(P16&lt;&gt;0,(P16-K16)/P16,"")</f>
        <v/>
      </c>
      <c r="W16" s="171" t="str">
        <f aca="false">IF(Q16&lt;&gt;0,(Q16-L16)/Q16,"")</f>
        <v/>
      </c>
      <c r="X16" s="171" t="str">
        <f aca="false">IF(R16&lt;&gt;0,(R16-M16)/R16,"")</f>
        <v/>
      </c>
      <c r="Y16" s="171" t="str">
        <f aca="false">IF(S16&lt;&gt;0,(S16-N16)/S16,"")</f>
        <v/>
      </c>
      <c r="Z16" s="172" t="str">
        <f aca="false">IF(T16&lt;&gt;0,(T16-O16)/T16,"")</f>
        <v/>
      </c>
      <c r="AA16" s="85"/>
      <c r="AB16" s="173" t="n">
        <f aca="false">(P16-K16)/(P$34-K$34)</f>
        <v>-0</v>
      </c>
      <c r="AC16" s="179"/>
      <c r="AD16" s="174" t="n">
        <f aca="false">(R16-M16)/(R$34-M$34)</f>
        <v>-0</v>
      </c>
      <c r="AE16" s="179"/>
      <c r="AF16" s="174" t="n">
        <f aca="false">(T16-O16)/(T$34-O$34)</f>
        <v>-0</v>
      </c>
      <c r="AG16" s="175" t="str">
        <f aca="false">IF(P16&lt;&gt;0,(P16-K16),"")</f>
        <v/>
      </c>
      <c r="AH16" s="176" t="str">
        <f aca="false">IF(Q16&lt;&gt;0,(Q16-L16),"")</f>
        <v/>
      </c>
      <c r="AI16" s="176" t="str">
        <f aca="false">IF(R16&lt;&gt;0,(R16-M16),"")</f>
        <v/>
      </c>
      <c r="AJ16" s="176" t="str">
        <f aca="false">IF(S16&lt;&gt;0,(S16-N16),"")</f>
        <v/>
      </c>
      <c r="AK16" s="177" t="str">
        <f aca="false">IF(T16&lt;&gt;0,(T16-O16),"")</f>
        <v/>
      </c>
      <c r="AL16" s="85"/>
      <c r="AM16" s="85"/>
    </row>
    <row r="17" customFormat="false" ht="14.5" hidden="false" customHeight="false" outlineLevel="0" collapsed="false">
      <c r="A17" s="153" t="s">
        <v>56</v>
      </c>
      <c r="B17" s="154"/>
      <c r="C17" s="52"/>
      <c r="D17" s="156"/>
      <c r="E17" s="157"/>
      <c r="F17" s="158"/>
      <c r="G17" s="159"/>
      <c r="H17" s="159"/>
      <c r="I17" s="159"/>
      <c r="J17" s="160"/>
      <c r="K17" s="154"/>
      <c r="L17" s="161"/>
      <c r="M17" s="261"/>
      <c r="N17" s="161"/>
      <c r="O17" s="156"/>
      <c r="P17" s="154" t="n">
        <f aca="false">'household calculator'!G14</f>
        <v>0</v>
      </c>
      <c r="Q17" s="161" t="n">
        <f aca="false">'household calculator'!H14</f>
        <v>0</v>
      </c>
      <c r="R17" s="261" t="n">
        <f aca="false">'household calculator'!I14</f>
        <v>0</v>
      </c>
      <c r="S17" s="161" t="n">
        <f aca="false">'household calculator'!J14</f>
        <v>0</v>
      </c>
      <c r="T17" s="161" t="n">
        <f aca="false">'household calculator'!K14</f>
        <v>0</v>
      </c>
      <c r="U17" s="10"/>
      <c r="V17" s="181" t="str">
        <f aca="false">IF(P17&lt;&gt;0,(P17-K17)/P17,"")</f>
        <v/>
      </c>
      <c r="W17" s="182" t="str">
        <f aca="false">IF(Q17&lt;&gt;0,(Q17-L17)/Q17,"")</f>
        <v/>
      </c>
      <c r="X17" s="182" t="str">
        <f aca="false">IF(R17&lt;&gt;0,(R17-M17)/R17,"")</f>
        <v/>
      </c>
      <c r="Y17" s="182" t="str">
        <f aca="false">IF(S17&lt;&gt;0,(S17-N17)/S17,"")</f>
        <v/>
      </c>
      <c r="Z17" s="183" t="str">
        <f aca="false">IF(T17&lt;&gt;0,(T17-O17)/T17,"")</f>
        <v/>
      </c>
      <c r="AA17" s="85"/>
      <c r="AB17" s="184"/>
      <c r="AC17" s="185"/>
      <c r="AD17" s="186"/>
      <c r="AE17" s="185"/>
      <c r="AF17" s="186"/>
      <c r="AG17" s="187" t="str">
        <f aca="false">IF(P17&lt;&gt;0,(P17-K17),"")</f>
        <v/>
      </c>
      <c r="AH17" s="188" t="str">
        <f aca="false">IF(Q17&lt;&gt;0,(Q17-L17),"")</f>
        <v/>
      </c>
      <c r="AI17" s="188" t="str">
        <f aca="false">IF(R17&lt;&gt;0,(R17-M17),"")</f>
        <v/>
      </c>
      <c r="AJ17" s="188" t="str">
        <f aca="false">IF(S17&lt;&gt;0,(S17-N17),"")</f>
        <v/>
      </c>
      <c r="AK17" s="189" t="str">
        <f aca="false">IF(T17&lt;&gt;0,(T17-O17),"")</f>
        <v/>
      </c>
      <c r="AL17" s="85"/>
      <c r="AM17" s="85"/>
    </row>
    <row r="18" customFormat="false" ht="14.5" hidden="false" customHeight="false" outlineLevel="0" collapsed="false">
      <c r="A18" s="162" t="s">
        <v>57</v>
      </c>
      <c r="B18" s="163" t="str">
        <f aca="false">GreenStyleUser!B18</f>
        <v>Washing machine eco mode</v>
      </c>
      <c r="C18" s="49" t="n">
        <f aca="false">'Data Aggregation'!G8</f>
        <v>5</v>
      </c>
      <c r="D18" s="164" t="s">
        <v>59</v>
      </c>
      <c r="E18" s="162" t="n">
        <f aca="false">VLOOKUP(B18,'back end data'!A30:B32,2,0)</f>
        <v>7.14</v>
      </c>
      <c r="F18" s="165" t="n">
        <f aca="false">C18*E18</f>
        <v>35.7</v>
      </c>
      <c r="G18" s="166"/>
      <c r="H18" s="166" t="n">
        <f aca="false">C18*VLOOKUP(Start!B15,'back end data'!A80:I81,8,0)</f>
        <v>0.483837322222222</v>
      </c>
      <c r="I18" s="166"/>
      <c r="J18" s="178" t="n">
        <f aca="false">C18*VLOOKUP(Start!B15,'back end data'!A80:I81,6,0)</f>
        <v>0.21287037037037</v>
      </c>
      <c r="K18" s="163" t="n">
        <f aca="false">52.14*F18</f>
        <v>1861.398</v>
      </c>
      <c r="L18" s="167" t="n">
        <f aca="false">52.14*G18</f>
        <v>0</v>
      </c>
      <c r="M18" s="262" t="n">
        <f aca="false">52.14*H18</f>
        <v>25.2272779806667</v>
      </c>
      <c r="N18" s="167" t="n">
        <f aca="false">52.14*I18</f>
        <v>0</v>
      </c>
      <c r="O18" s="164" t="n">
        <f aca="false">52.14*J18</f>
        <v>11.0990611111111</v>
      </c>
      <c r="P18" s="168" t="n">
        <f aca="false">'household calculator'!G15</f>
        <v>1116.8388</v>
      </c>
      <c r="Q18" s="169" t="n">
        <f aca="false">'household calculator'!H15</f>
        <v>0</v>
      </c>
      <c r="R18" s="263" t="n">
        <f aca="false">'household calculator'!I15</f>
        <v>15.1363667884</v>
      </c>
      <c r="S18" s="169" t="n">
        <f aca="false">'household calculator'!J15</f>
        <v>0</v>
      </c>
      <c r="T18" s="169" t="n">
        <f aca="false">'household calculator'!K15</f>
        <v>6.65943666666667</v>
      </c>
      <c r="U18" s="10"/>
      <c r="V18" s="170" t="n">
        <f aca="false">IF(P18&lt;&gt;0,(P18-K18)/P18,"")</f>
        <v>-0.666666666666667</v>
      </c>
      <c r="W18" s="171" t="str">
        <f aca="false">IF(Q18&lt;&gt;0,(Q18-L18)/Q18,"")</f>
        <v/>
      </c>
      <c r="X18" s="171" t="n">
        <f aca="false">IF(R18&lt;&gt;0,(R18-M18)/R18,"")</f>
        <v>-0.666666666666667</v>
      </c>
      <c r="Y18" s="171" t="str">
        <f aca="false">IF(S18&lt;&gt;0,(S18-N18)/S18,"")</f>
        <v/>
      </c>
      <c r="Z18" s="172" t="n">
        <f aca="false">IF(T18&lt;&gt;0,(T18-O18)/T18,"")</f>
        <v>-0.666666666666667</v>
      </c>
      <c r="AA18" s="85"/>
      <c r="AB18" s="173" t="n">
        <f aca="false">(P18-K18)/(P$34-K$34)</f>
        <v>0.00297917083917484</v>
      </c>
      <c r="AC18" s="179"/>
      <c r="AD18" s="174" t="n">
        <f aca="false">(R18-M18)/(R$34-M$34)</f>
        <v>0.00617465582956028</v>
      </c>
      <c r="AE18" s="179"/>
      <c r="AF18" s="174" t="n">
        <f aca="false">(T18-O18)/(T$34-O$34)</f>
        <v>0.000517483662349751</v>
      </c>
      <c r="AG18" s="175" t="n">
        <f aca="false">IF(P18&lt;&gt;0,(P18-K18),"")</f>
        <v>-744.5592</v>
      </c>
      <c r="AH18" s="176" t="str">
        <f aca="false">IF(Q18&lt;&gt;0,(Q18-L18),"")</f>
        <v/>
      </c>
      <c r="AI18" s="176" t="n">
        <f aca="false">IF(R18&lt;&gt;0,(R18-M18),"")</f>
        <v>-10.0909111922667</v>
      </c>
      <c r="AJ18" s="176" t="str">
        <f aca="false">IF(S18&lt;&gt;0,(S18-N18),"")</f>
        <v/>
      </c>
      <c r="AK18" s="177" t="n">
        <f aca="false">IF(T18&lt;&gt;0,(T18-O18),"")</f>
        <v>-4.43962444444445</v>
      </c>
      <c r="AL18" s="85"/>
      <c r="AM18" s="85"/>
    </row>
    <row r="19" customFormat="false" ht="14.5" hidden="false" customHeight="false" outlineLevel="0" collapsed="false">
      <c r="A19" s="162" t="s">
        <v>60</v>
      </c>
      <c r="B19" s="163" t="str">
        <f aca="false">GreenStyleUser!B19</f>
        <v>Dry in sun and wind</v>
      </c>
      <c r="C19" s="49" t="n">
        <f aca="false">'Data Aggregation'!G9</f>
        <v>5</v>
      </c>
      <c r="D19" s="164" t="s">
        <v>59</v>
      </c>
      <c r="E19" s="162" t="n">
        <f aca="false">VLOOKUP(B19,'back end data'!A34:B35,2,0)</f>
        <v>0</v>
      </c>
      <c r="F19" s="165" t="n">
        <v>0</v>
      </c>
      <c r="G19" s="166"/>
      <c r="H19" s="166" t="n">
        <f aca="false">J19*'back end data'!B63</f>
        <v>0</v>
      </c>
      <c r="I19" s="166"/>
      <c r="J19" s="178" t="n">
        <f aca="false">C19*GreenUser!E19</f>
        <v>0</v>
      </c>
      <c r="K19" s="163" t="n">
        <f aca="false">52.14*F19</f>
        <v>0</v>
      </c>
      <c r="L19" s="167" t="n">
        <f aca="false">52.14*G19</f>
        <v>0</v>
      </c>
      <c r="M19" s="262" t="n">
        <f aca="false">52.14*H19</f>
        <v>0</v>
      </c>
      <c r="N19" s="167" t="n">
        <f aca="false">52.14*I19</f>
        <v>0</v>
      </c>
      <c r="O19" s="164" t="n">
        <f aca="false">52.14*J19</f>
        <v>0</v>
      </c>
      <c r="P19" s="168" t="n">
        <f aca="false">'household calculator'!G16</f>
        <v>0</v>
      </c>
      <c r="Q19" s="169" t="n">
        <f aca="false">'household calculator'!H16</f>
        <v>0</v>
      </c>
      <c r="R19" s="263" t="n">
        <f aca="false">'household calculator'!I16</f>
        <v>15.702581466</v>
      </c>
      <c r="S19" s="169" t="n">
        <f aca="false">'household calculator'!J16</f>
        <v>0</v>
      </c>
      <c r="T19" s="169" t="n">
        <f aca="false">'household calculator'!K16</f>
        <v>82.9026</v>
      </c>
      <c r="U19" s="10"/>
      <c r="V19" s="170" t="str">
        <f aca="false">IF(P19&lt;&gt;0,(P19-K19)/P19,"")</f>
        <v/>
      </c>
      <c r="W19" s="171" t="str">
        <f aca="false">IF(Q19&lt;&gt;0,(Q19-L19)/Q19,"")</f>
        <v/>
      </c>
      <c r="X19" s="171" t="n">
        <f aca="false">IF(R19&lt;&gt;0,(R19-M19)/R19,"")</f>
        <v>1</v>
      </c>
      <c r="Y19" s="171" t="str">
        <f aca="false">IF(S19&lt;&gt;0,(S19-N19)/S19,"")</f>
        <v/>
      </c>
      <c r="Z19" s="172" t="n">
        <f aca="false">IF(T19&lt;&gt;0,(T19-O19)/T19,"")</f>
        <v>1</v>
      </c>
      <c r="AA19" s="85"/>
      <c r="AB19" s="173" t="n">
        <f aca="false">(P19-K19)/(P$34-K$34)</f>
        <v>-0</v>
      </c>
      <c r="AC19" s="179"/>
      <c r="AD19" s="174" t="n">
        <f aca="false">(R19-M19)/(R$34-M$34)</f>
        <v>-0.00960845203577725</v>
      </c>
      <c r="AE19" s="179"/>
      <c r="AF19" s="174" t="n">
        <f aca="false">(T19-O19)/(T$34-O$34)</f>
        <v>-0.0096631464222161</v>
      </c>
      <c r="AG19" s="175" t="str">
        <f aca="false">IF(P19&lt;&gt;0,(P19-K19),"")</f>
        <v/>
      </c>
      <c r="AH19" s="176" t="str">
        <f aca="false">IF(Q19&lt;&gt;0,(Q19-L19),"")</f>
        <v/>
      </c>
      <c r="AI19" s="176" t="n">
        <f aca="false">IF(R19&lt;&gt;0,(R19-M19),"")</f>
        <v>15.702581466</v>
      </c>
      <c r="AJ19" s="176" t="str">
        <f aca="false">IF(S19&lt;&gt;0,(S19-N19),"")</f>
        <v/>
      </c>
      <c r="AK19" s="177" t="n">
        <f aca="false">IF(T19&lt;&gt;0,(T19-O19),"")</f>
        <v>82.9026</v>
      </c>
      <c r="AL19" s="85"/>
      <c r="AM19" s="85"/>
    </row>
    <row r="20" customFormat="false" ht="14.5" hidden="false" customHeight="false" outlineLevel="0" collapsed="false">
      <c r="A20" s="162"/>
      <c r="B20" s="163"/>
      <c r="C20" s="49"/>
      <c r="D20" s="164"/>
      <c r="E20" s="162"/>
      <c r="F20" s="165"/>
      <c r="G20" s="166"/>
      <c r="H20" s="166"/>
      <c r="I20" s="166"/>
      <c r="J20" s="178"/>
      <c r="K20" s="163" t="n">
        <f aca="false">52.14*F20</f>
        <v>0</v>
      </c>
      <c r="L20" s="167" t="n">
        <f aca="false">52.14*G20</f>
        <v>0</v>
      </c>
      <c r="M20" s="262" t="n">
        <f aca="false">52.14*H20</f>
        <v>0</v>
      </c>
      <c r="N20" s="167"/>
      <c r="O20" s="164" t="n">
        <f aca="false">52.14*J20</f>
        <v>0</v>
      </c>
      <c r="P20" s="168" t="n">
        <f aca="false">'household calculator'!G17</f>
        <v>0</v>
      </c>
      <c r="Q20" s="169" t="n">
        <f aca="false">'household calculator'!H17</f>
        <v>0</v>
      </c>
      <c r="R20" s="263" t="n">
        <f aca="false">'household calculator'!I17</f>
        <v>0</v>
      </c>
      <c r="S20" s="169" t="n">
        <f aca="false">'household calculator'!J17</f>
        <v>0</v>
      </c>
      <c r="T20" s="169" t="n">
        <f aca="false">'household calculator'!K17</f>
        <v>0</v>
      </c>
      <c r="U20" s="10"/>
      <c r="V20" s="170" t="str">
        <f aca="false">IF(P20&lt;&gt;0,(P20-K20)/P20,"")</f>
        <v/>
      </c>
      <c r="W20" s="171" t="str">
        <f aca="false">IF(Q20&lt;&gt;0,(Q20-L20)/Q20,"")</f>
        <v/>
      </c>
      <c r="X20" s="171" t="str">
        <f aca="false">IF(R20&lt;&gt;0,(R20-M20)/R20,"")</f>
        <v/>
      </c>
      <c r="Y20" s="171" t="str">
        <f aca="false">IF(S20&lt;&gt;0,(S20-N20)/S20,"")</f>
        <v/>
      </c>
      <c r="Z20" s="172" t="str">
        <f aca="false">IF(T20&lt;&gt;0,(T20-O20)/T20,"")</f>
        <v/>
      </c>
      <c r="AA20" s="85"/>
      <c r="AB20" s="173" t="n">
        <f aca="false">(P20-K20)/(P$34-K$34)</f>
        <v>-0</v>
      </c>
      <c r="AC20" s="179"/>
      <c r="AD20" s="174" t="n">
        <f aca="false">(R20-M20)/(R$34-M$34)</f>
        <v>-0</v>
      </c>
      <c r="AE20" s="179"/>
      <c r="AF20" s="174" t="n">
        <f aca="false">(T20-O20)/(T$34-O$34)</f>
        <v>-0</v>
      </c>
      <c r="AG20" s="175" t="str">
        <f aca="false">IF(P20&lt;&gt;0,(P20-K20),"")</f>
        <v/>
      </c>
      <c r="AH20" s="176" t="str">
        <f aca="false">IF(Q20&lt;&gt;0,(Q20-L20),"")</f>
        <v/>
      </c>
      <c r="AI20" s="176" t="str">
        <f aca="false">IF(R20&lt;&gt;0,(R20-M20),"")</f>
        <v/>
      </c>
      <c r="AJ20" s="176" t="str">
        <f aca="false">IF(S20&lt;&gt;0,(S20-N20),"")</f>
        <v/>
      </c>
      <c r="AK20" s="177" t="str">
        <f aca="false">IF(T20&lt;&gt;0,(T20-O20),"")</f>
        <v/>
      </c>
      <c r="AL20" s="85"/>
      <c r="AM20" s="85"/>
    </row>
    <row r="21" customFormat="false" ht="14.5" hidden="false" customHeight="false" outlineLevel="0" collapsed="false">
      <c r="A21" s="153" t="s">
        <v>62</v>
      </c>
      <c r="B21" s="154"/>
      <c r="C21" s="52"/>
      <c r="D21" s="156"/>
      <c r="E21" s="157"/>
      <c r="F21" s="158"/>
      <c r="G21" s="159"/>
      <c r="H21" s="159"/>
      <c r="I21" s="159"/>
      <c r="J21" s="160"/>
      <c r="K21" s="154"/>
      <c r="L21" s="161"/>
      <c r="M21" s="261"/>
      <c r="N21" s="161"/>
      <c r="O21" s="156"/>
      <c r="P21" s="154" t="n">
        <f aca="false">'household calculator'!G18</f>
        <v>0</v>
      </c>
      <c r="Q21" s="161" t="n">
        <f aca="false">'household calculator'!H18</f>
        <v>0</v>
      </c>
      <c r="R21" s="261" t="n">
        <f aca="false">'household calculator'!I18</f>
        <v>0</v>
      </c>
      <c r="S21" s="161" t="n">
        <f aca="false">'household calculator'!J18</f>
        <v>0</v>
      </c>
      <c r="T21" s="161" t="n">
        <f aca="false">'household calculator'!K18</f>
        <v>0</v>
      </c>
      <c r="U21" s="10"/>
      <c r="V21" s="181" t="str">
        <f aca="false">IF(P21&lt;&gt;0,(P21-K21)/P21,"")</f>
        <v/>
      </c>
      <c r="W21" s="182" t="str">
        <f aca="false">IF(Q21&lt;&gt;0,(Q21-L21)/Q21,"")</f>
        <v/>
      </c>
      <c r="X21" s="182" t="str">
        <f aca="false">IF(R21&lt;&gt;0,(R21-M21)/R21,"")</f>
        <v/>
      </c>
      <c r="Y21" s="182" t="str">
        <f aca="false">IF(S21&lt;&gt;0,(S21-N21)/S21,"")</f>
        <v/>
      </c>
      <c r="Z21" s="183" t="str">
        <f aca="false">IF(T21&lt;&gt;0,(T21-O21)/T21,"")</f>
        <v/>
      </c>
      <c r="AA21" s="85"/>
      <c r="AB21" s="184"/>
      <c r="AC21" s="185"/>
      <c r="AD21" s="186"/>
      <c r="AE21" s="185"/>
      <c r="AF21" s="186"/>
      <c r="AG21" s="187" t="str">
        <f aca="false">IF(P21&lt;&gt;0,(P21-K21),"")</f>
        <v/>
      </c>
      <c r="AH21" s="188" t="str">
        <f aca="false">IF(Q21&lt;&gt;0,(Q21-L21),"")</f>
        <v/>
      </c>
      <c r="AI21" s="188" t="str">
        <f aca="false">IF(R21&lt;&gt;0,(R21-M21),"")</f>
        <v/>
      </c>
      <c r="AJ21" s="188" t="str">
        <f aca="false">IF(S21&lt;&gt;0,(S21-N21),"")</f>
        <v/>
      </c>
      <c r="AK21" s="189" t="str">
        <f aca="false">IF(T21&lt;&gt;0,(T21-O21),"")</f>
        <v/>
      </c>
      <c r="AL21" s="85"/>
      <c r="AM21" s="85"/>
    </row>
    <row r="22" customFormat="false" ht="14.5" hidden="false" customHeight="false" outlineLevel="0" collapsed="false">
      <c r="A22" s="162" t="s">
        <v>63</v>
      </c>
      <c r="B22" s="163" t="str">
        <f aca="false">GreenStyleUser!B22</f>
        <v>Kettle</v>
      </c>
      <c r="C22" s="49" t="n">
        <f aca="false">'Data Aggregation'!G10</f>
        <v>2</v>
      </c>
      <c r="D22" s="164" t="s">
        <v>65</v>
      </c>
      <c r="E22" s="162" t="n">
        <f aca="false">VLOOKUP(B22,'back end data'!A38:B40,2,0)</f>
        <v>0.12</v>
      </c>
      <c r="F22" s="165" t="n">
        <f aca="false">C22*7</f>
        <v>14</v>
      </c>
      <c r="G22" s="166"/>
      <c r="H22" s="166" t="n">
        <f aca="false">J22*'back end data'!B63</f>
        <v>0.3182088</v>
      </c>
      <c r="I22" s="166"/>
      <c r="J22" s="178" t="n">
        <f aca="false">C22*7*E22</f>
        <v>1.68</v>
      </c>
      <c r="K22" s="163" t="n">
        <f aca="false">52.14*F22</f>
        <v>729.96</v>
      </c>
      <c r="L22" s="167" t="n">
        <f aca="false">52.14*G22</f>
        <v>0</v>
      </c>
      <c r="M22" s="262" t="n">
        <f aca="false">52.14*H22</f>
        <v>16.591406832</v>
      </c>
      <c r="N22" s="167" t="n">
        <f aca="false">52.14*I22</f>
        <v>0</v>
      </c>
      <c r="O22" s="164" t="n">
        <f aca="false">52.14*J22</f>
        <v>87.5952</v>
      </c>
      <c r="P22" s="168" t="n">
        <f aca="false">'household calculator'!G19</f>
        <v>364.98</v>
      </c>
      <c r="Q22" s="169" t="n">
        <f aca="false">'household calculator'!H19</f>
        <v>0</v>
      </c>
      <c r="R22" s="263" t="n">
        <f aca="false">'household calculator'!I19</f>
        <v>24.887110248</v>
      </c>
      <c r="S22" s="169" t="n">
        <f aca="false">'household calculator'!J19</f>
        <v>0</v>
      </c>
      <c r="T22" s="169" t="n">
        <f aca="false">'household calculator'!K19</f>
        <v>131.3928</v>
      </c>
      <c r="U22" s="10"/>
      <c r="V22" s="170" t="n">
        <f aca="false">IF(P22&lt;&gt;0,(P22-K22)/P22,"")</f>
        <v>-1</v>
      </c>
      <c r="W22" s="171" t="str">
        <f aca="false">IF(Q22&lt;&gt;0,(Q22-L22)/Q22,"")</f>
        <v/>
      </c>
      <c r="X22" s="171" t="n">
        <f aca="false">IF(R22&lt;&gt;0,(R22-M22)/R22,"")</f>
        <v>0.333333333333333</v>
      </c>
      <c r="Y22" s="171" t="str">
        <f aca="false">IF(S22&lt;&gt;0,(S22-N22)/S22,"")</f>
        <v/>
      </c>
      <c r="Z22" s="172" t="n">
        <f aca="false">IF(T22&lt;&gt;0,(T22-O22)/T22,"")</f>
        <v>0.333333333333333</v>
      </c>
      <c r="AA22" s="85"/>
      <c r="AB22" s="173" t="n">
        <f aca="false">(P22-K22)/(P$34-K$34)</f>
        <v>0.00146037786234061</v>
      </c>
      <c r="AC22" s="179"/>
      <c r="AD22" s="174" t="n">
        <f aca="false">(R22-M22)/(R$34-M$34)</f>
        <v>-0.00507616333965591</v>
      </c>
      <c r="AE22" s="179"/>
      <c r="AF22" s="174" t="n">
        <f aca="false">(T22-O22)/(T$34-O$34)</f>
        <v>-0.0051050584872085</v>
      </c>
      <c r="AG22" s="175" t="n">
        <f aca="false">IF(P22&lt;&gt;0,(P22-K22),"")</f>
        <v>-364.98</v>
      </c>
      <c r="AH22" s="176" t="str">
        <f aca="false">IF(Q22&lt;&gt;0,(Q22-L22),"")</f>
        <v/>
      </c>
      <c r="AI22" s="176" t="n">
        <f aca="false">IF(R22&lt;&gt;0,(R22-M22),"")</f>
        <v>8.295703416</v>
      </c>
      <c r="AJ22" s="176" t="str">
        <f aca="false">IF(S22&lt;&gt;0,(S22-N22),"")</f>
        <v/>
      </c>
      <c r="AK22" s="177" t="n">
        <f aca="false">IF(T22&lt;&gt;0,(T22-O22),"")</f>
        <v>43.7976</v>
      </c>
      <c r="AL22" s="85"/>
      <c r="AM22" s="85"/>
    </row>
    <row r="23" customFormat="false" ht="14.5" hidden="false" customHeight="false" outlineLevel="0" collapsed="false">
      <c r="A23" s="162" t="s">
        <v>66</v>
      </c>
      <c r="B23" s="163" t="str">
        <f aca="false">GreenStyleUser!B23</f>
        <v>I (sometimes) do the dishes manually</v>
      </c>
      <c r="C23" s="49" t="n">
        <f aca="false">'Data Aggregation'!G11</f>
        <v>14</v>
      </c>
      <c r="D23" s="164" t="s">
        <v>47</v>
      </c>
      <c r="E23" s="162" t="n">
        <f aca="false">VLOOKUP(B23,'back end data'!A42:B43,2,0)</f>
        <v>30</v>
      </c>
      <c r="F23" s="165" t="n">
        <f aca="false">C23*E23</f>
        <v>420</v>
      </c>
      <c r="G23" s="166"/>
      <c r="H23" s="166" t="n">
        <f aca="false">F23*0.5*VLOOKUP(Start!B15,'back end data'!A83:G84,4,0)</f>
        <v>1.95001102592593</v>
      </c>
      <c r="I23" s="166"/>
      <c r="J23" s="178" t="n">
        <f aca="false">F23*0.5*VLOOKUP(Start!B15,'back end data'!A83:G84,6,0)</f>
        <v>10.2951851851852</v>
      </c>
      <c r="K23" s="163" t="n">
        <f aca="false">52.14*F23</f>
        <v>21898.8</v>
      </c>
      <c r="L23" s="167" t="n">
        <f aca="false">52.14*G23</f>
        <v>0</v>
      </c>
      <c r="M23" s="262" t="n">
        <f aca="false">52.14*H23</f>
        <v>101.673574891778</v>
      </c>
      <c r="N23" s="167" t="n">
        <f aca="false">52.14*I23</f>
        <v>0</v>
      </c>
      <c r="O23" s="164" t="n">
        <f aca="false">52.14*J23</f>
        <v>536.790955555556</v>
      </c>
      <c r="P23" s="168" t="n">
        <f aca="false">'household calculator'!G20</f>
        <v>10949.4</v>
      </c>
      <c r="Q23" s="169" t="n">
        <f aca="false">'household calculator'!H20</f>
        <v>0</v>
      </c>
      <c r="R23" s="263" t="n">
        <f aca="false">'household calculator'!I20</f>
        <v>50.8367874458889</v>
      </c>
      <c r="S23" s="169" t="n">
        <f aca="false">'household calculator'!J20</f>
        <v>0</v>
      </c>
      <c r="T23" s="169" t="n">
        <f aca="false">'household calculator'!K20</f>
        <v>268.395477777778</v>
      </c>
      <c r="U23" s="10"/>
      <c r="V23" s="170" t="n">
        <f aca="false">IF(P23&lt;&gt;0,(P23-K23)/P23,"")</f>
        <v>-1</v>
      </c>
      <c r="W23" s="171" t="str">
        <f aca="false">IF(Q23&lt;&gt;0,(Q23-L23)/Q23,"")</f>
        <v/>
      </c>
      <c r="X23" s="171" t="n">
        <f aca="false">IF(R23&lt;&gt;0,(R23-M23)/R23,"")</f>
        <v>-1</v>
      </c>
      <c r="Y23" s="171" t="str">
        <f aca="false">IF(S23&lt;&gt;0,(S23-N23)/S23,"")</f>
        <v/>
      </c>
      <c r="Z23" s="172" t="n">
        <f aca="false">IF(T23&lt;&gt;0,(T23-O23)/T23,"")</f>
        <v>-1</v>
      </c>
      <c r="AA23" s="85"/>
      <c r="AB23" s="173" t="n">
        <f aca="false">(P23-K23)/(P$34-K$34)</f>
        <v>0.0438113358702183</v>
      </c>
      <c r="AC23" s="179"/>
      <c r="AD23" s="174" t="n">
        <f aca="false">(R23-M23)/(R$34-M$34)</f>
        <v>0.0311071676261938</v>
      </c>
      <c r="AE23" s="179"/>
      <c r="AF23" s="174" t="n">
        <f aca="false">(T23-O23)/(T$34-O$34)</f>
        <v>0.0312842395875077</v>
      </c>
      <c r="AG23" s="175" t="n">
        <f aca="false">IF(P23&lt;&gt;0,(P23-K23),"")</f>
        <v>-10949.4</v>
      </c>
      <c r="AH23" s="176" t="str">
        <f aca="false">IF(Q23&lt;&gt;0,(Q23-L23),"")</f>
        <v/>
      </c>
      <c r="AI23" s="176" t="n">
        <f aca="false">IF(R23&lt;&gt;0,(R23-M23),"")</f>
        <v>-50.8367874458889</v>
      </c>
      <c r="AJ23" s="176" t="str">
        <f aca="false">IF(S23&lt;&gt;0,(S23-N23),"")</f>
        <v/>
      </c>
      <c r="AK23" s="177" t="n">
        <f aca="false">IF(T23&lt;&gt;0,(T23-O23),"")</f>
        <v>-268.395477777778</v>
      </c>
      <c r="AL23" s="85"/>
      <c r="AM23" s="85"/>
    </row>
    <row r="24" customFormat="false" ht="14.5" hidden="false" customHeight="false" outlineLevel="0" collapsed="false">
      <c r="A24" s="162" t="s">
        <v>68</v>
      </c>
      <c r="B24" s="163" t="str">
        <f aca="false">GreenStyleUser!B24</f>
        <v>I don't have a dishwasher</v>
      </c>
      <c r="C24" s="49" t="n">
        <f aca="false">'Data Aggregation'!G12</f>
        <v>0</v>
      </c>
      <c r="D24" s="164" t="s">
        <v>70</v>
      </c>
      <c r="E24" s="162" t="n">
        <f aca="false">VLOOKUP(B24,'back end data'!A45:B47,2,0)</f>
        <v>0</v>
      </c>
      <c r="F24" s="165" t="n">
        <f aca="false">C24*E24</f>
        <v>0</v>
      </c>
      <c r="G24" s="166"/>
      <c r="H24" s="166" t="n">
        <f aca="false">F24*VLOOKUP(Start!B15,'back end data'!A83:G84,4,0)</f>
        <v>0</v>
      </c>
      <c r="I24" s="166"/>
      <c r="J24" s="178" t="n">
        <f aca="false">F24*VLOOKUP(Start!B15,'back end data'!A83:G84,6,0)</f>
        <v>0</v>
      </c>
      <c r="K24" s="163" t="n">
        <f aca="false">52.14*F24</f>
        <v>0</v>
      </c>
      <c r="L24" s="167" t="n">
        <f aca="false">52.14*G24</f>
        <v>0</v>
      </c>
      <c r="M24" s="262" t="n">
        <f aca="false">52.14*H24</f>
        <v>0</v>
      </c>
      <c r="N24" s="167" t="n">
        <f aca="false">52.14*I24</f>
        <v>0</v>
      </c>
      <c r="O24" s="164" t="n">
        <f aca="false">52.14*J24</f>
        <v>0</v>
      </c>
      <c r="P24" s="168" t="n">
        <f aca="false">'household calculator'!G21</f>
        <v>0</v>
      </c>
      <c r="Q24" s="169" t="n">
        <f aca="false">'household calculator'!H21</f>
        <v>0</v>
      </c>
      <c r="R24" s="263" t="n">
        <f aca="false">'household calculator'!I21</f>
        <v>0</v>
      </c>
      <c r="S24" s="169" t="n">
        <f aca="false">'household calculator'!J21</f>
        <v>0</v>
      </c>
      <c r="T24" s="169" t="n">
        <f aca="false">'household calculator'!K21</f>
        <v>0</v>
      </c>
      <c r="U24" s="10"/>
      <c r="V24" s="170" t="str">
        <f aca="false">IF(P24&lt;&gt;0,(P24-K24)/P24,"")</f>
        <v/>
      </c>
      <c r="W24" s="171" t="str">
        <f aca="false">IF(Q24&lt;&gt;0,(Q24-L24)/Q24,"")</f>
        <v/>
      </c>
      <c r="X24" s="171" t="str">
        <f aca="false">IF(R24&lt;&gt;0,(R24-M24)/R24,"")</f>
        <v/>
      </c>
      <c r="Y24" s="171" t="str">
        <f aca="false">IF(S24&lt;&gt;0,(S24-N24)/S24,"")</f>
        <v/>
      </c>
      <c r="Z24" s="172" t="str">
        <f aca="false">IF(T24&lt;&gt;0,(T24-O24)/T24,"")</f>
        <v/>
      </c>
      <c r="AA24" s="85"/>
      <c r="AB24" s="173" t="n">
        <f aca="false">(P24-K24)/(P$34-K$34)</f>
        <v>-0</v>
      </c>
      <c r="AC24" s="179"/>
      <c r="AD24" s="174" t="n">
        <f aca="false">(R24-M24)/(R$34-M$34)</f>
        <v>-0</v>
      </c>
      <c r="AE24" s="179"/>
      <c r="AF24" s="174" t="n">
        <f aca="false">(T24-O24)/(T$34-O$34)</f>
        <v>-0</v>
      </c>
      <c r="AG24" s="175" t="str">
        <f aca="false">IF(P24&lt;&gt;0,(P24-K24),"")</f>
        <v/>
      </c>
      <c r="AH24" s="176" t="str">
        <f aca="false">IF(Q24&lt;&gt;0,(Q24-L24),"")</f>
        <v/>
      </c>
      <c r="AI24" s="176" t="str">
        <f aca="false">IF(R24&lt;&gt;0,(R24-M24),"")</f>
        <v/>
      </c>
      <c r="AJ24" s="176" t="str">
        <f aca="false">IF(S24&lt;&gt;0,(S24-N24),"")</f>
        <v/>
      </c>
      <c r="AK24" s="177" t="str">
        <f aca="false">IF(T24&lt;&gt;0,(T24-O24),"")</f>
        <v/>
      </c>
      <c r="AL24" s="85"/>
      <c r="AM24" s="85"/>
    </row>
    <row r="25" customFormat="false" ht="14.5" hidden="false" customHeight="false" outlineLevel="0" collapsed="false">
      <c r="A25" s="162"/>
      <c r="B25" s="163"/>
      <c r="C25" s="49"/>
      <c r="D25" s="164"/>
      <c r="E25" s="162"/>
      <c r="F25" s="165"/>
      <c r="G25" s="166"/>
      <c r="H25" s="166"/>
      <c r="I25" s="166"/>
      <c r="J25" s="178"/>
      <c r="K25" s="163" t="n">
        <f aca="false">52.14*F25</f>
        <v>0</v>
      </c>
      <c r="L25" s="167" t="n">
        <f aca="false">52.14*G25</f>
        <v>0</v>
      </c>
      <c r="M25" s="262"/>
      <c r="N25" s="167" t="n">
        <f aca="false">52.14*I25</f>
        <v>0</v>
      </c>
      <c r="O25" s="164" t="n">
        <f aca="false">52.14*J25</f>
        <v>0</v>
      </c>
      <c r="P25" s="168" t="n">
        <f aca="false">'household calculator'!G22</f>
        <v>0</v>
      </c>
      <c r="Q25" s="169" t="n">
        <f aca="false">'household calculator'!H22</f>
        <v>0</v>
      </c>
      <c r="R25" s="263"/>
      <c r="S25" s="169" t="n">
        <f aca="false">'household calculator'!J22</f>
        <v>0</v>
      </c>
      <c r="T25" s="169" t="n">
        <f aca="false">'household calculator'!K22</f>
        <v>0</v>
      </c>
      <c r="U25" s="10"/>
      <c r="V25" s="170" t="str">
        <f aca="false">IF(P25&lt;&gt;0,(P25-K25)/P25,"")</f>
        <v/>
      </c>
      <c r="W25" s="171" t="str">
        <f aca="false">IF(Q25&lt;&gt;0,(Q25-L25)/Q25,"")</f>
        <v/>
      </c>
      <c r="X25" s="171" t="str">
        <f aca="false">IF(R25&lt;&gt;0,(R25-M25)/R25,"")</f>
        <v/>
      </c>
      <c r="Y25" s="171" t="str">
        <f aca="false">IF(S25&lt;&gt;0,(S25-N25)/S25,"")</f>
        <v/>
      </c>
      <c r="Z25" s="172" t="str">
        <f aca="false">IF(T25&lt;&gt;0,(T25-O25)/T25,"")</f>
        <v/>
      </c>
      <c r="AA25" s="85"/>
      <c r="AB25" s="173" t="n">
        <f aca="false">(P25-K25)/(P$34-K$34)</f>
        <v>-0</v>
      </c>
      <c r="AC25" s="179"/>
      <c r="AD25" s="174" t="n">
        <f aca="false">(R25-M25)/(R$34-M$34)</f>
        <v>-0</v>
      </c>
      <c r="AE25" s="179"/>
      <c r="AF25" s="174" t="n">
        <f aca="false">(T25-O25)/(T$34-O$34)</f>
        <v>-0</v>
      </c>
      <c r="AG25" s="175" t="str">
        <f aca="false">IF(P25&lt;&gt;0,(P25-K25),"")</f>
        <v/>
      </c>
      <c r="AH25" s="176" t="str">
        <f aca="false">IF(Q25&lt;&gt;0,(Q25-L25),"")</f>
        <v/>
      </c>
      <c r="AI25" s="176" t="str">
        <f aca="false">IF(R25&lt;&gt;0,(R25-M25),"")</f>
        <v/>
      </c>
      <c r="AJ25" s="176" t="str">
        <f aca="false">IF(S25&lt;&gt;0,(S25-N25),"")</f>
        <v/>
      </c>
      <c r="AK25" s="177" t="str">
        <f aca="false">IF(T25&lt;&gt;0,(T25-O25),"")</f>
        <v/>
      </c>
      <c r="AL25" s="85"/>
      <c r="AM25" s="85"/>
    </row>
    <row r="26" customFormat="false" ht="14.5" hidden="false" customHeight="false" outlineLevel="0" collapsed="false">
      <c r="A26" s="153" t="s">
        <v>71</v>
      </c>
      <c r="B26" s="154"/>
      <c r="C26" s="52"/>
      <c r="D26" s="156"/>
      <c r="E26" s="157"/>
      <c r="F26" s="158"/>
      <c r="G26" s="159"/>
      <c r="H26" s="159"/>
      <c r="I26" s="159"/>
      <c r="J26" s="160"/>
      <c r="K26" s="154"/>
      <c r="L26" s="161"/>
      <c r="M26" s="261"/>
      <c r="N26" s="161"/>
      <c r="O26" s="156"/>
      <c r="P26" s="154" t="n">
        <f aca="false">'household calculator'!G23</f>
        <v>0</v>
      </c>
      <c r="Q26" s="161" t="n">
        <f aca="false">'household calculator'!H23</f>
        <v>0</v>
      </c>
      <c r="R26" s="261" t="n">
        <f aca="false">'household calculator'!I23</f>
        <v>0</v>
      </c>
      <c r="S26" s="161" t="n">
        <f aca="false">'household calculator'!J23</f>
        <v>0</v>
      </c>
      <c r="T26" s="161" t="n">
        <f aca="false">'household calculator'!K23</f>
        <v>0</v>
      </c>
      <c r="U26" s="10"/>
      <c r="V26" s="181" t="str">
        <f aca="false">IF(P26&lt;&gt;0,(P26-K26)/P26,"")</f>
        <v/>
      </c>
      <c r="W26" s="182" t="str">
        <f aca="false">IF(Q26&lt;&gt;0,(Q26-L26)/Q26,"")</f>
        <v/>
      </c>
      <c r="X26" s="182" t="str">
        <f aca="false">IF(R26&lt;&gt;0,(R26-M26)/R26,"")</f>
        <v/>
      </c>
      <c r="Y26" s="182" t="str">
        <f aca="false">IF(S26&lt;&gt;0,(S26-N26)/S26,"")</f>
        <v/>
      </c>
      <c r="Z26" s="183" t="str">
        <f aca="false">IF(T26&lt;&gt;0,(T26-O26)/T26,"")</f>
        <v/>
      </c>
      <c r="AA26" s="85"/>
      <c r="AB26" s="184"/>
      <c r="AC26" s="185"/>
      <c r="AD26" s="186"/>
      <c r="AE26" s="185"/>
      <c r="AF26" s="186"/>
      <c r="AG26" s="187" t="str">
        <f aca="false">IF(P26&lt;&gt;0,(P26-K26),"")</f>
        <v/>
      </c>
      <c r="AH26" s="188" t="str">
        <f aca="false">IF(Q26&lt;&gt;0,(Q26-L26),"")</f>
        <v/>
      </c>
      <c r="AI26" s="188" t="str">
        <f aca="false">IF(R26&lt;&gt;0,(R26-M26),"")</f>
        <v/>
      </c>
      <c r="AJ26" s="188" t="str">
        <f aca="false">IF(S26&lt;&gt;0,(S26-N26),"")</f>
        <v/>
      </c>
      <c r="AK26" s="189" t="str">
        <f aca="false">IF(T26&lt;&gt;0,(T26-O26),"")</f>
        <v/>
      </c>
      <c r="AL26" s="85"/>
      <c r="AM26" s="85"/>
    </row>
    <row r="27" customFormat="false" ht="14.5" hidden="false" customHeight="false" outlineLevel="0" collapsed="false">
      <c r="A27" s="162" t="s">
        <v>72</v>
      </c>
      <c r="B27" s="163" t="str">
        <f aca="false">GreenStyleUser!B27</f>
        <v>LED TV</v>
      </c>
      <c r="C27" s="49" t="n">
        <f aca="false">'Data Aggregation'!G13</f>
        <v>2</v>
      </c>
      <c r="D27" s="164" t="s">
        <v>74</v>
      </c>
      <c r="E27" s="162" t="n">
        <f aca="false">VLOOKUP(B27,'back end data'!A50:B52,2,0)</f>
        <v>0.05</v>
      </c>
      <c r="F27" s="165" t="n">
        <v>0</v>
      </c>
      <c r="G27" s="166"/>
      <c r="H27" s="166" t="n">
        <f aca="false">J27*'back end data'!$B$63</f>
        <v>0.018941</v>
      </c>
      <c r="I27" s="166"/>
      <c r="J27" s="178" t="n">
        <f aca="false">C27*E27</f>
        <v>0.1</v>
      </c>
      <c r="K27" s="163" t="n">
        <f aca="false">52.14*F27</f>
        <v>0</v>
      </c>
      <c r="L27" s="167" t="n">
        <f aca="false">52.14*G27</f>
        <v>0</v>
      </c>
      <c r="M27" s="262" t="n">
        <f aca="false">52.14*H27</f>
        <v>0.98758374</v>
      </c>
      <c r="N27" s="167" t="n">
        <f aca="false">52.14*I27</f>
        <v>0</v>
      </c>
      <c r="O27" s="164" t="n">
        <f aca="false">52.14*J27</f>
        <v>5.214</v>
      </c>
      <c r="P27" s="168" t="n">
        <f aca="false">'household calculator'!G24</f>
        <v>0</v>
      </c>
      <c r="Q27" s="169" t="n">
        <f aca="false">'household calculator'!H24</f>
        <v>0</v>
      </c>
      <c r="R27" s="263" t="n">
        <f aca="false">'household calculator'!I24</f>
        <v>0</v>
      </c>
      <c r="S27" s="169" t="n">
        <f aca="false">'household calculator'!J24</f>
        <v>0</v>
      </c>
      <c r="T27" s="169" t="n">
        <f aca="false">'household calculator'!K24</f>
        <v>0</v>
      </c>
      <c r="U27" s="10"/>
      <c r="V27" s="170" t="str">
        <f aca="false">IF(P27&lt;&gt;0,(P27-K27)/P27,"")</f>
        <v/>
      </c>
      <c r="W27" s="171" t="str">
        <f aca="false">IF(Q27&lt;&gt;0,(Q27-L27)/Q27,"")</f>
        <v/>
      </c>
      <c r="X27" s="171" t="str">
        <f aca="false">IF(R27&lt;&gt;0,(R27-M27)/R27,"")</f>
        <v/>
      </c>
      <c r="Y27" s="171" t="str">
        <f aca="false">IF(S27&lt;&gt;0,(S27-N27)/S27,"")</f>
        <v/>
      </c>
      <c r="Z27" s="172" t="str">
        <f aca="false">IF(T27&lt;&gt;0,(T27-O27)/T27,"")</f>
        <v/>
      </c>
      <c r="AA27" s="85"/>
      <c r="AB27" s="173" t="n">
        <f aca="false">(P27-K27)/(P$34-K$34)</f>
        <v>-0</v>
      </c>
      <c r="AC27" s="179"/>
      <c r="AD27" s="174" t="n">
        <f aca="false">(R27-M27)/(R$34-M$34)</f>
        <v>0.000604305159482846</v>
      </c>
      <c r="AE27" s="179"/>
      <c r="AF27" s="174" t="n">
        <f aca="false">(T27-O27)/(T$34-O$34)</f>
        <v>0.000607745058001013</v>
      </c>
      <c r="AG27" s="175" t="str">
        <f aca="false">IF(P27&lt;&gt;0,(P27-K27),"")</f>
        <v/>
      </c>
      <c r="AH27" s="176" t="str">
        <f aca="false">IF(Q27&lt;&gt;0,(Q27-L27),"")</f>
        <v/>
      </c>
      <c r="AI27" s="176" t="str">
        <f aca="false">IF(R27&lt;&gt;0,(R27-M27),"")</f>
        <v/>
      </c>
      <c r="AJ27" s="176" t="str">
        <f aca="false">IF(S27&lt;&gt;0,(S27-N27),"")</f>
        <v/>
      </c>
      <c r="AK27" s="177" t="str">
        <f aca="false">IF(T27&lt;&gt;0,(T27-O27),"")</f>
        <v/>
      </c>
      <c r="AL27" s="85"/>
      <c r="AM27" s="85"/>
    </row>
    <row r="28" customFormat="false" ht="14.5" hidden="false" customHeight="false" outlineLevel="0" collapsed="false">
      <c r="A28" s="162" t="s">
        <v>75</v>
      </c>
      <c r="B28" s="163" t="str">
        <f aca="false">GreenStyleUser!B28</f>
        <v>Laptop</v>
      </c>
      <c r="C28" s="49" t="n">
        <f aca="false">'Data Aggregation'!G14</f>
        <v>10</v>
      </c>
      <c r="D28" s="164" t="s">
        <v>77</v>
      </c>
      <c r="E28" s="162" t="n">
        <f aca="false">VLOOKUP(B28,'back end data'!A54:B55,2,0)</f>
        <v>0.05</v>
      </c>
      <c r="F28" s="165" t="n">
        <v>0</v>
      </c>
      <c r="G28" s="166"/>
      <c r="H28" s="166" t="n">
        <f aca="false">J28*'back end data'!$B$63</f>
        <v>0.662935</v>
      </c>
      <c r="I28" s="166"/>
      <c r="J28" s="178" t="n">
        <f aca="false">7*C28*E28</f>
        <v>3.5</v>
      </c>
      <c r="K28" s="163" t="n">
        <f aca="false">52.14*F28</f>
        <v>0</v>
      </c>
      <c r="L28" s="167" t="n">
        <f aca="false">52.14*G28</f>
        <v>0</v>
      </c>
      <c r="M28" s="262" t="n">
        <f aca="false">52.14*H28</f>
        <v>34.5654309</v>
      </c>
      <c r="N28" s="167" t="n">
        <f aca="false">52.14*I28</f>
        <v>0</v>
      </c>
      <c r="O28" s="164" t="n">
        <f aca="false">52.14*J28</f>
        <v>182.49</v>
      </c>
      <c r="P28" s="168" t="n">
        <f aca="false">'household calculator'!G25</f>
        <v>0</v>
      </c>
      <c r="Q28" s="169" t="n">
        <f aca="false">'household calculator'!H25</f>
        <v>0</v>
      </c>
      <c r="R28" s="263" t="n">
        <f aca="false">'household calculator'!I25</f>
        <v>34.5654309</v>
      </c>
      <c r="S28" s="169" t="n">
        <f aca="false">'household calculator'!J25</f>
        <v>0</v>
      </c>
      <c r="T28" s="169" t="n">
        <f aca="false">'household calculator'!K25</f>
        <v>182.49</v>
      </c>
      <c r="U28" s="10"/>
      <c r="V28" s="170" t="str">
        <f aca="false">IF(P28&lt;&gt;0,(P28-K28)/P28,"")</f>
        <v/>
      </c>
      <c r="W28" s="171" t="str">
        <f aca="false">IF(Q28&lt;&gt;0,(Q28-L28)/Q28,"")</f>
        <v/>
      </c>
      <c r="X28" s="171" t="n">
        <f aca="false">IF(R28&lt;&gt;0,(R28-M28)/R28,"")</f>
        <v>0</v>
      </c>
      <c r="Y28" s="171" t="str">
        <f aca="false">IF(S28&lt;&gt;0,(S28-N28)/S28,"")</f>
        <v/>
      </c>
      <c r="Z28" s="172" t="n">
        <f aca="false">IF(T28&lt;&gt;0,(T28-O28)/T28,"")</f>
        <v>0</v>
      </c>
      <c r="AA28" s="85"/>
      <c r="AB28" s="173" t="n">
        <f aca="false">(P28-K28)/(P$34-K$34)</f>
        <v>-0</v>
      </c>
      <c r="AC28" s="179"/>
      <c r="AD28" s="174" t="n">
        <f aca="false">(R28-M28)/(R$34-M$34)</f>
        <v>-0</v>
      </c>
      <c r="AE28" s="179"/>
      <c r="AF28" s="174" t="n">
        <f aca="false">(T28-O28)/(T$34-O$34)</f>
        <v>-0</v>
      </c>
      <c r="AG28" s="175" t="str">
        <f aca="false">IF(P28&lt;&gt;0,(P28-K28),"")</f>
        <v/>
      </c>
      <c r="AH28" s="176" t="str">
        <f aca="false">IF(Q28&lt;&gt;0,(Q28-L28),"")</f>
        <v/>
      </c>
      <c r="AI28" s="176" t="n">
        <f aca="false">IF(R28&lt;&gt;0,(R28-M28),"")</f>
        <v>0</v>
      </c>
      <c r="AJ28" s="176" t="str">
        <f aca="false">IF(S28&lt;&gt;0,(S28-N28),"")</f>
        <v/>
      </c>
      <c r="AK28" s="177" t="n">
        <f aca="false">IF(T28&lt;&gt;0,(T28-O28),"")</f>
        <v>0</v>
      </c>
      <c r="AL28" s="85"/>
      <c r="AM28" s="85"/>
    </row>
    <row r="29" customFormat="false" ht="14.5" hidden="false" customHeight="false" outlineLevel="0" collapsed="false">
      <c r="A29" s="162" t="s">
        <v>78</v>
      </c>
      <c r="B29" s="163" t="str">
        <f aca="false">GreenStyleUser!B29</f>
        <v>Mobile phone, and I charge it…</v>
      </c>
      <c r="C29" s="49" t="n">
        <f aca="false">'Data Aggregation'!G15</f>
        <v>2</v>
      </c>
      <c r="D29" s="164" t="s">
        <v>77</v>
      </c>
      <c r="E29" s="162" t="n">
        <f aca="false">VLOOKUP(B29,'back end data'!A60:B61,2,0)</f>
        <v>0.005</v>
      </c>
      <c r="F29" s="165" t="n">
        <v>0</v>
      </c>
      <c r="G29" s="166"/>
      <c r="H29" s="166" t="n">
        <f aca="false">J29*'back end data'!$B$63</f>
        <v>0.0132587</v>
      </c>
      <c r="I29" s="166"/>
      <c r="J29" s="178" t="n">
        <f aca="false">7*C29*E29</f>
        <v>0.07</v>
      </c>
      <c r="K29" s="163" t="n">
        <f aca="false">52.14*F29</f>
        <v>0</v>
      </c>
      <c r="L29" s="167" t="n">
        <f aca="false">52.14*G29</f>
        <v>0</v>
      </c>
      <c r="M29" s="262" t="n">
        <f aca="false">52.14*H29</f>
        <v>0.691308618</v>
      </c>
      <c r="N29" s="167" t="n">
        <f aca="false">52.14*I29</f>
        <v>0</v>
      </c>
      <c r="O29" s="164" t="n">
        <f aca="false">52.14*J29</f>
        <v>3.6498</v>
      </c>
      <c r="P29" s="168" t="n">
        <f aca="false">'household calculator'!G26</f>
        <v>0</v>
      </c>
      <c r="Q29" s="169" t="n">
        <f aca="false">'household calculator'!H26</f>
        <v>0</v>
      </c>
      <c r="R29" s="263" t="n">
        <f aca="false">'household calculator'!I26</f>
        <v>0.345654309</v>
      </c>
      <c r="S29" s="169" t="n">
        <f aca="false">'household calculator'!J26</f>
        <v>0</v>
      </c>
      <c r="T29" s="169" t="n">
        <f aca="false">'household calculator'!K26</f>
        <v>1.8249</v>
      </c>
      <c r="U29" s="10"/>
      <c r="V29" s="170" t="str">
        <f aca="false">IF(P29&lt;&gt;0,(P29-K29)/P29,"")</f>
        <v/>
      </c>
      <c r="W29" s="171" t="str">
        <f aca="false">IF(Q29&lt;&gt;0,(Q29-L29)/Q29,"")</f>
        <v/>
      </c>
      <c r="X29" s="171" t="n">
        <f aca="false">IF(R29&lt;&gt;0,(R29-M29)/R29,"")</f>
        <v>-1</v>
      </c>
      <c r="Y29" s="171" t="str">
        <f aca="false">IF(S29&lt;&gt;0,(S29-N29)/S29,"")</f>
        <v/>
      </c>
      <c r="Z29" s="172" t="n">
        <f aca="false">IF(T29&lt;&gt;0,(T29-O29)/T29,"")</f>
        <v>-1</v>
      </c>
      <c r="AA29" s="85"/>
      <c r="AB29" s="173" t="n">
        <f aca="false">(P29-K29)/(P$34-K$34)</f>
        <v>-0</v>
      </c>
      <c r="AC29" s="179"/>
      <c r="AD29" s="174" t="n">
        <f aca="false">(R29-M29)/(R$34-M$34)</f>
        <v>0.000211506805818996</v>
      </c>
      <c r="AE29" s="179"/>
      <c r="AF29" s="174" t="n">
        <f aca="false">(T29-O29)/(T$34-O$34)</f>
        <v>0.000212710770300354</v>
      </c>
      <c r="AG29" s="175" t="str">
        <f aca="false">IF(P29&lt;&gt;0,(P29-K29),"")</f>
        <v/>
      </c>
      <c r="AH29" s="176" t="str">
        <f aca="false">IF(Q29&lt;&gt;0,(Q29-L29),"")</f>
        <v/>
      </c>
      <c r="AI29" s="176" t="n">
        <f aca="false">IF(R29&lt;&gt;0,(R29-M29),"")</f>
        <v>-0.345654309</v>
      </c>
      <c r="AJ29" s="176" t="str">
        <f aca="false">IF(S29&lt;&gt;0,(S29-N29),"")</f>
        <v/>
      </c>
      <c r="AK29" s="177" t="n">
        <f aca="false">IF(T29&lt;&gt;0,(T29-O29),"")</f>
        <v>-1.8249</v>
      </c>
      <c r="AL29" s="85"/>
      <c r="AM29" s="85"/>
    </row>
    <row r="30" customFormat="false" ht="14.5" hidden="false" customHeight="false" outlineLevel="0" collapsed="false">
      <c r="A30" s="162" t="s">
        <v>80</v>
      </c>
      <c r="B30" s="163" t="str">
        <f aca="false">GreenStyleUser!B30</f>
        <v>I don't have a tablet</v>
      </c>
      <c r="C30" s="49" t="n">
        <f aca="false">'Data Aggregation'!G16</f>
        <v>0</v>
      </c>
      <c r="D30" s="164" t="s">
        <v>77</v>
      </c>
      <c r="E30" s="162" t="n">
        <f aca="false">VLOOKUP(B30,'back end data'!A57:B58,2,0)</f>
        <v>0</v>
      </c>
      <c r="F30" s="165" t="n">
        <v>0</v>
      </c>
      <c r="G30" s="166"/>
      <c r="H30" s="166" t="n">
        <f aca="false">J30*'back end data'!$B$63</f>
        <v>0</v>
      </c>
      <c r="I30" s="166"/>
      <c r="J30" s="178" t="n">
        <f aca="false">7*C30*E30</f>
        <v>0</v>
      </c>
      <c r="K30" s="163" t="n">
        <f aca="false">52.14*F30</f>
        <v>0</v>
      </c>
      <c r="L30" s="167" t="n">
        <f aca="false">52.14*G30</f>
        <v>0</v>
      </c>
      <c r="M30" s="262" t="n">
        <f aca="false">52.14*H30</f>
        <v>0</v>
      </c>
      <c r="N30" s="167" t="n">
        <f aca="false">52.14*I30</f>
        <v>0</v>
      </c>
      <c r="O30" s="164" t="n">
        <f aca="false">52.14*J30</f>
        <v>0</v>
      </c>
      <c r="P30" s="168" t="n">
        <f aca="false">'household calculator'!G27</f>
        <v>0</v>
      </c>
      <c r="Q30" s="169" t="n">
        <f aca="false">'household calculator'!H27</f>
        <v>0</v>
      </c>
      <c r="R30" s="263" t="n">
        <f aca="false">'household calculator'!I27</f>
        <v>0</v>
      </c>
      <c r="S30" s="169" t="n">
        <f aca="false">'household calculator'!J27</f>
        <v>0</v>
      </c>
      <c r="T30" s="169" t="n">
        <f aca="false">'household calculator'!K27</f>
        <v>0</v>
      </c>
      <c r="U30" s="10"/>
      <c r="V30" s="170" t="str">
        <f aca="false">IF(P30&lt;&gt;0,(P30-K30)/P30,"")</f>
        <v/>
      </c>
      <c r="W30" s="171" t="str">
        <f aca="false">IF(Q30&lt;&gt;0,(Q30-L30)/Q30,"")</f>
        <v/>
      </c>
      <c r="X30" s="171" t="str">
        <f aca="false">IF(R30&lt;&gt;0,(R30-M30)/R30,"")</f>
        <v/>
      </c>
      <c r="Y30" s="171" t="str">
        <f aca="false">IF(S30&lt;&gt;0,(S30-N30)/S30,"")</f>
        <v/>
      </c>
      <c r="Z30" s="172" t="str">
        <f aca="false">IF(T30&lt;&gt;0,(T30-O30)/T30,"")</f>
        <v/>
      </c>
      <c r="AA30" s="85"/>
      <c r="AB30" s="173" t="n">
        <f aca="false">(P30-K30)/(P$34-K$34)</f>
        <v>-0</v>
      </c>
      <c r="AC30" s="179"/>
      <c r="AD30" s="174" t="n">
        <f aca="false">(R30-M30)/(R$34-M$34)</f>
        <v>-0</v>
      </c>
      <c r="AE30" s="179"/>
      <c r="AF30" s="174" t="n">
        <f aca="false">(T30-O30)/(T$34-O$34)</f>
        <v>-0</v>
      </c>
      <c r="AG30" s="175" t="str">
        <f aca="false">IF(P30&lt;&gt;0,(P30-K30),"")</f>
        <v/>
      </c>
      <c r="AH30" s="176" t="str">
        <f aca="false">IF(Q30&lt;&gt;0,(Q30-L30),"")</f>
        <v/>
      </c>
      <c r="AI30" s="176" t="str">
        <f aca="false">IF(R30&lt;&gt;0,(R30-M30),"")</f>
        <v/>
      </c>
      <c r="AJ30" s="176" t="str">
        <f aca="false">IF(S30&lt;&gt;0,(S30-N30),"")</f>
        <v/>
      </c>
      <c r="AK30" s="177" t="str">
        <f aca="false">IF(T30&lt;&gt;0,(T30-O30),"")</f>
        <v/>
      </c>
      <c r="AL30" s="85"/>
      <c r="AM30" s="85"/>
    </row>
    <row r="31" customFormat="false" ht="14.5" hidden="false" customHeight="false" outlineLevel="0" collapsed="false">
      <c r="A31" s="162"/>
      <c r="B31" s="163"/>
      <c r="C31" s="53"/>
      <c r="D31" s="164"/>
      <c r="E31" s="162"/>
      <c r="F31" s="165"/>
      <c r="G31" s="166"/>
      <c r="H31" s="166"/>
      <c r="I31" s="166"/>
      <c r="J31" s="178"/>
      <c r="K31" s="163" t="n">
        <f aca="false">52.14*F31</f>
        <v>0</v>
      </c>
      <c r="L31" s="167" t="n">
        <f aca="false">52.14*G31</f>
        <v>0</v>
      </c>
      <c r="M31" s="262" t="n">
        <f aca="false">52.14*H31</f>
        <v>0</v>
      </c>
      <c r="N31" s="167" t="n">
        <f aca="false">52.14*I31</f>
        <v>0</v>
      </c>
      <c r="O31" s="164" t="n">
        <f aca="false">52.14*J31</f>
        <v>0</v>
      </c>
      <c r="P31" s="168" t="n">
        <f aca="false">'household calculator'!G28</f>
        <v>0</v>
      </c>
      <c r="Q31" s="169" t="n">
        <f aca="false">'household calculator'!H28</f>
        <v>0</v>
      </c>
      <c r="R31" s="263" t="n">
        <f aca="false">'household calculator'!I28</f>
        <v>0</v>
      </c>
      <c r="S31" s="169" t="n">
        <f aca="false">'household calculator'!J28</f>
        <v>0</v>
      </c>
      <c r="T31" s="169" t="n">
        <f aca="false">'household calculator'!K28</f>
        <v>0</v>
      </c>
      <c r="U31" s="10"/>
      <c r="V31" s="170" t="str">
        <f aca="false">IF(P31&lt;&gt;0,(P31-K31)/P31,"")</f>
        <v/>
      </c>
      <c r="W31" s="171" t="str">
        <f aca="false">IF(Q31&lt;&gt;0,(Q31-L31)/Q31,"")</f>
        <v/>
      </c>
      <c r="X31" s="171" t="str">
        <f aca="false">IF(R31&lt;&gt;0,(R31-M31)/R31,"")</f>
        <v/>
      </c>
      <c r="Y31" s="171" t="str">
        <f aca="false">IF(S31&lt;&gt;0,(S31-N31)/S31,"")</f>
        <v/>
      </c>
      <c r="Z31" s="172" t="str">
        <f aca="false">IF(T31&lt;&gt;0,(T31-O31)/T31,"")</f>
        <v/>
      </c>
      <c r="AA31" s="85"/>
      <c r="AB31" s="173" t="n">
        <f aca="false">(P31-K31)/(P$34-K$34)</f>
        <v>-0</v>
      </c>
      <c r="AC31" s="179"/>
      <c r="AD31" s="174" t="n">
        <f aca="false">(R31-M31)/(R$34-M$34)</f>
        <v>-0</v>
      </c>
      <c r="AE31" s="179"/>
      <c r="AF31" s="174" t="n">
        <f aca="false">(T31-O31)/(T$34-O$34)</f>
        <v>-0</v>
      </c>
      <c r="AG31" s="175" t="str">
        <f aca="false">IF(P31&lt;&gt;0,(P31-K31),"")</f>
        <v/>
      </c>
      <c r="AH31" s="176" t="str">
        <f aca="false">IF(Q31&lt;&gt;0,(Q31-L31),"")</f>
        <v/>
      </c>
      <c r="AI31" s="176" t="str">
        <f aca="false">IF(R31&lt;&gt;0,(R31-M31),"")</f>
        <v/>
      </c>
      <c r="AJ31" s="176" t="str">
        <f aca="false">IF(S31&lt;&gt;0,(S31-N31),"")</f>
        <v/>
      </c>
      <c r="AK31" s="177" t="str">
        <f aca="false">IF(T31&lt;&gt;0,(T31-O31),"")</f>
        <v/>
      </c>
      <c r="AL31" s="85"/>
      <c r="AM31" s="85"/>
    </row>
    <row r="32" customFormat="false" ht="14.5" hidden="false" customHeight="false" outlineLevel="0" collapsed="false">
      <c r="A32" s="153" t="s">
        <v>82</v>
      </c>
      <c r="B32" s="154"/>
      <c r="C32" s="54"/>
      <c r="D32" s="156"/>
      <c r="E32" s="157"/>
      <c r="F32" s="158"/>
      <c r="G32" s="159"/>
      <c r="H32" s="159"/>
      <c r="I32" s="159"/>
      <c r="J32" s="160"/>
      <c r="K32" s="154"/>
      <c r="L32" s="161"/>
      <c r="M32" s="261"/>
      <c r="N32" s="161"/>
      <c r="O32" s="156"/>
      <c r="P32" s="154" t="n">
        <f aca="false">'household calculator'!G29</f>
        <v>0</v>
      </c>
      <c r="Q32" s="161" t="n">
        <f aca="false">'household calculator'!H29</f>
        <v>0</v>
      </c>
      <c r="R32" s="261" t="n">
        <f aca="false">'household calculator'!I29</f>
        <v>0</v>
      </c>
      <c r="S32" s="161" t="n">
        <f aca="false">'household calculator'!J29</f>
        <v>0</v>
      </c>
      <c r="T32" s="161" t="n">
        <f aca="false">'household calculator'!K29</f>
        <v>0</v>
      </c>
      <c r="U32" s="10"/>
      <c r="V32" s="181" t="str">
        <f aca="false">IF(P32&lt;&gt;0,(P32-K32)/P32,"")</f>
        <v/>
      </c>
      <c r="W32" s="182" t="str">
        <f aca="false">IF(Q32&lt;&gt;0,(Q32-L32)/Q32,"")</f>
        <v/>
      </c>
      <c r="X32" s="182" t="str">
        <f aca="false">IF(R32&lt;&gt;0,(R32-M32)/R32,"")</f>
        <v/>
      </c>
      <c r="Y32" s="182" t="str">
        <f aca="false">IF(S32&lt;&gt;0,(S32-N32)/S32,"")</f>
        <v/>
      </c>
      <c r="Z32" s="183" t="str">
        <f aca="false">IF(T32&lt;&gt;0,(T32-O32)/T32,"")</f>
        <v/>
      </c>
      <c r="AA32" s="85"/>
      <c r="AB32" s="184"/>
      <c r="AC32" s="185"/>
      <c r="AD32" s="186"/>
      <c r="AE32" s="185"/>
      <c r="AF32" s="186"/>
      <c r="AG32" s="187" t="str">
        <f aca="false">IF(P32&lt;&gt;0,(P32-K32),"")</f>
        <v/>
      </c>
      <c r="AH32" s="188" t="str">
        <f aca="false">IF(Q32&lt;&gt;0,(Q32-L32),"")</f>
        <v/>
      </c>
      <c r="AI32" s="188" t="str">
        <f aca="false">IF(R32&lt;&gt;0,(R32-M32),"")</f>
        <v/>
      </c>
      <c r="AJ32" s="188" t="str">
        <f aca="false">IF(S32&lt;&gt;0,(S32-N32),"")</f>
        <v/>
      </c>
      <c r="AK32" s="189" t="str">
        <f aca="false">IF(T32&lt;&gt;0,(T32-O32),"")</f>
        <v/>
      </c>
      <c r="AL32" s="85"/>
      <c r="AM32" s="85"/>
    </row>
    <row r="33" customFormat="false" ht="15" hidden="false" customHeight="false" outlineLevel="0" collapsed="false">
      <c r="A33" s="190" t="s">
        <v>83</v>
      </c>
      <c r="B33" s="191" t="str">
        <f aca="false">GreenStyleUser!B33</f>
        <v>mainly LED lighting</v>
      </c>
      <c r="C33" s="57" t="n">
        <f aca="false">'Data Aggregation'!G17</f>
        <v>5</v>
      </c>
      <c r="D33" s="192" t="s">
        <v>77</v>
      </c>
      <c r="E33" s="190" t="n">
        <f aca="false">VLOOKUP(B33,'back end data'!A67:B71,2,0)</f>
        <v>0.01</v>
      </c>
      <c r="F33" s="193" t="n">
        <v>0</v>
      </c>
      <c r="G33" s="194"/>
      <c r="H33" s="194" t="n">
        <f aca="false">J33*'back end data'!B63</f>
        <v>0.265174</v>
      </c>
      <c r="I33" s="194"/>
      <c r="J33" s="195" t="n">
        <f aca="false">C33*4*7*E33</f>
        <v>1.4</v>
      </c>
      <c r="K33" s="191" t="n">
        <f aca="false">52.14*F33</f>
        <v>0</v>
      </c>
      <c r="L33" s="196" t="n">
        <f aca="false">52.14*G33</f>
        <v>0</v>
      </c>
      <c r="M33" s="264" t="n">
        <f aca="false">52.14*H33</f>
        <v>13.82617236</v>
      </c>
      <c r="N33" s="196" t="n">
        <f aca="false">52.14*I33</f>
        <v>0</v>
      </c>
      <c r="O33" s="192" t="n">
        <f aca="false">52.14*J33</f>
        <v>72.996</v>
      </c>
      <c r="P33" s="197" t="n">
        <f aca="false">'household calculator'!G30</f>
        <v>0</v>
      </c>
      <c r="Q33" s="198" t="n">
        <f aca="false">'household calculator'!H30</f>
        <v>0</v>
      </c>
      <c r="R33" s="265" t="n">
        <f aca="false">'household calculator'!I30</f>
        <v>165.91406832</v>
      </c>
      <c r="S33" s="198" t="n">
        <f aca="false">'household calculator'!J30</f>
        <v>0</v>
      </c>
      <c r="T33" s="198" t="n">
        <f aca="false">'household calculator'!K30</f>
        <v>875.952</v>
      </c>
      <c r="U33" s="10"/>
      <c r="V33" s="199" t="str">
        <f aca="false">IF(P33&lt;&gt;0,(P33-K33)/P33,"")</f>
        <v/>
      </c>
      <c r="W33" s="200" t="str">
        <f aca="false">IF(Q33&lt;&gt;0,(Q33-L33)/Q33,"")</f>
        <v/>
      </c>
      <c r="X33" s="200" t="n">
        <f aca="false">IF(R33&lt;&gt;0,(R33-M33)/R33,"")</f>
        <v>0.916666666666667</v>
      </c>
      <c r="Y33" s="200" t="str">
        <f aca="false">IF(S33&lt;&gt;0,(S33-N33)/S33,"")</f>
        <v/>
      </c>
      <c r="Z33" s="201" t="n">
        <f aca="false">IF(T33&lt;&gt;0,(T33-O33)/T33,"")</f>
        <v>0.916666666666667</v>
      </c>
      <c r="AA33" s="85"/>
      <c r="AB33" s="202" t="n">
        <f aca="false">(P33-K33)/(P$34-K$34)</f>
        <v>-0</v>
      </c>
      <c r="AC33" s="203"/>
      <c r="AD33" s="204" t="n">
        <f aca="false">(R33-M33)/(R$34-M$34)</f>
        <v>-0.0930629945603583</v>
      </c>
      <c r="AE33" s="203"/>
      <c r="AF33" s="204" t="n">
        <f aca="false">(T33-O33)/(T$34-O$34)</f>
        <v>-0.0935927389321559</v>
      </c>
      <c r="AG33" s="205" t="str">
        <f aca="false">IF(P33&lt;&gt;0,(P33-K33),"")</f>
        <v/>
      </c>
      <c r="AH33" s="206" t="str">
        <f aca="false">IF(Q33&lt;&gt;0,(Q33-L33),"")</f>
        <v/>
      </c>
      <c r="AI33" s="206" t="n">
        <f aca="false">IF(R33&lt;&gt;0,(R33-M33),"")</f>
        <v>152.08789596</v>
      </c>
      <c r="AJ33" s="206" t="str">
        <f aca="false">IF(S33&lt;&gt;0,(S33-N33),"")</f>
        <v/>
      </c>
      <c r="AK33" s="207" t="n">
        <f aca="false">IF(T33&lt;&gt;0,(T33-O33),"")</f>
        <v>802.956</v>
      </c>
      <c r="AL33" s="85"/>
      <c r="AM33" s="85"/>
    </row>
    <row r="34" s="221" customFormat="true" ht="24" hidden="false" customHeight="false" outlineLevel="0" collapsed="false">
      <c r="A34" s="208"/>
      <c r="B34" s="208"/>
      <c r="C34" s="208"/>
      <c r="D34" s="208"/>
      <c r="E34" s="208"/>
      <c r="F34" s="209" t="n">
        <f aca="false">SUM(F10:F33)</f>
        <v>6198.7</v>
      </c>
      <c r="G34" s="209" t="n">
        <f aca="false">SUM(G10:G31)</f>
        <v>0</v>
      </c>
      <c r="H34" s="209" t="n">
        <f aca="false">SUM(H10:H33)</f>
        <v>41.3441575765432</v>
      </c>
      <c r="I34" s="209" t="n">
        <f aca="false">SUM(I10:I31)</f>
        <v>0</v>
      </c>
      <c r="J34" s="209" t="n">
        <f aca="false">SUM(J10:J33)</f>
        <v>215.937067901235</v>
      </c>
      <c r="K34" s="209" t="n">
        <f aca="false">SUM(K10:K33)</f>
        <v>323200.218</v>
      </c>
      <c r="L34" s="209" t="n">
        <f aca="false">SUM(L10:L31)</f>
        <v>0</v>
      </c>
      <c r="M34" s="266" t="n">
        <f aca="false">SUM(M10:M33)</f>
        <v>2155.68437604096</v>
      </c>
      <c r="N34" s="209" t="n">
        <f aca="false">SUM(N10:N33)</f>
        <v>0</v>
      </c>
      <c r="O34" s="209" t="n">
        <f aca="false">SUM(O10:O33)</f>
        <v>11258.9587203704</v>
      </c>
      <c r="P34" s="210" t="n">
        <f aca="false">'household calculator'!G31</f>
        <v>73278.5988</v>
      </c>
      <c r="Q34" s="211" t="n">
        <f aca="false">'household calculator'!H31</f>
        <v>0</v>
      </c>
      <c r="R34" s="267" t="n">
        <f aca="false">'household calculator'!I31</f>
        <v>521.4376308284</v>
      </c>
      <c r="S34" s="211" t="n">
        <f aca="false">'household calculator'!J31</f>
        <v>0</v>
      </c>
      <c r="T34" s="211" t="n">
        <f aca="false">'household calculator'!K31</f>
        <v>2679.70343666667</v>
      </c>
      <c r="U34" s="212"/>
      <c r="V34" s="213" t="n">
        <f aca="false">IF(P34&lt;&gt;0,(P34-K34)/P34,"")</f>
        <v>-3.41056765948969</v>
      </c>
      <c r="W34" s="214" t="str">
        <f aca="false">IF(Q34&lt;&gt;0,(Q34-L34)/Q34,"")</f>
        <v/>
      </c>
      <c r="X34" s="214" t="n">
        <f aca="false">IF(R34&lt;&gt;0,(R34-M34)/R34,"")</f>
        <v>-3.13411738737816</v>
      </c>
      <c r="Y34" s="214" t="str">
        <f aca="false">IF(S34&lt;&gt;0,(S34-N34)/S34,"")</f>
        <v/>
      </c>
      <c r="Z34" s="215" t="n">
        <f aca="false">IF(T34&lt;&gt;0,(T34-O34)/T34,"")</f>
        <v>-3.20156893718642</v>
      </c>
      <c r="AA34" s="216"/>
      <c r="AB34" s="217" t="n">
        <f aca="false">(P34-K34)/(P$34-K$34)</f>
        <v>1</v>
      </c>
      <c r="AC34" s="218"/>
      <c r="AD34" s="217" t="n">
        <f aca="false">(R34-M34)/(R$34-M$34)</f>
        <v>1</v>
      </c>
      <c r="AE34" s="218"/>
      <c r="AF34" s="217" t="n">
        <f aca="false">(T34-O34)/(T$34-O$34)</f>
        <v>1</v>
      </c>
      <c r="AG34" s="219" t="n">
        <f aca="false">IF(P34&lt;&gt;0,(P34-K34),"")</f>
        <v>-249921.6192</v>
      </c>
      <c r="AH34" s="219" t="str">
        <f aca="false">IF(Q34&lt;&gt;0,(Q34-L34),"")</f>
        <v/>
      </c>
      <c r="AI34" s="219" t="n">
        <f aca="false">IF(R34&lt;&gt;0,(R34-M34),"")</f>
        <v>-1634.24674521256</v>
      </c>
      <c r="AJ34" s="219" t="str">
        <f aca="false">IF(S34&lt;&gt;0,(S34-N34),"")</f>
        <v/>
      </c>
      <c r="AK34" s="220" t="n">
        <f aca="false">IF(T34&lt;&gt;0,(T34-O34),"")</f>
        <v>-8579.2552837037</v>
      </c>
      <c r="AL34" s="216"/>
      <c r="AM34" s="216"/>
    </row>
    <row r="35" customFormat="false" ht="14.5" hidden="false" customHeight="false" outlineLevel="0" collapsed="false">
      <c r="A35" s="85"/>
      <c r="B35" s="85"/>
      <c r="C35" s="85"/>
      <c r="D35" s="85"/>
      <c r="E35" s="10"/>
      <c r="F35" s="118"/>
      <c r="G35" s="118"/>
      <c r="H35" s="118"/>
      <c r="I35" s="118"/>
      <c r="J35" s="118"/>
      <c r="K35" s="85"/>
      <c r="L35" s="85"/>
      <c r="M35" s="85"/>
      <c r="N35" s="85"/>
      <c r="O35" s="85"/>
      <c r="P35" s="85"/>
      <c r="Q35" s="85"/>
      <c r="R35" s="85"/>
      <c r="S35" s="85"/>
      <c r="T35" s="85"/>
      <c r="U35" s="85"/>
      <c r="V35" s="85"/>
      <c r="W35" s="85"/>
      <c r="X35" s="85"/>
      <c r="Y35" s="85"/>
      <c r="Z35" s="85"/>
      <c r="AA35" s="85"/>
      <c r="AG35" s="85"/>
      <c r="AH35" s="85"/>
      <c r="AI35" s="85"/>
      <c r="AJ35" s="85"/>
      <c r="AK35" s="85"/>
      <c r="AL35" s="85"/>
      <c r="AM35" s="85"/>
    </row>
    <row r="36" customFormat="false" ht="35" hidden="false" customHeight="true" outlineLevel="0" collapsed="false">
      <c r="A36" s="85"/>
      <c r="B36" s="85"/>
      <c r="C36" s="85"/>
      <c r="D36" s="85"/>
      <c r="E36" s="85"/>
      <c r="F36" s="118"/>
      <c r="G36" s="118"/>
      <c r="H36" s="118"/>
      <c r="I36" s="118"/>
      <c r="J36" s="118"/>
      <c r="K36" s="85"/>
      <c r="L36" s="85"/>
      <c r="M36" s="85"/>
      <c r="N36" s="85"/>
      <c r="O36" s="85"/>
      <c r="P36" s="85"/>
      <c r="Q36" s="85"/>
      <c r="R36" s="85"/>
      <c r="S36" s="85"/>
      <c r="T36" s="85"/>
      <c r="U36" s="85"/>
      <c r="V36" s="222" t="s">
        <v>290</v>
      </c>
      <c r="W36" s="222"/>
      <c r="X36" s="222"/>
      <c r="Y36" s="222"/>
      <c r="Z36" s="222"/>
      <c r="AA36" s="85"/>
      <c r="AG36" s="85"/>
      <c r="AH36" s="85"/>
      <c r="AI36" s="85"/>
      <c r="AJ36" s="85"/>
      <c r="AK36" s="85"/>
      <c r="AL36" s="85"/>
      <c r="AM36" s="85"/>
    </row>
    <row r="37" customFormat="false" ht="14.5" hidden="false" customHeight="false" outlineLevel="0" collapsed="false">
      <c r="F37" s="0"/>
      <c r="G37" s="0"/>
    </row>
    <row r="38" customFormat="false" ht="14.5" hidden="false" customHeight="false" outlineLevel="0" collapsed="false">
      <c r="F38" s="0"/>
      <c r="G38" s="0"/>
    </row>
    <row r="39" customFormat="false" ht="14.5" hidden="false" customHeight="false" outlineLevel="0" collapsed="false">
      <c r="F39" s="0"/>
      <c r="G39" s="0"/>
    </row>
    <row r="40" customFormat="false" ht="14.5" hidden="false" customHeight="false" outlineLevel="0" collapsed="false">
      <c r="F40" s="0"/>
      <c r="G40" s="0"/>
    </row>
    <row r="41" customFormat="false" ht="14.5" hidden="false" customHeight="false" outlineLevel="0" collapsed="false">
      <c r="F41" s="0"/>
      <c r="G41" s="0"/>
    </row>
    <row r="42" customFormat="false" ht="14.5" hidden="false" customHeight="false" outlineLevel="0" collapsed="false">
      <c r="F42" s="0"/>
      <c r="G42" s="0"/>
    </row>
    <row r="43" customFormat="false" ht="14.5" hidden="false" customHeight="false" outlineLevel="0" collapsed="false">
      <c r="F43" s="0"/>
      <c r="G43" s="0"/>
    </row>
    <row r="44" customFormat="false" ht="14.5" hidden="false" customHeight="false" outlineLevel="0" collapsed="false">
      <c r="F44" s="0"/>
      <c r="G44" s="0"/>
    </row>
    <row r="45" customFormat="false" ht="14.5" hidden="false" customHeight="false" outlineLevel="0" collapsed="false">
      <c r="F45" s="0"/>
      <c r="G45" s="0"/>
    </row>
    <row r="46" customFormat="false" ht="14.5" hidden="false" customHeight="false" outlineLevel="0" collapsed="false">
      <c r="F46" s="0"/>
      <c r="G46" s="0"/>
    </row>
    <row r="47" customFormat="false" ht="14.5" hidden="false" customHeight="false" outlineLevel="0" collapsed="false">
      <c r="F47" s="0"/>
      <c r="G47" s="0"/>
    </row>
    <row r="48" customFormat="false" ht="14.5" hidden="false" customHeight="false" outlineLevel="0" collapsed="false">
      <c r="F48" s="0"/>
      <c r="G48" s="0"/>
    </row>
    <row r="49" customFormat="false" ht="14.5" hidden="false" customHeight="false" outlineLevel="0" collapsed="false">
      <c r="F49" s="0"/>
      <c r="G49" s="0"/>
    </row>
    <row r="50" customFormat="false" ht="14.5" hidden="false" customHeight="false" outlineLevel="0" collapsed="false">
      <c r="F50" s="0"/>
      <c r="G50" s="0"/>
    </row>
    <row r="51" customFormat="false" ht="14.5" hidden="false" customHeight="false" outlineLevel="0" collapsed="false">
      <c r="F51" s="0"/>
      <c r="G51" s="0"/>
    </row>
    <row r="52" customFormat="false" ht="14.5" hidden="false" customHeight="false" outlineLevel="0" collapsed="false">
      <c r="F52" s="0"/>
      <c r="G52" s="0"/>
    </row>
    <row r="53" customFormat="false" ht="14.5" hidden="false" customHeight="false" outlineLevel="0" collapsed="false">
      <c r="F53" s="0"/>
      <c r="G53" s="0"/>
    </row>
    <row r="54" customFormat="false" ht="14.5" hidden="false" customHeight="false" outlineLevel="0" collapsed="false">
      <c r="F54" s="0"/>
      <c r="G54" s="0"/>
    </row>
    <row r="55" customFormat="false" ht="14.5" hidden="false" customHeight="false" outlineLevel="0" collapsed="false">
      <c r="F55" s="0"/>
      <c r="G55" s="0"/>
    </row>
    <row r="56" customFormat="false" ht="14.5" hidden="false" customHeight="false" outlineLevel="0" collapsed="false">
      <c r="F56" s="0"/>
      <c r="G56" s="0"/>
    </row>
    <row r="57" customFormat="false" ht="14.5" hidden="false" customHeight="false" outlineLevel="0" collapsed="false">
      <c r="F57" s="0"/>
      <c r="G57" s="0"/>
    </row>
    <row r="58" customFormat="false" ht="14.5" hidden="false" customHeight="false" outlineLevel="0" collapsed="false">
      <c r="F58" s="0"/>
      <c r="G58" s="0"/>
    </row>
    <row r="59" customFormat="false" ht="14.5" hidden="false" customHeight="false" outlineLevel="0" collapsed="false">
      <c r="F59" s="0"/>
      <c r="G59" s="0"/>
    </row>
    <row r="60" customFormat="false" ht="14.5" hidden="false" customHeight="false" outlineLevel="0" collapsed="false">
      <c r="F60" s="0"/>
      <c r="G60" s="0"/>
    </row>
    <row r="61" customFormat="false" ht="14.5" hidden="false" customHeight="false" outlineLevel="0" collapsed="false">
      <c r="F61" s="0"/>
      <c r="G61" s="0"/>
    </row>
    <row r="62" customFormat="false" ht="14.5" hidden="false" customHeight="false" outlineLevel="0" collapsed="false">
      <c r="F62" s="0"/>
      <c r="G62" s="0"/>
    </row>
    <row r="63" customFormat="false" ht="14.5" hidden="false" customHeight="false" outlineLevel="0" collapsed="false">
      <c r="F63" s="0"/>
      <c r="G63" s="0"/>
    </row>
    <row r="64" customFormat="false" ht="14.5" hidden="false" customHeight="false" outlineLevel="0" collapsed="false">
      <c r="F64" s="0"/>
      <c r="G64" s="0"/>
    </row>
    <row r="65" customFormat="false" ht="14.5" hidden="false" customHeight="false" outlineLevel="0" collapsed="false">
      <c r="F65" s="0"/>
      <c r="G65" s="0"/>
    </row>
    <row r="66" customFormat="false" ht="14.5" hidden="false" customHeight="false" outlineLevel="0" collapsed="false">
      <c r="F66" s="133" t="s">
        <v>291</v>
      </c>
      <c r="G66" s="133" t="n">
        <f aca="false">F10</f>
        <v>5500</v>
      </c>
      <c r="L66" s="133" t="n">
        <f aca="false">SUM(J18:J19)</f>
        <v>0.21287037037037</v>
      </c>
    </row>
    <row r="67" customFormat="false" ht="14.5" hidden="false" customHeight="false" outlineLevel="0" collapsed="false">
      <c r="F67" s="133" t="s">
        <v>245</v>
      </c>
      <c r="G67" s="133" t="n">
        <f aca="false">F12</f>
        <v>98</v>
      </c>
      <c r="L67" s="133" t="n">
        <f aca="false">J22</f>
        <v>1.68</v>
      </c>
    </row>
    <row r="68" customFormat="false" ht="14.5" hidden="false" customHeight="false" outlineLevel="0" collapsed="false">
      <c r="F68" s="133" t="s">
        <v>292</v>
      </c>
      <c r="G68" s="133" t="n">
        <f aca="false">SUM(F13:F15)</f>
        <v>131</v>
      </c>
      <c r="L68" s="133" t="n">
        <f aca="false">SUM(J27:J30)</f>
        <v>3.67</v>
      </c>
    </row>
    <row r="69" customFormat="false" ht="14.5" hidden="false" customHeight="false" outlineLevel="0" collapsed="false">
      <c r="F69" s="133" t="s">
        <v>247</v>
      </c>
      <c r="G69" s="133" t="n">
        <f aca="false">F18</f>
        <v>35.7</v>
      </c>
      <c r="L69" s="133" t="n">
        <f aca="false">J33</f>
        <v>1.4</v>
      </c>
    </row>
    <row r="70" customFormat="false" ht="14.5" hidden="false" customHeight="false" outlineLevel="0" collapsed="false">
      <c r="F70" s="133" t="s">
        <v>248</v>
      </c>
      <c r="G70" s="133" t="n">
        <f aca="false">SUM(F23:F24)</f>
        <v>420</v>
      </c>
    </row>
  </sheetData>
  <mergeCells count="8">
    <mergeCell ref="B6:D7"/>
    <mergeCell ref="F6:J7"/>
    <mergeCell ref="K6:O7"/>
    <mergeCell ref="P6:T7"/>
    <mergeCell ref="V6:Z7"/>
    <mergeCell ref="AB6:AF7"/>
    <mergeCell ref="AG6:AK7"/>
    <mergeCell ref="V36:Z36"/>
  </mergeCells>
  <hyperlinks>
    <hyperlink ref="B3" location="Start!A1" display="click he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C0504D"/>
    <pageSetUpPr fitToPage="false"/>
  </sheetPr>
  <dimension ref="A1:H109"/>
  <sheetViews>
    <sheetView windowProtection="false" showFormulas="false" showGridLines="true" showRowColHeaders="true" showZeros="true" rightToLeft="false" tabSelected="false" showOutlineSymbols="true" defaultGridColor="true" view="normal" topLeftCell="A81" colorId="64" zoomScale="55" zoomScaleNormal="55" zoomScalePageLayoutView="100" workbookViewId="0">
      <selection pane="topLeft" activeCell="D109" activeCellId="0" sqref="D109"/>
    </sheetView>
  </sheetViews>
  <sheetFormatPr defaultRowHeight="14.5"/>
  <cols>
    <col collapsed="false" hidden="false" max="1" min="1" style="0" width="16.1989795918367"/>
    <col collapsed="false" hidden="false" max="2" min="2" style="0" width="14.3112244897959"/>
    <col collapsed="false" hidden="false" max="4" min="3" style="0" width="15.3877551020408"/>
    <col collapsed="false" hidden="false" max="7" min="5" style="0" width="17.1428571428571"/>
    <col collapsed="false" hidden="false" max="1025" min="8" style="0" width="8.50510204081633"/>
  </cols>
  <sheetData>
    <row r="1" customFormat="false" ht="33.5" hidden="false" customHeight="false" outlineLevel="0" collapsed="false">
      <c r="A1" s="308" t="s">
        <v>470</v>
      </c>
      <c r="B1" s="85"/>
      <c r="C1" s="85"/>
      <c r="D1" s="85"/>
      <c r="E1" s="85"/>
      <c r="F1" s="85"/>
      <c r="G1" s="85"/>
    </row>
    <row r="2" customFormat="false" ht="14.5" hidden="false" customHeight="false" outlineLevel="0" collapsed="false">
      <c r="A2" s="85"/>
      <c r="B2" s="85"/>
      <c r="C2" s="85"/>
      <c r="D2" s="85"/>
      <c r="E2" s="85"/>
      <c r="F2" s="85"/>
      <c r="G2" s="85"/>
    </row>
    <row r="3" customFormat="false" ht="14.5" hidden="false" customHeight="false" outlineLevel="0" collapsed="false">
      <c r="A3" s="309" t="s">
        <v>471</v>
      </c>
      <c r="B3" s="309"/>
      <c r="C3" s="309"/>
      <c r="D3" s="309"/>
      <c r="E3" s="310" t="s">
        <v>472</v>
      </c>
      <c r="F3" s="311" t="s">
        <v>473</v>
      </c>
      <c r="G3" s="312" t="s">
        <v>474</v>
      </c>
    </row>
    <row r="4" customFormat="false" ht="14.5" hidden="false" customHeight="false" outlineLevel="0" collapsed="false">
      <c r="A4" s="309"/>
      <c r="B4" s="309"/>
      <c r="C4" s="309"/>
      <c r="D4" s="309"/>
      <c r="E4" s="310"/>
      <c r="F4" s="311"/>
      <c r="G4" s="312"/>
    </row>
    <row r="5" customFormat="false" ht="14.5" hidden="false" customHeight="false" outlineLevel="0" collapsed="false">
      <c r="A5" s="309"/>
      <c r="B5" s="309"/>
      <c r="C5" s="309"/>
      <c r="D5" s="309"/>
      <c r="E5" s="310"/>
      <c r="F5" s="311"/>
      <c r="G5" s="312"/>
    </row>
    <row r="6" customFormat="false" ht="28.5" hidden="false" customHeight="true" outlineLevel="0" collapsed="false">
      <c r="A6" s="313" t="s">
        <v>475</v>
      </c>
      <c r="B6" s="313" t="s">
        <v>476</v>
      </c>
      <c r="C6" s="313" t="s">
        <v>130</v>
      </c>
      <c r="D6" s="313" t="s">
        <v>477</v>
      </c>
      <c r="E6" s="313" t="s">
        <v>478</v>
      </c>
      <c r="F6" s="313" t="s">
        <v>479</v>
      </c>
      <c r="G6" s="313" t="s">
        <v>480</v>
      </c>
    </row>
    <row r="7" customFormat="false" ht="14.5" hidden="false" customHeight="false" outlineLevel="0" collapsed="false">
      <c r="A7" s="0" t="s">
        <v>481</v>
      </c>
      <c r="B7" s="0" t="s">
        <v>482</v>
      </c>
      <c r="C7" s="0" t="n">
        <f aca="false">Sub_Data!D10</f>
        <v>288</v>
      </c>
      <c r="D7" s="0" t="n">
        <v>0.57</v>
      </c>
      <c r="E7" s="314" t="n">
        <v>0.1</v>
      </c>
      <c r="F7" s="314" t="n">
        <v>0.1</v>
      </c>
      <c r="G7" s="314" t="n">
        <v>0.1</v>
      </c>
    </row>
    <row r="8" customFormat="false" ht="14.5" hidden="false" customHeight="false" outlineLevel="0" collapsed="false">
      <c r="A8" s="0" t="s">
        <v>483</v>
      </c>
      <c r="B8" s="0" t="s">
        <v>484</v>
      </c>
      <c r="C8" s="0" t="n">
        <f aca="false">Sub_Data!D2</f>
        <v>169</v>
      </c>
      <c r="D8" s="0" t="n">
        <v>17.65</v>
      </c>
      <c r="E8" s="314" t="n">
        <v>0</v>
      </c>
      <c r="F8" s="314" t="n">
        <v>0.2</v>
      </c>
      <c r="G8" s="314" t="n">
        <v>0</v>
      </c>
    </row>
    <row r="9" customFormat="false" ht="14.5" hidden="false" customHeight="false" outlineLevel="0" collapsed="false">
      <c r="A9" s="0" t="s">
        <v>485</v>
      </c>
      <c r="B9" s="0" t="s">
        <v>486</v>
      </c>
      <c r="C9" s="0" t="n">
        <f aca="false">Sub_Data!D3</f>
        <v>608.5</v>
      </c>
      <c r="D9" s="0" t="n">
        <v>3.79</v>
      </c>
      <c r="E9" s="314" t="n">
        <v>0</v>
      </c>
      <c r="F9" s="314" t="n">
        <v>0.3</v>
      </c>
      <c r="G9" s="314" t="n">
        <v>0</v>
      </c>
    </row>
    <row r="10" customFormat="false" ht="14.5" hidden="false" customHeight="false" outlineLevel="0" collapsed="false">
      <c r="A10" s="0" t="s">
        <v>487</v>
      </c>
      <c r="B10" s="0" t="s">
        <v>488</v>
      </c>
      <c r="C10" s="0" t="n">
        <f aca="false">Sub_Data!D6</f>
        <v>789.5</v>
      </c>
      <c r="D10" s="0" t="n">
        <v>0.77</v>
      </c>
      <c r="E10" s="314" t="n">
        <v>0</v>
      </c>
      <c r="F10" s="314" t="n">
        <v>0</v>
      </c>
      <c r="G10" s="314" t="n">
        <v>0</v>
      </c>
    </row>
    <row r="11" customFormat="false" ht="14.5" hidden="false" customHeight="false" outlineLevel="0" collapsed="false">
      <c r="A11" s="0" t="s">
        <v>174</v>
      </c>
      <c r="B11" s="0" t="s">
        <v>489</v>
      </c>
      <c r="C11" s="0" t="n">
        <f aca="false">Sub_Data!D5</f>
        <v>297.5</v>
      </c>
      <c r="D11" s="0" t="n">
        <v>0.66</v>
      </c>
      <c r="E11" s="314" t="n">
        <v>0.2</v>
      </c>
      <c r="F11" s="314" t="n">
        <v>0.2</v>
      </c>
      <c r="G11" s="314" t="n">
        <v>0.2</v>
      </c>
    </row>
    <row r="12" customFormat="false" ht="14.5" hidden="false" customHeight="false" outlineLevel="0" collapsed="false">
      <c r="A12" s="0" t="s">
        <v>490</v>
      </c>
      <c r="B12" s="0" t="s">
        <v>489</v>
      </c>
      <c r="C12" s="0" t="n">
        <f aca="false">Sub_Data!D9</f>
        <v>314</v>
      </c>
      <c r="D12" s="0" t="n">
        <v>0.39</v>
      </c>
      <c r="E12" s="314" t="n">
        <v>0.2</v>
      </c>
      <c r="F12" s="314" t="n">
        <v>0.2</v>
      </c>
      <c r="G12" s="314" t="n">
        <v>0.5</v>
      </c>
    </row>
    <row r="13" customFormat="false" ht="14.5" hidden="false" customHeight="false" outlineLevel="0" collapsed="false">
      <c r="A13" s="0" t="s">
        <v>491</v>
      </c>
      <c r="B13" s="0" t="s">
        <v>489</v>
      </c>
      <c r="C13" s="0" t="n">
        <f aca="false">Sub_Data!D4</f>
        <v>285</v>
      </c>
      <c r="D13" s="0" t="n">
        <v>2.41</v>
      </c>
      <c r="E13" s="314" t="n">
        <v>0.5</v>
      </c>
      <c r="F13" s="314" t="n">
        <v>0</v>
      </c>
      <c r="G13" s="314" t="n">
        <v>0.2</v>
      </c>
    </row>
    <row r="14" customFormat="false" ht="14.5" hidden="false" customHeight="false" outlineLevel="0" collapsed="false">
      <c r="A14" s="0" t="s">
        <v>121</v>
      </c>
      <c r="E14" s="314" t="n">
        <f aca="false">SUM(Table1[Case 1])</f>
        <v>1</v>
      </c>
      <c r="F14" s="314" t="n">
        <f aca="false">SUM(Table1[Case 2])</f>
        <v>1</v>
      </c>
      <c r="G14" s="314" t="n">
        <f aca="false">SUM(Table1[Case 3])</f>
        <v>1</v>
      </c>
    </row>
    <row r="15" customFormat="false" ht="14.5" hidden="false" customHeight="false" outlineLevel="0" collapsed="false">
      <c r="A15" s="315" t="s">
        <v>492</v>
      </c>
      <c r="B15" s="306"/>
      <c r="C15" s="306"/>
      <c r="D15" s="306"/>
      <c r="E15" s="316" t="str">
        <f aca="false">IF(Table1[[#Totals],[Case 1]]=1, "Correct", "Incorrect")</f>
        <v>Correct</v>
      </c>
      <c r="F15" s="316" t="str">
        <f aca="false">IF(Table1[[#Totals],[Case 2]]=1, "Correct", "Incorrect")</f>
        <v>Correct</v>
      </c>
      <c r="G15" s="316" t="str">
        <f aca="false">IF(Table1[[#Totals],[Case 3]]=1, "Correct", "Incorrect")</f>
        <v>Correct</v>
      </c>
    </row>
    <row r="16" customFormat="false" ht="14.5" hidden="false" customHeight="false" outlineLevel="0" collapsed="false">
      <c r="A16" s="317" t="s">
        <v>493</v>
      </c>
      <c r="B16" s="317"/>
      <c r="C16" s="317"/>
      <c r="D16" s="317"/>
      <c r="E16" s="317"/>
    </row>
    <row r="18" customFormat="false" ht="16" hidden="false" customHeight="false" outlineLevel="0" collapsed="false">
      <c r="A18" s="318" t="s">
        <v>475</v>
      </c>
      <c r="B18" s="318" t="s">
        <v>494</v>
      </c>
    </row>
    <row r="19" customFormat="false" ht="14.5" hidden="false" customHeight="false" outlineLevel="0" collapsed="false">
      <c r="A19" s="319" t="s">
        <v>481</v>
      </c>
      <c r="B19" s="320" t="n">
        <f aca="false">E7*C7*D7</f>
        <v>16.416</v>
      </c>
    </row>
    <row r="20" customFormat="false" ht="14.5" hidden="false" customHeight="false" outlineLevel="0" collapsed="false">
      <c r="A20" s="321" t="s">
        <v>483</v>
      </c>
      <c r="B20" s="322" t="n">
        <f aca="false">E8*C8*D8</f>
        <v>0</v>
      </c>
    </row>
    <row r="21" customFormat="false" ht="14.5" hidden="false" customHeight="false" outlineLevel="0" collapsed="false">
      <c r="A21" s="319" t="s">
        <v>485</v>
      </c>
      <c r="B21" s="320" t="n">
        <f aca="false">E9*C9*D9</f>
        <v>0</v>
      </c>
    </row>
    <row r="22" customFormat="false" ht="14.5" hidden="false" customHeight="false" outlineLevel="0" collapsed="false">
      <c r="A22" s="321" t="s">
        <v>487</v>
      </c>
      <c r="B22" s="322" t="n">
        <f aca="false">E10*C10*D10</f>
        <v>0</v>
      </c>
    </row>
    <row r="23" customFormat="false" ht="14.5" hidden="false" customHeight="false" outlineLevel="0" collapsed="false">
      <c r="A23" s="319" t="s">
        <v>174</v>
      </c>
      <c r="B23" s="320" t="n">
        <f aca="false">E11*C11*D11</f>
        <v>39.27</v>
      </c>
    </row>
    <row r="24" customFormat="false" ht="14.5" hidden="false" customHeight="false" outlineLevel="0" collapsed="false">
      <c r="A24" s="321" t="s">
        <v>490</v>
      </c>
      <c r="B24" s="322" t="n">
        <f aca="false">E12*C12*D12</f>
        <v>24.492</v>
      </c>
    </row>
    <row r="25" customFormat="false" ht="14.5" hidden="false" customHeight="false" outlineLevel="0" collapsed="false">
      <c r="A25" s="319" t="s">
        <v>491</v>
      </c>
      <c r="B25" s="320" t="n">
        <f aca="false">E13*C13*D13</f>
        <v>343.425</v>
      </c>
    </row>
    <row r="26" customFormat="false" ht="14.5" hidden="false" customHeight="false" outlineLevel="0" collapsed="false">
      <c r="A26" s="323" t="s">
        <v>121</v>
      </c>
      <c r="B26" s="324" t="n">
        <f aca="false">SUM(B19:B25)</f>
        <v>423.603</v>
      </c>
    </row>
    <row r="33" customFormat="false" ht="16" hidden="false" customHeight="false" outlineLevel="0" collapsed="false">
      <c r="A33" s="318" t="s">
        <v>475</v>
      </c>
      <c r="B33" s="318" t="s">
        <v>479</v>
      </c>
    </row>
    <row r="34" customFormat="false" ht="14.5" hidden="false" customHeight="false" outlineLevel="0" collapsed="false">
      <c r="A34" s="319" t="s">
        <v>481</v>
      </c>
      <c r="B34" s="320" t="n">
        <f aca="false">F7*C7*D7</f>
        <v>16.416</v>
      </c>
    </row>
    <row r="35" customFormat="false" ht="14.5" hidden="false" customHeight="false" outlineLevel="0" collapsed="false">
      <c r="A35" s="321" t="s">
        <v>483</v>
      </c>
      <c r="B35" s="325" t="n">
        <f aca="false">F8*C8*D8</f>
        <v>596.57</v>
      </c>
    </row>
    <row r="36" customFormat="false" ht="14.5" hidden="false" customHeight="false" outlineLevel="0" collapsed="false">
      <c r="A36" s="319" t="s">
        <v>485</v>
      </c>
      <c r="B36" s="320" t="n">
        <f aca="false">F9*C9*D9</f>
        <v>691.8645</v>
      </c>
    </row>
    <row r="37" customFormat="false" ht="14.5" hidden="false" customHeight="false" outlineLevel="0" collapsed="false">
      <c r="A37" s="321" t="s">
        <v>487</v>
      </c>
      <c r="B37" s="325" t="n">
        <f aca="false">F10*C10*D10</f>
        <v>0</v>
      </c>
    </row>
    <row r="38" customFormat="false" ht="14.5" hidden="false" customHeight="false" outlineLevel="0" collapsed="false">
      <c r="A38" s="319" t="s">
        <v>174</v>
      </c>
      <c r="B38" s="320" t="n">
        <f aca="false">F11*C11*D11</f>
        <v>39.27</v>
      </c>
    </row>
    <row r="39" customFormat="false" ht="14.5" hidden="false" customHeight="false" outlineLevel="0" collapsed="false">
      <c r="A39" s="321" t="s">
        <v>490</v>
      </c>
      <c r="B39" s="325" t="n">
        <f aca="false">F12*C12*D12</f>
        <v>24.492</v>
      </c>
    </row>
    <row r="40" customFormat="false" ht="14.5" hidden="false" customHeight="false" outlineLevel="0" collapsed="false">
      <c r="A40" s="319" t="s">
        <v>491</v>
      </c>
      <c r="B40" s="320" t="n">
        <f aca="false">F13*C13*D13</f>
        <v>0</v>
      </c>
    </row>
    <row r="41" customFormat="false" ht="14.5" hidden="false" customHeight="false" outlineLevel="0" collapsed="false">
      <c r="A41" s="323" t="s">
        <v>121</v>
      </c>
      <c r="B41" s="324" t="n">
        <f aca="false">SUM(B34:B40)</f>
        <v>1368.6125</v>
      </c>
    </row>
    <row r="49" customFormat="false" ht="16" hidden="false" customHeight="false" outlineLevel="0" collapsed="false">
      <c r="A49" s="318" t="s">
        <v>475</v>
      </c>
      <c r="B49" s="318" t="s">
        <v>480</v>
      </c>
    </row>
    <row r="50" customFormat="false" ht="14.5" hidden="false" customHeight="false" outlineLevel="0" collapsed="false">
      <c r="A50" s="319" t="s">
        <v>481</v>
      </c>
      <c r="B50" s="320" t="n">
        <f aca="false">G7*C7*D7</f>
        <v>16.416</v>
      </c>
    </row>
    <row r="51" customFormat="false" ht="14.5" hidden="false" customHeight="false" outlineLevel="0" collapsed="false">
      <c r="A51" s="321" t="s">
        <v>483</v>
      </c>
      <c r="B51" s="325" t="n">
        <f aca="false">G8*C8*D8</f>
        <v>0</v>
      </c>
    </row>
    <row r="52" customFormat="false" ht="14.5" hidden="false" customHeight="false" outlineLevel="0" collapsed="false">
      <c r="A52" s="319" t="s">
        <v>485</v>
      </c>
      <c r="B52" s="320" t="n">
        <f aca="false">G9*C9*D9</f>
        <v>0</v>
      </c>
    </row>
    <row r="53" customFormat="false" ht="14.5" hidden="false" customHeight="false" outlineLevel="0" collapsed="false">
      <c r="A53" s="321" t="s">
        <v>487</v>
      </c>
      <c r="B53" s="325" t="n">
        <f aca="false">G10*C10*D10</f>
        <v>0</v>
      </c>
    </row>
    <row r="54" customFormat="false" ht="14.5" hidden="false" customHeight="false" outlineLevel="0" collapsed="false">
      <c r="A54" s="319" t="s">
        <v>174</v>
      </c>
      <c r="B54" s="320" t="n">
        <f aca="false">G11*C11*D11</f>
        <v>39.27</v>
      </c>
    </row>
    <row r="55" customFormat="false" ht="14.5" hidden="false" customHeight="false" outlineLevel="0" collapsed="false">
      <c r="A55" s="321" t="s">
        <v>490</v>
      </c>
      <c r="B55" s="325" t="n">
        <f aca="false">G12*C12*D12</f>
        <v>61.23</v>
      </c>
    </row>
    <row r="56" customFormat="false" ht="14.5" hidden="false" customHeight="false" outlineLevel="0" collapsed="false">
      <c r="A56" s="319" t="s">
        <v>491</v>
      </c>
      <c r="B56" s="320" t="n">
        <f aca="false">G13*C13*D13</f>
        <v>137.37</v>
      </c>
    </row>
    <row r="57" customFormat="false" ht="14.5" hidden="false" customHeight="false" outlineLevel="0" collapsed="false">
      <c r="A57" s="323" t="s">
        <v>121</v>
      </c>
      <c r="B57" s="324" t="n">
        <f aca="false">SUM(B50:B56)</f>
        <v>254.286</v>
      </c>
    </row>
    <row r="64" s="198" customFormat="true" ht="15" hidden="false" customHeight="false" outlineLevel="0" collapsed="false"/>
    <row r="66" customFormat="false" ht="14.5" hidden="false" customHeight="true" outlineLevel="0" collapsed="false">
      <c r="A66" s="309" t="s">
        <v>495</v>
      </c>
      <c r="B66" s="309"/>
      <c r="C66" s="309"/>
      <c r="E66" s="326" t="s">
        <v>496</v>
      </c>
      <c r="F66" s="326"/>
      <c r="G66" s="326"/>
      <c r="H66" s="326"/>
    </row>
    <row r="67" customFormat="false" ht="14.5" hidden="false" customHeight="true" outlineLevel="0" collapsed="false">
      <c r="A67" s="309"/>
      <c r="B67" s="309"/>
      <c r="C67" s="309"/>
      <c r="E67" s="326"/>
      <c r="F67" s="326"/>
      <c r="G67" s="326"/>
      <c r="H67" s="326"/>
    </row>
    <row r="68" customFormat="false" ht="14.5" hidden="false" customHeight="false" outlineLevel="0" collapsed="false">
      <c r="A68" s="327" t="s">
        <v>497</v>
      </c>
      <c r="B68" s="327" t="s">
        <v>498</v>
      </c>
      <c r="C68" s="327" t="s">
        <v>499</v>
      </c>
      <c r="E68" s="328" t="s">
        <v>500</v>
      </c>
      <c r="F68" s="328"/>
      <c r="G68" s="328"/>
      <c r="H68" s="328"/>
    </row>
    <row r="69" customFormat="false" ht="14.5" hidden="false" customHeight="false" outlineLevel="0" collapsed="false">
      <c r="A69" s="0" t="s">
        <v>472</v>
      </c>
      <c r="B69" s="0" t="s">
        <v>478</v>
      </c>
      <c r="C69" s="133" t="n">
        <f aca="false">B26</f>
        <v>423.603</v>
      </c>
      <c r="E69" s="328" t="s">
        <v>501</v>
      </c>
      <c r="F69" s="328"/>
      <c r="G69" s="328"/>
      <c r="H69" s="328"/>
    </row>
    <row r="70" customFormat="false" ht="14.5" hidden="false" customHeight="false" outlineLevel="0" collapsed="false">
      <c r="A70" s="0" t="s">
        <v>473</v>
      </c>
      <c r="B70" s="0" t="s">
        <v>479</v>
      </c>
      <c r="C70" s="133" t="n">
        <f aca="false">B41</f>
        <v>1368.6125</v>
      </c>
      <c r="E70" s="328" t="s">
        <v>502</v>
      </c>
      <c r="F70" s="328"/>
      <c r="G70" s="328"/>
      <c r="H70" s="328"/>
    </row>
    <row r="71" customFormat="false" ht="14.5" hidden="false" customHeight="false" outlineLevel="0" collapsed="false">
      <c r="A71" s="0" t="s">
        <v>474</v>
      </c>
      <c r="B71" s="0" t="s">
        <v>480</v>
      </c>
      <c r="C71" s="133" t="n">
        <f aca="false">B57</f>
        <v>254.286</v>
      </c>
      <c r="E71" s="329"/>
      <c r="F71" s="329"/>
      <c r="G71" s="329"/>
      <c r="H71" s="329"/>
    </row>
    <row r="88" s="281" customFormat="true" ht="14.5" hidden="false" customHeight="false" outlineLevel="0" collapsed="false"/>
    <row r="90" customFormat="false" ht="14.5" hidden="false" customHeight="false" outlineLevel="0" collapsed="false">
      <c r="A90" s="0" t="e">
        <f aca="false">#REF!</f>
        <v>#REF!</v>
      </c>
      <c r="B90" s="0" t="e">
        <f aca="false">#REF!</f>
        <v>#REF!</v>
      </c>
    </row>
    <row r="91" customFormat="false" ht="14.5" hidden="false" customHeight="false" outlineLevel="0" collapsed="false">
      <c r="A91" s="0" t="e">
        <f aca="false">#REF!</f>
        <v>#REF!</v>
      </c>
      <c r="B91" s="0" t="e">
        <f aca="false">#REF!</f>
        <v>#REF!</v>
      </c>
    </row>
    <row r="92" customFormat="false" ht="14.5" hidden="false" customHeight="false" outlineLevel="0" collapsed="false">
      <c r="A92" s="0" t="e">
        <f aca="false">#REF!</f>
        <v>#REF!</v>
      </c>
      <c r="B92" s="0" t="e">
        <f aca="false">#REF!</f>
        <v>#REF!</v>
      </c>
    </row>
    <row r="93" customFormat="false" ht="14.5" hidden="false" customHeight="false" outlineLevel="0" collapsed="false">
      <c r="A93" s="0" t="e">
        <f aca="false">#REF!</f>
        <v>#REF!</v>
      </c>
      <c r="B93" s="0" t="e">
        <f aca="false">#REF!</f>
        <v>#REF!</v>
      </c>
    </row>
    <row r="94" customFormat="false" ht="14.5" hidden="false" customHeight="false" outlineLevel="0" collapsed="false">
      <c r="A94" s="0" t="e">
        <f aca="false">#REF!</f>
        <v>#REF!</v>
      </c>
      <c r="B94" s="0" t="e">
        <f aca="false">#REF!</f>
        <v>#REF!</v>
      </c>
    </row>
    <row r="95" customFormat="false" ht="14.5" hidden="false" customHeight="false" outlineLevel="0" collapsed="false">
      <c r="A95" s="0" t="e">
        <f aca="false">#REF!</f>
        <v>#REF!</v>
      </c>
      <c r="B95" s="0" t="e">
        <f aca="false">#REF!</f>
        <v>#REF!</v>
      </c>
    </row>
    <row r="96" customFormat="false" ht="14.5" hidden="false" customHeight="false" outlineLevel="0" collapsed="false">
      <c r="A96" s="0" t="e">
        <f aca="false">#REF!</f>
        <v>#REF!</v>
      </c>
      <c r="B96" s="0" t="e">
        <f aca="false">#REF!</f>
        <v>#REF!</v>
      </c>
    </row>
    <row r="97" customFormat="false" ht="14.5" hidden="false" customHeight="false" outlineLevel="0" collapsed="false">
      <c r="A97" s="0" t="e">
        <f aca="false">#REF!</f>
        <v>#REF!</v>
      </c>
      <c r="B97" s="0" t="e">
        <f aca="false">#REF!</f>
        <v>#REF!</v>
      </c>
    </row>
    <row r="98" customFormat="false" ht="14.5" hidden="false" customHeight="false" outlineLevel="0" collapsed="false">
      <c r="A98" s="0" t="e">
        <f aca="false">#REF!</f>
        <v>#REF!</v>
      </c>
      <c r="B98" s="0" t="e">
        <f aca="false">#REF!</f>
        <v>#REF!</v>
      </c>
    </row>
    <row r="99" customFormat="false" ht="14.5" hidden="false" customHeight="false" outlineLevel="0" collapsed="false">
      <c r="A99" s="0" t="e">
        <f aca="false">#REF!</f>
        <v>#REF!</v>
      </c>
      <c r="B99" s="0" t="e">
        <f aca="false">#REF!</f>
        <v>#REF!</v>
      </c>
    </row>
    <row r="100" customFormat="false" ht="14.5" hidden="false" customHeight="false" outlineLevel="0" collapsed="false">
      <c r="A100" s="0" t="e">
        <f aca="false">#REF!</f>
        <v>#REF!</v>
      </c>
      <c r="B100" s="0" t="e">
        <f aca="false">#REF!</f>
        <v>#REF!</v>
      </c>
    </row>
    <row r="101" customFormat="false" ht="14.5" hidden="false" customHeight="false" outlineLevel="0" collapsed="false">
      <c r="A101" s="0" t="e">
        <f aca="false">#REF!</f>
        <v>#REF!</v>
      </c>
      <c r="B101" s="0" t="e">
        <f aca="false">#REF!</f>
        <v>#REF!</v>
      </c>
    </row>
    <row r="102" customFormat="false" ht="14.5" hidden="false" customHeight="false" outlineLevel="0" collapsed="false">
      <c r="A102" s="0" t="e">
        <f aca="false">#REF!</f>
        <v>#REF!</v>
      </c>
      <c r="B102" s="0" t="e">
        <f aca="false">#REF!</f>
        <v>#REF!</v>
      </c>
    </row>
    <row r="103" customFormat="false" ht="14.5" hidden="false" customHeight="false" outlineLevel="0" collapsed="false">
      <c r="A103" s="0" t="e">
        <f aca="false">#REF!</f>
        <v>#REF!</v>
      </c>
      <c r="B103" s="0" t="e">
        <f aca="false">#REF!</f>
        <v>#REF!</v>
      </c>
    </row>
    <row r="104" customFormat="false" ht="14.5" hidden="false" customHeight="false" outlineLevel="0" collapsed="false">
      <c r="A104" s="0" t="e">
        <f aca="false">#REF!</f>
        <v>#REF!</v>
      </c>
      <c r="B104" s="0" t="e">
        <f aca="false">#REF!</f>
        <v>#REF!</v>
      </c>
    </row>
    <row r="105" customFormat="false" ht="14.5" hidden="false" customHeight="false" outlineLevel="0" collapsed="false">
      <c r="A105" s="0" t="e">
        <f aca="false">#REF!</f>
        <v>#REF!</v>
      </c>
      <c r="B105" s="0" t="e">
        <f aca="false">#REF!</f>
        <v>#REF!</v>
      </c>
    </row>
    <row r="106" customFormat="false" ht="14.5" hidden="false" customHeight="false" outlineLevel="0" collapsed="false">
      <c r="A106" s="0" t="e">
        <f aca="false">#REF!</f>
        <v>#REF!</v>
      </c>
      <c r="B106" s="0" t="e">
        <f aca="false">#REF!</f>
        <v>#REF!</v>
      </c>
    </row>
    <row r="107" customFormat="false" ht="14.5" hidden="false" customHeight="false" outlineLevel="0" collapsed="false">
      <c r="A107" s="0" t="e">
        <f aca="false">#REF!</f>
        <v>#REF!</v>
      </c>
      <c r="B107" s="0" t="e">
        <f aca="false">#REF!</f>
        <v>#REF!</v>
      </c>
    </row>
    <row r="108" customFormat="false" ht="14.5" hidden="false" customHeight="false" outlineLevel="0" collapsed="false">
      <c r="A108" s="0" t="e">
        <f aca="false">#REF!</f>
        <v>#REF!</v>
      </c>
      <c r="B108" s="0" t="e">
        <f aca="false">#REF!</f>
        <v>#REF!</v>
      </c>
    </row>
    <row r="109" customFormat="false" ht="14.5" hidden="false" customHeight="false" outlineLevel="0" collapsed="false">
      <c r="A109" s="0" t="e">
        <f aca="false">#REF!</f>
        <v>#REF!</v>
      </c>
      <c r="B109" s="0" t="e">
        <f aca="false">#REF!</f>
        <v>#REF!</v>
      </c>
    </row>
  </sheetData>
  <mergeCells count="11">
    <mergeCell ref="A3:D5"/>
    <mergeCell ref="E3:E5"/>
    <mergeCell ref="F3:F5"/>
    <mergeCell ref="G3:G5"/>
    <mergeCell ref="A16:E16"/>
    <mergeCell ref="A66:C67"/>
    <mergeCell ref="E66:H67"/>
    <mergeCell ref="E68:H68"/>
    <mergeCell ref="E69:H69"/>
    <mergeCell ref="E70:H70"/>
    <mergeCell ref="E71:H7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 r:id="rId3"/>
  </tableParts>
</worksheet>
</file>

<file path=xl/worksheets/sheet17.xml><?xml version="1.0" encoding="utf-8"?>
<worksheet xmlns="http://schemas.openxmlformats.org/spreadsheetml/2006/main" xmlns:r="http://schemas.openxmlformats.org/officeDocument/2006/relationships">
  <sheetPr filterMode="false">
    <pageSetUpPr fitToPage="false"/>
  </sheetPr>
  <dimension ref="A1:K21"/>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G7" activeCellId="0" sqref="G7"/>
    </sheetView>
  </sheetViews>
  <sheetFormatPr defaultRowHeight="14.5"/>
  <cols>
    <col collapsed="false" hidden="false" max="2" min="1" style="0" width="17.4132653061224"/>
    <col collapsed="false" hidden="false" max="1025" min="3" style="0" width="8.50510204081633"/>
  </cols>
  <sheetData>
    <row r="1" customFormat="false" ht="14.5" hidden="false" customHeight="false" outlineLevel="0" collapsed="false">
      <c r="A1" s="0" t="s">
        <v>503</v>
      </c>
      <c r="C1" s="0" t="s">
        <v>504</v>
      </c>
      <c r="D1" s="0" t="s">
        <v>130</v>
      </c>
      <c r="E1" s="0" t="s">
        <v>505</v>
      </c>
    </row>
    <row r="2" customFormat="false" ht="14.5" hidden="false" customHeight="false" outlineLevel="0" collapsed="false">
      <c r="A2" s="107" t="s">
        <v>483</v>
      </c>
      <c r="B2" s="107" t="s">
        <v>506</v>
      </c>
      <c r="C2" s="107" t="n">
        <v>338</v>
      </c>
      <c r="D2" s="107" t="n">
        <f aca="false">C2/2</f>
        <v>169</v>
      </c>
    </row>
    <row r="3" customFormat="false" ht="14.5" hidden="false" customHeight="false" outlineLevel="0" collapsed="false">
      <c r="A3" s="107" t="s">
        <v>485</v>
      </c>
      <c r="B3" s="107" t="s">
        <v>507</v>
      </c>
      <c r="C3" s="107" t="n">
        <v>1217</v>
      </c>
      <c r="D3" s="107" t="n">
        <f aca="false">C3/2</f>
        <v>608.5</v>
      </c>
    </row>
    <row r="4" customFormat="false" ht="14.5" hidden="false" customHeight="false" outlineLevel="0" collapsed="false">
      <c r="A4" s="107" t="s">
        <v>491</v>
      </c>
      <c r="B4" s="107" t="s">
        <v>508</v>
      </c>
      <c r="C4" s="107" t="n">
        <v>570</v>
      </c>
      <c r="D4" s="107" t="n">
        <f aca="false">C4/2</f>
        <v>285</v>
      </c>
    </row>
    <row r="5" customFormat="false" ht="14.5" hidden="false" customHeight="false" outlineLevel="0" collapsed="false">
      <c r="A5" s="107" t="s">
        <v>509</v>
      </c>
      <c r="B5" s="107" t="s">
        <v>507</v>
      </c>
      <c r="C5" s="107" t="n">
        <v>595</v>
      </c>
      <c r="D5" s="107" t="n">
        <f aca="false">C5/2</f>
        <v>297.5</v>
      </c>
    </row>
    <row r="6" customFormat="false" ht="14.5" hidden="false" customHeight="false" outlineLevel="0" collapsed="false">
      <c r="A6" s="107" t="s">
        <v>487</v>
      </c>
      <c r="B6" s="107" t="s">
        <v>510</v>
      </c>
      <c r="C6" s="107" t="n">
        <v>1579</v>
      </c>
      <c r="D6" s="107" t="n">
        <f aca="false">C6/2</f>
        <v>789.5</v>
      </c>
    </row>
    <row r="7" customFormat="false" ht="14.5" hidden="false" customHeight="false" outlineLevel="0" collapsed="false">
      <c r="A7" s="107" t="s">
        <v>148</v>
      </c>
      <c r="B7" s="107" t="s">
        <v>511</v>
      </c>
      <c r="C7" s="107" t="n">
        <v>830</v>
      </c>
      <c r="D7" s="107" t="n">
        <f aca="false">C7/2</f>
        <v>415</v>
      </c>
    </row>
    <row r="8" customFormat="false" ht="14.5" hidden="false" customHeight="false" outlineLevel="0" collapsed="false">
      <c r="A8" s="107" t="s">
        <v>512</v>
      </c>
      <c r="B8" s="107" t="s">
        <v>513</v>
      </c>
      <c r="C8" s="107" t="n">
        <v>924</v>
      </c>
      <c r="D8" s="107" t="n">
        <f aca="false">C8/2</f>
        <v>462</v>
      </c>
    </row>
    <row r="9" customFormat="false" ht="14.5" hidden="false" customHeight="false" outlineLevel="0" collapsed="false">
      <c r="A9" s="107" t="s">
        <v>490</v>
      </c>
      <c r="B9" s="107" t="s">
        <v>514</v>
      </c>
      <c r="C9" s="107" t="n">
        <v>628</v>
      </c>
      <c r="D9" s="107" t="n">
        <f aca="false">C9/2</f>
        <v>314</v>
      </c>
    </row>
    <row r="10" customFormat="false" ht="14.5" hidden="false" customHeight="false" outlineLevel="0" collapsed="false">
      <c r="A10" s="107" t="s">
        <v>481</v>
      </c>
      <c r="B10" s="107" t="s">
        <v>515</v>
      </c>
      <c r="C10" s="107" t="n">
        <v>576</v>
      </c>
      <c r="D10" s="107" t="n">
        <f aca="false">C10/2</f>
        <v>288</v>
      </c>
    </row>
    <row r="12" customFormat="false" ht="14.5" hidden="false" customHeight="false" outlineLevel="0" collapsed="false">
      <c r="A12" s="330" t="s">
        <v>516</v>
      </c>
    </row>
    <row r="13" customFormat="false" ht="14.5" hidden="false" customHeight="false" outlineLevel="0" collapsed="false">
      <c r="A13" s="330" t="s">
        <v>517</v>
      </c>
    </row>
    <row r="14" customFormat="false" ht="14.5" hidden="false" customHeight="false" outlineLevel="0" collapsed="false">
      <c r="I14" s="0" t="s">
        <v>497</v>
      </c>
      <c r="J14" s="0" t="n">
        <v>2600</v>
      </c>
      <c r="K14" s="0" t="s">
        <v>518</v>
      </c>
    </row>
    <row r="15" customFormat="false" ht="14.5" hidden="false" customHeight="false" outlineLevel="0" collapsed="false">
      <c r="I15" s="0" t="s">
        <v>519</v>
      </c>
      <c r="J15" s="0" t="n">
        <v>450</v>
      </c>
    </row>
    <row r="16" customFormat="false" ht="14.5" hidden="false" customHeight="false" outlineLevel="0" collapsed="false">
      <c r="I16" s="0" t="s">
        <v>520</v>
      </c>
      <c r="J16" s="0" t="n">
        <v>80</v>
      </c>
    </row>
    <row r="17" customFormat="false" ht="14.5" hidden="false" customHeight="false" outlineLevel="0" collapsed="false">
      <c r="I17" s="0" t="s">
        <v>211</v>
      </c>
      <c r="J17" s="0" t="n">
        <v>50</v>
      </c>
    </row>
    <row r="18" customFormat="false" ht="14.5" hidden="false" customHeight="false" outlineLevel="0" collapsed="false">
      <c r="I18" s="0" t="s">
        <v>521</v>
      </c>
      <c r="J18" s="0" t="n">
        <v>580</v>
      </c>
    </row>
    <row r="19" customFormat="false" ht="14.5" hidden="false" customHeight="false" outlineLevel="0" collapsed="false">
      <c r="I19" s="0" t="s">
        <v>112</v>
      </c>
      <c r="J19" s="0" t="n">
        <v>220</v>
      </c>
    </row>
    <row r="20" customFormat="false" ht="14.5" hidden="false" customHeight="false" outlineLevel="0" collapsed="false">
      <c r="I20" s="0" t="s">
        <v>522</v>
      </c>
      <c r="J20" s="0" t="n">
        <v>180</v>
      </c>
    </row>
    <row r="21" customFormat="false" ht="14.5" hidden="false" customHeight="false" outlineLevel="0" collapsed="false">
      <c r="I21" s="0" t="s">
        <v>523</v>
      </c>
      <c r="J21" s="0" t="n">
        <f aca="false">J14-SUM(J15:J20)</f>
        <v>1040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sheetPr filterMode="false">
    <pageSetUpPr fitToPage="false"/>
  </sheetPr>
  <dimension ref="A1:R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4.5"/>
  <cols>
    <col collapsed="false" hidden="false" max="1" min="1" style="0" width="16.8724489795918"/>
    <col collapsed="false" hidden="false" max="5" min="2" style="0" width="14.1734693877551"/>
    <col collapsed="false" hidden="false" max="1025" min="6" style="0" width="8.50510204081633"/>
  </cols>
  <sheetData>
    <row r="1" customFormat="false" ht="14.5" hidden="false" customHeight="false" outlineLevel="0" collapsed="false">
      <c r="B1" s="0" t="s">
        <v>134</v>
      </c>
      <c r="C1" s="0" t="s">
        <v>137</v>
      </c>
      <c r="D1" s="0" t="s">
        <v>141</v>
      </c>
      <c r="E1" s="0" t="s">
        <v>524</v>
      </c>
      <c r="G1" s="331" t="s">
        <v>525</v>
      </c>
      <c r="H1" s="331"/>
      <c r="I1" s="331"/>
      <c r="J1" s="331"/>
      <c r="K1" s="331"/>
      <c r="L1" s="331"/>
      <c r="M1" s="331"/>
      <c r="N1" s="331"/>
      <c r="O1" s="331"/>
      <c r="P1" s="331"/>
      <c r="Q1" s="331"/>
      <c r="R1" s="332"/>
    </row>
    <row r="2" customFormat="false" ht="14.5" hidden="false" customHeight="false" outlineLevel="0" collapsed="false">
      <c r="A2" s="0" t="s">
        <v>128</v>
      </c>
      <c r="B2" s="0" t="s">
        <v>526</v>
      </c>
      <c r="C2" s="0" t="s">
        <v>526</v>
      </c>
      <c r="D2" s="0" t="s">
        <v>526</v>
      </c>
      <c r="E2" s="0" t="s">
        <v>526</v>
      </c>
      <c r="G2" s="0" t="s">
        <v>527</v>
      </c>
    </row>
    <row r="3" customFormat="false" ht="14.5" hidden="false" customHeight="false" outlineLevel="0" collapsed="false">
      <c r="A3" s="0" t="n">
        <v>0</v>
      </c>
      <c r="B3" s="0" t="n">
        <v>0.03</v>
      </c>
      <c r="C3" s="0" t="n">
        <v>0.03</v>
      </c>
      <c r="D3" s="0" t="n">
        <v>0.03</v>
      </c>
      <c r="E3" s="0" t="n">
        <v>0.03</v>
      </c>
    </row>
    <row r="4" customFormat="false" ht="14.5" hidden="false" customHeight="true" outlineLevel="0" collapsed="false">
      <c r="A4" s="0" t="n">
        <v>1</v>
      </c>
      <c r="B4" s="0" t="n">
        <f aca="false">(($A$4*0.15)/1000)+B3</f>
        <v>0.03015</v>
      </c>
      <c r="C4" s="0" t="n">
        <f aca="false">(($A$4*0.037)/1000)+C3</f>
        <v>0.030037</v>
      </c>
      <c r="D4" s="0" t="n">
        <f aca="false">(($A$4*0.015)/1000)+D3</f>
        <v>0.030015</v>
      </c>
      <c r="E4" s="0" t="n">
        <f aca="false">(($A$4*1)/1000)+E3</f>
        <v>0.031</v>
      </c>
      <c r="G4" s="333" t="s">
        <v>528</v>
      </c>
      <c r="H4" s="333"/>
      <c r="I4" s="333"/>
      <c r="J4" s="333"/>
      <c r="K4" s="333"/>
      <c r="L4" s="333"/>
      <c r="M4" s="333"/>
      <c r="N4" s="333"/>
      <c r="O4" s="333"/>
      <c r="P4" s="333"/>
    </row>
    <row r="6" customFormat="false" ht="14.5" hidden="false" customHeight="false" outlineLevel="0" collapsed="false">
      <c r="G6" s="331" t="s">
        <v>529</v>
      </c>
      <c r="H6" s="331"/>
      <c r="I6" s="331"/>
      <c r="J6" s="331"/>
      <c r="K6" s="331"/>
    </row>
    <row r="7" customFormat="false" ht="14.5" hidden="false" customHeight="false" outlineLevel="0" collapsed="false">
      <c r="A7" s="0" t="s">
        <v>134</v>
      </c>
      <c r="B7" s="0" t="n">
        <f aca="false">0.15/1000</f>
        <v>0.00015</v>
      </c>
    </row>
    <row r="8" customFormat="false" ht="14.5" hidden="false" customHeight="false" outlineLevel="0" collapsed="false">
      <c r="A8" s="0" t="s">
        <v>137</v>
      </c>
      <c r="B8" s="0" t="n">
        <f aca="false">0.037/1000</f>
        <v>3.7E-005</v>
      </c>
    </row>
    <row r="9" customFormat="false" ht="14.5" hidden="false" customHeight="false" outlineLevel="0" collapsed="false">
      <c r="A9" s="0" t="s">
        <v>141</v>
      </c>
      <c r="B9" s="0" t="n">
        <f aca="false">0.015/1000</f>
        <v>1.5E-005</v>
      </c>
    </row>
    <row r="10" customFormat="false" ht="14.5" hidden="false" customHeight="false" outlineLevel="0" collapsed="false">
      <c r="A10" s="0" t="s">
        <v>524</v>
      </c>
      <c r="B10" s="0" t="n">
        <f aca="false">1/1000</f>
        <v>0.001</v>
      </c>
    </row>
  </sheetData>
  <mergeCells count="3">
    <mergeCell ref="G1:Q1"/>
    <mergeCell ref="G4:P4"/>
    <mergeCell ref="G6:K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true">
    <pageSetUpPr fitToPage="false"/>
  </sheetPr>
  <dimension ref="B2:E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RowHeight="14.5"/>
  <cols>
    <col collapsed="false" hidden="false" max="1" min="1" style="0" width="8.63775510204082"/>
    <col collapsed="false" hidden="false" max="2" min="2" style="0" width="25.6479591836735"/>
    <col collapsed="false" hidden="false" max="3" min="3" style="0" width="17.1428571428571"/>
    <col collapsed="false" hidden="false" max="4" min="4" style="0" width="8.50510204081633"/>
    <col collapsed="false" hidden="false" max="5" min="5" style="0" width="21.0612244897959"/>
    <col collapsed="false" hidden="false" max="7" min="6" style="0" width="12.9591836734694"/>
    <col collapsed="false" hidden="false" max="1025" min="8" style="0" width="8.50510204081633"/>
  </cols>
  <sheetData>
    <row r="2" customFormat="false" ht="14.5" hidden="false" customHeight="false" outlineLevel="0" collapsed="false">
      <c r="B2" s="0" t="s">
        <v>530</v>
      </c>
      <c r="C2" s="0" t="s">
        <v>531</v>
      </c>
      <c r="E2" s="0" t="s">
        <v>532</v>
      </c>
    </row>
    <row r="3" customFormat="false" ht="14.5" hidden="false" customHeight="false" outlineLevel="0" collapsed="false">
      <c r="B3" s="0" t="s">
        <v>163</v>
      </c>
      <c r="C3" s="0" t="s">
        <v>137</v>
      </c>
      <c r="E3" s="0" t="s">
        <v>533</v>
      </c>
    </row>
    <row r="4" customFormat="false" ht="14.5" hidden="false" customHeight="false" outlineLevel="0" collapsed="false">
      <c r="B4" s="0" t="s">
        <v>179</v>
      </c>
      <c r="C4" s="0" t="s">
        <v>134</v>
      </c>
      <c r="E4" s="0" t="s">
        <v>534</v>
      </c>
    </row>
    <row r="5" customFormat="false" ht="14.5" hidden="false" customHeight="false" outlineLevel="0" collapsed="false">
      <c r="B5" s="0" t="s">
        <v>170</v>
      </c>
      <c r="C5" s="0" t="s">
        <v>141</v>
      </c>
    </row>
    <row r="6" customFormat="false" ht="14.5" hidden="false" customHeight="false" outlineLevel="0" collapsed="false">
      <c r="B6" s="0" t="s">
        <v>149</v>
      </c>
      <c r="C6" s="0" t="s">
        <v>524</v>
      </c>
    </row>
    <row r="7" customFormat="false" ht="14.5" hidden="false" customHeight="false" outlineLevel="0" collapsed="false">
      <c r="B7" s="0" t="s">
        <v>132</v>
      </c>
    </row>
    <row r="8" customFormat="false" ht="14.5" hidden="false" customHeight="false" outlineLevel="0" collapsed="false">
      <c r="B8" s="0" t="s">
        <v>211</v>
      </c>
    </row>
    <row r="9" customFormat="false" ht="14.5" hidden="false" customHeight="false" outlineLevel="0" collapsed="false">
      <c r="B9" s="0" t="s">
        <v>192</v>
      </c>
    </row>
  </sheetData>
  <dataValidations count="1">
    <dataValidation allowBlank="true" operator="between" showDropDown="false" showErrorMessage="true" showInputMessage="true" sqref="H3" type="list">
      <formula1>$B$3:$B$9</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4BACC6"/>
    <pageSetUpPr fitToPage="false"/>
  </sheetPr>
  <dimension ref="1:70"/>
  <sheetViews>
    <sheetView windowProtection="true" showFormulas="false" showGridLines="false" showRowColHeaders="true" showZeros="true" rightToLeft="false" tabSelected="false" showOutlineSymbols="true" defaultGridColor="true" view="normal" topLeftCell="A3" colorId="64" zoomScale="100" zoomScaleNormal="100" zoomScalePageLayoutView="100" workbookViewId="0">
      <pane xSplit="0" ySplit="7" topLeftCell="A25" activePane="bottomLeft" state="frozen"/>
      <selection pane="topLeft" activeCell="A3" activeCellId="0" sqref="A3"/>
      <selection pane="bottomLeft" activeCell="B11" activeCellId="0" sqref="B11"/>
    </sheetView>
  </sheetViews>
  <sheetFormatPr defaultRowHeight="14.5"/>
  <cols>
    <col collapsed="false" hidden="false" max="1" min="1" style="25" width="57.7755102040816"/>
    <col collapsed="false" hidden="false" max="2" min="2" style="25" width="28.7551020408163"/>
    <col collapsed="false" hidden="false" max="3" min="3" style="25" width="19.0357142857143"/>
    <col collapsed="false" hidden="false" max="5" min="4" style="25" width="15.7959183673469"/>
    <col collapsed="false" hidden="false" max="6" min="6" style="26" width="13.2295918367347"/>
    <col collapsed="false" hidden="false" max="7" min="7" style="26" width="14.3112244897959"/>
    <col collapsed="false" hidden="false" max="8" min="8" style="26" width="17.280612244898"/>
    <col collapsed="false" hidden="false" max="9" min="9" style="26" width="18.4948979591837"/>
    <col collapsed="false" hidden="false" max="10" min="10" style="26" width="14.7142857142857"/>
    <col collapsed="false" hidden="false" max="11" min="11" style="25" width="15.6581632653061"/>
    <col collapsed="false" hidden="false" max="12" min="12" style="25" width="14.3112244897959"/>
    <col collapsed="false" hidden="false" max="13" min="13" style="25" width="17.5510204081633"/>
    <col collapsed="false" hidden="false" max="14" min="14" style="25" width="18.6275510204082"/>
    <col collapsed="false" hidden="false" max="15" min="15" style="25" width="14.3112244897959"/>
    <col collapsed="false" hidden="false" max="1025" min="16" style="25" width="8.50510204081633"/>
  </cols>
  <sheetData>
    <row r="1" customFormat="false" ht="28.5" hidden="false" customHeight="false" outlineLevel="0" collapsed="false">
      <c r="A1" s="27" t="s">
        <v>30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4.5" hidden="false" customHeight="false" outlineLevel="0" collapsed="false">
      <c r="A2" s="28" t="s">
        <v>31</v>
      </c>
      <c r="B2" s="28"/>
      <c r="C2" s="28"/>
      <c r="D2" s="28"/>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1" hidden="false" customHeight="false" outlineLevel="0" collapsed="false">
      <c r="A3" s="29" t="s">
        <v>32</v>
      </c>
      <c r="B3" s="30"/>
      <c r="C3" s="31"/>
      <c r="D3" s="31"/>
      <c r="E3" s="32"/>
      <c r="F3" s="33"/>
      <c r="G3" s="33"/>
      <c r="H3" s="33"/>
      <c r="I3" s="33"/>
      <c r="J3" s="33"/>
      <c r="K3" s="32"/>
      <c r="L3" s="32"/>
      <c r="M3" s="32"/>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4.5" hidden="false" customHeight="false" outlineLevel="0" collapsed="false">
      <c r="A4" s="31"/>
      <c r="B4" s="31"/>
      <c r="C4" s="31"/>
      <c r="D4" s="31"/>
      <c r="E4" s="32"/>
      <c r="F4" s="33"/>
      <c r="G4" s="33"/>
      <c r="H4" s="33"/>
      <c r="I4" s="33"/>
      <c r="J4" s="33"/>
      <c r="K4" s="32"/>
      <c r="L4" s="32"/>
      <c r="M4" s="32"/>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false" outlineLevel="0" collapsed="false">
      <c r="A5" s="32"/>
      <c r="B5" s="32"/>
      <c r="C5" s="32"/>
      <c r="D5" s="32"/>
      <c r="E5" s="32"/>
      <c r="F5" s="33"/>
      <c r="G5" s="33"/>
      <c r="H5" s="33"/>
      <c r="I5" s="33"/>
      <c r="J5" s="33"/>
      <c r="K5" s="32"/>
      <c r="L5" s="32"/>
      <c r="M5" s="32"/>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5" hidden="false" customHeight="true" outlineLevel="0" collapsed="false">
      <c r="A6" s="32"/>
      <c r="B6" s="34" t="s">
        <v>33</v>
      </c>
      <c r="C6" s="34"/>
      <c r="D6" s="34"/>
      <c r="E6" s="32"/>
      <c r="F6" s="33"/>
      <c r="G6" s="33"/>
      <c r="H6" s="33"/>
      <c r="I6" s="33"/>
      <c r="J6" s="33"/>
      <c r="K6" s="32"/>
      <c r="L6" s="32"/>
      <c r="M6" s="32"/>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32"/>
      <c r="B7" s="34"/>
      <c r="C7" s="34"/>
      <c r="D7" s="34"/>
      <c r="E7" s="32"/>
      <c r="F7" s="33"/>
      <c r="G7" s="33"/>
      <c r="H7" s="33"/>
      <c r="I7" s="33"/>
      <c r="J7" s="33"/>
      <c r="K7" s="32"/>
      <c r="L7" s="32"/>
      <c r="M7" s="32"/>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1" hidden="false" customHeight="false" outlineLevel="0" collapsed="false">
      <c r="A8" s="35" t="s">
        <v>34</v>
      </c>
      <c r="B8" s="36" t="s">
        <v>35</v>
      </c>
      <c r="C8" s="37" t="s">
        <v>36</v>
      </c>
      <c r="D8" s="38" t="s">
        <v>37</v>
      </c>
      <c r="E8" s="32"/>
      <c r="F8" s="33"/>
      <c r="G8" s="33"/>
      <c r="H8" s="33"/>
      <c r="I8" s="33"/>
      <c r="J8" s="33"/>
      <c r="K8" s="32"/>
      <c r="L8" s="32"/>
      <c r="M8" s="32"/>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9.5" hidden="false" customHeight="false" outlineLevel="0" collapsed="false">
      <c r="A9" s="39"/>
      <c r="B9" s="40" t="s">
        <v>38</v>
      </c>
      <c r="C9" s="41" t="s">
        <v>39</v>
      </c>
      <c r="D9" s="42" t="s">
        <v>40</v>
      </c>
      <c r="E9" s="32"/>
      <c r="F9" s="33"/>
      <c r="G9" s="33"/>
      <c r="H9" s="33"/>
      <c r="I9" s="33"/>
      <c r="J9" s="33"/>
      <c r="K9" s="32"/>
      <c r="L9" s="32"/>
      <c r="M9" s="32"/>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5" hidden="false" customHeight="false" outlineLevel="0" collapsed="false">
      <c r="A10" s="43" t="s">
        <v>41</v>
      </c>
      <c r="B10" s="44"/>
      <c r="C10" s="45"/>
      <c r="D10" s="46"/>
      <c r="E10" s="32"/>
      <c r="F10" s="33"/>
      <c r="G10" s="33"/>
      <c r="H10" s="33"/>
      <c r="I10" s="33"/>
      <c r="J10" s="33"/>
      <c r="K10" s="32"/>
      <c r="L10" s="32"/>
      <c r="M10" s="32"/>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5" hidden="false" customHeight="false" outlineLevel="0" collapsed="false">
      <c r="A11" s="47" t="s">
        <v>42</v>
      </c>
      <c r="B11" s="48" t="s">
        <v>43</v>
      </c>
      <c r="C11" s="49" t="n">
        <v>60</v>
      </c>
      <c r="D11" s="50" t="s">
        <v>44</v>
      </c>
      <c r="E11" s="32"/>
      <c r="F11" s="33"/>
      <c r="G11" s="33"/>
      <c r="H11" s="33"/>
      <c r="I11" s="33"/>
      <c r="J11" s="33"/>
      <c r="K11" s="32"/>
      <c r="L11" s="32"/>
      <c r="M11" s="32"/>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5" hidden="false" customHeight="false" outlineLevel="0" collapsed="false">
      <c r="A12" s="47" t="s">
        <v>45</v>
      </c>
      <c r="B12" s="48" t="s">
        <v>46</v>
      </c>
      <c r="C12" s="49" t="n">
        <v>0</v>
      </c>
      <c r="D12" s="50" t="s">
        <v>47</v>
      </c>
      <c r="E12" s="32"/>
      <c r="F12" s="33"/>
      <c r="G12" s="33"/>
      <c r="H12" s="33"/>
      <c r="I12" s="33"/>
      <c r="J12" s="33"/>
      <c r="K12" s="32"/>
      <c r="L12" s="32"/>
      <c r="M12" s="32"/>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5" hidden="false" customHeight="false" outlineLevel="0" collapsed="false">
      <c r="A13" s="47" t="s">
        <v>48</v>
      </c>
      <c r="B13" s="48" t="s">
        <v>49</v>
      </c>
      <c r="C13" s="49" t="n">
        <v>5</v>
      </c>
      <c r="D13" s="50" t="s">
        <v>50</v>
      </c>
      <c r="E13" s="32"/>
      <c r="F13" s="33"/>
      <c r="G13" s="33"/>
      <c r="H13" s="33"/>
      <c r="I13" s="33"/>
      <c r="J13" s="33"/>
      <c r="K13" s="32"/>
      <c r="L13" s="32"/>
      <c r="M13" s="32"/>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5" hidden="false" customHeight="false" outlineLevel="0" collapsed="false">
      <c r="A14" s="47" t="s">
        <v>51</v>
      </c>
      <c r="B14" s="48" t="s">
        <v>52</v>
      </c>
      <c r="C14" s="49" t="n">
        <v>2</v>
      </c>
      <c r="D14" s="50" t="s">
        <v>50</v>
      </c>
      <c r="E14" s="32"/>
      <c r="F14" s="33"/>
      <c r="G14" s="33"/>
      <c r="H14" s="33"/>
      <c r="I14" s="33"/>
      <c r="J14" s="33"/>
      <c r="K14" s="32"/>
      <c r="L14" s="32"/>
      <c r="M14" s="32"/>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5" hidden="false" customHeight="false" outlineLevel="0" collapsed="false">
      <c r="A15" s="47" t="s">
        <v>53</v>
      </c>
      <c r="B15" s="51" t="s">
        <v>54</v>
      </c>
      <c r="C15" s="49" t="n">
        <v>10</v>
      </c>
      <c r="D15" s="50" t="s">
        <v>50</v>
      </c>
      <c r="E15" s="32"/>
      <c r="F15" s="33"/>
      <c r="G15" s="33"/>
      <c r="H15" s="33"/>
      <c r="I15" s="33"/>
      <c r="J15" s="33"/>
      <c r="K15" s="32"/>
      <c r="L15" s="32"/>
      <c r="M15" s="32"/>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5" hidden="false" customHeight="false" outlineLevel="0" collapsed="false">
      <c r="A16" s="47" t="s">
        <v>55</v>
      </c>
      <c r="B16" s="51" t="s">
        <v>54</v>
      </c>
      <c r="C16" s="49" t="n">
        <v>0</v>
      </c>
      <c r="D16" s="50" t="s">
        <v>47</v>
      </c>
      <c r="E16" s="32"/>
      <c r="F16" s="33"/>
      <c r="G16" s="33"/>
      <c r="H16" s="33"/>
      <c r="I16" s="33"/>
      <c r="J16" s="33"/>
      <c r="K16" s="32"/>
      <c r="L16" s="32"/>
      <c r="M16" s="32"/>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4.5" hidden="false" customHeight="false" outlineLevel="0" collapsed="false">
      <c r="A17" s="47"/>
      <c r="B17" s="48"/>
      <c r="C17" s="49"/>
      <c r="D17" s="50"/>
      <c r="E17" s="32"/>
      <c r="F17" s="33"/>
      <c r="G17" s="33"/>
      <c r="H17" s="33"/>
      <c r="I17" s="33"/>
      <c r="J17" s="33"/>
      <c r="K17" s="32"/>
      <c r="L17" s="32"/>
      <c r="M17" s="32"/>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4.5" hidden="false" customHeight="false" outlineLevel="0" collapsed="false">
      <c r="A18" s="43" t="s">
        <v>56</v>
      </c>
      <c r="B18" s="44"/>
      <c r="C18" s="52"/>
      <c r="D18" s="46"/>
      <c r="E18" s="32"/>
      <c r="F18" s="33"/>
      <c r="G18" s="33"/>
      <c r="H18" s="33"/>
      <c r="I18" s="33"/>
      <c r="J18" s="33"/>
      <c r="K18" s="32"/>
      <c r="L18" s="32"/>
      <c r="M18" s="32"/>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4.5" hidden="false" customHeight="false" outlineLevel="0" collapsed="false">
      <c r="A19" s="47" t="s">
        <v>57</v>
      </c>
      <c r="B19" s="48" t="s">
        <v>58</v>
      </c>
      <c r="C19" s="49" t="n">
        <v>3</v>
      </c>
      <c r="D19" s="50" t="s">
        <v>59</v>
      </c>
      <c r="E19" s="32"/>
      <c r="F19" s="33"/>
      <c r="G19" s="33"/>
      <c r="H19" s="33"/>
      <c r="I19" s="33"/>
      <c r="J19" s="33"/>
      <c r="K19" s="32"/>
      <c r="L19" s="32"/>
      <c r="M19" s="32"/>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5" hidden="false" customHeight="false" outlineLevel="0" collapsed="false">
      <c r="A20" s="47" t="s">
        <v>60</v>
      </c>
      <c r="B20" s="48" t="s">
        <v>61</v>
      </c>
      <c r="C20" s="49" t="n">
        <v>3</v>
      </c>
      <c r="D20" s="50" t="s">
        <v>59</v>
      </c>
      <c r="E20" s="32"/>
      <c r="F20" s="33"/>
      <c r="G20" s="33"/>
      <c r="H20" s="33"/>
      <c r="I20" s="33"/>
      <c r="J20" s="33"/>
      <c r="K20" s="32"/>
      <c r="L20" s="32"/>
      <c r="M20" s="32"/>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4.5" hidden="false" customHeight="false" outlineLevel="0" collapsed="false">
      <c r="A21" s="47"/>
      <c r="B21" s="48"/>
      <c r="C21" s="49"/>
      <c r="D21" s="50"/>
      <c r="E21" s="32"/>
      <c r="F21" s="33"/>
      <c r="G21" s="33"/>
      <c r="H21" s="33"/>
      <c r="I21" s="33"/>
      <c r="J21" s="33"/>
      <c r="K21" s="32"/>
      <c r="L21" s="32"/>
      <c r="M21" s="32"/>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4.5" hidden="false" customHeight="false" outlineLevel="0" collapsed="false">
      <c r="A22" s="43" t="s">
        <v>62</v>
      </c>
      <c r="B22" s="44"/>
      <c r="C22" s="52"/>
      <c r="D22" s="46"/>
      <c r="E22" s="32"/>
      <c r="F22" s="33"/>
      <c r="G22" s="33"/>
      <c r="H22" s="33"/>
      <c r="I22" s="33"/>
      <c r="J22" s="33"/>
      <c r="K22" s="32"/>
      <c r="L22" s="32"/>
      <c r="M22" s="32"/>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4.5" hidden="false" customHeight="false" outlineLevel="0" collapsed="false">
      <c r="A23" s="47" t="s">
        <v>63</v>
      </c>
      <c r="B23" s="48" t="s">
        <v>64</v>
      </c>
      <c r="C23" s="49" t="n">
        <v>1</v>
      </c>
      <c r="D23" s="50" t="s">
        <v>65</v>
      </c>
      <c r="E23" s="32"/>
      <c r="F23" s="33"/>
      <c r="G23" s="33"/>
      <c r="H23" s="33"/>
      <c r="I23" s="33"/>
      <c r="J23" s="33"/>
      <c r="K23" s="32"/>
      <c r="L23" s="32"/>
      <c r="M23" s="32"/>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4.5" hidden="false" customHeight="false" outlineLevel="0" collapsed="false">
      <c r="A24" s="47" t="s">
        <v>66</v>
      </c>
      <c r="B24" s="48" t="s">
        <v>67</v>
      </c>
      <c r="C24" s="49" t="n">
        <v>7</v>
      </c>
      <c r="D24" s="50" t="s">
        <v>47</v>
      </c>
      <c r="E24" s="32"/>
      <c r="F24" s="33"/>
      <c r="G24" s="33"/>
      <c r="H24" s="33"/>
      <c r="I24" s="33"/>
      <c r="J24" s="33"/>
      <c r="K24" s="32"/>
      <c r="L24" s="32"/>
      <c r="M24" s="32"/>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4.5" hidden="false" customHeight="false" outlineLevel="0" collapsed="false">
      <c r="A25" s="47" t="s">
        <v>68</v>
      </c>
      <c r="B25" s="48" t="s">
        <v>69</v>
      </c>
      <c r="C25" s="49" t="n">
        <v>0</v>
      </c>
      <c r="D25" s="50" t="s">
        <v>70</v>
      </c>
      <c r="E25" s="32"/>
      <c r="F25" s="33"/>
      <c r="G25" s="33"/>
      <c r="H25" s="33"/>
      <c r="I25" s="33"/>
      <c r="J25" s="33"/>
      <c r="K25" s="32"/>
      <c r="L25" s="32"/>
      <c r="M25" s="32"/>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4.5" hidden="false" customHeight="false" outlineLevel="0" collapsed="false">
      <c r="A26" s="47"/>
      <c r="B26" s="48"/>
      <c r="C26" s="49"/>
      <c r="D26" s="50"/>
      <c r="E26" s="32"/>
      <c r="F26" s="33"/>
      <c r="G26" s="33"/>
      <c r="H26" s="33"/>
      <c r="I26" s="33"/>
      <c r="J26" s="33"/>
      <c r="K26" s="32"/>
      <c r="L26" s="32"/>
      <c r="M26" s="32"/>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4.5" hidden="false" customHeight="false" outlineLevel="0" collapsed="false">
      <c r="A27" s="43" t="s">
        <v>71</v>
      </c>
      <c r="B27" s="44"/>
      <c r="C27" s="52"/>
      <c r="D27" s="46"/>
      <c r="E27" s="32"/>
      <c r="F27" s="33"/>
      <c r="G27" s="33"/>
      <c r="H27" s="33"/>
      <c r="I27" s="33"/>
      <c r="J27" s="33"/>
      <c r="K27" s="32"/>
      <c r="L27" s="32"/>
      <c r="M27" s="32"/>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4.5" hidden="false" customHeight="false" outlineLevel="0" collapsed="false">
      <c r="A28" s="47" t="s">
        <v>72</v>
      </c>
      <c r="B28" s="48" t="s">
        <v>73</v>
      </c>
      <c r="C28" s="49" t="n">
        <v>0</v>
      </c>
      <c r="D28" s="50" t="s">
        <v>74</v>
      </c>
      <c r="E28" s="32"/>
      <c r="F28" s="33"/>
      <c r="G28" s="33"/>
      <c r="H28" s="33"/>
      <c r="I28" s="33"/>
      <c r="J28" s="33"/>
      <c r="K28" s="32"/>
      <c r="L28" s="32"/>
      <c r="M28" s="32"/>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4.5" hidden="false" customHeight="false" outlineLevel="0" collapsed="false">
      <c r="A29" s="47" t="s">
        <v>75</v>
      </c>
      <c r="B29" s="48" t="s">
        <v>76</v>
      </c>
      <c r="C29" s="49" t="n">
        <v>10</v>
      </c>
      <c r="D29" s="50" t="s">
        <v>77</v>
      </c>
      <c r="E29" s="32"/>
      <c r="F29" s="33"/>
      <c r="G29" s="33"/>
      <c r="H29" s="33"/>
      <c r="I29" s="33"/>
      <c r="J29" s="33"/>
      <c r="K29" s="32"/>
      <c r="L29" s="32"/>
      <c r="M29" s="32"/>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4.5" hidden="false" customHeight="false" outlineLevel="0" collapsed="false">
      <c r="A30" s="47" t="s">
        <v>78</v>
      </c>
      <c r="B30" s="48" t="s">
        <v>79</v>
      </c>
      <c r="C30" s="49" t="n">
        <v>1</v>
      </c>
      <c r="D30" s="50" t="s">
        <v>77</v>
      </c>
      <c r="E30" s="32"/>
      <c r="F30" s="33"/>
      <c r="G30" s="33"/>
      <c r="H30" s="33"/>
      <c r="I30" s="33"/>
      <c r="J30" s="33"/>
      <c r="K30" s="32"/>
      <c r="L30" s="32"/>
      <c r="M30" s="32"/>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4.5" hidden="false" customHeight="false" outlineLevel="0" collapsed="false">
      <c r="A31" s="47" t="s">
        <v>80</v>
      </c>
      <c r="B31" s="48" t="s">
        <v>81</v>
      </c>
      <c r="C31" s="49" t="n">
        <v>0</v>
      </c>
      <c r="D31" s="50" t="s">
        <v>77</v>
      </c>
      <c r="E31" s="32"/>
      <c r="F31" s="33"/>
      <c r="G31" s="33"/>
      <c r="H31" s="33"/>
      <c r="I31" s="33"/>
      <c r="J31" s="33"/>
      <c r="K31" s="32"/>
      <c r="L31" s="32"/>
      <c r="M31" s="32"/>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4.5" hidden="false" customHeight="false" outlineLevel="0" collapsed="false">
      <c r="A32" s="47"/>
      <c r="B32" s="48"/>
      <c r="C32" s="53"/>
      <c r="D32" s="50"/>
      <c r="E32" s="32"/>
      <c r="F32" s="33"/>
      <c r="G32" s="33"/>
      <c r="H32" s="33"/>
      <c r="I32" s="33"/>
      <c r="J32" s="33"/>
      <c r="K32" s="32"/>
      <c r="L32" s="32"/>
      <c r="M32" s="32"/>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4.5" hidden="false" customHeight="false" outlineLevel="0" collapsed="false">
      <c r="A33" s="43" t="s">
        <v>82</v>
      </c>
      <c r="B33" s="44"/>
      <c r="C33" s="54"/>
      <c r="D33" s="46"/>
      <c r="E33" s="32"/>
      <c r="F33" s="33"/>
      <c r="G33" s="33"/>
      <c r="H33" s="33"/>
      <c r="I33" s="33"/>
      <c r="J33" s="33"/>
      <c r="K33" s="32"/>
      <c r="L33" s="32"/>
      <c r="M33" s="32"/>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false" outlineLevel="0" collapsed="false">
      <c r="A34" s="55" t="s">
        <v>83</v>
      </c>
      <c r="B34" s="56" t="s">
        <v>84</v>
      </c>
      <c r="C34" s="57" t="n">
        <v>10</v>
      </c>
      <c r="D34" s="58" t="s">
        <v>77</v>
      </c>
      <c r="E34" s="32"/>
      <c r="F34" s="33"/>
      <c r="G34" s="33"/>
      <c r="H34" s="33"/>
      <c r="I34" s="33"/>
      <c r="J34" s="33"/>
      <c r="K34" s="32"/>
      <c r="L34" s="32"/>
      <c r="M34" s="32"/>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s="61" customFormat="true" ht="23.5" hidden="false" customHeight="false" outlineLevel="0" collapsed="false">
      <c r="A35" s="59"/>
      <c r="B35" s="59"/>
      <c r="C35" s="59"/>
      <c r="D35" s="59"/>
      <c r="E35" s="60"/>
      <c r="F35" s="60"/>
      <c r="G35" s="60"/>
      <c r="H35" s="60"/>
      <c r="I35" s="60"/>
      <c r="J35" s="60"/>
      <c r="K35" s="60"/>
      <c r="L35" s="60"/>
      <c r="M35" s="60"/>
    </row>
    <row r="36" customFormat="false" ht="14.5" hidden="false" customHeight="false" outlineLevel="0" collapsed="false">
      <c r="A36" s="28" t="s">
        <v>85</v>
      </c>
      <c r="B36" s="62" t="s">
        <v>22</v>
      </c>
      <c r="C36" s="63"/>
      <c r="D36" s="64"/>
      <c r="E36" s="32"/>
      <c r="F36" s="33"/>
      <c r="G36" s="33"/>
      <c r="H36" s="33"/>
      <c r="I36" s="33"/>
      <c r="J36" s="33"/>
      <c r="K36" s="32"/>
      <c r="L36" s="32"/>
      <c r="M36" s="32"/>
    </row>
    <row r="37" customFormat="false" ht="14.5" hidden="false" customHeight="false" outlineLevel="0" collapsed="false">
      <c r="A37" s="32"/>
      <c r="B37" s="32"/>
      <c r="C37" s="32"/>
      <c r="D37" s="32"/>
      <c r="E37" s="32"/>
      <c r="F37" s="33"/>
      <c r="G37" s="33"/>
      <c r="H37" s="33"/>
      <c r="I37" s="33"/>
      <c r="J37" s="33"/>
      <c r="K37" s="32"/>
      <c r="L37" s="32"/>
      <c r="M37" s="32"/>
    </row>
    <row r="38" customFormat="false" ht="14.5" hidden="false" customHeight="false" outlineLevel="0" collapsed="false">
      <c r="A38" s="32"/>
      <c r="B38" s="32"/>
      <c r="C38" s="32"/>
      <c r="D38" s="32"/>
      <c r="E38" s="32"/>
      <c r="F38" s="33"/>
      <c r="G38" s="33"/>
      <c r="H38" s="33"/>
      <c r="I38" s="33"/>
      <c r="J38" s="33"/>
      <c r="K38" s="32"/>
      <c r="L38" s="32"/>
      <c r="M38" s="32"/>
    </row>
    <row r="39" customFormat="false" ht="14.5" hidden="false" customHeight="false" outlineLevel="0" collapsed="false">
      <c r="A39" s="32"/>
      <c r="B39" s="32"/>
      <c r="C39" s="32"/>
      <c r="D39" s="32"/>
      <c r="E39" s="32"/>
      <c r="F39" s="33"/>
      <c r="G39" s="33"/>
      <c r="H39" s="33"/>
      <c r="I39" s="33"/>
      <c r="J39" s="33"/>
      <c r="K39" s="32"/>
      <c r="L39" s="32"/>
      <c r="M39" s="32"/>
    </row>
    <row r="40" customFormat="false" ht="14.5" hidden="false" customHeight="false" outlineLevel="0" collapsed="false">
      <c r="A40" s="32"/>
      <c r="B40" s="32"/>
      <c r="C40" s="32"/>
      <c r="D40" s="32"/>
      <c r="E40" s="32"/>
      <c r="F40" s="33"/>
      <c r="G40" s="33"/>
      <c r="H40" s="33"/>
      <c r="I40" s="33"/>
      <c r="J40" s="33"/>
      <c r="K40" s="32"/>
      <c r="L40" s="32"/>
      <c r="M40" s="32"/>
    </row>
    <row r="41" customFormat="false" ht="14.5" hidden="false" customHeight="false" outlineLevel="0" collapsed="false">
      <c r="A41" s="32"/>
      <c r="B41" s="32"/>
      <c r="C41" s="32"/>
      <c r="D41" s="32"/>
      <c r="E41" s="32"/>
      <c r="F41" s="33"/>
      <c r="G41" s="33"/>
      <c r="H41" s="33"/>
      <c r="I41" s="33"/>
      <c r="J41" s="33"/>
      <c r="K41" s="32"/>
      <c r="L41" s="32"/>
      <c r="M41" s="32"/>
    </row>
    <row r="42" customFormat="false" ht="14.5" hidden="false" customHeight="false" outlineLevel="0" collapsed="false">
      <c r="A42" s="32"/>
      <c r="B42" s="32"/>
      <c r="C42" s="32"/>
      <c r="D42" s="32"/>
      <c r="E42" s="32"/>
      <c r="F42" s="33"/>
      <c r="G42" s="33"/>
      <c r="H42" s="33"/>
      <c r="I42" s="33"/>
      <c r="J42" s="33"/>
      <c r="K42" s="32"/>
      <c r="L42" s="32"/>
      <c r="M42" s="32"/>
    </row>
    <row r="43" customFormat="false" ht="14.5" hidden="false" customHeight="false" outlineLevel="0" collapsed="false">
      <c r="A43" s="32"/>
      <c r="B43" s="32"/>
      <c r="C43" s="32"/>
      <c r="D43" s="32"/>
      <c r="E43" s="32"/>
      <c r="F43" s="33"/>
      <c r="G43" s="33"/>
      <c r="H43" s="33"/>
      <c r="I43" s="33"/>
      <c r="J43" s="33"/>
      <c r="K43" s="32"/>
      <c r="L43" s="32"/>
      <c r="M43" s="32"/>
    </row>
    <row r="44" customFormat="false" ht="14.5" hidden="false" customHeight="false" outlineLevel="0" collapsed="false">
      <c r="A44" s="32"/>
      <c r="B44" s="32"/>
      <c r="C44" s="32"/>
      <c r="D44" s="32"/>
      <c r="E44" s="32"/>
      <c r="F44" s="33"/>
      <c r="G44" s="33"/>
      <c r="H44" s="33"/>
      <c r="I44" s="33"/>
      <c r="J44" s="33"/>
      <c r="K44" s="32"/>
      <c r="L44" s="32"/>
      <c r="M44" s="32"/>
    </row>
    <row r="45" customFormat="false" ht="14.5" hidden="false" customHeight="false" outlineLevel="0" collapsed="false">
      <c r="A45" s="32"/>
      <c r="B45" s="32"/>
      <c r="C45" s="32"/>
      <c r="D45" s="32"/>
      <c r="E45" s="32"/>
      <c r="F45" s="33"/>
      <c r="G45" s="33"/>
      <c r="H45" s="33"/>
      <c r="I45" s="33"/>
      <c r="J45" s="33"/>
      <c r="K45" s="32"/>
      <c r="L45" s="32"/>
      <c r="M45" s="32"/>
    </row>
    <row r="46" customFormat="false" ht="14.5" hidden="false" customHeight="false" outlineLevel="0" collapsed="false">
      <c r="E46" s="32"/>
      <c r="F46" s="33"/>
      <c r="G46" s="33"/>
      <c r="H46" s="33"/>
      <c r="I46" s="33"/>
      <c r="J46" s="33"/>
      <c r="K46" s="32"/>
      <c r="L46" s="32"/>
      <c r="M46" s="32"/>
    </row>
    <row r="47" customFormat="false" ht="14.5" hidden="false" customHeight="false" outlineLevel="0" collapsed="false">
      <c r="E47" s="32"/>
      <c r="F47" s="33"/>
      <c r="G47" s="33"/>
      <c r="H47" s="33"/>
      <c r="I47" s="33"/>
      <c r="J47" s="33"/>
      <c r="K47" s="32"/>
      <c r="L47" s="32"/>
      <c r="M47" s="32"/>
    </row>
    <row r="48" customFormat="false" ht="14.5" hidden="false" customHeight="false" outlineLevel="0" collapsed="false">
      <c r="E48" s="32"/>
      <c r="F48" s="33"/>
      <c r="G48" s="33"/>
      <c r="H48" s="33"/>
      <c r="I48" s="33"/>
      <c r="J48" s="33"/>
      <c r="K48" s="32"/>
      <c r="L48" s="32"/>
      <c r="M48" s="32"/>
    </row>
    <row r="49" customFormat="false" ht="14.5" hidden="false" customHeight="false" outlineLevel="0" collapsed="false">
      <c r="E49" s="32"/>
      <c r="F49" s="33"/>
      <c r="G49" s="33"/>
      <c r="H49" s="33"/>
      <c r="I49" s="33"/>
      <c r="J49" s="33"/>
      <c r="K49" s="32"/>
      <c r="L49" s="32"/>
      <c r="M49" s="32"/>
    </row>
    <row r="50" customFormat="false" ht="14.5" hidden="false" customHeight="false" outlineLevel="0" collapsed="false">
      <c r="E50" s="32"/>
      <c r="F50" s="33"/>
      <c r="G50" s="33"/>
      <c r="H50" s="33"/>
      <c r="I50" s="33"/>
      <c r="J50" s="33"/>
      <c r="K50" s="32"/>
      <c r="L50" s="32"/>
      <c r="M50" s="32"/>
    </row>
    <row r="51" customFormat="false" ht="14.5" hidden="false" customHeight="false" outlineLevel="0" collapsed="false">
      <c r="E51" s="32"/>
      <c r="F51" s="33"/>
      <c r="G51" s="33"/>
      <c r="H51" s="33"/>
      <c r="I51" s="33"/>
      <c r="J51" s="33"/>
      <c r="K51" s="32"/>
      <c r="L51" s="32"/>
      <c r="M51" s="32"/>
    </row>
    <row r="52" customFormat="false" ht="14.5" hidden="false" customHeight="false" outlineLevel="0" collapsed="false">
      <c r="E52" s="32"/>
      <c r="F52" s="33"/>
      <c r="G52" s="33"/>
      <c r="H52" s="33"/>
      <c r="I52" s="33"/>
      <c r="J52" s="33"/>
      <c r="K52" s="32"/>
      <c r="L52" s="32"/>
      <c r="M52" s="32"/>
    </row>
    <row r="53" customFormat="false" ht="14.5" hidden="false" customHeight="false" outlineLevel="0" collapsed="false">
      <c r="E53" s="32"/>
      <c r="F53" s="33"/>
      <c r="G53" s="33"/>
      <c r="H53" s="33"/>
      <c r="I53" s="33"/>
      <c r="J53" s="33"/>
      <c r="K53" s="32"/>
      <c r="L53" s="32"/>
      <c r="M53" s="32"/>
    </row>
    <row r="54" customFormat="false" ht="14.5" hidden="false" customHeight="false" outlineLevel="0" collapsed="false">
      <c r="E54" s="32"/>
      <c r="F54" s="33"/>
      <c r="G54" s="33"/>
      <c r="H54" s="33"/>
      <c r="I54" s="33"/>
      <c r="J54" s="33"/>
      <c r="K54" s="32"/>
      <c r="L54" s="32"/>
      <c r="M54" s="32"/>
    </row>
    <row r="55" customFormat="false" ht="14.5" hidden="false" customHeight="false" outlineLevel="0" collapsed="false">
      <c r="E55" s="32"/>
      <c r="F55" s="33"/>
      <c r="G55" s="33"/>
      <c r="H55" s="33"/>
      <c r="I55" s="33"/>
      <c r="J55" s="33"/>
      <c r="K55" s="32"/>
      <c r="L55" s="32"/>
      <c r="M55" s="32"/>
    </row>
    <row r="56" customFormat="false" ht="14.5" hidden="false" customHeight="false" outlineLevel="0" collapsed="false">
      <c r="E56" s="32"/>
      <c r="F56" s="33"/>
      <c r="G56" s="33"/>
      <c r="H56" s="33"/>
      <c r="I56" s="33"/>
      <c r="J56" s="33"/>
      <c r="K56" s="32"/>
      <c r="L56" s="32"/>
      <c r="M56" s="32"/>
    </row>
    <row r="57" customFormat="false" ht="14.5" hidden="false" customHeight="false" outlineLevel="0" collapsed="false">
      <c r="E57" s="32"/>
      <c r="F57" s="33"/>
      <c r="G57" s="33"/>
      <c r="H57" s="33"/>
      <c r="I57" s="33"/>
      <c r="J57" s="33"/>
      <c r="K57" s="32"/>
      <c r="L57" s="32"/>
      <c r="M57" s="32"/>
    </row>
    <row r="58" customFormat="false" ht="14.5" hidden="false" customHeight="false" outlineLevel="0" collapsed="false">
      <c r="E58" s="32"/>
      <c r="F58" s="33"/>
      <c r="G58" s="33"/>
      <c r="H58" s="33"/>
      <c r="I58" s="33"/>
      <c r="J58" s="33"/>
      <c r="K58" s="32"/>
      <c r="L58" s="32"/>
      <c r="M58" s="32"/>
    </row>
    <row r="59" customFormat="false" ht="14.5" hidden="false" customHeight="false" outlineLevel="0" collapsed="false">
      <c r="E59" s="32"/>
      <c r="F59" s="33"/>
      <c r="G59" s="33"/>
      <c r="H59" s="33"/>
      <c r="I59" s="33"/>
      <c r="J59" s="33"/>
      <c r="K59" s="32"/>
      <c r="L59" s="32"/>
      <c r="M59" s="32"/>
    </row>
    <row r="60" customFormat="false" ht="14.5" hidden="false" customHeight="false" outlineLevel="0" collapsed="false">
      <c r="E60" s="32"/>
      <c r="F60" s="33"/>
      <c r="G60" s="33"/>
      <c r="H60" s="33"/>
      <c r="I60" s="33"/>
      <c r="J60" s="33"/>
      <c r="K60" s="32"/>
      <c r="L60" s="32"/>
      <c r="M60" s="32"/>
    </row>
    <row r="61" customFormat="false" ht="14.5" hidden="false" customHeight="false" outlineLevel="0" collapsed="false">
      <c r="E61" s="32"/>
      <c r="F61" s="33"/>
      <c r="G61" s="33"/>
      <c r="H61" s="33"/>
      <c r="I61" s="33"/>
      <c r="J61" s="33"/>
      <c r="K61" s="32"/>
      <c r="L61" s="32"/>
      <c r="M61" s="32"/>
    </row>
    <row r="62" customFormat="false" ht="14.5" hidden="false" customHeight="false" outlineLevel="0" collapsed="false">
      <c r="E62" s="32"/>
      <c r="F62" s="33"/>
      <c r="G62" s="33"/>
      <c r="H62" s="33"/>
      <c r="I62" s="33"/>
      <c r="J62" s="33"/>
      <c r="K62" s="32"/>
      <c r="L62" s="32"/>
      <c r="M62" s="32"/>
    </row>
    <row r="63" customFormat="false" ht="14.5" hidden="false" customHeight="false" outlineLevel="0" collapsed="false">
      <c r="E63" s="32"/>
      <c r="F63" s="33"/>
      <c r="G63" s="33"/>
      <c r="H63" s="33"/>
      <c r="I63" s="33"/>
      <c r="J63" s="33"/>
      <c r="K63" s="32"/>
      <c r="L63" s="32"/>
      <c r="M63" s="32"/>
    </row>
    <row r="64" customFormat="false" ht="14.5" hidden="false" customHeight="false" outlineLevel="0" collapsed="false">
      <c r="E64" s="32"/>
      <c r="F64" s="33"/>
      <c r="G64" s="33"/>
      <c r="H64" s="33"/>
      <c r="I64" s="33"/>
      <c r="J64" s="33"/>
      <c r="K64" s="32"/>
      <c r="L64" s="32"/>
      <c r="M64" s="32"/>
    </row>
    <row r="65" customFormat="false" ht="14.5" hidden="false" customHeight="false" outlineLevel="0" collapsed="false">
      <c r="E65" s="32"/>
      <c r="F65" s="33"/>
      <c r="G65" s="33"/>
      <c r="H65" s="33"/>
      <c r="I65" s="33"/>
      <c r="J65" s="33"/>
      <c r="K65" s="32"/>
      <c r="L65" s="32"/>
      <c r="M65" s="32"/>
    </row>
    <row r="66" customFormat="false" ht="14.5" hidden="false" customHeight="false" outlineLevel="0" collapsed="false">
      <c r="E66" s="32"/>
      <c r="F66" s="33"/>
      <c r="G66" s="33"/>
      <c r="H66" s="33"/>
      <c r="I66" s="33"/>
      <c r="J66" s="33"/>
      <c r="K66" s="32"/>
      <c r="L66" s="32"/>
      <c r="M66" s="32"/>
    </row>
    <row r="67" customFormat="false" ht="14.5" hidden="false" customHeight="false" outlineLevel="0" collapsed="false">
      <c r="E67" s="32"/>
      <c r="F67" s="33"/>
      <c r="G67" s="33"/>
      <c r="H67" s="33"/>
      <c r="I67" s="33"/>
      <c r="J67" s="33"/>
      <c r="K67" s="32"/>
      <c r="L67" s="33" t="n">
        <f aca="false">SUM('household calculator'!F15:F16)</f>
        <v>1.71772222222222</v>
      </c>
      <c r="M67" s="32"/>
    </row>
    <row r="68" customFormat="false" ht="14.5" hidden="false" customHeight="false" outlineLevel="0" collapsed="false">
      <c r="E68" s="32"/>
      <c r="F68" s="33"/>
      <c r="G68" s="33"/>
      <c r="H68" s="33"/>
      <c r="I68" s="33"/>
      <c r="J68" s="33"/>
      <c r="K68" s="32"/>
      <c r="L68" s="33" t="n">
        <f aca="false">'household calculator'!F19</f>
        <v>2.52</v>
      </c>
      <c r="M68" s="32"/>
    </row>
    <row r="69" customFormat="false" ht="14.5" hidden="false" customHeight="false" outlineLevel="0" collapsed="false">
      <c r="L69" s="26" t="n">
        <f aca="false">SUM('household calculator'!F24:F27)</f>
        <v>3.535</v>
      </c>
    </row>
    <row r="70" customFormat="false" ht="14.5" hidden="false" customHeight="false" outlineLevel="0" collapsed="false">
      <c r="L70" s="26" t="n">
        <f aca="false">'household calculator'!F30</f>
        <v>16.8</v>
      </c>
    </row>
  </sheetData>
  <mergeCells count="1">
    <mergeCell ref="B6:D7"/>
  </mergeCells>
  <dataValidations count="1">
    <dataValidation allowBlank="true" operator="between" prompt="note that an average laundry machine can hold up to 5 kg of laundry" showDropDown="false" showErrorMessage="true" showInputMessage="true" sqref="C19" type="none">
      <formula1>0</formula1>
      <formula2>0</formula2>
    </dataValidation>
  </dataValidations>
  <hyperlinks>
    <hyperlink ref="B36" location="'Diet Input'!A1" display="click he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5:D67"/>
  <sheetViews>
    <sheetView windowProtection="false"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D10" activeCellId="0" sqref="D10"/>
    </sheetView>
  </sheetViews>
  <sheetFormatPr defaultRowHeight="14.5"/>
  <cols>
    <col collapsed="false" hidden="false" max="1" min="1" style="0" width="43.6020408163265"/>
    <col collapsed="false" hidden="false" max="3" min="2" style="0" width="8.50510204081633"/>
    <col collapsed="false" hidden="false" max="4" min="4" style="0" width="10.2602040816327"/>
    <col collapsed="false" hidden="false" max="1025" min="5" style="0" width="8.50510204081633"/>
  </cols>
  <sheetData>
    <row r="5" customFormat="false" ht="14.5" hidden="false" customHeight="false" outlineLevel="0" collapsed="false">
      <c r="A5" s="334" t="s">
        <v>535</v>
      </c>
      <c r="B5" s="334" t="s">
        <v>536</v>
      </c>
      <c r="C5" s="335" t="s">
        <v>537</v>
      </c>
      <c r="D5" s="336" t="s">
        <v>538</v>
      </c>
    </row>
    <row r="6" customFormat="false" ht="14.5" hidden="false" customHeight="false" outlineLevel="0" collapsed="false">
      <c r="A6" s="334" t="s">
        <v>539</v>
      </c>
      <c r="B6" s="334"/>
      <c r="C6" s="335"/>
      <c r="D6" s="336"/>
    </row>
    <row r="7" customFormat="false" ht="14.5" hidden="false" customHeight="false" outlineLevel="0" collapsed="false">
      <c r="A7" s="335" t="s">
        <v>540</v>
      </c>
      <c r="B7" s="335" t="s">
        <v>236</v>
      </c>
      <c r="C7" s="334" t="n">
        <v>2015</v>
      </c>
      <c r="D7" s="337" t="n">
        <v>0.8136</v>
      </c>
    </row>
    <row r="8" customFormat="false" ht="14.5" hidden="false" customHeight="false" outlineLevel="0" collapsed="false">
      <c r="A8" s="335" t="s">
        <v>541</v>
      </c>
      <c r="B8" s="335" t="s">
        <v>236</v>
      </c>
      <c r="C8" s="334" t="n">
        <v>2015</v>
      </c>
      <c r="D8" s="337" t="n">
        <v>0.21742</v>
      </c>
    </row>
    <row r="9" customFormat="false" ht="14.5" hidden="false" customHeight="false" outlineLevel="0" collapsed="false">
      <c r="A9" s="335" t="s">
        <v>17</v>
      </c>
      <c r="B9" s="335" t="s">
        <v>236</v>
      </c>
      <c r="C9" s="334" t="n">
        <v>2015</v>
      </c>
      <c r="D9" s="337" t="n">
        <v>0.18941</v>
      </c>
    </row>
    <row r="10" customFormat="false" ht="14.5" hidden="false" customHeight="false" outlineLevel="0" collapsed="false">
      <c r="A10" s="335" t="s">
        <v>542</v>
      </c>
      <c r="B10" s="335" t="s">
        <v>236</v>
      </c>
      <c r="C10" s="334" t="n">
        <v>2015</v>
      </c>
      <c r="D10" s="337" t="n">
        <v>0.06929</v>
      </c>
    </row>
    <row r="11" customFormat="false" ht="14.5" hidden="false" customHeight="false" outlineLevel="0" collapsed="false">
      <c r="A11" s="335" t="s">
        <v>543</v>
      </c>
      <c r="B11" s="335" t="s">
        <v>236</v>
      </c>
      <c r="C11" s="334" t="n">
        <v>2015</v>
      </c>
      <c r="D11" s="337" t="n">
        <v>0.61086</v>
      </c>
    </row>
    <row r="12" customFormat="false" ht="14.5" hidden="false" customHeight="false" outlineLevel="0" collapsed="false">
      <c r="A12" s="335" t="s">
        <v>544</v>
      </c>
      <c r="B12" s="335" t="s">
        <v>236</v>
      </c>
      <c r="C12" s="334" t="n">
        <v>2015</v>
      </c>
      <c r="D12" s="337" t="n">
        <v>0.16404</v>
      </c>
    </row>
    <row r="13" customFormat="false" ht="14.5" hidden="false" customHeight="false" outlineLevel="0" collapsed="false">
      <c r="A13" s="335" t="s">
        <v>545</v>
      </c>
      <c r="B13" s="335" t="s">
        <v>236</v>
      </c>
      <c r="C13" s="334" t="n">
        <v>2015</v>
      </c>
      <c r="D13" s="337" t="n">
        <v>0.59025</v>
      </c>
    </row>
    <row r="14" customFormat="false" ht="14.5" hidden="false" customHeight="false" outlineLevel="0" collapsed="false">
      <c r="A14" s="335" t="s">
        <v>546</v>
      </c>
      <c r="B14" s="335" t="s">
        <v>236</v>
      </c>
      <c r="C14" s="334" t="n">
        <v>2015</v>
      </c>
      <c r="D14" s="337" t="n">
        <v>0.35048</v>
      </c>
    </row>
    <row r="15" customFormat="false" ht="14.5" hidden="false" customHeight="false" outlineLevel="0" collapsed="false">
      <c r="A15" s="335" t="s">
        <v>547</v>
      </c>
      <c r="B15" s="335" t="s">
        <v>236</v>
      </c>
      <c r="C15" s="334" t="n">
        <v>2015</v>
      </c>
      <c r="D15" s="337" t="n">
        <v>0.72825</v>
      </c>
    </row>
    <row r="16" customFormat="false" ht="14.5" hidden="false" customHeight="false" outlineLevel="0" collapsed="false">
      <c r="A16" s="335" t="s">
        <v>548</v>
      </c>
      <c r="B16" s="335" t="s">
        <v>236</v>
      </c>
      <c r="C16" s="334" t="n">
        <v>2015</v>
      </c>
      <c r="D16" s="337" t="n">
        <v>0.59193</v>
      </c>
    </row>
    <row r="17" customFormat="false" ht="14.5" hidden="false" customHeight="false" outlineLevel="0" collapsed="false">
      <c r="A17" s="335" t="s">
        <v>549</v>
      </c>
      <c r="B17" s="335" t="s">
        <v>236</v>
      </c>
      <c r="C17" s="334" t="n">
        <v>2015</v>
      </c>
      <c r="D17" s="337" t="n">
        <v>0.29304</v>
      </c>
    </row>
    <row r="18" customFormat="false" ht="14.5" hidden="false" customHeight="false" outlineLevel="0" collapsed="false">
      <c r="A18" s="335" t="s">
        <v>550</v>
      </c>
      <c r="B18" s="335" t="s">
        <v>236</v>
      </c>
      <c r="C18" s="334" t="n">
        <v>2015</v>
      </c>
      <c r="D18" s="337" t="n">
        <v>0.45421</v>
      </c>
    </row>
    <row r="19" customFormat="false" ht="14.5" hidden="false" customHeight="false" outlineLevel="0" collapsed="false">
      <c r="A19" s="335" t="s">
        <v>551</v>
      </c>
      <c r="B19" s="335" t="s">
        <v>236</v>
      </c>
      <c r="C19" s="334" t="n">
        <v>2015</v>
      </c>
      <c r="D19" s="337" t="n">
        <v>1.08859</v>
      </c>
    </row>
    <row r="20" customFormat="false" ht="14.5" hidden="false" customHeight="false" outlineLevel="0" collapsed="false">
      <c r="A20" s="335" t="s">
        <v>552</v>
      </c>
      <c r="B20" s="335" t="s">
        <v>236</v>
      </c>
      <c r="C20" s="334" t="n">
        <v>2015</v>
      </c>
      <c r="D20" s="337" t="n">
        <v>0.19135</v>
      </c>
    </row>
    <row r="21" customFormat="false" ht="14.5" hidden="false" customHeight="false" outlineLevel="0" collapsed="false">
      <c r="A21" s="335" t="s">
        <v>553</v>
      </c>
      <c r="B21" s="335" t="s">
        <v>236</v>
      </c>
      <c r="C21" s="334" t="n">
        <v>2015</v>
      </c>
      <c r="D21" s="337" t="n">
        <v>0.05864</v>
      </c>
    </row>
    <row r="22" customFormat="false" ht="14.5" hidden="false" customHeight="false" outlineLevel="0" collapsed="false">
      <c r="A22" s="335" t="s">
        <v>554</v>
      </c>
      <c r="B22" s="335" t="s">
        <v>236</v>
      </c>
      <c r="C22" s="334" t="n">
        <v>2015</v>
      </c>
      <c r="D22" s="337" t="n">
        <v>0.47182</v>
      </c>
    </row>
    <row r="23" customFormat="false" ht="14.5" hidden="false" customHeight="false" outlineLevel="0" collapsed="false">
      <c r="A23" s="335" t="s">
        <v>555</v>
      </c>
      <c r="B23" s="335" t="s">
        <v>236</v>
      </c>
      <c r="C23" s="334" t="n">
        <v>2015</v>
      </c>
      <c r="D23" s="337" t="n">
        <v>0.75031</v>
      </c>
    </row>
    <row r="24" customFormat="false" ht="14.5" hidden="false" customHeight="false" outlineLevel="0" collapsed="false">
      <c r="A24" s="335" t="s">
        <v>556</v>
      </c>
      <c r="B24" s="335" t="s">
        <v>236</v>
      </c>
      <c r="C24" s="334" t="n">
        <v>2015</v>
      </c>
      <c r="D24" s="337" t="n">
        <v>0.71821</v>
      </c>
    </row>
    <row r="25" customFormat="false" ht="14.5" hidden="false" customHeight="false" outlineLevel="0" collapsed="false">
      <c r="A25" s="335" t="s">
        <v>557</v>
      </c>
      <c r="B25" s="335" t="s">
        <v>236</v>
      </c>
      <c r="C25" s="334" t="n">
        <v>2015</v>
      </c>
      <c r="D25" s="337" t="n">
        <v>0.76969</v>
      </c>
    </row>
    <row r="26" customFormat="false" ht="14.5" hidden="false" customHeight="false" outlineLevel="0" collapsed="false">
      <c r="A26" s="335" t="s">
        <v>558</v>
      </c>
      <c r="B26" s="335" t="s">
        <v>236</v>
      </c>
      <c r="C26" s="334" t="n">
        <v>2015</v>
      </c>
      <c r="D26" s="337" t="n">
        <v>0.31829</v>
      </c>
    </row>
    <row r="27" customFormat="false" ht="14.5" hidden="false" customHeight="false" outlineLevel="0" collapsed="false">
      <c r="A27" s="335" t="s">
        <v>559</v>
      </c>
      <c r="B27" s="335" t="s">
        <v>236</v>
      </c>
      <c r="C27" s="334" t="n">
        <v>2015</v>
      </c>
      <c r="D27" s="337" t="n">
        <v>0.00017</v>
      </c>
    </row>
    <row r="28" customFormat="false" ht="14.5" hidden="false" customHeight="false" outlineLevel="0" collapsed="false">
      <c r="A28" s="335" t="s">
        <v>560</v>
      </c>
      <c r="B28" s="335" t="s">
        <v>236</v>
      </c>
      <c r="C28" s="334" t="n">
        <v>2015</v>
      </c>
      <c r="D28" s="337" t="n">
        <v>0.82909</v>
      </c>
    </row>
    <row r="29" customFormat="false" ht="14.5" hidden="false" customHeight="false" outlineLevel="0" collapsed="false">
      <c r="A29" s="335" t="s">
        <v>561</v>
      </c>
      <c r="B29" s="335" t="s">
        <v>236</v>
      </c>
      <c r="C29" s="334" t="n">
        <v>2015</v>
      </c>
      <c r="D29" s="337" t="n">
        <v>0.75839</v>
      </c>
    </row>
    <row r="30" customFormat="false" ht="14.5" hidden="false" customHeight="false" outlineLevel="0" collapsed="false">
      <c r="A30" s="335" t="s">
        <v>562</v>
      </c>
      <c r="B30" s="335" t="s">
        <v>236</v>
      </c>
      <c r="C30" s="334" t="n">
        <v>2015</v>
      </c>
      <c r="D30" s="337" t="n">
        <v>0.41925</v>
      </c>
    </row>
    <row r="31" customFormat="false" ht="14.5" hidden="false" customHeight="false" outlineLevel="0" collapsed="false">
      <c r="A31" s="335" t="s">
        <v>563</v>
      </c>
      <c r="B31" s="335" t="s">
        <v>236</v>
      </c>
      <c r="C31" s="334" t="n">
        <v>2015</v>
      </c>
      <c r="D31" s="337" t="n">
        <v>0.73836</v>
      </c>
    </row>
    <row r="32" customFormat="false" ht="14.5" hidden="false" customHeight="false" outlineLevel="0" collapsed="false">
      <c r="A32" s="335" t="s">
        <v>564</v>
      </c>
      <c r="B32" s="335" t="s">
        <v>236</v>
      </c>
      <c r="C32" s="334" t="n">
        <v>2015</v>
      </c>
      <c r="D32" s="337" t="n">
        <v>0.39899</v>
      </c>
    </row>
    <row r="33" customFormat="false" ht="14.5" hidden="false" customHeight="false" outlineLevel="0" collapsed="false">
      <c r="A33" s="335" t="s">
        <v>565</v>
      </c>
      <c r="B33" s="335" t="s">
        <v>236</v>
      </c>
      <c r="C33" s="334" t="n">
        <v>2015</v>
      </c>
      <c r="D33" s="337" t="n">
        <v>0.52941</v>
      </c>
    </row>
    <row r="34" customFormat="false" ht="14.5" hidden="false" customHeight="false" outlineLevel="0" collapsed="false">
      <c r="A34" s="335" t="s">
        <v>566</v>
      </c>
      <c r="B34" s="335" t="s">
        <v>236</v>
      </c>
      <c r="C34" s="334" t="n">
        <v>2015</v>
      </c>
      <c r="D34" s="337" t="n">
        <v>0.133</v>
      </c>
    </row>
    <row r="35" customFormat="false" ht="14.5" hidden="false" customHeight="false" outlineLevel="0" collapsed="false">
      <c r="A35" s="335" t="s">
        <v>567</v>
      </c>
      <c r="B35" s="335" t="s">
        <v>236</v>
      </c>
      <c r="C35" s="334" t="n">
        <v>2015</v>
      </c>
      <c r="D35" s="337" t="n">
        <v>0.27</v>
      </c>
    </row>
    <row r="36" customFormat="false" ht="14.5" hidden="false" customHeight="false" outlineLevel="0" collapsed="false">
      <c r="A36" s="335" t="s">
        <v>568</v>
      </c>
      <c r="B36" s="335" t="s">
        <v>236</v>
      </c>
      <c r="C36" s="334" t="n">
        <v>2015</v>
      </c>
      <c r="D36" s="337" t="n">
        <v>0.39089</v>
      </c>
    </row>
    <row r="37" customFormat="false" ht="14.5" hidden="false" customHeight="false" outlineLevel="0" collapsed="false">
      <c r="A37" s="335" t="s">
        <v>569</v>
      </c>
      <c r="B37" s="335" t="s">
        <v>236</v>
      </c>
      <c r="C37" s="334" t="n">
        <v>2015</v>
      </c>
      <c r="D37" s="337" t="n">
        <v>0.72177</v>
      </c>
    </row>
    <row r="38" customFormat="false" ht="14.5" hidden="false" customHeight="false" outlineLevel="0" collapsed="false">
      <c r="A38" s="335" t="s">
        <v>570</v>
      </c>
      <c r="B38" s="335" t="s">
        <v>236</v>
      </c>
      <c r="C38" s="334" t="n">
        <v>2015</v>
      </c>
      <c r="D38" s="337" t="n">
        <v>0.86605</v>
      </c>
    </row>
    <row r="39" customFormat="false" ht="14.5" hidden="false" customHeight="false" outlineLevel="0" collapsed="false">
      <c r="A39" s="335" t="s">
        <v>571</v>
      </c>
      <c r="B39" s="335" t="s">
        <v>236</v>
      </c>
      <c r="C39" s="334" t="n">
        <v>2015</v>
      </c>
      <c r="D39" s="337" t="n">
        <v>0.44836</v>
      </c>
    </row>
    <row r="40" customFormat="false" ht="14.5" hidden="false" customHeight="false" outlineLevel="0" collapsed="false">
      <c r="A40" s="335" t="s">
        <v>572</v>
      </c>
      <c r="B40" s="335" t="s">
        <v>236</v>
      </c>
      <c r="C40" s="334" t="n">
        <v>2015</v>
      </c>
      <c r="D40" s="337" t="n">
        <v>0.39895</v>
      </c>
    </row>
    <row r="41" customFormat="false" ht="14.5" hidden="false" customHeight="false" outlineLevel="0" collapsed="false">
      <c r="A41" s="335" t="s">
        <v>573</v>
      </c>
      <c r="B41" s="335" t="s">
        <v>236</v>
      </c>
      <c r="C41" s="334" t="n">
        <v>2015</v>
      </c>
      <c r="D41" s="337" t="n">
        <v>0.1336</v>
      </c>
    </row>
    <row r="42" customFormat="false" ht="14.5" hidden="false" customHeight="false" outlineLevel="0" collapsed="false">
      <c r="A42" s="335" t="s">
        <v>574</v>
      </c>
      <c r="B42" s="335" t="s">
        <v>236</v>
      </c>
      <c r="C42" s="334" t="n">
        <v>2015</v>
      </c>
      <c r="D42" s="337" t="n">
        <v>0.01372</v>
      </c>
    </row>
    <row r="43" customFormat="false" ht="14.5" hidden="false" customHeight="false" outlineLevel="0" collapsed="false">
      <c r="A43" s="335" t="s">
        <v>575</v>
      </c>
      <c r="B43" s="335" t="s">
        <v>236</v>
      </c>
      <c r="C43" s="334" t="n">
        <v>2015</v>
      </c>
      <c r="D43" s="337" t="n">
        <v>0.39449</v>
      </c>
    </row>
    <row r="44" customFormat="false" ht="14.5" hidden="false" customHeight="false" outlineLevel="0" collapsed="false">
      <c r="A44" s="335" t="s">
        <v>576</v>
      </c>
      <c r="B44" s="335" t="s">
        <v>236</v>
      </c>
      <c r="C44" s="334" t="n">
        <v>2015</v>
      </c>
      <c r="D44" s="337" t="n">
        <v>0.75245</v>
      </c>
    </row>
    <row r="45" customFormat="false" ht="14.5" hidden="false" customHeight="false" outlineLevel="0" collapsed="false">
      <c r="A45" s="335" t="s">
        <v>577</v>
      </c>
      <c r="B45" s="335" t="s">
        <v>236</v>
      </c>
      <c r="C45" s="334" t="n">
        <v>2015</v>
      </c>
      <c r="D45" s="337" t="n">
        <v>0.49781</v>
      </c>
    </row>
    <row r="46" customFormat="false" ht="14.5" hidden="false" customHeight="false" outlineLevel="0" collapsed="false">
      <c r="A46" s="335" t="s">
        <v>578</v>
      </c>
      <c r="B46" s="335" t="s">
        <v>236</v>
      </c>
      <c r="C46" s="334" t="n">
        <v>2015</v>
      </c>
      <c r="D46" s="337" t="n">
        <v>0.77393</v>
      </c>
    </row>
    <row r="47" customFormat="false" ht="14.5" hidden="false" customHeight="false" outlineLevel="0" collapsed="false">
      <c r="A47" s="335" t="s">
        <v>579</v>
      </c>
      <c r="B47" s="335" t="s">
        <v>236</v>
      </c>
      <c r="C47" s="334" t="n">
        <v>2015</v>
      </c>
      <c r="D47" s="337" t="n">
        <v>0.28271</v>
      </c>
    </row>
    <row r="48" customFormat="false" ht="14.5" hidden="false" customHeight="false" outlineLevel="0" collapsed="false">
      <c r="A48" s="335" t="s">
        <v>580</v>
      </c>
      <c r="B48" s="335" t="s">
        <v>236</v>
      </c>
      <c r="C48" s="334" t="n">
        <v>2015</v>
      </c>
      <c r="D48" s="337" t="n">
        <v>0.50845</v>
      </c>
    </row>
    <row r="49" customFormat="false" ht="14.5" hidden="false" customHeight="false" outlineLevel="0" collapsed="false">
      <c r="A49" s="335" t="s">
        <v>581</v>
      </c>
      <c r="B49" s="335" t="s">
        <v>236</v>
      </c>
      <c r="C49" s="334" t="n">
        <v>2015</v>
      </c>
      <c r="D49" s="337" t="n">
        <v>0.44982</v>
      </c>
    </row>
    <row r="50" customFormat="false" ht="14.5" hidden="false" customHeight="false" outlineLevel="0" collapsed="false">
      <c r="A50" s="335" t="s">
        <v>582</v>
      </c>
      <c r="B50" s="335" t="s">
        <v>236</v>
      </c>
      <c r="C50" s="334" t="n">
        <v>2015</v>
      </c>
      <c r="D50" s="337" t="n">
        <v>0.75293</v>
      </c>
    </row>
    <row r="51" customFormat="false" ht="14.5" hidden="false" customHeight="false" outlineLevel="0" collapsed="false">
      <c r="A51" s="335" t="s">
        <v>583</v>
      </c>
      <c r="B51" s="335" t="s">
        <v>236</v>
      </c>
      <c r="C51" s="334" t="n">
        <v>2015</v>
      </c>
      <c r="D51" s="337" t="n">
        <v>0.5051</v>
      </c>
    </row>
    <row r="52" customFormat="false" ht="14.5" hidden="false" customHeight="false" outlineLevel="0" collapsed="false">
      <c r="A52" s="335" t="s">
        <v>584</v>
      </c>
      <c r="B52" s="335" t="s">
        <v>236</v>
      </c>
      <c r="C52" s="334" t="n">
        <v>2015</v>
      </c>
      <c r="D52" s="337" t="n">
        <v>0.19676</v>
      </c>
    </row>
    <row r="53" customFormat="false" ht="14.5" hidden="false" customHeight="false" outlineLevel="0" collapsed="false">
      <c r="A53" s="335" t="s">
        <v>585</v>
      </c>
      <c r="B53" s="335" t="s">
        <v>236</v>
      </c>
      <c r="C53" s="334" t="n">
        <v>2015</v>
      </c>
      <c r="D53" s="337" t="n">
        <v>0.34491</v>
      </c>
    </row>
    <row r="54" customFormat="false" ht="14.5" hidden="false" customHeight="false" outlineLevel="0" collapsed="false">
      <c r="A54" s="335" t="s">
        <v>586</v>
      </c>
      <c r="B54" s="335" t="s">
        <v>236</v>
      </c>
      <c r="C54" s="334" t="n">
        <v>2015</v>
      </c>
      <c r="D54" s="337" t="n">
        <v>0.85728</v>
      </c>
    </row>
    <row r="55" customFormat="false" ht="14.5" hidden="false" customHeight="false" outlineLevel="0" collapsed="false">
      <c r="A55" s="335" t="s">
        <v>587</v>
      </c>
      <c r="B55" s="335" t="s">
        <v>236</v>
      </c>
      <c r="C55" s="334" t="n">
        <v>2015</v>
      </c>
      <c r="D55" s="337" t="n">
        <v>0.55183</v>
      </c>
    </row>
    <row r="56" customFormat="false" ht="14.5" hidden="false" customHeight="false" outlineLevel="0" collapsed="false">
      <c r="A56" s="335" t="s">
        <v>588</v>
      </c>
      <c r="B56" s="335" t="s">
        <v>236</v>
      </c>
      <c r="C56" s="334" t="n">
        <v>2015</v>
      </c>
      <c r="D56" s="337" t="n">
        <v>0.28908</v>
      </c>
    </row>
    <row r="57" customFormat="false" ht="14.5" hidden="false" customHeight="false" outlineLevel="0" collapsed="false">
      <c r="A57" s="335" t="s">
        <v>589</v>
      </c>
      <c r="B57" s="335" t="s">
        <v>236</v>
      </c>
      <c r="C57" s="334" t="n">
        <v>2015</v>
      </c>
      <c r="D57" s="337" t="n">
        <v>0.0165</v>
      </c>
    </row>
    <row r="58" customFormat="false" ht="14.5" hidden="false" customHeight="false" outlineLevel="0" collapsed="false">
      <c r="A58" s="335" t="s">
        <v>590</v>
      </c>
      <c r="B58" s="335" t="s">
        <v>236</v>
      </c>
      <c r="C58" s="334" t="n">
        <v>2015</v>
      </c>
      <c r="D58" s="337" t="n">
        <v>0.03151</v>
      </c>
    </row>
    <row r="59" customFormat="false" ht="14.5" hidden="false" customHeight="false" outlineLevel="0" collapsed="false">
      <c r="A59" s="335" t="s">
        <v>591</v>
      </c>
      <c r="B59" s="335" t="s">
        <v>236</v>
      </c>
      <c r="C59" s="334" t="n">
        <v>2015</v>
      </c>
      <c r="D59" s="337" t="n">
        <v>0.52492</v>
      </c>
    </row>
    <row r="60" customFormat="false" ht="14.5" hidden="false" customHeight="false" outlineLevel="0" collapsed="false">
      <c r="A60" s="335" t="s">
        <v>592</v>
      </c>
      <c r="B60" s="335" t="s">
        <v>236</v>
      </c>
      <c r="C60" s="334" t="n">
        <v>2015</v>
      </c>
      <c r="D60" s="337" t="n">
        <v>0.46443</v>
      </c>
    </row>
    <row r="61" customFormat="false" ht="14.5" hidden="false" customHeight="false" outlineLevel="0" collapsed="false">
      <c r="A61" s="335" t="s">
        <v>593</v>
      </c>
      <c r="B61" s="335" t="s">
        <v>236</v>
      </c>
      <c r="C61" s="334" t="n">
        <v>2015</v>
      </c>
      <c r="D61" s="337" t="n">
        <v>0.47289</v>
      </c>
    </row>
    <row r="62" customFormat="false" ht="14.5" hidden="false" customHeight="false" outlineLevel="0" collapsed="false">
      <c r="A62" s="335" t="s">
        <v>594</v>
      </c>
      <c r="B62" s="335" t="s">
        <v>236</v>
      </c>
      <c r="C62" s="334" t="n">
        <v>2015</v>
      </c>
      <c r="D62" s="337" t="n">
        <v>0.49845</v>
      </c>
    </row>
    <row r="63" customFormat="false" ht="14.5" hidden="false" customHeight="false" outlineLevel="0" collapsed="false">
      <c r="A63" s="335" t="s">
        <v>595</v>
      </c>
      <c r="B63" s="335" t="s">
        <v>236</v>
      </c>
      <c r="C63" s="334" t="n">
        <v>2015</v>
      </c>
      <c r="D63" s="337" t="n">
        <v>0.58198</v>
      </c>
    </row>
    <row r="64" customFormat="false" ht="14.5" hidden="false" customHeight="false" outlineLevel="0" collapsed="false">
      <c r="A64" s="335" t="s">
        <v>596</v>
      </c>
      <c r="B64" s="335" t="s">
        <v>236</v>
      </c>
      <c r="C64" s="334" t="n">
        <v>2015</v>
      </c>
      <c r="D64" s="337" t="n">
        <v>0.35047</v>
      </c>
    </row>
    <row r="65" customFormat="false" ht="14.5" hidden="false" customHeight="false" outlineLevel="0" collapsed="false">
      <c r="A65" s="335" t="s">
        <v>597</v>
      </c>
      <c r="B65" s="335" t="s">
        <v>236</v>
      </c>
      <c r="C65" s="334" t="n">
        <v>2015</v>
      </c>
      <c r="D65" s="337" t="n">
        <v>0.18422</v>
      </c>
    </row>
    <row r="66" customFormat="false" ht="14.5" hidden="false" customHeight="false" outlineLevel="0" collapsed="false">
      <c r="A66" s="335" t="s">
        <v>598</v>
      </c>
      <c r="B66" s="335" t="s">
        <v>236</v>
      </c>
      <c r="C66" s="334" t="n">
        <v>2015</v>
      </c>
      <c r="D66" s="337" t="n">
        <v>0.66945</v>
      </c>
    </row>
    <row r="67" customFormat="false" ht="14.5" hidden="false" customHeight="false" outlineLevel="0" collapsed="false">
      <c r="A67" s="335" t="s">
        <v>599</v>
      </c>
      <c r="B67" s="335" t="s">
        <v>236</v>
      </c>
      <c r="C67" s="334" t="n">
        <v>2015</v>
      </c>
      <c r="D67" s="337" t="n">
        <v>0.47174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127"/>
  <sheetViews>
    <sheetView windowProtection="false" showFormulas="false" showGridLines="true" showRowColHeaders="true" showZeros="true" rightToLeft="false" tabSelected="false" showOutlineSymbols="true" defaultGridColor="true" view="normal" topLeftCell="A124" colorId="64" zoomScale="90" zoomScaleNormal="90" zoomScalePageLayoutView="100" workbookViewId="0">
      <selection pane="topLeft" activeCell="B50" activeCellId="0" sqref="B50"/>
    </sheetView>
  </sheetViews>
  <sheetFormatPr defaultRowHeight="14.5"/>
  <cols>
    <col collapsed="false" hidden="false" max="1" min="1" style="0" width="24.4336734693878"/>
    <col collapsed="false" hidden="false" max="2" min="2" style="0" width="10.3928571428571"/>
    <col collapsed="false" hidden="false" max="3" min="3" style="0" width="10.9336734693878"/>
    <col collapsed="false" hidden="false" max="9" min="4" style="0" width="9.04591836734694"/>
    <col collapsed="false" hidden="false" max="10" min="10" style="0" width="10.530612244898"/>
    <col collapsed="false" hidden="false" max="11" min="11" style="0" width="9.04591836734694"/>
    <col collapsed="false" hidden="false" max="12" min="12" style="0" width="28.6173469387755"/>
    <col collapsed="false" hidden="false" max="13" min="13" style="0" width="11.7448979591837"/>
    <col collapsed="false" hidden="false" max="14" min="14" style="0" width="10.9336734693878"/>
    <col collapsed="false" hidden="false" max="1025" min="15" style="0" width="9.04591836734694"/>
  </cols>
  <sheetData>
    <row r="1" customFormat="false" ht="23.5" hidden="false" customHeight="false" outlineLevel="0" collapsed="false">
      <c r="A1" s="338" t="s">
        <v>600</v>
      </c>
      <c r="B1" s="339"/>
      <c r="C1" s="339"/>
      <c r="D1" s="339"/>
      <c r="E1" s="339"/>
    </row>
    <row r="2" customFormat="false" ht="14.5" hidden="false" customHeight="false" outlineLevel="0" collapsed="false">
      <c r="A2" s="339"/>
      <c r="B2" s="339"/>
      <c r="C2" s="339"/>
      <c r="D2" s="339"/>
      <c r="E2" s="339"/>
    </row>
    <row r="3" customFormat="false" ht="14.5" hidden="false" customHeight="false" outlineLevel="0" collapsed="false">
      <c r="A3" s="340"/>
    </row>
    <row r="5" customFormat="false" ht="14.5" hidden="false" customHeight="false" outlineLevel="0" collapsed="false">
      <c r="A5" s="341" t="s">
        <v>601</v>
      </c>
      <c r="B5" s="341"/>
      <c r="C5" s="341"/>
      <c r="D5" s="341"/>
      <c r="E5" s="341"/>
    </row>
    <row r="6" customFormat="false" ht="14.5" hidden="false" customHeight="false" outlineLevel="0" collapsed="false">
      <c r="A6" s="341"/>
      <c r="B6" s="341"/>
      <c r="C6" s="341"/>
      <c r="D6" s="341"/>
      <c r="E6" s="341"/>
    </row>
    <row r="7" customFormat="false" ht="14.5" hidden="false" customHeight="false" outlineLevel="0" collapsed="false">
      <c r="A7" s="254" t="s">
        <v>602</v>
      </c>
      <c r="B7" s="342" t="n">
        <v>12</v>
      </c>
      <c r="C7" s="254" t="s">
        <v>603</v>
      </c>
      <c r="D7" s="254" t="n">
        <f aca="false">B7*60/(3.6*10^6)</f>
        <v>0.0002</v>
      </c>
      <c r="E7" s="254" t="s">
        <v>604</v>
      </c>
    </row>
    <row r="8" customFormat="false" ht="14.5" hidden="false" customHeight="false" outlineLevel="0" collapsed="false">
      <c r="A8" s="254" t="s">
        <v>605</v>
      </c>
      <c r="B8" s="342" t="n">
        <v>60</v>
      </c>
      <c r="C8" s="254" t="s">
        <v>603</v>
      </c>
      <c r="D8" s="254" t="n">
        <f aca="false">B8*60/(3.6*10^6)</f>
        <v>0.001</v>
      </c>
      <c r="E8" s="254" t="s">
        <v>604</v>
      </c>
    </row>
    <row r="9" customFormat="false" ht="14.5" hidden="false" customHeight="false" outlineLevel="0" collapsed="false">
      <c r="A9" s="254" t="s">
        <v>606</v>
      </c>
      <c r="B9" s="342" t="n">
        <v>80</v>
      </c>
      <c r="C9" s="254" t="s">
        <v>603</v>
      </c>
      <c r="D9" s="254" t="n">
        <f aca="false">B9*60/(3.6*10^6)</f>
        <v>0.00133333333333333</v>
      </c>
      <c r="E9" s="254" t="s">
        <v>604</v>
      </c>
    </row>
    <row r="10" customFormat="false" ht="14.5" hidden="false" customHeight="false" outlineLevel="0" collapsed="false">
      <c r="E10" s="343"/>
    </row>
    <row r="11" customFormat="false" ht="14.5" hidden="false" customHeight="false" outlineLevel="0" collapsed="false">
      <c r="E11" s="344"/>
    </row>
    <row r="12" customFormat="false" ht="14.5" hidden="false" customHeight="false" outlineLevel="0" collapsed="false">
      <c r="A12" s="251" t="s">
        <v>607</v>
      </c>
      <c r="E12" s="343"/>
    </row>
    <row r="13" customFormat="false" ht="14.5" hidden="false" customHeight="false" outlineLevel="0" collapsed="false">
      <c r="A13" s="341" t="s">
        <v>608</v>
      </c>
      <c r="B13" s="341"/>
      <c r="C13" s="341"/>
      <c r="D13" s="341"/>
      <c r="E13" s="341"/>
    </row>
    <row r="14" customFormat="false" ht="14.5" hidden="false" customHeight="false" outlineLevel="0" collapsed="false">
      <c r="A14" s="345" t="s">
        <v>609</v>
      </c>
      <c r="B14" s="341"/>
      <c r="C14" s="341"/>
      <c r="D14" s="341"/>
      <c r="E14" s="341"/>
    </row>
    <row r="15" customFormat="false" ht="14.5" hidden="false" customHeight="false" outlineLevel="0" collapsed="false">
      <c r="A15" s="254" t="s">
        <v>610</v>
      </c>
      <c r="B15" s="346" t="n">
        <f aca="false">F32*F33*93</f>
        <v>388740</v>
      </c>
      <c r="C15" s="254" t="s">
        <v>611</v>
      </c>
      <c r="D15" s="254"/>
      <c r="E15" s="254"/>
    </row>
    <row r="16" customFormat="false" ht="14.5" hidden="false" customHeight="false" outlineLevel="0" collapsed="false">
      <c r="A16" s="254" t="s">
        <v>612</v>
      </c>
      <c r="B16" s="346" t="n">
        <v>0.9</v>
      </c>
      <c r="C16" s="254"/>
      <c r="D16" s="254"/>
      <c r="E16" s="254"/>
      <c r="F16" s="0" t="s">
        <v>613</v>
      </c>
    </row>
    <row r="17" customFormat="false" ht="14.5" hidden="false" customHeight="false" outlineLevel="0" collapsed="false">
      <c r="A17" s="254" t="s">
        <v>614</v>
      </c>
      <c r="B17" s="346" t="n">
        <f aca="false">B15/B16</f>
        <v>431933.333333333</v>
      </c>
      <c r="C17" s="254" t="s">
        <v>611</v>
      </c>
      <c r="D17" s="254"/>
      <c r="E17" s="254"/>
    </row>
    <row r="18" customFormat="false" ht="14.5" hidden="false" customHeight="false" outlineLevel="0" collapsed="false">
      <c r="A18" s="254"/>
      <c r="B18" s="346" t="n">
        <f aca="false">B17/(1000*3600)</f>
        <v>0.119981481481481</v>
      </c>
      <c r="C18" s="254" t="s">
        <v>333</v>
      </c>
      <c r="D18" s="254"/>
      <c r="E18" s="254"/>
    </row>
    <row r="19" customFormat="false" ht="14.5" hidden="false" customHeight="false" outlineLevel="0" collapsed="false">
      <c r="A19" s="254" t="s">
        <v>615</v>
      </c>
      <c r="B19" s="346" t="n">
        <f aca="false">B18*F34</f>
        <v>0.0275957407407407</v>
      </c>
      <c r="C19" s="254" t="s">
        <v>354</v>
      </c>
      <c r="D19" s="254"/>
      <c r="E19" s="254"/>
    </row>
    <row r="20" customFormat="false" ht="14.5" hidden="false" customHeight="false" outlineLevel="0" collapsed="false">
      <c r="A20" s="345" t="s">
        <v>616</v>
      </c>
      <c r="B20" s="345"/>
      <c r="C20" s="345"/>
      <c r="D20" s="345"/>
      <c r="E20" s="345"/>
    </row>
    <row r="21" customFormat="false" ht="14.5" hidden="false" customHeight="false" outlineLevel="0" collapsed="false">
      <c r="A21" s="347" t="s">
        <v>617</v>
      </c>
      <c r="B21" s="254"/>
      <c r="C21" s="254"/>
      <c r="D21" s="254"/>
      <c r="E21" s="254"/>
    </row>
    <row r="22" customFormat="false" ht="14.5" hidden="false" customHeight="false" outlineLevel="0" collapsed="false">
      <c r="A22" s="254" t="s">
        <v>618</v>
      </c>
      <c r="B22" s="254"/>
      <c r="C22" s="254"/>
      <c r="D22" s="254"/>
      <c r="E22" s="254"/>
    </row>
    <row r="23" customFormat="false" ht="14.5" hidden="false" customHeight="false" outlineLevel="0" collapsed="false">
      <c r="A23" s="254" t="s">
        <v>615</v>
      </c>
      <c r="B23" s="346" t="n">
        <f aca="false">B19</f>
        <v>0.0275957407407407</v>
      </c>
      <c r="C23" s="254" t="s">
        <v>354</v>
      </c>
      <c r="D23" s="254" t="s">
        <v>619</v>
      </c>
      <c r="E23" s="254"/>
    </row>
    <row r="24" customFormat="false" ht="14.5" hidden="false" customHeight="false" outlineLevel="0" collapsed="false">
      <c r="A24" s="345" t="s">
        <v>620</v>
      </c>
      <c r="B24" s="341"/>
      <c r="C24" s="341"/>
      <c r="D24" s="341"/>
      <c r="E24" s="341"/>
    </row>
    <row r="25" customFormat="false" ht="14.5" hidden="false" customHeight="false" outlineLevel="0" collapsed="false">
      <c r="A25" s="347" t="s">
        <v>621</v>
      </c>
      <c r="B25" s="254"/>
      <c r="C25" s="254"/>
      <c r="D25" s="254"/>
      <c r="E25" s="254"/>
    </row>
    <row r="26" customFormat="false" ht="14.5" hidden="false" customHeight="false" outlineLevel="0" collapsed="false">
      <c r="A26" s="254" t="s">
        <v>615</v>
      </c>
      <c r="B26" s="346" t="n">
        <f aca="false">B19</f>
        <v>0.0275957407407407</v>
      </c>
      <c r="C26" s="254" t="s">
        <v>354</v>
      </c>
      <c r="D26" s="254"/>
      <c r="E26" s="254"/>
    </row>
    <row r="30" customFormat="false" ht="14.5" hidden="false" customHeight="false" outlineLevel="0" collapsed="false">
      <c r="A30" s="341" t="s">
        <v>622</v>
      </c>
      <c r="B30" s="341"/>
      <c r="C30" s="341"/>
      <c r="D30" s="341"/>
      <c r="E30" s="341"/>
      <c r="F30" s="341"/>
      <c r="G30" s="341"/>
    </row>
    <row r="31" customFormat="false" ht="14.5" hidden="false" customHeight="false" outlineLevel="0" collapsed="false">
      <c r="A31" s="345" t="s">
        <v>364</v>
      </c>
      <c r="B31" s="341"/>
      <c r="C31" s="341"/>
      <c r="D31" s="341"/>
      <c r="E31" s="341"/>
      <c r="F31" s="341"/>
      <c r="G31" s="341"/>
    </row>
    <row r="32" customFormat="false" ht="14.5" hidden="false" customHeight="false" outlineLevel="0" collapsed="false">
      <c r="A32" s="254" t="s">
        <v>623</v>
      </c>
      <c r="B32" s="348" t="n">
        <v>7</v>
      </c>
      <c r="C32" s="349" t="s">
        <v>624</v>
      </c>
      <c r="D32" s="254"/>
      <c r="E32" s="254" t="s">
        <v>356</v>
      </c>
      <c r="F32" s="254" t="n">
        <v>4.18</v>
      </c>
      <c r="G32" s="254" t="s">
        <v>357</v>
      </c>
    </row>
    <row r="33" customFormat="false" ht="14.5" hidden="false" customHeight="false" outlineLevel="0" collapsed="false">
      <c r="A33" s="254" t="s">
        <v>625</v>
      </c>
      <c r="B33" s="348" t="n">
        <v>45</v>
      </c>
      <c r="C33" s="349" t="s">
        <v>624</v>
      </c>
      <c r="D33" s="254"/>
      <c r="E33" s="254" t="s">
        <v>360</v>
      </c>
      <c r="F33" s="254" t="n">
        <v>1000</v>
      </c>
      <c r="G33" s="254" t="s">
        <v>361</v>
      </c>
    </row>
    <row r="34" customFormat="false" ht="14.5" hidden="false" customHeight="false" outlineLevel="0" collapsed="false">
      <c r="A34" s="254" t="s">
        <v>626</v>
      </c>
      <c r="B34" s="348" t="n">
        <f aca="false">B33-B32</f>
        <v>38</v>
      </c>
      <c r="C34" s="349" t="s">
        <v>624</v>
      </c>
      <c r="D34" s="254"/>
      <c r="E34" s="254" t="s">
        <v>627</v>
      </c>
      <c r="F34" s="254" t="n">
        <v>0.23</v>
      </c>
      <c r="G34" s="254" t="s">
        <v>345</v>
      </c>
      <c r="H34" s="350" t="s">
        <v>628</v>
      </c>
    </row>
    <row r="35" customFormat="false" ht="14.5" hidden="false" customHeight="false" outlineLevel="0" collapsed="false">
      <c r="A35" s="254" t="s">
        <v>629</v>
      </c>
      <c r="B35" s="348" t="n">
        <f aca="false">F33*F32*B34</f>
        <v>158840</v>
      </c>
      <c r="C35" s="349" t="s">
        <v>611</v>
      </c>
      <c r="D35" s="254"/>
      <c r="E35" s="254"/>
      <c r="F35" s="254"/>
      <c r="G35" s="254"/>
    </row>
    <row r="36" customFormat="false" ht="14.5" hidden="false" customHeight="false" outlineLevel="0" collapsed="false">
      <c r="A36" s="254"/>
      <c r="B36" s="348" t="n">
        <f aca="false">B35/(3.6*10^3)</f>
        <v>44.1222222222222</v>
      </c>
      <c r="C36" s="349" t="s">
        <v>630</v>
      </c>
      <c r="D36" s="254"/>
      <c r="E36" s="254"/>
      <c r="F36" s="254"/>
      <c r="G36" s="254"/>
      <c r="J36" s="0" t="n">
        <f aca="false">B36/1000</f>
        <v>0.0441222222222222</v>
      </c>
      <c r="K36" s="0" t="n">
        <f aca="false">J36*13</f>
        <v>0.573588888888889</v>
      </c>
    </row>
    <row r="37" customFormat="false" ht="14.5" hidden="false" customHeight="false" outlineLevel="0" collapsed="false">
      <c r="A37" s="254" t="s">
        <v>631</v>
      </c>
      <c r="B37" s="348" t="n">
        <f aca="false">B36*F34</f>
        <v>10.1481111111111</v>
      </c>
      <c r="C37" s="349" t="s">
        <v>632</v>
      </c>
      <c r="D37" s="254"/>
      <c r="E37" s="254"/>
      <c r="F37" s="254"/>
      <c r="G37" s="254"/>
    </row>
    <row r="38" customFormat="false" ht="14.5" hidden="false" customHeight="false" outlineLevel="0" collapsed="false">
      <c r="A38" s="254"/>
      <c r="B38" s="348" t="n">
        <f aca="false">B37/1000</f>
        <v>0.0101481111111111</v>
      </c>
      <c r="C38" s="349" t="s">
        <v>354</v>
      </c>
      <c r="D38" s="254"/>
      <c r="E38" s="254"/>
      <c r="F38" s="254"/>
      <c r="G38" s="254"/>
      <c r="H38" s="0" t="s">
        <v>633</v>
      </c>
    </row>
    <row r="39" customFormat="false" ht="14.5" hidden="false" customHeight="false" outlineLevel="0" collapsed="false">
      <c r="B39" s="0" t="n">
        <f aca="false">B36*2/1000</f>
        <v>0.0882444444444445</v>
      </c>
      <c r="H39" s="0" t="n">
        <f aca="false">0.015/0.277</f>
        <v>0.0541516245487365</v>
      </c>
      <c r="I39" s="0" t="s">
        <v>345</v>
      </c>
      <c r="J39" s="350" t="s">
        <v>634</v>
      </c>
    </row>
    <row r="40" customFormat="false" ht="14.5" hidden="false" customHeight="false" outlineLevel="0" collapsed="false">
      <c r="B40" s="0" t="n">
        <f aca="false">1.2/12</f>
        <v>0.1</v>
      </c>
    </row>
    <row r="41" customFormat="false" ht="14.5" hidden="false" customHeight="false" outlineLevel="0" collapsed="false">
      <c r="A41" s="341" t="s">
        <v>622</v>
      </c>
      <c r="B41" s="341"/>
      <c r="C41" s="341"/>
      <c r="D41" s="341"/>
      <c r="E41" s="341"/>
      <c r="F41" s="341"/>
      <c r="G41" s="341"/>
    </row>
    <row r="42" customFormat="false" ht="14.5" hidden="false" customHeight="false" outlineLevel="0" collapsed="false">
      <c r="A42" s="345" t="s">
        <v>635</v>
      </c>
      <c r="B42" s="341"/>
      <c r="C42" s="341"/>
      <c r="D42" s="341"/>
      <c r="E42" s="341"/>
      <c r="F42" s="341"/>
      <c r="G42" s="341"/>
    </row>
    <row r="43" customFormat="false" ht="14.5" hidden="false" customHeight="false" outlineLevel="0" collapsed="false">
      <c r="A43" s="254" t="s">
        <v>623</v>
      </c>
      <c r="B43" s="348" t="n">
        <v>7</v>
      </c>
      <c r="C43" s="349" t="s">
        <v>624</v>
      </c>
      <c r="D43" s="254"/>
      <c r="E43" s="254" t="s">
        <v>356</v>
      </c>
      <c r="F43" s="254" t="n">
        <v>4.18</v>
      </c>
      <c r="G43" s="254" t="s">
        <v>357</v>
      </c>
    </row>
    <row r="44" customFormat="false" ht="14.5" hidden="false" customHeight="false" outlineLevel="0" collapsed="false">
      <c r="A44" s="254" t="s">
        <v>625</v>
      </c>
      <c r="B44" s="348" t="n">
        <v>33</v>
      </c>
      <c r="C44" s="349" t="s">
        <v>624</v>
      </c>
      <c r="D44" s="254"/>
      <c r="E44" s="254" t="s">
        <v>360</v>
      </c>
      <c r="F44" s="254" t="n">
        <v>1000</v>
      </c>
      <c r="G44" s="254" t="s">
        <v>361</v>
      </c>
    </row>
    <row r="45" customFormat="false" ht="14.5" hidden="false" customHeight="false" outlineLevel="0" collapsed="false">
      <c r="A45" s="254" t="s">
        <v>626</v>
      </c>
      <c r="B45" s="348" t="n">
        <f aca="false">B44-B43</f>
        <v>26</v>
      </c>
      <c r="C45" s="349" t="s">
        <v>624</v>
      </c>
      <c r="D45" s="254"/>
      <c r="E45" s="254" t="s">
        <v>627</v>
      </c>
      <c r="F45" s="254" t="n">
        <v>0.23</v>
      </c>
      <c r="G45" s="254" t="s">
        <v>345</v>
      </c>
    </row>
    <row r="46" customFormat="false" ht="14.5" hidden="false" customHeight="false" outlineLevel="0" collapsed="false">
      <c r="A46" s="254" t="s">
        <v>629</v>
      </c>
      <c r="B46" s="348" t="n">
        <f aca="false">F44*F43*B45</f>
        <v>108680</v>
      </c>
      <c r="C46" s="349" t="s">
        <v>611</v>
      </c>
      <c r="D46" s="254"/>
      <c r="E46" s="254"/>
      <c r="F46" s="254"/>
      <c r="G46" s="254"/>
    </row>
    <row r="47" customFormat="false" ht="14.5" hidden="false" customHeight="false" outlineLevel="0" collapsed="false">
      <c r="A47" s="254"/>
      <c r="B47" s="348" t="n">
        <f aca="false">B46/(3.6*10^3)</f>
        <v>30.1888888888889</v>
      </c>
      <c r="C47" s="349" t="s">
        <v>630</v>
      </c>
      <c r="D47" s="254"/>
      <c r="E47" s="254"/>
      <c r="F47" s="254"/>
      <c r="G47" s="254"/>
    </row>
    <row r="48" customFormat="false" ht="14.5" hidden="false" customHeight="false" outlineLevel="0" collapsed="false">
      <c r="A48" s="254" t="s">
        <v>631</v>
      </c>
      <c r="B48" s="348" t="n">
        <f aca="false">B47*F45</f>
        <v>6.94344444444445</v>
      </c>
      <c r="C48" s="349" t="s">
        <v>632</v>
      </c>
      <c r="D48" s="254"/>
      <c r="E48" s="254"/>
      <c r="F48" s="254"/>
      <c r="G48" s="254"/>
    </row>
    <row r="49" customFormat="false" ht="14.5" hidden="false" customHeight="false" outlineLevel="0" collapsed="false">
      <c r="A49" s="254"/>
      <c r="B49" s="351" t="n">
        <f aca="false">B48/1000</f>
        <v>0.00694344444444445</v>
      </c>
      <c r="C49" s="349" t="s">
        <v>354</v>
      </c>
      <c r="D49" s="254"/>
      <c r="E49" s="254"/>
      <c r="F49" s="254"/>
      <c r="G49" s="254"/>
    </row>
    <row r="50" customFormat="false" ht="14.5" hidden="false" customHeight="false" outlineLevel="0" collapsed="false">
      <c r="H50" s="0" t="n">
        <v>0.0075</v>
      </c>
      <c r="I50" s="0" t="n">
        <v>0.0069</v>
      </c>
      <c r="J50" s="0" t="n">
        <f aca="false">H50-I50</f>
        <v>0.0006</v>
      </c>
      <c r="K50" s="0" t="n">
        <f aca="false">J50*6500</f>
        <v>3.9</v>
      </c>
    </row>
    <row r="52" customFormat="false" ht="14.5" hidden="false" customHeight="false" outlineLevel="0" collapsed="false">
      <c r="A52" s="341" t="s">
        <v>622</v>
      </c>
      <c r="B52" s="341"/>
      <c r="C52" s="341"/>
      <c r="D52" s="341"/>
      <c r="E52" s="341"/>
      <c r="F52" s="341"/>
      <c r="G52" s="341"/>
    </row>
    <row r="53" customFormat="false" ht="14.5" hidden="false" customHeight="false" outlineLevel="0" collapsed="false">
      <c r="A53" s="345" t="s">
        <v>636</v>
      </c>
      <c r="B53" s="341"/>
      <c r="C53" s="341"/>
      <c r="D53" s="341"/>
      <c r="E53" s="341"/>
      <c r="F53" s="341"/>
      <c r="G53" s="341"/>
    </row>
    <row r="54" customFormat="false" ht="14.5" hidden="false" customHeight="false" outlineLevel="0" collapsed="false">
      <c r="A54" s="254" t="s">
        <v>623</v>
      </c>
      <c r="B54" s="348" t="n">
        <v>7</v>
      </c>
      <c r="C54" s="349" t="s">
        <v>624</v>
      </c>
      <c r="D54" s="254"/>
      <c r="E54" s="254" t="s">
        <v>356</v>
      </c>
      <c r="F54" s="254" t="n">
        <v>4.18</v>
      </c>
      <c r="G54" s="254" t="s">
        <v>357</v>
      </c>
    </row>
    <row r="55" customFormat="false" ht="14.5" hidden="false" customHeight="false" outlineLevel="0" collapsed="false">
      <c r="A55" s="254" t="s">
        <v>625</v>
      </c>
      <c r="B55" s="348" t="n">
        <v>40</v>
      </c>
      <c r="C55" s="349" t="s">
        <v>624</v>
      </c>
      <c r="D55" s="254"/>
      <c r="E55" s="254" t="s">
        <v>360</v>
      </c>
      <c r="F55" s="254" t="n">
        <v>1000</v>
      </c>
      <c r="G55" s="254" t="s">
        <v>361</v>
      </c>
    </row>
    <row r="56" customFormat="false" ht="14.5" hidden="false" customHeight="false" outlineLevel="0" collapsed="false">
      <c r="A56" s="254" t="s">
        <v>626</v>
      </c>
      <c r="B56" s="348" t="n">
        <f aca="false">B55-B54</f>
        <v>33</v>
      </c>
      <c r="C56" s="349" t="s">
        <v>624</v>
      </c>
      <c r="D56" s="254"/>
      <c r="E56" s="254" t="s">
        <v>627</v>
      </c>
      <c r="F56" s="254" t="n">
        <v>0.23</v>
      </c>
      <c r="G56" s="254" t="s">
        <v>345</v>
      </c>
    </row>
    <row r="57" customFormat="false" ht="14.5" hidden="false" customHeight="false" outlineLevel="0" collapsed="false">
      <c r="A57" s="254" t="s">
        <v>629</v>
      </c>
      <c r="B57" s="348" t="n">
        <f aca="false">F55*F54*B56</f>
        <v>137940</v>
      </c>
      <c r="C57" s="349" t="s">
        <v>611</v>
      </c>
      <c r="D57" s="254"/>
      <c r="E57" s="254" t="s">
        <v>637</v>
      </c>
      <c r="F57" s="254" t="n">
        <v>12</v>
      </c>
      <c r="G57" s="254" t="s">
        <v>638</v>
      </c>
      <c r="H57" s="0" t="s">
        <v>639</v>
      </c>
    </row>
    <row r="58" customFormat="false" ht="14.5" hidden="false" customHeight="false" outlineLevel="0" collapsed="false">
      <c r="A58" s="254"/>
      <c r="B58" s="348" t="n">
        <f aca="false">B57/(3.6*10^3)</f>
        <v>38.3166666666667</v>
      </c>
      <c r="C58" s="349" t="s">
        <v>630</v>
      </c>
      <c r="D58" s="254"/>
      <c r="E58" s="254"/>
      <c r="F58" s="254"/>
      <c r="G58" s="254"/>
    </row>
    <row r="59" customFormat="false" ht="14.5" hidden="false" customHeight="false" outlineLevel="0" collapsed="false">
      <c r="A59" s="254" t="s">
        <v>631</v>
      </c>
      <c r="B59" s="348" t="n">
        <f aca="false">B58*F56</f>
        <v>8.81283333333333</v>
      </c>
      <c r="C59" s="349" t="s">
        <v>632</v>
      </c>
      <c r="D59" s="254"/>
      <c r="E59" s="254"/>
      <c r="F59" s="254"/>
      <c r="G59" s="254"/>
    </row>
    <row r="60" customFormat="false" ht="14.5" hidden="false" customHeight="false" outlineLevel="0" collapsed="false">
      <c r="A60" s="254"/>
      <c r="B60" s="348" t="n">
        <f aca="false">B59/1000</f>
        <v>0.00881283333333333</v>
      </c>
      <c r="C60" s="349" t="s">
        <v>354</v>
      </c>
      <c r="D60" s="254"/>
      <c r="E60" s="254"/>
      <c r="F60" s="254"/>
      <c r="G60" s="254"/>
    </row>
    <row r="61" customFormat="false" ht="14.5" hidden="false" customHeight="false" outlineLevel="0" collapsed="false">
      <c r="A61" s="254" t="s">
        <v>640</v>
      </c>
      <c r="B61" s="254" t="n">
        <f aca="false">B60*F57</f>
        <v>0.105754</v>
      </c>
      <c r="C61" s="349" t="s">
        <v>641</v>
      </c>
      <c r="D61" s="254"/>
      <c r="E61" s="254"/>
      <c r="F61" s="254"/>
      <c r="G61" s="254"/>
    </row>
    <row r="66" customFormat="false" ht="14.5" hidden="false" customHeight="false" outlineLevel="0" collapsed="false">
      <c r="A66" s="341"/>
      <c r="B66" s="341"/>
      <c r="C66" s="341"/>
      <c r="D66" s="341"/>
      <c r="E66" s="341"/>
      <c r="F66" s="341"/>
      <c r="G66" s="341"/>
    </row>
    <row r="67" customFormat="false" ht="14.5" hidden="false" customHeight="false" outlineLevel="0" collapsed="false">
      <c r="A67" s="345" t="s">
        <v>642</v>
      </c>
      <c r="B67" s="345"/>
      <c r="C67" s="345" t="s">
        <v>643</v>
      </c>
      <c r="D67" s="345"/>
      <c r="E67" s="341" t="s">
        <v>644</v>
      </c>
      <c r="F67" s="341"/>
      <c r="G67" s="341"/>
    </row>
    <row r="69" customFormat="false" ht="14.5" hidden="false" customHeight="false" outlineLevel="0" collapsed="false">
      <c r="A69" s="0" t="s">
        <v>645</v>
      </c>
      <c r="C69" s="133" t="n">
        <v>1.1</v>
      </c>
      <c r="E69" s="0" t="s">
        <v>646</v>
      </c>
      <c r="G69" s="340"/>
    </row>
    <row r="70" customFormat="false" ht="14.5" hidden="false" customHeight="false" outlineLevel="0" collapsed="false">
      <c r="A70" s="0" t="s">
        <v>647</v>
      </c>
      <c r="C70" s="133" t="n">
        <v>1.1</v>
      </c>
      <c r="E70" s="0" t="s">
        <v>646</v>
      </c>
    </row>
    <row r="71" customFormat="false" ht="14.5" hidden="false" customHeight="false" outlineLevel="0" collapsed="false">
      <c r="A71" s="0" t="s">
        <v>648</v>
      </c>
      <c r="C71" s="133" t="n">
        <v>1.1</v>
      </c>
      <c r="E71" s="0" t="s">
        <v>646</v>
      </c>
    </row>
    <row r="72" customFormat="false" ht="14.5" hidden="false" customHeight="false" outlineLevel="0" collapsed="false">
      <c r="A72" s="0" t="s">
        <v>649</v>
      </c>
      <c r="C72" s="133" t="n">
        <v>1.1</v>
      </c>
      <c r="E72" s="0" t="s">
        <v>646</v>
      </c>
    </row>
    <row r="74" customFormat="false" ht="14.5" hidden="false" customHeight="false" outlineLevel="0" collapsed="false">
      <c r="A74" s="0" t="s">
        <v>650</v>
      </c>
      <c r="C74" s="133" t="n">
        <v>2</v>
      </c>
      <c r="E74" s="0" t="s">
        <v>646</v>
      </c>
    </row>
    <row r="75" customFormat="false" ht="14.5" hidden="false" customHeight="false" outlineLevel="0" collapsed="false">
      <c r="A75" s="0" t="s">
        <v>651</v>
      </c>
      <c r="C75" s="133" t="n">
        <v>2</v>
      </c>
      <c r="E75" s="0" t="s">
        <v>646</v>
      </c>
    </row>
    <row r="76" customFormat="false" ht="14.5" hidden="false" customHeight="false" outlineLevel="0" collapsed="false">
      <c r="A76" s="0" t="s">
        <v>652</v>
      </c>
      <c r="C76" s="133" t="n">
        <v>2</v>
      </c>
      <c r="E76" s="0" t="s">
        <v>646</v>
      </c>
    </row>
    <row r="77" customFormat="false" ht="14.5" hidden="false" customHeight="false" outlineLevel="0" collapsed="false">
      <c r="A77" s="0" t="s">
        <v>653</v>
      </c>
      <c r="C77" s="133" t="n">
        <v>2</v>
      </c>
      <c r="E77" s="0" t="s">
        <v>646</v>
      </c>
    </row>
    <row r="78" customFormat="false" ht="14.5" hidden="false" customHeight="false" outlineLevel="0" collapsed="false">
      <c r="A78" s="0" t="s">
        <v>654</v>
      </c>
      <c r="C78" s="133" t="n">
        <v>2</v>
      </c>
      <c r="E78" s="0" t="s">
        <v>646</v>
      </c>
    </row>
    <row r="79" customFormat="false" ht="14.5" hidden="false" customHeight="false" outlineLevel="0" collapsed="false">
      <c r="A79" s="0" t="s">
        <v>655</v>
      </c>
      <c r="C79" s="133" t="n">
        <v>2</v>
      </c>
      <c r="E79" s="0" t="s">
        <v>646</v>
      </c>
    </row>
    <row r="80" customFormat="false" ht="14.5" hidden="false" customHeight="false" outlineLevel="0" collapsed="false">
      <c r="A80" s="0" t="s">
        <v>656</v>
      </c>
      <c r="C80" s="133" t="n">
        <v>2</v>
      </c>
      <c r="E80" s="0" t="s">
        <v>646</v>
      </c>
    </row>
    <row r="81" customFormat="false" ht="14.5" hidden="false" customHeight="false" outlineLevel="0" collapsed="false">
      <c r="A81" s="0" t="s">
        <v>657</v>
      </c>
      <c r="C81" s="133" t="n">
        <v>2</v>
      </c>
      <c r="E81" s="0" t="s">
        <v>646</v>
      </c>
    </row>
    <row r="82" customFormat="false" ht="14.5" hidden="false" customHeight="false" outlineLevel="0" collapsed="false">
      <c r="A82" s="0" t="s">
        <v>658</v>
      </c>
      <c r="C82" s="133" t="n">
        <v>2</v>
      </c>
      <c r="E82" s="0" t="s">
        <v>646</v>
      </c>
    </row>
    <row r="84" customFormat="false" ht="14.5" hidden="false" customHeight="false" outlineLevel="0" collapsed="false">
      <c r="A84" s="0" t="s">
        <v>659</v>
      </c>
      <c r="C84" s="133" t="n">
        <v>2.9</v>
      </c>
      <c r="E84" s="0" t="s">
        <v>646</v>
      </c>
    </row>
    <row r="85" customFormat="false" ht="14.5" hidden="false" customHeight="false" outlineLevel="0" collapsed="false">
      <c r="A85" s="0" t="s">
        <v>660</v>
      </c>
      <c r="C85" s="133" t="n">
        <v>2.7</v>
      </c>
      <c r="E85" s="0" t="s">
        <v>646</v>
      </c>
    </row>
    <row r="86" customFormat="false" ht="14.5" hidden="false" customHeight="false" outlineLevel="0" collapsed="false">
      <c r="A86" s="0" t="s">
        <v>661</v>
      </c>
    </row>
    <row r="87" customFormat="false" ht="14.5" hidden="false" customHeight="false" outlineLevel="0" collapsed="false">
      <c r="A87" s="0" t="s">
        <v>662</v>
      </c>
      <c r="C87" s="0" t="n">
        <v>0.4</v>
      </c>
      <c r="E87" s="0" t="s">
        <v>663</v>
      </c>
    </row>
    <row r="88" customFormat="false" ht="14.5" hidden="false" customHeight="false" outlineLevel="0" collapsed="false">
      <c r="A88" s="0" t="s">
        <v>664</v>
      </c>
      <c r="C88" s="0" t="n">
        <v>0.7</v>
      </c>
      <c r="E88" s="0" t="s">
        <v>663</v>
      </c>
    </row>
    <row r="91" customFormat="false" ht="14.5" hidden="false" customHeight="false" outlineLevel="0" collapsed="false">
      <c r="A91" s="0" t="s">
        <v>665</v>
      </c>
      <c r="C91" s="133" t="n">
        <v>1.9</v>
      </c>
      <c r="E91" s="0" t="s">
        <v>646</v>
      </c>
    </row>
    <row r="92" customFormat="false" ht="14.5" hidden="false" customHeight="false" outlineLevel="0" collapsed="false">
      <c r="A92" s="0" t="s">
        <v>666</v>
      </c>
      <c r="C92" s="0" t="n">
        <v>0.3</v>
      </c>
      <c r="E92" s="0" t="s">
        <v>667</v>
      </c>
    </row>
    <row r="93" customFormat="false" ht="14.5" hidden="false" customHeight="false" outlineLevel="0" collapsed="false">
      <c r="A93" s="0" t="s">
        <v>668</v>
      </c>
      <c r="C93" s="0" t="n">
        <v>0.21</v>
      </c>
      <c r="E93" s="0" t="s">
        <v>669</v>
      </c>
    </row>
    <row r="94" customFormat="false" ht="14.5" hidden="false" customHeight="false" outlineLevel="0" collapsed="false">
      <c r="A94" s="0" t="s">
        <v>670</v>
      </c>
      <c r="C94" s="0" t="n">
        <v>0.61</v>
      </c>
      <c r="E94" s="0" t="s">
        <v>671</v>
      </c>
    </row>
    <row r="95" customFormat="false" ht="14.5" hidden="false" customHeight="false" outlineLevel="0" collapsed="false">
      <c r="A95" s="0" t="s">
        <v>672</v>
      </c>
      <c r="C95" s="0" t="n">
        <v>1.01</v>
      </c>
      <c r="E95" s="0" t="s">
        <v>673</v>
      </c>
    </row>
    <row r="97" customFormat="false" ht="14.5" hidden="false" customHeight="false" outlineLevel="0" collapsed="false">
      <c r="A97" s="0" t="s">
        <v>674</v>
      </c>
      <c r="C97" s="133" t="n">
        <v>4.8</v>
      </c>
      <c r="E97" s="0" t="s">
        <v>646</v>
      </c>
    </row>
    <row r="98" customFormat="false" ht="14.5" hidden="false" customHeight="false" outlineLevel="0" collapsed="false">
      <c r="A98" s="0" t="s">
        <v>675</v>
      </c>
      <c r="C98" s="133" t="n">
        <v>6.1</v>
      </c>
      <c r="E98" s="0" t="s">
        <v>646</v>
      </c>
    </row>
    <row r="99" customFormat="false" ht="14.5" hidden="false" customHeight="false" outlineLevel="0" collapsed="false">
      <c r="A99" s="0" t="s">
        <v>676</v>
      </c>
      <c r="C99" s="133" t="n">
        <v>0.9</v>
      </c>
      <c r="E99" s="0" t="s">
        <v>646</v>
      </c>
    </row>
    <row r="100" customFormat="false" ht="14.5" hidden="false" customHeight="false" outlineLevel="0" collapsed="false">
      <c r="A100" s="0" t="s">
        <v>677</v>
      </c>
      <c r="C100" s="133" t="n">
        <v>2</v>
      </c>
      <c r="E100" s="0" t="s">
        <v>646</v>
      </c>
    </row>
    <row r="101" customFormat="false" ht="14.5" hidden="false" customHeight="false" outlineLevel="0" collapsed="false">
      <c r="C101" s="133"/>
    </row>
    <row r="102" customFormat="false" ht="14.5" hidden="false" customHeight="false" outlineLevel="0" collapsed="false">
      <c r="A102" s="0" t="s">
        <v>678</v>
      </c>
      <c r="C102" s="133" t="n">
        <v>39.2</v>
      </c>
      <c r="E102" s="0" t="s">
        <v>679</v>
      </c>
    </row>
    <row r="103" customFormat="false" ht="14.5" hidden="false" customHeight="false" outlineLevel="0" collapsed="false">
      <c r="A103" s="0" t="s">
        <v>483</v>
      </c>
      <c r="C103" s="133" t="n">
        <v>27</v>
      </c>
      <c r="E103" s="0" t="s">
        <v>679</v>
      </c>
    </row>
    <row r="104" customFormat="false" ht="14.5" hidden="false" customHeight="false" outlineLevel="0" collapsed="false">
      <c r="A104" s="0" t="s">
        <v>680</v>
      </c>
      <c r="C104" s="133" t="n">
        <v>13.5</v>
      </c>
      <c r="E104" s="0" t="s">
        <v>679</v>
      </c>
    </row>
    <row r="105" customFormat="false" ht="14.5" hidden="false" customHeight="false" outlineLevel="0" collapsed="false">
      <c r="A105" s="0" t="s">
        <v>681</v>
      </c>
      <c r="C105" s="133" t="n">
        <v>12.1</v>
      </c>
      <c r="E105" s="0" t="s">
        <v>679</v>
      </c>
    </row>
    <row r="106" customFormat="false" ht="14.5" hidden="false" customHeight="false" outlineLevel="0" collapsed="false">
      <c r="A106" s="0" t="s">
        <v>682</v>
      </c>
      <c r="C106" s="133" t="n">
        <v>10.9</v>
      </c>
      <c r="E106" s="0" t="s">
        <v>679</v>
      </c>
    </row>
    <row r="107" customFormat="false" ht="14.5" hidden="false" customHeight="false" outlineLevel="0" collapsed="false">
      <c r="A107" s="0" t="s">
        <v>485</v>
      </c>
      <c r="C107" s="133" t="n">
        <v>6.9</v>
      </c>
      <c r="E107" s="0" t="s">
        <v>679</v>
      </c>
    </row>
    <row r="108" customFormat="false" ht="14.5" hidden="false" customHeight="false" outlineLevel="0" collapsed="false">
      <c r="C108" s="133"/>
    </row>
    <row r="112" customFormat="false" ht="14.5" hidden="false" customHeight="false" outlineLevel="0" collapsed="false">
      <c r="A112" s="352" t="s">
        <v>683</v>
      </c>
      <c r="B112" s="339"/>
      <c r="C112" s="339"/>
      <c r="D112" s="339"/>
    </row>
    <row r="113" customFormat="false" ht="14.5" hidden="false" customHeight="false" outlineLevel="0" collapsed="false">
      <c r="A113" s="254" t="s">
        <v>684</v>
      </c>
      <c r="B113" s="254"/>
      <c r="C113" s="254" t="n">
        <v>0.28908</v>
      </c>
      <c r="D113" s="254"/>
    </row>
    <row r="114" customFormat="false" ht="14.5" hidden="false" customHeight="false" outlineLevel="0" collapsed="false">
      <c r="A114" s="254"/>
      <c r="B114" s="254"/>
      <c r="C114" s="254"/>
      <c r="D114" s="254"/>
    </row>
    <row r="118" customFormat="false" ht="14.5" hidden="false" customHeight="false" outlineLevel="0" collapsed="false">
      <c r="A118" s="352" t="s">
        <v>685</v>
      </c>
      <c r="B118" s="339"/>
      <c r="C118" s="339"/>
      <c r="D118" s="339"/>
    </row>
    <row r="119" customFormat="false" ht="14.5" hidden="false" customHeight="false" outlineLevel="0" collapsed="false">
      <c r="A119" s="254" t="s">
        <v>686</v>
      </c>
      <c r="B119" s="254"/>
      <c r="C119" s="353" t="n">
        <f aca="false">12570000</f>
        <v>12570000</v>
      </c>
      <c r="D119" s="254" t="s">
        <v>687</v>
      </c>
      <c r="E119" s="350" t="s">
        <v>688</v>
      </c>
    </row>
    <row r="120" customFormat="false" ht="14.5" hidden="false" customHeight="false" outlineLevel="0" collapsed="false">
      <c r="A120" s="254" t="s">
        <v>689</v>
      </c>
      <c r="B120" s="254"/>
      <c r="C120" s="353" t="n">
        <v>110756000</v>
      </c>
      <c r="D120" s="254" t="s">
        <v>690</v>
      </c>
      <c r="E120" s="350" t="s">
        <v>691</v>
      </c>
    </row>
    <row r="121" customFormat="false" ht="14.5" hidden="false" customHeight="false" outlineLevel="0" collapsed="false">
      <c r="A121" s="0" t="s">
        <v>692</v>
      </c>
      <c r="C121" s="92" t="n">
        <f aca="false">C120/C119</f>
        <v>8.81113762927605</v>
      </c>
      <c r="D121" s="0" t="s">
        <v>693</v>
      </c>
    </row>
    <row r="123" customFormat="false" ht="14.5" hidden="false" customHeight="false" outlineLevel="0" collapsed="false">
      <c r="A123" s="0" t="s">
        <v>694</v>
      </c>
      <c r="C123" s="0" t="n">
        <f aca="false">(187.41+255.49+2.98)*10^5</f>
        <v>44588000</v>
      </c>
      <c r="D123" s="0" t="s">
        <v>695</v>
      </c>
      <c r="E123" s="0" t="s">
        <v>696</v>
      </c>
      <c r="F123" s="350" t="s">
        <v>697</v>
      </c>
    </row>
    <row r="124" customFormat="false" ht="14.5" hidden="false" customHeight="false" outlineLevel="0" collapsed="false">
      <c r="A124" s="0" t="s">
        <v>698</v>
      </c>
      <c r="C124" s="0" t="n">
        <v>63593000</v>
      </c>
      <c r="D124" s="0" t="s">
        <v>699</v>
      </c>
    </row>
    <row r="125" customFormat="false" ht="14.5" hidden="false" customHeight="false" outlineLevel="0" collapsed="false">
      <c r="A125" s="0" t="s">
        <v>692</v>
      </c>
      <c r="C125" s="92" t="n">
        <f aca="false">C124/C123</f>
        <v>1.42623575850005</v>
      </c>
      <c r="D125" s="0" t="s">
        <v>354</v>
      </c>
    </row>
    <row r="127" customFormat="false" ht="14.5" hidden="false" customHeight="false" outlineLevel="0" collapsed="false">
      <c r="A127" s="0" t="s">
        <v>700</v>
      </c>
    </row>
  </sheetData>
  <hyperlinks>
    <hyperlink ref="H34" r:id="rId1" display="http://www.engineeringtoolbox.com/co2-emission-fuels-d_1085.html"/>
    <hyperlink ref="J39" r:id="rId2" display="https://www.eia.gov/conference/2015/pdf/presentations/skone.pdf"/>
    <hyperlink ref="E119" r:id="rId3" display="http://www.tandfonline.com/doi/abs/10.1080/02508060.2014.951252"/>
    <hyperlink ref="E120" r:id="rId4" display="http://www.amb.cat/es/web/medi-ambient/sostenibilitat/canvi-climatic/petjada-del-carboni"/>
    <hyperlink ref="F123" r:id="rId5" display="http://www.aiguesdebarcelona.cat/documents/2950762/0/Aig%C3%BCes+de+Barcelona+Informe+2015_cast.pdf/0d77fa8d-e2dc-4d5a-8472-52a16d82269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5:A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3" activeCellId="0" sqref="A33"/>
    </sheetView>
  </sheetViews>
  <sheetFormatPr defaultRowHeight="14.5"/>
  <cols>
    <col collapsed="false" hidden="false" max="1025" min="1" style="0" width="9.04591836734694"/>
  </cols>
  <sheetData>
    <row r="5" customFormat="false" ht="14.5" hidden="false" customHeight="false" outlineLevel="0" collapsed="false">
      <c r="A5" s="0" t="s">
        <v>701</v>
      </c>
    </row>
    <row r="6" customFormat="false" ht="14.5" hidden="false" customHeight="false" outlineLevel="0" collapsed="false">
      <c r="A6" s="0" t="s">
        <v>702</v>
      </c>
    </row>
    <row r="7" customFormat="false" ht="14.5" hidden="false" customHeight="false" outlineLevel="0" collapsed="false">
      <c r="A7" s="0" t="s">
        <v>703</v>
      </c>
    </row>
    <row r="9" customFormat="false" ht="14.5" hidden="false" customHeight="false" outlineLevel="0" collapsed="false">
      <c r="A9" s="0" t="s">
        <v>704</v>
      </c>
    </row>
    <row r="10" customFormat="false" ht="14.5" hidden="false" customHeight="false" outlineLevel="0" collapsed="false">
      <c r="A10" s="0" t="s">
        <v>705</v>
      </c>
    </row>
    <row r="11" customFormat="false" ht="14.5" hidden="false" customHeight="false" outlineLevel="0" collapsed="false">
      <c r="A11" s="0" t="s">
        <v>706</v>
      </c>
    </row>
    <row r="12" customFormat="false" ht="14.5" hidden="false" customHeight="false" outlineLevel="0" collapsed="false">
      <c r="A12" s="0" t="s">
        <v>707</v>
      </c>
    </row>
    <row r="13" customFormat="false" ht="14.5" hidden="false" customHeight="false" outlineLevel="0" collapsed="false">
      <c r="A13" s="0" t="s">
        <v>708</v>
      </c>
    </row>
    <row r="16" customFormat="false" ht="14.5" hidden="false" customHeight="false" outlineLevel="0" collapsed="false">
      <c r="A16" s="0" t="s">
        <v>613</v>
      </c>
    </row>
    <row r="17" customFormat="false" ht="14.5" hidden="false" customHeight="false" outlineLevel="0" collapsed="false">
      <c r="A17" s="350" t="s">
        <v>709</v>
      </c>
    </row>
    <row r="22" customFormat="false" ht="14.5" hidden="false" customHeight="false" outlineLevel="0" collapsed="false">
      <c r="A22" s="350" t="s">
        <v>710</v>
      </c>
    </row>
    <row r="24" customFormat="false" ht="14.5" hidden="false" customHeight="false" outlineLevel="0" collapsed="false">
      <c r="A24" s="0" t="s">
        <v>711</v>
      </c>
    </row>
    <row r="26" customFormat="false" ht="14.5" hidden="false" customHeight="false" outlineLevel="0" collapsed="false">
      <c r="A26" s="0" t="s">
        <v>712</v>
      </c>
    </row>
    <row r="30" customFormat="false" ht="14.5" hidden="false" customHeight="false" outlineLevel="0" collapsed="false">
      <c r="A30" s="0" t="s">
        <v>713</v>
      </c>
    </row>
    <row r="32" customFormat="false" ht="14.5" hidden="false" customHeight="false" outlineLevel="0" collapsed="false">
      <c r="A32" s="0" t="s">
        <v>714</v>
      </c>
    </row>
  </sheetData>
  <hyperlinks>
    <hyperlink ref="A17" r:id="rId1" display="http://energy.gov/node/773531/residential/pdfs/cookgtsd.pdf"/>
    <hyperlink ref="A22" r:id="rId2" display="http://energyusecalculator.com/electricity_refrigerator.ht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79646"/>
    <pageSetUpPr fitToPage="false"/>
  </sheetPr>
  <dimension ref="A1:E31"/>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2.75"/>
    <col collapsed="false" hidden="false" max="2" min="2" style="0" width="12.8265306122449"/>
    <col collapsed="false" hidden="false" max="1025" min="3" style="0" width="8.50510204081633"/>
  </cols>
  <sheetData>
    <row r="1" customFormat="false" ht="31" hidden="false" customHeight="false" outlineLevel="0" collapsed="false">
      <c r="A1" s="65" t="s">
        <v>86</v>
      </c>
      <c r="B1" s="2"/>
      <c r="C1" s="2"/>
      <c r="D1" s="2"/>
      <c r="E1" s="2"/>
    </row>
    <row r="2" customFormat="false" ht="14.5" hidden="false" customHeight="false" outlineLevel="0" collapsed="false">
      <c r="A2" s="2"/>
      <c r="B2" s="2"/>
      <c r="C2" s="2"/>
      <c r="D2" s="2"/>
      <c r="E2" s="2"/>
    </row>
    <row r="3" customFormat="false" ht="29" hidden="false" customHeight="true" outlineLevel="0" collapsed="false">
      <c r="A3" s="66" t="s">
        <v>87</v>
      </c>
      <c r="B3" s="66"/>
      <c r="C3" s="67"/>
      <c r="D3" s="67"/>
      <c r="E3" s="67"/>
    </row>
    <row r="4" customFormat="false" ht="38.5" hidden="false" customHeight="true" outlineLevel="0" collapsed="false">
      <c r="A4" s="68" t="s">
        <v>88</v>
      </c>
      <c r="B4" s="68"/>
      <c r="C4" s="69"/>
      <c r="D4" s="69"/>
      <c r="E4" s="69"/>
    </row>
    <row r="5" customFormat="false" ht="14.5" hidden="false" customHeight="false" outlineLevel="0" collapsed="false">
      <c r="A5" s="2"/>
      <c r="B5" s="2"/>
      <c r="C5" s="2"/>
      <c r="D5" s="2"/>
      <c r="E5" s="2"/>
    </row>
    <row r="6" customFormat="false" ht="14.5" hidden="false" customHeight="false" outlineLevel="0" collapsed="false">
      <c r="B6" s="2"/>
      <c r="C6" s="2"/>
      <c r="D6" s="2"/>
      <c r="E6" s="2"/>
    </row>
    <row r="7" customFormat="false" ht="14.5" hidden="false" customHeight="false" outlineLevel="0" collapsed="false">
      <c r="A7" s="70" t="s">
        <v>89</v>
      </c>
      <c r="B7" s="71"/>
      <c r="C7" s="2"/>
      <c r="D7" s="2"/>
      <c r="E7" s="2"/>
    </row>
    <row r="8" customFormat="false" ht="14.5" hidden="false" customHeight="false" outlineLevel="0" collapsed="false">
      <c r="A8" s="72"/>
      <c r="B8" s="73"/>
      <c r="C8" s="2"/>
      <c r="D8" s="2"/>
      <c r="E8" s="2"/>
    </row>
    <row r="9" customFormat="false" ht="29" hidden="false" customHeight="false" outlineLevel="0" collapsed="false">
      <c r="A9" s="74" t="s">
        <v>90</v>
      </c>
      <c r="B9" s="75" t="s">
        <v>91</v>
      </c>
      <c r="C9" s="2"/>
      <c r="D9" s="2"/>
      <c r="E9" s="2"/>
    </row>
    <row r="10" customFormat="false" ht="29" hidden="false" customHeight="false" outlineLevel="0" collapsed="false">
      <c r="A10" s="74" t="s">
        <v>92</v>
      </c>
      <c r="B10" s="75" t="s">
        <v>91</v>
      </c>
      <c r="C10" s="2"/>
      <c r="D10" s="2"/>
      <c r="E10" s="2"/>
    </row>
    <row r="11" customFormat="false" ht="14.5" hidden="false" customHeight="false" outlineLevel="0" collapsed="false">
      <c r="A11" s="74"/>
      <c r="B11" s="75"/>
      <c r="C11" s="2"/>
      <c r="D11" s="2"/>
      <c r="E11" s="2"/>
    </row>
    <row r="12" customFormat="false" ht="14.5" hidden="false" customHeight="false" outlineLevel="0" collapsed="false">
      <c r="A12" s="74"/>
      <c r="B12" s="76"/>
      <c r="C12" s="2"/>
      <c r="D12" s="2"/>
      <c r="E12" s="2"/>
    </row>
    <row r="13" customFormat="false" ht="14.5" hidden="false" customHeight="false" outlineLevel="0" collapsed="false">
      <c r="A13" s="74" t="s">
        <v>93</v>
      </c>
      <c r="B13" s="75" t="s">
        <v>91</v>
      </c>
      <c r="C13" s="2"/>
      <c r="D13" s="2"/>
      <c r="E13" s="2"/>
    </row>
    <row r="14" customFormat="false" ht="31" hidden="false" customHeight="true" outlineLevel="0" collapsed="false">
      <c r="A14" s="74" t="s">
        <v>94</v>
      </c>
      <c r="B14" s="75" t="s">
        <v>91</v>
      </c>
      <c r="C14" s="2"/>
      <c r="D14" s="2"/>
      <c r="E14" s="2"/>
    </row>
    <row r="15" customFormat="false" ht="14.5" hidden="false" customHeight="false" outlineLevel="0" collapsed="false">
      <c r="A15" s="74" t="s">
        <v>95</v>
      </c>
      <c r="B15" s="75" t="s">
        <v>91</v>
      </c>
      <c r="C15" s="2"/>
      <c r="D15" s="2"/>
      <c r="E15" s="2"/>
    </row>
    <row r="16" customFormat="false" ht="18.5" hidden="false" customHeight="true" outlineLevel="0" collapsed="false">
      <c r="A16" s="74" t="s">
        <v>96</v>
      </c>
      <c r="B16" s="75" t="s">
        <v>91</v>
      </c>
      <c r="C16" s="2"/>
      <c r="D16" s="2"/>
      <c r="E16" s="2"/>
    </row>
    <row r="17" customFormat="false" ht="14.5" hidden="false" customHeight="false" outlineLevel="0" collapsed="false">
      <c r="A17" s="77"/>
      <c r="B17" s="76"/>
      <c r="C17" s="2"/>
      <c r="D17" s="2"/>
      <c r="E17" s="2"/>
    </row>
    <row r="18" customFormat="false" ht="14.5" hidden="false" customHeight="false" outlineLevel="0" collapsed="false">
      <c r="A18" s="77"/>
      <c r="B18" s="76"/>
      <c r="C18" s="2"/>
      <c r="D18" s="2"/>
      <c r="E18" s="2"/>
    </row>
    <row r="19" customFormat="false" ht="14.5" hidden="false" customHeight="false" outlineLevel="0" collapsed="false">
      <c r="A19" s="77"/>
      <c r="B19" s="76"/>
      <c r="C19" s="2"/>
      <c r="D19" s="2"/>
      <c r="E19" s="2"/>
    </row>
    <row r="20" customFormat="false" ht="14.5" hidden="false" customHeight="false" outlineLevel="0" collapsed="false">
      <c r="A20" s="70" t="s">
        <v>97</v>
      </c>
      <c r="B20" s="70"/>
      <c r="C20" s="2"/>
      <c r="D20" s="2"/>
      <c r="E20" s="2"/>
    </row>
    <row r="21" customFormat="false" ht="14.5" hidden="false" customHeight="false" outlineLevel="0" collapsed="false">
      <c r="A21" s="78"/>
      <c r="B21" s="73"/>
      <c r="C21" s="2"/>
      <c r="D21" s="2"/>
      <c r="E21" s="2"/>
    </row>
    <row r="22" customFormat="false" ht="14.5" hidden="false" customHeight="false" outlineLevel="0" collapsed="false">
      <c r="A22" s="78" t="s">
        <v>98</v>
      </c>
      <c r="B22" s="73" t="s">
        <v>91</v>
      </c>
      <c r="C22" s="2"/>
      <c r="D22" s="2"/>
      <c r="E22" s="2"/>
    </row>
    <row r="23" customFormat="false" ht="14.5" hidden="false" customHeight="false" outlineLevel="0" collapsed="false">
      <c r="A23" s="78" t="s">
        <v>99</v>
      </c>
      <c r="B23" s="73" t="s">
        <v>91</v>
      </c>
      <c r="C23" s="2"/>
      <c r="D23" s="2"/>
      <c r="E23" s="2"/>
    </row>
    <row r="24" customFormat="false" ht="14.5" hidden="false" customHeight="false" outlineLevel="0" collapsed="false">
      <c r="A24" s="78" t="s">
        <v>100</v>
      </c>
      <c r="B24" s="79" t="s">
        <v>91</v>
      </c>
      <c r="C24" s="2"/>
      <c r="D24" s="2"/>
      <c r="E24" s="2"/>
    </row>
    <row r="25" customFormat="false" ht="14.5" hidden="false" customHeight="false" outlineLevel="0" collapsed="false">
      <c r="A25" s="78" t="s">
        <v>101</v>
      </c>
      <c r="B25" s="73" t="s">
        <v>91</v>
      </c>
      <c r="C25" s="2"/>
      <c r="D25" s="2"/>
      <c r="E25" s="2"/>
    </row>
    <row r="26" customFormat="false" ht="14.5" hidden="false" customHeight="false" outlineLevel="0" collapsed="false">
      <c r="A26" s="78" t="s">
        <v>102</v>
      </c>
      <c r="B26" s="73" t="s">
        <v>91</v>
      </c>
      <c r="C26" s="2"/>
      <c r="D26" s="2"/>
      <c r="E26" s="2"/>
    </row>
    <row r="27" customFormat="false" ht="14.5" hidden="false" customHeight="false" outlineLevel="0" collapsed="false">
      <c r="A27" s="78" t="s">
        <v>103</v>
      </c>
      <c r="B27" s="73" t="s">
        <v>91</v>
      </c>
      <c r="C27" s="2"/>
      <c r="D27" s="2"/>
      <c r="E27" s="2"/>
    </row>
    <row r="28" customFormat="false" ht="14.5" hidden="false" customHeight="false" outlineLevel="0" collapsed="false">
      <c r="A28" s="80" t="s">
        <v>104</v>
      </c>
      <c r="B28" s="80"/>
      <c r="C28" s="2"/>
      <c r="D28" s="2"/>
      <c r="E28" s="2"/>
    </row>
    <row r="29" customFormat="false" ht="14.5" hidden="false" customHeight="false" outlineLevel="0" collapsed="false">
      <c r="A29" s="81"/>
      <c r="B29" s="81"/>
      <c r="C29" s="2"/>
      <c r="D29" s="2"/>
      <c r="E29" s="2"/>
    </row>
    <row r="30" customFormat="false" ht="14.5" hidden="false" customHeight="false" outlineLevel="0" collapsed="false">
      <c r="A30" s="81"/>
      <c r="B30" s="81"/>
      <c r="C30" s="2"/>
      <c r="D30" s="2"/>
      <c r="E30" s="2"/>
    </row>
    <row r="31" customFormat="false" ht="18.5" hidden="false" customHeight="false" outlineLevel="0" collapsed="false">
      <c r="A31" s="82"/>
      <c r="B31" s="83"/>
    </row>
  </sheetData>
  <mergeCells count="4">
    <mergeCell ref="A3:B3"/>
    <mergeCell ref="A4:B4"/>
    <mergeCell ref="A28:B28"/>
    <mergeCell ref="A29:B3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7" activeCellId="0" sqref="F17"/>
    </sheetView>
  </sheetViews>
  <sheetFormatPr defaultRowHeight="15"/>
  <cols>
    <col collapsed="false" hidden="false" max="1" min="1" style="0" width="11.8775510204082"/>
    <col collapsed="false" hidden="false" max="5" min="2" style="0" width="10.9336734693878"/>
    <col collapsed="false" hidden="false" max="1025" min="6" style="0" width="8.50510204081633"/>
  </cols>
  <sheetData>
    <row r="1" customFormat="false" ht="28.5" hidden="false" customHeight="false" outlineLevel="0" collapsed="false">
      <c r="A1" s="84" t="s">
        <v>105</v>
      </c>
      <c r="B1" s="85"/>
      <c r="C1" s="85"/>
      <c r="D1" s="85"/>
      <c r="E1" s="85"/>
      <c r="F1" s="85"/>
      <c r="G1" s="86"/>
      <c r="H1" s="86"/>
    </row>
    <row r="2" customFormat="false" ht="15" hidden="false" customHeight="false" outlineLevel="0" collapsed="false">
      <c r="A2" s="87"/>
      <c r="B2" s="10"/>
      <c r="C2" s="85"/>
      <c r="D2" s="85"/>
      <c r="E2" s="85"/>
      <c r="F2" s="85"/>
      <c r="G2" s="86"/>
      <c r="H2" s="86"/>
    </row>
    <row r="3" customFormat="false" ht="15" hidden="false" customHeight="false" outlineLevel="0" collapsed="false">
      <c r="A3" s="88" t="s">
        <v>106</v>
      </c>
      <c r="B3" s="88"/>
      <c r="C3" s="88"/>
      <c r="D3" s="88"/>
      <c r="E3" s="88"/>
      <c r="F3" s="89"/>
      <c r="G3" s="90"/>
      <c r="H3" s="90"/>
    </row>
    <row r="4" customFormat="false" ht="15" hidden="false" customHeight="false" outlineLevel="0" collapsed="false">
      <c r="F4" s="90"/>
      <c r="G4" s="91"/>
      <c r="H4" s="91"/>
      <c r="I4" s="92"/>
    </row>
    <row r="5" customFormat="false" ht="15" hidden="false" customHeight="false" outlineLevel="0" collapsed="false">
      <c r="A5" s="93"/>
      <c r="B5" s="94" t="s">
        <v>107</v>
      </c>
      <c r="C5" s="94"/>
      <c r="D5" s="95" t="n">
        <f aca="false">SUM(B9:E9)</f>
        <v>0</v>
      </c>
      <c r="E5" s="95"/>
      <c r="F5" s="96"/>
      <c r="G5" s="91"/>
      <c r="H5" s="91"/>
      <c r="I5" s="92"/>
    </row>
    <row r="6" customFormat="false" ht="15" hidden="false" customHeight="false" outlineLevel="0" collapsed="false">
      <c r="A6" s="97"/>
      <c r="B6" s="98" t="s">
        <v>108</v>
      </c>
      <c r="C6" s="98"/>
      <c r="D6" s="95" t="n">
        <f aca="false">7*D5</f>
        <v>0</v>
      </c>
      <c r="E6" s="95"/>
      <c r="F6" s="96"/>
      <c r="G6" s="91"/>
      <c r="H6" s="91"/>
      <c r="I6" s="92"/>
    </row>
    <row r="8" customFormat="false" ht="15" hidden="false" customHeight="false" outlineLevel="0" collapsed="false">
      <c r="B8" s="99" t="s">
        <v>109</v>
      </c>
      <c r="C8" s="99" t="s">
        <v>110</v>
      </c>
      <c r="D8" s="99" t="s">
        <v>111</v>
      </c>
      <c r="E8" s="99" t="s">
        <v>112</v>
      </c>
    </row>
    <row r="9" customFormat="false" ht="14.5" hidden="false" customHeight="false" outlineLevel="0" collapsed="false">
      <c r="A9" s="0" t="s">
        <v>113</v>
      </c>
      <c r="B9" s="0" t="n">
        <f aca="false">'Diet Calculator'!B8/'Diet Input'!C3</f>
        <v>0</v>
      </c>
      <c r="C9" s="0" t="n">
        <f aca="false">'Diet Calculator'!B16/'Diet Input'!C3</f>
        <v>0</v>
      </c>
      <c r="D9" s="0" t="n">
        <f aca="false">'Diet Calculator'!B24/'Diet Input'!C3</f>
        <v>0</v>
      </c>
      <c r="E9" s="0" t="n">
        <f aca="false">'Diet Calculator'!B32/'Diet Input'!C3</f>
        <v>0</v>
      </c>
    </row>
    <row r="11" customFormat="false" ht="15" hidden="false" customHeight="false" outlineLevel="0" collapsed="false">
      <c r="A11" s="99" t="s">
        <v>109</v>
      </c>
    </row>
    <row r="12" customFormat="false" ht="14.5" hidden="false" customHeight="false" outlineLevel="0" collapsed="false">
      <c r="A12" s="0" t="s">
        <v>114</v>
      </c>
      <c r="B12" s="100" t="n">
        <f aca="false">'Diet Input'!B7</f>
        <v>0</v>
      </c>
      <c r="C12" s="100" t="n">
        <f aca="false">'Diet Input'!C7</f>
        <v>0</v>
      </c>
      <c r="D12" s="100" t="n">
        <f aca="false">'Diet Input'!D7</f>
        <v>0</v>
      </c>
      <c r="E12" s="100" t="n">
        <f aca="false">'Diet Input'!E7</f>
        <v>0</v>
      </c>
      <c r="F12" s="100" t="n">
        <f aca="false">'Diet Input'!F7</f>
        <v>0</v>
      </c>
    </row>
    <row r="13" customFormat="false" ht="14.5" hidden="false" customHeight="false" outlineLevel="0" collapsed="false">
      <c r="A13" s="0" t="s">
        <v>115</v>
      </c>
      <c r="B13" s="100" t="n">
        <f aca="false">'Diet Calculator'!B7</f>
        <v>0</v>
      </c>
      <c r="C13" s="100" t="n">
        <f aca="false">'Diet Calculator'!C7</f>
        <v>0</v>
      </c>
      <c r="D13" s="100" t="n">
        <f aca="false">'Diet Calculator'!D7</f>
        <v>0</v>
      </c>
      <c r="E13" s="100" t="n">
        <f aca="false">'Diet Calculator'!E7</f>
        <v>0</v>
      </c>
      <c r="F13" s="100" t="n">
        <f aca="false">'Diet Calculator'!F7</f>
        <v>0</v>
      </c>
    </row>
    <row r="15" customFormat="false" ht="15" hidden="false" customHeight="false" outlineLevel="0" collapsed="false">
      <c r="A15" s="99" t="s">
        <v>116</v>
      </c>
    </row>
    <row r="16" customFormat="false" ht="14.5" hidden="false" customHeight="false" outlineLevel="0" collapsed="false">
      <c r="A16" s="0" t="s">
        <v>114</v>
      </c>
      <c r="B16" s="100" t="n">
        <f aca="false">'Diet Input'!B13</f>
        <v>0</v>
      </c>
      <c r="C16" s="100" t="n">
        <f aca="false">'Diet Input'!C13</f>
        <v>0</v>
      </c>
      <c r="D16" s="100" t="n">
        <f aca="false">'Diet Input'!D13</f>
        <v>0</v>
      </c>
      <c r="E16" s="100" t="n">
        <f aca="false">'Diet Input'!E13</f>
        <v>0</v>
      </c>
      <c r="F16" s="100" t="n">
        <f aca="false">'Diet Input'!F13</f>
        <v>0</v>
      </c>
    </row>
    <row r="17" customFormat="false" ht="14.5" hidden="false" customHeight="false" outlineLevel="0" collapsed="false">
      <c r="A17" s="0" t="s">
        <v>115</v>
      </c>
      <c r="B17" s="100" t="n">
        <f aca="false">'Diet Calculator'!B15</f>
        <v>0</v>
      </c>
      <c r="C17" s="100" t="n">
        <f aca="false">'Diet Calculator'!C15</f>
        <v>0</v>
      </c>
      <c r="D17" s="100" t="n">
        <f aca="false">'Diet Calculator'!D15</f>
        <v>0</v>
      </c>
      <c r="E17" s="100" t="n">
        <f aca="false">'Diet Calculator'!E15</f>
        <v>0</v>
      </c>
      <c r="F17" s="100" t="n">
        <f aca="false">'Diet Calculator'!F15</f>
        <v>0</v>
      </c>
    </row>
    <row r="19" customFormat="false" ht="15" hidden="false" customHeight="false" outlineLevel="0" collapsed="false">
      <c r="A19" s="99" t="s">
        <v>111</v>
      </c>
    </row>
    <row r="20" customFormat="false" ht="14.5" hidden="false" customHeight="false" outlineLevel="0" collapsed="false">
      <c r="A20" s="0" t="s">
        <v>114</v>
      </c>
      <c r="B20" s="100" t="n">
        <f aca="false">'Diet Input'!B19</f>
        <v>0</v>
      </c>
      <c r="C20" s="100" t="n">
        <f aca="false">'Diet Input'!C19</f>
        <v>0</v>
      </c>
      <c r="D20" s="100" t="n">
        <f aca="false">'Diet Input'!D19</f>
        <v>0</v>
      </c>
      <c r="E20" s="100" t="n">
        <f aca="false">'Diet Input'!E19</f>
        <v>0</v>
      </c>
      <c r="F20" s="100" t="n">
        <f aca="false">'Diet Input'!F19</f>
        <v>0</v>
      </c>
    </row>
    <row r="21" customFormat="false" ht="14.5" hidden="false" customHeight="false" outlineLevel="0" collapsed="false">
      <c r="A21" s="0" t="s">
        <v>115</v>
      </c>
      <c r="B21" s="100" t="n">
        <f aca="false">'Diet Calculator'!B23</f>
        <v>0</v>
      </c>
      <c r="C21" s="100" t="n">
        <f aca="false">'Diet Calculator'!C23</f>
        <v>0</v>
      </c>
      <c r="D21" s="100" t="n">
        <f aca="false">'Diet Calculator'!D23</f>
        <v>0</v>
      </c>
      <c r="E21" s="100" t="n">
        <f aca="false">'Diet Calculator'!E23</f>
        <v>0</v>
      </c>
      <c r="F21" s="100" t="n">
        <f aca="false">'Diet Calculator'!F23</f>
        <v>0</v>
      </c>
    </row>
    <row r="23" customFormat="false" ht="15" hidden="false" customHeight="false" outlineLevel="0" collapsed="false">
      <c r="A23" s="99" t="s">
        <v>112</v>
      </c>
    </row>
    <row r="24" customFormat="false" ht="14.5" hidden="false" customHeight="false" outlineLevel="0" collapsed="false">
      <c r="A24" s="0" t="s">
        <v>114</v>
      </c>
      <c r="B24" s="100" t="n">
        <f aca="false">'Diet Input'!B25</f>
        <v>0</v>
      </c>
      <c r="C24" s="100" t="n">
        <f aca="false">'Diet Input'!C25</f>
        <v>0</v>
      </c>
      <c r="D24" s="100" t="n">
        <f aca="false">'Diet Input'!D25</f>
        <v>0</v>
      </c>
      <c r="E24" s="100" t="n">
        <f aca="false">'Diet Input'!E25</f>
        <v>0</v>
      </c>
      <c r="F24" s="100" t="n">
        <f aca="false">'Diet Input'!F25</f>
        <v>0</v>
      </c>
    </row>
    <row r="25" customFormat="false" ht="14.5" hidden="false" customHeight="false" outlineLevel="0" collapsed="false">
      <c r="A25" s="0" t="s">
        <v>115</v>
      </c>
      <c r="B25" s="100" t="n">
        <f aca="false">'Diet Calculator'!B31</f>
        <v>0</v>
      </c>
      <c r="C25" s="100" t="n">
        <f aca="false">'Diet Calculator'!C31</f>
        <v>0</v>
      </c>
      <c r="D25" s="100" t="n">
        <f aca="false">'Diet Calculator'!D31</f>
        <v>0</v>
      </c>
      <c r="E25" s="100" t="n">
        <f aca="false">'Diet Calculator'!E31</f>
        <v>0</v>
      </c>
      <c r="F25" s="100" t="n">
        <f aca="false">'Diet Calculator'!F31</f>
        <v>0</v>
      </c>
    </row>
    <row r="1048576" customFormat="false" ht="14.5" hidden="false" customHeight="false" outlineLevel="0" collapsed="false"/>
  </sheetData>
  <mergeCells count="5">
    <mergeCell ref="A3:E3"/>
    <mergeCell ref="B5:C5"/>
    <mergeCell ref="D5:E5"/>
    <mergeCell ref="B6:C6"/>
    <mergeCell ref="D6:E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Z65536"/>
  <sheetViews>
    <sheetView windowProtection="false"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B32" activeCellId="0" sqref="B32"/>
    </sheetView>
  </sheetViews>
  <sheetFormatPr defaultRowHeight="15"/>
  <cols>
    <col collapsed="false" hidden="false" max="1" min="1" style="0" width="11.6071428571429"/>
    <col collapsed="false" hidden="false" max="1025" min="2" style="0" width="8.50510204081633"/>
  </cols>
  <sheetData>
    <row r="1" customFormat="false" ht="15" hidden="false" customHeight="false" outlineLevel="0" collapsed="false">
      <c r="A1" s="101" t="s">
        <v>117</v>
      </c>
      <c r="B1" s="101" t="n">
        <f aca="false">B8+B16+B24+B32</f>
        <v>0</v>
      </c>
    </row>
    <row r="2" customFormat="false" ht="15" hidden="false" customHeight="false" outlineLevel="0" collapsed="false">
      <c r="A2" s="99" t="s">
        <v>109</v>
      </c>
    </row>
    <row r="3" customFormat="false" ht="14.5" hidden="false" customHeight="false" outlineLevel="0" collapsed="false">
      <c r="A3" s="0" t="s">
        <v>114</v>
      </c>
      <c r="B3" s="0" t="n">
        <f aca="false">'Diet Input'!B7</f>
        <v>0</v>
      </c>
      <c r="C3" s="0" t="n">
        <f aca="false">'Diet Input'!C7</f>
        <v>0</v>
      </c>
      <c r="D3" s="0" t="n">
        <f aca="false">'Diet Input'!D7</f>
        <v>0</v>
      </c>
      <c r="E3" s="0" t="n">
        <f aca="false">'Diet Input'!E7</f>
        <v>0</v>
      </c>
      <c r="F3" s="0" t="n">
        <f aca="false">'Diet Input'!F7</f>
        <v>0</v>
      </c>
      <c r="G3" s="0" t="n">
        <f aca="false">'Diet Input'!G7</f>
        <v>0</v>
      </c>
      <c r="H3" s="0" t="n">
        <f aca="false">'Diet Input'!H7</f>
        <v>0</v>
      </c>
      <c r="I3" s="0" t="n">
        <f aca="false">'Diet Input'!I7</f>
        <v>0</v>
      </c>
      <c r="J3" s="0" t="n">
        <f aca="false">'Diet Input'!J7</f>
        <v>0</v>
      </c>
      <c r="K3" s="0" t="n">
        <f aca="false">'Diet Input'!K7</f>
        <v>0</v>
      </c>
      <c r="L3" s="0" t="n">
        <f aca="false">'Diet Input'!L7</f>
        <v>0</v>
      </c>
      <c r="M3" s="0" t="n">
        <f aca="false">'Diet Input'!M7</f>
        <v>0</v>
      </c>
      <c r="N3" s="0" t="n">
        <f aca="false">'Diet Input'!N7</f>
        <v>0</v>
      </c>
      <c r="O3" s="0" t="n">
        <f aca="false">'Diet Input'!O7</f>
        <v>0</v>
      </c>
      <c r="P3" s="0" t="n">
        <f aca="false">'Diet Input'!P7</f>
        <v>0</v>
      </c>
      <c r="Q3" s="0" t="n">
        <f aca="false">'Diet Input'!Q7</f>
        <v>0</v>
      </c>
      <c r="R3" s="0" t="n">
        <f aca="false">'Diet Input'!R7</f>
        <v>0</v>
      </c>
      <c r="S3" s="0" t="n">
        <f aca="false">'Diet Input'!S7</f>
        <v>0</v>
      </c>
      <c r="T3" s="0" t="n">
        <f aca="false">'Diet Input'!T7</f>
        <v>0</v>
      </c>
      <c r="U3" s="0" t="n">
        <f aca="false">'Diet Input'!U7</f>
        <v>0</v>
      </c>
      <c r="V3" s="0" t="n">
        <f aca="false">'Diet Input'!V7</f>
        <v>0</v>
      </c>
      <c r="W3" s="0" t="n">
        <f aca="false">'Diet Input'!W7</f>
        <v>0</v>
      </c>
      <c r="X3" s="0" t="n">
        <f aca="false">'Diet Input'!X7</f>
        <v>0</v>
      </c>
      <c r="Y3" s="0" t="n">
        <f aca="false">'Diet Input'!Y7</f>
        <v>0</v>
      </c>
      <c r="Z3" s="0" t="n">
        <f aca="false">'Diet Input'!Z7</f>
        <v>0</v>
      </c>
    </row>
    <row r="4" customFormat="false" ht="14.5" hidden="false" customHeight="false" outlineLevel="0" collapsed="false">
      <c r="A4" s="0" t="s">
        <v>118</v>
      </c>
      <c r="B4" s="0" t="n">
        <f aca="false">'Diet Input'!B9</f>
        <v>0</v>
      </c>
      <c r="C4" s="0" t="n">
        <f aca="false">'Diet Input'!C9</f>
        <v>0</v>
      </c>
      <c r="D4" s="0" t="n">
        <f aca="false">'Diet Input'!D9</f>
        <v>0</v>
      </c>
      <c r="E4" s="0" t="n">
        <f aca="false">'Diet Input'!E9</f>
        <v>0</v>
      </c>
      <c r="F4" s="0" t="n">
        <f aca="false">'Diet Input'!F9</f>
        <v>0</v>
      </c>
      <c r="G4" s="0" t="n">
        <f aca="false">'Diet Input'!G9</f>
        <v>0</v>
      </c>
      <c r="H4" s="0" t="n">
        <f aca="false">'Diet Input'!H9</f>
        <v>0</v>
      </c>
      <c r="I4" s="0" t="n">
        <f aca="false">'Diet Input'!I9</f>
        <v>0</v>
      </c>
      <c r="J4" s="0" t="n">
        <f aca="false">'Diet Input'!J9</f>
        <v>0</v>
      </c>
      <c r="K4" s="0" t="n">
        <f aca="false">'Diet Input'!K9</f>
        <v>0</v>
      </c>
      <c r="L4" s="0" t="n">
        <f aca="false">'Diet Input'!L9</f>
        <v>0</v>
      </c>
      <c r="M4" s="0" t="n">
        <f aca="false">'Diet Input'!M9</f>
        <v>0</v>
      </c>
      <c r="N4" s="0" t="n">
        <f aca="false">'Diet Input'!N9</f>
        <v>0</v>
      </c>
      <c r="O4" s="0" t="n">
        <f aca="false">'Diet Input'!O9</f>
        <v>0</v>
      </c>
      <c r="P4" s="0" t="n">
        <f aca="false">'Diet Input'!P9</f>
        <v>0</v>
      </c>
      <c r="Q4" s="0" t="n">
        <f aca="false">'Diet Input'!Q9</f>
        <v>0</v>
      </c>
      <c r="R4" s="0" t="n">
        <f aca="false">'Diet Input'!R9</f>
        <v>0</v>
      </c>
      <c r="S4" s="0" t="n">
        <f aca="false">'Diet Input'!S9</f>
        <v>0</v>
      </c>
      <c r="T4" s="0" t="n">
        <f aca="false">'Diet Input'!T9</f>
        <v>0</v>
      </c>
      <c r="U4" s="0" t="n">
        <f aca="false">'Diet Input'!U9</f>
        <v>0</v>
      </c>
      <c r="V4" s="0" t="n">
        <f aca="false">'Diet Input'!V9</f>
        <v>0</v>
      </c>
      <c r="W4" s="0" t="n">
        <f aca="false">'Diet Input'!W9</f>
        <v>0</v>
      </c>
      <c r="X4" s="0" t="n">
        <f aca="false">'Diet Input'!X9</f>
        <v>0</v>
      </c>
      <c r="Y4" s="0" t="n">
        <f aca="false">'Diet Input'!Y9</f>
        <v>0</v>
      </c>
      <c r="Z4" s="0" t="n">
        <f aca="false">'Diet Input'!Z9</f>
        <v>0</v>
      </c>
    </row>
    <row r="5" customFormat="false" ht="14.5" hidden="false" customHeight="false" outlineLevel="0" collapsed="false">
      <c r="A5" s="0" t="s">
        <v>119</v>
      </c>
      <c r="B5" s="0" t="e">
        <f aca="false">B4*VLOOKUP(B3, FoodEmission, 5,0)*VLOOKUP(B3, FoodEmission, 4,0)</f>
        <v>#N/A</v>
      </c>
      <c r="C5" s="0" t="e">
        <f aca="false">C4*VLOOKUP(C3, FoodEmission, 5,0)*VLOOKUP(C3, FoodEmission, 4,0)</f>
        <v>#N/A</v>
      </c>
      <c r="D5" s="0" t="e">
        <f aca="false">D4*VLOOKUP(D3, FoodEmission, 5,0)*VLOOKUP(D3, FoodEmission, 4,0)</f>
        <v>#N/A</v>
      </c>
      <c r="E5" s="0" t="e">
        <f aca="false">E4*VLOOKUP(E3, FoodEmission, 5,0)*VLOOKUP(E3, FoodEmission, 4,0)</f>
        <v>#N/A</v>
      </c>
      <c r="F5" s="0" t="e">
        <f aca="false">F4*VLOOKUP(F3, FoodEmission, 5,0)*VLOOKUP(F3, FoodEmission, 4,0)</f>
        <v>#N/A</v>
      </c>
      <c r="G5" s="0" t="e">
        <f aca="false">G4*VLOOKUP(G3, FoodEmission, 5,0)*VLOOKUP(G3, FoodEmission, 4,0)</f>
        <v>#N/A</v>
      </c>
      <c r="H5" s="0" t="e">
        <f aca="false">H4*VLOOKUP(H3, FoodEmission, 5,0)*VLOOKUP(H3, FoodEmission, 4,0)</f>
        <v>#N/A</v>
      </c>
      <c r="I5" s="0" t="e">
        <f aca="false">I4*VLOOKUP(I3, FoodEmission, 5,0)*VLOOKUP(I3, FoodEmission, 4,0)</f>
        <v>#N/A</v>
      </c>
      <c r="J5" s="0" t="e">
        <f aca="false">J4*VLOOKUP(J3, FoodEmission, 5,0)*VLOOKUP(J3, FoodEmission, 4,0)</f>
        <v>#N/A</v>
      </c>
      <c r="K5" s="0" t="e">
        <f aca="false">K4*VLOOKUP(K3, FoodEmission, 5,0)*VLOOKUP(K3, FoodEmission, 4,0)</f>
        <v>#N/A</v>
      </c>
      <c r="L5" s="0" t="e">
        <f aca="false">L4*VLOOKUP(L3, FoodEmission, 5,0)*VLOOKUP(L3, FoodEmission, 4,0)</f>
        <v>#N/A</v>
      </c>
      <c r="M5" s="0" t="e">
        <f aca="false">M4*VLOOKUP(M3, FoodEmission, 5,0)*VLOOKUP(M3, FoodEmission, 4,0)</f>
        <v>#N/A</v>
      </c>
      <c r="N5" s="0" t="e">
        <f aca="false">N4*VLOOKUP(N3, FoodEmission, 5,0)*VLOOKUP(N3, FoodEmission, 4,0)</f>
        <v>#N/A</v>
      </c>
      <c r="O5" s="0" t="e">
        <f aca="false">O4*VLOOKUP(O3, FoodEmission, 5,0)*VLOOKUP(O3, FoodEmission, 4,0)</f>
        <v>#N/A</v>
      </c>
      <c r="P5" s="0" t="e">
        <f aca="false">P4*VLOOKUP(P3, FoodEmission, 5,0)*VLOOKUP(P3, FoodEmission, 4,0)</f>
        <v>#N/A</v>
      </c>
      <c r="Q5" s="0" t="e">
        <f aca="false">Q4*VLOOKUP(Q3, FoodEmission, 5,0)*VLOOKUP(Q3, FoodEmission, 4,0)</f>
        <v>#N/A</v>
      </c>
      <c r="R5" s="0" t="e">
        <f aca="false">R4*VLOOKUP(R3, FoodEmission, 5,0)*VLOOKUP(R3, FoodEmission, 4,0)</f>
        <v>#N/A</v>
      </c>
      <c r="S5" s="0" t="e">
        <f aca="false">S4*VLOOKUP(S3, FoodEmission, 5,0)*VLOOKUP(S3, FoodEmission, 4,0)</f>
        <v>#N/A</v>
      </c>
      <c r="T5" s="0" t="e">
        <f aca="false">T4*VLOOKUP(T3, FoodEmission, 5,0)*VLOOKUP(T3, FoodEmission, 4,0)</f>
        <v>#N/A</v>
      </c>
      <c r="U5" s="0" t="e">
        <f aca="false">U4*VLOOKUP(U3, FoodEmission, 5,0)*VLOOKUP(U3, FoodEmission, 4,0)</f>
        <v>#N/A</v>
      </c>
      <c r="V5" s="0" t="e">
        <f aca="false">V4*VLOOKUP(V3, FoodEmission, 5,0)*VLOOKUP(V3, FoodEmission, 4,0)</f>
        <v>#N/A</v>
      </c>
      <c r="W5" s="0" t="e">
        <f aca="false">W4*VLOOKUP(W3, FoodEmission, 5,0)*VLOOKUP(W3, FoodEmission, 4,0)</f>
        <v>#N/A</v>
      </c>
      <c r="X5" s="0" t="e">
        <f aca="false">X4*VLOOKUP(X3, FoodEmission, 5,0)*VLOOKUP(X3, FoodEmission, 4,0)</f>
        <v>#N/A</v>
      </c>
      <c r="Y5" s="0" t="e">
        <f aca="false">Y4*VLOOKUP(Y3, FoodEmission, 5,0)*VLOOKUP(Y3, FoodEmission, 4,0)</f>
        <v>#N/A</v>
      </c>
      <c r="Z5" s="0" t="e">
        <f aca="false">Z4*VLOOKUP(Z3, FoodEmission, 5,0)*VLOOKUP(Z3, FoodEmission, 4,0)</f>
        <v>#N/A</v>
      </c>
    </row>
    <row r="6" customFormat="false" ht="14.5" hidden="false" customHeight="false" outlineLevel="0" collapsed="false">
      <c r="A6" s="0" t="s">
        <v>120</v>
      </c>
      <c r="B6" s="0" t="e">
        <f aca="false">VLOOKUP(B3, FoodEmission, 8,0)</f>
        <v>#N/A</v>
      </c>
      <c r="C6" s="0" t="e">
        <f aca="false">VLOOKUP(C3, FoodEmission, 8,0)</f>
        <v>#N/A</v>
      </c>
      <c r="D6" s="0" t="e">
        <f aca="false">VLOOKUP(D3, FoodEmission, 8,0)</f>
        <v>#N/A</v>
      </c>
      <c r="E6" s="0" t="e">
        <f aca="false">VLOOKUP(E3, FoodEmission, 8,0)</f>
        <v>#N/A</v>
      </c>
      <c r="F6" s="0" t="e">
        <f aca="false">VLOOKUP(F3, FoodEmission, 8,0)</f>
        <v>#N/A</v>
      </c>
      <c r="G6" s="0" t="e">
        <f aca="false">VLOOKUP(G3, FoodEmission, 8,0)</f>
        <v>#N/A</v>
      </c>
      <c r="H6" s="0" t="e">
        <f aca="false">VLOOKUP(H3, FoodEmission, 8,0)</f>
        <v>#N/A</v>
      </c>
      <c r="I6" s="0" t="e">
        <f aca="false">VLOOKUP(I3, FoodEmission, 8,0)</f>
        <v>#N/A</v>
      </c>
      <c r="J6" s="0" t="e">
        <f aca="false">VLOOKUP(J3, FoodEmission, 8,0)</f>
        <v>#N/A</v>
      </c>
      <c r="K6" s="0" t="e">
        <f aca="false">VLOOKUP(K3, FoodEmission, 8,0)</f>
        <v>#N/A</v>
      </c>
      <c r="L6" s="0" t="e">
        <f aca="false">VLOOKUP(L3, FoodEmission, 8,0)</f>
        <v>#N/A</v>
      </c>
      <c r="M6" s="0" t="e">
        <f aca="false">VLOOKUP(M3, FoodEmission, 8,0)</f>
        <v>#N/A</v>
      </c>
      <c r="N6" s="0" t="e">
        <f aca="false">VLOOKUP(N3, FoodEmission, 8,0)</f>
        <v>#N/A</v>
      </c>
      <c r="O6" s="0" t="e">
        <f aca="false">VLOOKUP(O3, FoodEmission, 8,0)</f>
        <v>#N/A</v>
      </c>
      <c r="P6" s="0" t="e">
        <f aca="false">VLOOKUP(P3, FoodEmission, 8,0)</f>
        <v>#N/A</v>
      </c>
      <c r="Q6" s="0" t="e">
        <f aca="false">VLOOKUP(Q3, FoodEmission, 8,0)</f>
        <v>#N/A</v>
      </c>
      <c r="R6" s="0" t="e">
        <f aca="false">VLOOKUP(R3, FoodEmission, 8,0)</f>
        <v>#N/A</v>
      </c>
      <c r="S6" s="0" t="e">
        <f aca="false">VLOOKUP(S3, FoodEmission, 8,0)</f>
        <v>#N/A</v>
      </c>
      <c r="T6" s="0" t="e">
        <f aca="false">VLOOKUP(T3, FoodEmission, 8,0)</f>
        <v>#N/A</v>
      </c>
      <c r="U6" s="0" t="e">
        <f aca="false">VLOOKUP(U3, FoodEmission, 8,0)</f>
        <v>#N/A</v>
      </c>
      <c r="V6" s="0" t="e">
        <f aca="false">VLOOKUP(V3, FoodEmission, 8,0)</f>
        <v>#N/A</v>
      </c>
      <c r="W6" s="0" t="e">
        <f aca="false">VLOOKUP(W3, FoodEmission, 8,0)</f>
        <v>#N/A</v>
      </c>
      <c r="X6" s="0" t="e">
        <f aca="false">VLOOKUP(X3, FoodEmission, 8,0)</f>
        <v>#N/A</v>
      </c>
      <c r="Y6" s="0" t="e">
        <f aca="false">VLOOKUP(Y3, FoodEmission, 8,0)</f>
        <v>#N/A</v>
      </c>
      <c r="Z6" s="0" t="e">
        <f aca="false">VLOOKUP(Z3, FoodEmission, 8,0)</f>
        <v>#N/A</v>
      </c>
    </row>
    <row r="7" customFormat="false" ht="14.5" hidden="false" customHeight="false" outlineLevel="0" collapsed="false">
      <c r="A7" s="0" t="s">
        <v>115</v>
      </c>
      <c r="B7" s="0" t="n">
        <f aca="false">IFERROR(B6+B5, 0)</f>
        <v>0</v>
      </c>
      <c r="C7" s="0" t="n">
        <f aca="false">IFERROR(C6+C5, 0)</f>
        <v>0</v>
      </c>
      <c r="D7" s="0" t="n">
        <f aca="false">IFERROR(D6+D5, 0)</f>
        <v>0</v>
      </c>
      <c r="E7" s="0" t="n">
        <f aca="false">IFERROR(E6+E5, 0)</f>
        <v>0</v>
      </c>
      <c r="F7" s="0" t="n">
        <f aca="false">IFERROR(F6+F5, 0)</f>
        <v>0</v>
      </c>
      <c r="G7" s="0" t="n">
        <f aca="false">IFERROR(G6+G5, 0)</f>
        <v>0</v>
      </c>
      <c r="H7" s="0" t="n">
        <f aca="false">IFERROR(H6+H5, 0)</f>
        <v>0</v>
      </c>
      <c r="I7" s="0" t="n">
        <f aca="false">IFERROR(I6+I5, 0)</f>
        <v>0</v>
      </c>
      <c r="J7" s="0" t="n">
        <f aca="false">IFERROR(J6+J5, 0)</f>
        <v>0</v>
      </c>
      <c r="K7" s="0" t="n">
        <f aca="false">IFERROR(K6+K5, 0)</f>
        <v>0</v>
      </c>
      <c r="L7" s="0" t="n">
        <f aca="false">IFERROR(L6+L5, 0)</f>
        <v>0</v>
      </c>
      <c r="M7" s="0" t="n">
        <f aca="false">IFERROR(M6+M5, 0)</f>
        <v>0</v>
      </c>
      <c r="N7" s="0" t="n">
        <f aca="false">IFERROR(N6+N5, 0)</f>
        <v>0</v>
      </c>
      <c r="O7" s="0" t="n">
        <f aca="false">IFERROR(O6+O5, 0)</f>
        <v>0</v>
      </c>
      <c r="P7" s="0" t="n">
        <f aca="false">IFERROR(P6+P5, 0)</f>
        <v>0</v>
      </c>
      <c r="Q7" s="0" t="n">
        <f aca="false">IFERROR(Q6+Q5, 0)</f>
        <v>0</v>
      </c>
      <c r="R7" s="0" t="n">
        <f aca="false">IFERROR(R6+R5, 0)</f>
        <v>0</v>
      </c>
      <c r="S7" s="0" t="n">
        <f aca="false">IFERROR(S6+S5, 0)</f>
        <v>0</v>
      </c>
      <c r="T7" s="0" t="n">
        <f aca="false">IFERROR(T6+T5, 0)</f>
        <v>0</v>
      </c>
      <c r="U7" s="0" t="n">
        <f aca="false">IFERROR(U6+U5, 0)</f>
        <v>0</v>
      </c>
      <c r="V7" s="0" t="n">
        <f aca="false">IFERROR(V6+V5, 0)</f>
        <v>0</v>
      </c>
      <c r="W7" s="0" t="n">
        <f aca="false">IFERROR(W6+W5, 0)</f>
        <v>0</v>
      </c>
      <c r="X7" s="0" t="n">
        <f aca="false">IFERROR(X6+X5, 0)</f>
        <v>0</v>
      </c>
      <c r="Y7" s="0" t="n">
        <f aca="false">IFERROR(Y6+Y5, 0)</f>
        <v>0</v>
      </c>
      <c r="Z7" s="0" t="n">
        <f aca="false">IFERROR(Z6+Z5, 0)</f>
        <v>0</v>
      </c>
    </row>
    <row r="8" customFormat="false" ht="14.5" hidden="false" customHeight="false" outlineLevel="0" collapsed="false">
      <c r="A8" s="0" t="s">
        <v>121</v>
      </c>
      <c r="B8" s="0" t="n">
        <f aca="false">IFERROR(SUM(B7:Z7),0)</f>
        <v>0</v>
      </c>
    </row>
    <row r="10" customFormat="false" ht="15" hidden="false" customHeight="false" outlineLevel="0" collapsed="false">
      <c r="A10" s="99" t="s">
        <v>116</v>
      </c>
    </row>
    <row r="11" customFormat="false" ht="14.5" hidden="false" customHeight="false" outlineLevel="0" collapsed="false">
      <c r="A11" s="0" t="s">
        <v>114</v>
      </c>
      <c r="B11" s="0" t="n">
        <f aca="false">'Diet Input'!B13</f>
        <v>0</v>
      </c>
      <c r="C11" s="0" t="n">
        <f aca="false">'Diet Input'!C13</f>
        <v>0</v>
      </c>
      <c r="D11" s="0" t="n">
        <f aca="false">'Diet Input'!D13</f>
        <v>0</v>
      </c>
      <c r="E11" s="0" t="n">
        <f aca="false">'Diet Input'!E13</f>
        <v>0</v>
      </c>
      <c r="F11" s="0" t="n">
        <f aca="false">'Diet Input'!F13</f>
        <v>0</v>
      </c>
      <c r="G11" s="0" t="n">
        <f aca="false">'Diet Input'!G13</f>
        <v>0</v>
      </c>
      <c r="H11" s="0" t="n">
        <f aca="false">'Diet Input'!H13</f>
        <v>0</v>
      </c>
      <c r="I11" s="0" t="n">
        <f aca="false">'Diet Input'!I13</f>
        <v>0</v>
      </c>
      <c r="J11" s="0" t="n">
        <f aca="false">'Diet Input'!J13</f>
        <v>0</v>
      </c>
      <c r="K11" s="0" t="n">
        <f aca="false">'Diet Input'!K13</f>
        <v>0</v>
      </c>
      <c r="L11" s="0" t="n">
        <f aca="false">'Diet Input'!L13</f>
        <v>0</v>
      </c>
      <c r="M11" s="0" t="n">
        <f aca="false">'Diet Input'!M13</f>
        <v>0</v>
      </c>
      <c r="N11" s="0" t="n">
        <f aca="false">'Diet Input'!N13</f>
        <v>0</v>
      </c>
      <c r="O11" s="0" t="n">
        <f aca="false">'Diet Input'!O13</f>
        <v>0</v>
      </c>
      <c r="P11" s="0" t="n">
        <f aca="false">'Diet Input'!P13</f>
        <v>0</v>
      </c>
      <c r="Q11" s="0" t="n">
        <f aca="false">'Diet Input'!Q13</f>
        <v>0</v>
      </c>
      <c r="R11" s="0" t="n">
        <f aca="false">'Diet Input'!R13</f>
        <v>0</v>
      </c>
      <c r="S11" s="0" t="n">
        <f aca="false">'Diet Input'!S13</f>
        <v>0</v>
      </c>
      <c r="T11" s="0" t="n">
        <f aca="false">'Diet Input'!T13</f>
        <v>0</v>
      </c>
      <c r="U11" s="0" t="n">
        <f aca="false">'Diet Input'!U13</f>
        <v>0</v>
      </c>
      <c r="V11" s="0" t="n">
        <f aca="false">'Diet Input'!V13</f>
        <v>0</v>
      </c>
      <c r="W11" s="0" t="n">
        <f aca="false">'Diet Input'!W13</f>
        <v>0</v>
      </c>
      <c r="X11" s="0" t="n">
        <f aca="false">'Diet Input'!X13</f>
        <v>0</v>
      </c>
      <c r="Y11" s="0" t="n">
        <f aca="false">'Diet Input'!Y13</f>
        <v>0</v>
      </c>
      <c r="Z11" s="0" t="n">
        <f aca="false">'Diet Input'!Z13</f>
        <v>0</v>
      </c>
    </row>
    <row r="12" customFormat="false" ht="14.5" hidden="false" customHeight="false" outlineLevel="0" collapsed="false">
      <c r="A12" s="0" t="s">
        <v>118</v>
      </c>
      <c r="B12" s="0" t="n">
        <f aca="false">'Diet Input'!B15</f>
        <v>0</v>
      </c>
      <c r="C12" s="0" t="n">
        <f aca="false">'Diet Input'!C15</f>
        <v>0</v>
      </c>
      <c r="D12" s="0" t="n">
        <f aca="false">'Diet Input'!D15</f>
        <v>0</v>
      </c>
      <c r="E12" s="0" t="n">
        <f aca="false">'Diet Input'!E15</f>
        <v>0</v>
      </c>
      <c r="F12" s="0" t="n">
        <f aca="false">'Diet Input'!F15</f>
        <v>0</v>
      </c>
      <c r="G12" s="0" t="n">
        <f aca="false">'Diet Input'!G15</f>
        <v>0</v>
      </c>
      <c r="H12" s="0" t="n">
        <f aca="false">'Diet Input'!H15</f>
        <v>0</v>
      </c>
      <c r="I12" s="0" t="n">
        <f aca="false">'Diet Input'!I15</f>
        <v>0</v>
      </c>
      <c r="J12" s="0" t="n">
        <f aca="false">'Diet Input'!J15</f>
        <v>0</v>
      </c>
      <c r="K12" s="0" t="n">
        <f aca="false">'Diet Input'!K15</f>
        <v>0</v>
      </c>
      <c r="L12" s="0" t="n">
        <f aca="false">'Diet Input'!L15</f>
        <v>0</v>
      </c>
      <c r="M12" s="0" t="n">
        <f aca="false">'Diet Input'!M15</f>
        <v>0</v>
      </c>
      <c r="N12" s="0" t="n">
        <f aca="false">'Diet Input'!N15</f>
        <v>0</v>
      </c>
      <c r="O12" s="0" t="n">
        <f aca="false">'Diet Input'!O15</f>
        <v>0</v>
      </c>
      <c r="P12" s="0" t="n">
        <f aca="false">'Diet Input'!P15</f>
        <v>0</v>
      </c>
      <c r="Q12" s="0" t="n">
        <f aca="false">'Diet Input'!Q15</f>
        <v>0</v>
      </c>
      <c r="R12" s="0" t="n">
        <f aca="false">'Diet Input'!R15</f>
        <v>0</v>
      </c>
      <c r="S12" s="0" t="n">
        <f aca="false">'Diet Input'!S15</f>
        <v>0</v>
      </c>
      <c r="T12" s="0" t="n">
        <f aca="false">'Diet Input'!T15</f>
        <v>0</v>
      </c>
      <c r="U12" s="0" t="n">
        <f aca="false">'Diet Input'!U15</f>
        <v>0</v>
      </c>
      <c r="V12" s="0" t="n">
        <f aca="false">'Diet Input'!V15</f>
        <v>0</v>
      </c>
      <c r="W12" s="0" t="n">
        <f aca="false">'Diet Input'!W15</f>
        <v>0</v>
      </c>
      <c r="X12" s="0" t="n">
        <f aca="false">'Diet Input'!X15</f>
        <v>0</v>
      </c>
      <c r="Y12" s="0" t="n">
        <f aca="false">'Diet Input'!Y15</f>
        <v>0</v>
      </c>
      <c r="Z12" s="0" t="n">
        <f aca="false">'Diet Input'!Z15</f>
        <v>0</v>
      </c>
    </row>
    <row r="13" customFormat="false" ht="14.5" hidden="false" customHeight="false" outlineLevel="0" collapsed="false">
      <c r="A13" s="0" t="s">
        <v>119</v>
      </c>
      <c r="B13" s="0" t="e">
        <f aca="false">B12*VLOOKUP(B11, FoodEmission, 5,0)*VLOOKUP(B11, FoodEmission, 4,0)</f>
        <v>#N/A</v>
      </c>
      <c r="C13" s="0" t="e">
        <f aca="false">C12*VLOOKUP(C11, FoodEmission, 5,0)*VLOOKUP(C11, FoodEmission, 4,0)</f>
        <v>#N/A</v>
      </c>
      <c r="D13" s="0" t="e">
        <f aca="false">D12*VLOOKUP(D11, FoodEmission, 5,0)*VLOOKUP(D11, FoodEmission, 4,0)</f>
        <v>#N/A</v>
      </c>
      <c r="E13" s="0" t="e">
        <f aca="false">E12*VLOOKUP(E11, FoodEmission, 5,0)*VLOOKUP(E11, FoodEmission, 4,0)</f>
        <v>#N/A</v>
      </c>
      <c r="F13" s="0" t="e">
        <f aca="false">F12*VLOOKUP(F11, FoodEmission, 5,0)*VLOOKUP(F11, FoodEmission, 4,0)</f>
        <v>#N/A</v>
      </c>
      <c r="G13" s="0" t="e">
        <f aca="false">G12*VLOOKUP(G11, FoodEmission, 5,0)*VLOOKUP(G11, FoodEmission, 4,0)</f>
        <v>#N/A</v>
      </c>
      <c r="H13" s="0" t="e">
        <f aca="false">H12*VLOOKUP(H11, FoodEmission, 5,0)*VLOOKUP(H11, FoodEmission, 4,0)</f>
        <v>#N/A</v>
      </c>
      <c r="I13" s="0" t="e">
        <f aca="false">I12*VLOOKUP(I11, FoodEmission, 5,0)*VLOOKUP(I11, FoodEmission, 4,0)</f>
        <v>#N/A</v>
      </c>
      <c r="J13" s="0" t="e">
        <f aca="false">J12*VLOOKUP(J11, FoodEmission, 5,0)*VLOOKUP(J11, FoodEmission, 4,0)</f>
        <v>#N/A</v>
      </c>
      <c r="K13" s="0" t="e">
        <f aca="false">K12*VLOOKUP(K11, FoodEmission, 5,0)*VLOOKUP(K11, FoodEmission, 4,0)</f>
        <v>#N/A</v>
      </c>
      <c r="L13" s="0" t="e">
        <f aca="false">L12*VLOOKUP(L11, FoodEmission, 5,0)*VLOOKUP(L11, FoodEmission, 4,0)</f>
        <v>#N/A</v>
      </c>
      <c r="M13" s="0" t="e">
        <f aca="false">M12*VLOOKUP(M11, FoodEmission, 5,0)*VLOOKUP(M11, FoodEmission, 4,0)</f>
        <v>#N/A</v>
      </c>
      <c r="N13" s="0" t="e">
        <f aca="false">N12*VLOOKUP(N11, FoodEmission, 5,0)*VLOOKUP(N11, FoodEmission, 4,0)</f>
        <v>#N/A</v>
      </c>
      <c r="O13" s="0" t="e">
        <f aca="false">O12*VLOOKUP(O11, FoodEmission, 5,0)*VLOOKUP(O11, FoodEmission, 4,0)</f>
        <v>#N/A</v>
      </c>
      <c r="P13" s="0" t="e">
        <f aca="false">P12*VLOOKUP(P11, FoodEmission, 5,0)*VLOOKUP(P11, FoodEmission, 4,0)</f>
        <v>#N/A</v>
      </c>
      <c r="Q13" s="0" t="e">
        <f aca="false">Q12*VLOOKUP(Q11, FoodEmission, 5,0)*VLOOKUP(Q11, FoodEmission, 4,0)</f>
        <v>#N/A</v>
      </c>
      <c r="R13" s="0" t="e">
        <f aca="false">R12*VLOOKUP(R11, FoodEmission, 5,0)*VLOOKUP(R11, FoodEmission, 4,0)</f>
        <v>#N/A</v>
      </c>
      <c r="S13" s="0" t="e">
        <f aca="false">S12*VLOOKUP(S11, FoodEmission, 5,0)*VLOOKUP(S11, FoodEmission, 4,0)</f>
        <v>#N/A</v>
      </c>
      <c r="T13" s="0" t="e">
        <f aca="false">T12*VLOOKUP(T11, FoodEmission, 5,0)*VLOOKUP(T11, FoodEmission, 4,0)</f>
        <v>#N/A</v>
      </c>
      <c r="U13" s="0" t="e">
        <f aca="false">U12*VLOOKUP(U11, FoodEmission, 5,0)*VLOOKUP(U11, FoodEmission, 4,0)</f>
        <v>#N/A</v>
      </c>
      <c r="V13" s="0" t="e">
        <f aca="false">V12*VLOOKUP(V11, FoodEmission, 5,0)*VLOOKUP(V11, FoodEmission, 4,0)</f>
        <v>#N/A</v>
      </c>
      <c r="W13" s="0" t="e">
        <f aca="false">W12*VLOOKUP(W11, FoodEmission, 5,0)*VLOOKUP(W11, FoodEmission, 4,0)</f>
        <v>#N/A</v>
      </c>
      <c r="X13" s="0" t="e">
        <f aca="false">X12*VLOOKUP(X11, FoodEmission, 5,0)*VLOOKUP(X11, FoodEmission, 4,0)</f>
        <v>#N/A</v>
      </c>
      <c r="Y13" s="0" t="e">
        <f aca="false">Y12*VLOOKUP(Y11, FoodEmission, 5,0)*VLOOKUP(Y11, FoodEmission, 4,0)</f>
        <v>#N/A</v>
      </c>
      <c r="Z13" s="0" t="e">
        <f aca="false">Z12*VLOOKUP(Z11, FoodEmission, 5,0)*VLOOKUP(Z11, FoodEmission, 4,0)</f>
        <v>#N/A</v>
      </c>
    </row>
    <row r="14" customFormat="false" ht="14.5" hidden="false" customHeight="false" outlineLevel="0" collapsed="false">
      <c r="A14" s="0" t="s">
        <v>120</v>
      </c>
      <c r="B14" s="0" t="e">
        <f aca="false">VLOOKUP(B11, FoodEmission, 8,0)</f>
        <v>#N/A</v>
      </c>
      <c r="C14" s="0" t="e">
        <f aca="false">VLOOKUP(C11, FoodEmission, 8,0)</f>
        <v>#N/A</v>
      </c>
      <c r="D14" s="0" t="e">
        <f aca="false">VLOOKUP(D11, FoodEmission, 8,0)</f>
        <v>#N/A</v>
      </c>
      <c r="E14" s="0" t="e">
        <f aca="false">VLOOKUP(E11, FoodEmission, 8,0)</f>
        <v>#N/A</v>
      </c>
      <c r="F14" s="0" t="e">
        <f aca="false">VLOOKUP(F11, FoodEmission, 8,0)</f>
        <v>#N/A</v>
      </c>
      <c r="G14" s="0" t="e">
        <f aca="false">VLOOKUP(G11, FoodEmission, 8,0)</f>
        <v>#N/A</v>
      </c>
      <c r="H14" s="0" t="e">
        <f aca="false">VLOOKUP(H11, FoodEmission, 8,0)</f>
        <v>#N/A</v>
      </c>
      <c r="I14" s="0" t="e">
        <f aca="false">VLOOKUP(I11, FoodEmission, 8,0)</f>
        <v>#N/A</v>
      </c>
      <c r="J14" s="0" t="e">
        <f aca="false">VLOOKUP(J11, FoodEmission, 8,0)</f>
        <v>#N/A</v>
      </c>
      <c r="K14" s="0" t="e">
        <f aca="false">VLOOKUP(K11, FoodEmission, 8,0)</f>
        <v>#N/A</v>
      </c>
      <c r="L14" s="0" t="e">
        <f aca="false">VLOOKUP(L11, FoodEmission, 8,0)</f>
        <v>#N/A</v>
      </c>
      <c r="M14" s="0" t="e">
        <f aca="false">VLOOKUP(M11, FoodEmission, 8,0)</f>
        <v>#N/A</v>
      </c>
      <c r="N14" s="0" t="e">
        <f aca="false">VLOOKUP(N11, FoodEmission, 8,0)</f>
        <v>#N/A</v>
      </c>
      <c r="O14" s="0" t="e">
        <f aca="false">VLOOKUP(O11, FoodEmission, 8,0)</f>
        <v>#N/A</v>
      </c>
      <c r="P14" s="0" t="e">
        <f aca="false">VLOOKUP(P11, FoodEmission, 8,0)</f>
        <v>#N/A</v>
      </c>
      <c r="Q14" s="0" t="e">
        <f aca="false">VLOOKUP(Q11, FoodEmission, 8,0)</f>
        <v>#N/A</v>
      </c>
      <c r="R14" s="0" t="e">
        <f aca="false">VLOOKUP(R11, FoodEmission, 8,0)</f>
        <v>#N/A</v>
      </c>
      <c r="S14" s="0" t="e">
        <f aca="false">VLOOKUP(S11, FoodEmission, 8,0)</f>
        <v>#N/A</v>
      </c>
      <c r="T14" s="0" t="e">
        <f aca="false">VLOOKUP(T11, FoodEmission, 8,0)</f>
        <v>#N/A</v>
      </c>
      <c r="U14" s="0" t="e">
        <f aca="false">VLOOKUP(U11, FoodEmission, 8,0)</f>
        <v>#N/A</v>
      </c>
      <c r="V14" s="0" t="e">
        <f aca="false">VLOOKUP(V11, FoodEmission, 8,0)</f>
        <v>#N/A</v>
      </c>
      <c r="W14" s="0" t="e">
        <f aca="false">VLOOKUP(W11, FoodEmission, 8,0)</f>
        <v>#N/A</v>
      </c>
      <c r="X14" s="0" t="e">
        <f aca="false">VLOOKUP(X11, FoodEmission, 8,0)</f>
        <v>#N/A</v>
      </c>
      <c r="Y14" s="0" t="e">
        <f aca="false">VLOOKUP(Y11, FoodEmission, 8,0)</f>
        <v>#N/A</v>
      </c>
      <c r="Z14" s="0" t="e">
        <f aca="false">VLOOKUP(Z11, FoodEmission, 8,0)</f>
        <v>#N/A</v>
      </c>
    </row>
    <row r="15" customFormat="false" ht="14.5" hidden="false" customHeight="false" outlineLevel="0" collapsed="false">
      <c r="A15" s="0" t="s">
        <v>115</v>
      </c>
      <c r="B15" s="0" t="n">
        <f aca="false">IFERROR(B13+B14, 0)</f>
        <v>0</v>
      </c>
      <c r="C15" s="0" t="n">
        <f aca="false">IFERROR(C13+C14, 0)</f>
        <v>0</v>
      </c>
      <c r="D15" s="0" t="n">
        <f aca="false">IFERROR(D13+D14, 0)</f>
        <v>0</v>
      </c>
      <c r="E15" s="0" t="n">
        <f aca="false">IFERROR(E13+E14, 0)</f>
        <v>0</v>
      </c>
      <c r="F15" s="0" t="n">
        <f aca="false">IFERROR(F13+F14, 0)</f>
        <v>0</v>
      </c>
      <c r="G15" s="0" t="n">
        <f aca="false">IFERROR(G13+G14, 0)</f>
        <v>0</v>
      </c>
      <c r="H15" s="0" t="n">
        <f aca="false">IFERROR(H13+H14, 0)</f>
        <v>0</v>
      </c>
      <c r="I15" s="0" t="n">
        <f aca="false">IFERROR(I13+I14, 0)</f>
        <v>0</v>
      </c>
      <c r="J15" s="0" t="n">
        <f aca="false">IFERROR(J13+J14, 0)</f>
        <v>0</v>
      </c>
      <c r="K15" s="0" t="n">
        <f aca="false">IFERROR(K13+K14, 0)</f>
        <v>0</v>
      </c>
      <c r="L15" s="0" t="n">
        <f aca="false">IFERROR(L13+L14, 0)</f>
        <v>0</v>
      </c>
      <c r="M15" s="0" t="n">
        <f aca="false">IFERROR(M13+M14, 0)</f>
        <v>0</v>
      </c>
      <c r="N15" s="0" t="n">
        <f aca="false">IFERROR(N13+N14, 0)</f>
        <v>0</v>
      </c>
      <c r="O15" s="0" t="n">
        <f aca="false">IFERROR(O13+O14, 0)</f>
        <v>0</v>
      </c>
      <c r="P15" s="0" t="n">
        <f aca="false">IFERROR(P13+P14, 0)</f>
        <v>0</v>
      </c>
      <c r="Q15" s="0" t="n">
        <f aca="false">IFERROR(Q13+Q14, 0)</f>
        <v>0</v>
      </c>
      <c r="R15" s="0" t="n">
        <f aca="false">IFERROR(R13+R14, 0)</f>
        <v>0</v>
      </c>
      <c r="S15" s="0" t="n">
        <f aca="false">IFERROR(S13+S14, 0)</f>
        <v>0</v>
      </c>
      <c r="T15" s="0" t="n">
        <f aca="false">IFERROR(T13+T14, 0)</f>
        <v>0</v>
      </c>
      <c r="U15" s="0" t="n">
        <f aca="false">IFERROR(U13+U14, 0)</f>
        <v>0</v>
      </c>
      <c r="V15" s="0" t="n">
        <f aca="false">IFERROR(V13+V14, 0)</f>
        <v>0</v>
      </c>
      <c r="W15" s="0" t="n">
        <f aca="false">IFERROR(W13+W14, 0)</f>
        <v>0</v>
      </c>
      <c r="X15" s="0" t="n">
        <f aca="false">IFERROR(X13+X14, 0)</f>
        <v>0</v>
      </c>
      <c r="Y15" s="0" t="n">
        <f aca="false">IFERROR(Y13+Y14, 0)</f>
        <v>0</v>
      </c>
      <c r="Z15" s="0" t="n">
        <f aca="false">IFERROR(Z13+Z14, 0)</f>
        <v>0</v>
      </c>
    </row>
    <row r="16" customFormat="false" ht="14.5" hidden="false" customHeight="false" outlineLevel="0" collapsed="false">
      <c r="A16" s="0" t="s">
        <v>121</v>
      </c>
      <c r="B16" s="0" t="n">
        <f aca="false">IFERROR(SUM(B15:Z15),0)</f>
        <v>0</v>
      </c>
    </row>
    <row r="18" customFormat="false" ht="15" hidden="false" customHeight="false" outlineLevel="0" collapsed="false">
      <c r="A18" s="99" t="s">
        <v>111</v>
      </c>
    </row>
    <row r="19" customFormat="false" ht="14.5" hidden="false" customHeight="false" outlineLevel="0" collapsed="false">
      <c r="A19" s="0" t="s">
        <v>114</v>
      </c>
      <c r="B19" s="0" t="n">
        <f aca="false">'Diet Input'!B19</f>
        <v>0</v>
      </c>
      <c r="C19" s="0" t="n">
        <f aca="false">'Diet Input'!C19</f>
        <v>0</v>
      </c>
      <c r="D19" s="0" t="n">
        <f aca="false">'Diet Input'!D19</f>
        <v>0</v>
      </c>
      <c r="E19" s="0" t="n">
        <f aca="false">'Diet Input'!E19</f>
        <v>0</v>
      </c>
      <c r="F19" s="0" t="n">
        <f aca="false">'Diet Input'!F19</f>
        <v>0</v>
      </c>
      <c r="G19" s="0" t="n">
        <f aca="false">'Diet Input'!G19</f>
        <v>0</v>
      </c>
      <c r="H19" s="0" t="n">
        <f aca="false">'Diet Input'!H19</f>
        <v>0</v>
      </c>
      <c r="I19" s="0" t="n">
        <f aca="false">'Diet Input'!I19</f>
        <v>0</v>
      </c>
      <c r="J19" s="0" t="n">
        <f aca="false">'Diet Input'!J19</f>
        <v>0</v>
      </c>
      <c r="K19" s="0" t="n">
        <f aca="false">'Diet Input'!K19</f>
        <v>0</v>
      </c>
      <c r="L19" s="0" t="n">
        <f aca="false">'Diet Input'!L19</f>
        <v>0</v>
      </c>
      <c r="M19" s="0" t="n">
        <f aca="false">'Diet Input'!M19</f>
        <v>0</v>
      </c>
      <c r="N19" s="0" t="n">
        <f aca="false">'Diet Input'!N19</f>
        <v>0</v>
      </c>
      <c r="O19" s="0" t="n">
        <f aca="false">'Diet Input'!O19</f>
        <v>0</v>
      </c>
      <c r="P19" s="0" t="n">
        <f aca="false">'Diet Input'!P19</f>
        <v>0</v>
      </c>
      <c r="Q19" s="0" t="n">
        <f aca="false">'Diet Input'!Q19</f>
        <v>0</v>
      </c>
      <c r="R19" s="0" t="n">
        <f aca="false">'Diet Input'!R19</f>
        <v>0</v>
      </c>
      <c r="S19" s="0" t="n">
        <f aca="false">'Diet Input'!S19</f>
        <v>0</v>
      </c>
      <c r="T19" s="0" t="n">
        <f aca="false">'Diet Input'!T19</f>
        <v>0</v>
      </c>
      <c r="U19" s="0" t="n">
        <f aca="false">'Diet Input'!U19</f>
        <v>0</v>
      </c>
      <c r="V19" s="0" t="n">
        <f aca="false">'Diet Input'!V19</f>
        <v>0</v>
      </c>
      <c r="W19" s="0" t="n">
        <f aca="false">'Diet Input'!W19</f>
        <v>0</v>
      </c>
      <c r="X19" s="0" t="n">
        <f aca="false">'Diet Input'!X19</f>
        <v>0</v>
      </c>
      <c r="Y19" s="0" t="n">
        <f aca="false">'Diet Input'!Y19</f>
        <v>0</v>
      </c>
      <c r="Z19" s="0" t="n">
        <f aca="false">'Diet Input'!Z19</f>
        <v>0</v>
      </c>
    </row>
    <row r="20" customFormat="false" ht="14.5" hidden="false" customHeight="false" outlineLevel="0" collapsed="false">
      <c r="A20" s="0" t="s">
        <v>118</v>
      </c>
      <c r="B20" s="0" t="n">
        <f aca="false">'Diet Input'!B21</f>
        <v>0</v>
      </c>
      <c r="C20" s="0" t="n">
        <f aca="false">'Diet Input'!C21</f>
        <v>0</v>
      </c>
      <c r="D20" s="0" t="n">
        <f aca="false">'Diet Input'!D21</f>
        <v>0</v>
      </c>
      <c r="E20" s="0" t="n">
        <f aca="false">'Diet Input'!E21</f>
        <v>0</v>
      </c>
      <c r="F20" s="0" t="n">
        <f aca="false">'Diet Input'!F21</f>
        <v>0</v>
      </c>
      <c r="G20" s="0" t="n">
        <f aca="false">'Diet Input'!G21</f>
        <v>0</v>
      </c>
      <c r="H20" s="0" t="n">
        <f aca="false">'Diet Input'!H21</f>
        <v>0</v>
      </c>
      <c r="I20" s="0" t="n">
        <f aca="false">'Diet Input'!I21</f>
        <v>0</v>
      </c>
      <c r="J20" s="0" t="n">
        <f aca="false">'Diet Input'!J21</f>
        <v>0</v>
      </c>
      <c r="K20" s="0" t="n">
        <f aca="false">'Diet Input'!K21</f>
        <v>0</v>
      </c>
      <c r="L20" s="0" t="n">
        <f aca="false">'Diet Input'!L21</f>
        <v>0</v>
      </c>
      <c r="M20" s="0" t="n">
        <f aca="false">'Diet Input'!M21</f>
        <v>0</v>
      </c>
      <c r="N20" s="0" t="n">
        <f aca="false">'Diet Input'!N21</f>
        <v>0</v>
      </c>
      <c r="O20" s="0" t="n">
        <f aca="false">'Diet Input'!O21</f>
        <v>0</v>
      </c>
      <c r="P20" s="0" t="n">
        <f aca="false">'Diet Input'!P21</f>
        <v>0</v>
      </c>
      <c r="Q20" s="0" t="n">
        <f aca="false">'Diet Input'!Q21</f>
        <v>0</v>
      </c>
      <c r="R20" s="0" t="n">
        <f aca="false">'Diet Input'!R21</f>
        <v>0</v>
      </c>
      <c r="S20" s="0" t="n">
        <f aca="false">'Diet Input'!S21</f>
        <v>0</v>
      </c>
      <c r="T20" s="0" t="n">
        <f aca="false">'Diet Input'!T21</f>
        <v>0</v>
      </c>
      <c r="U20" s="0" t="n">
        <f aca="false">'Diet Input'!U21</f>
        <v>0</v>
      </c>
      <c r="V20" s="0" t="n">
        <f aca="false">'Diet Input'!V21</f>
        <v>0</v>
      </c>
      <c r="W20" s="0" t="n">
        <f aca="false">'Diet Input'!W21</f>
        <v>0</v>
      </c>
      <c r="X20" s="0" t="n">
        <f aca="false">'Diet Input'!X21</f>
        <v>0</v>
      </c>
      <c r="Y20" s="0" t="n">
        <f aca="false">'Diet Input'!Y21</f>
        <v>0</v>
      </c>
      <c r="Z20" s="0" t="n">
        <f aca="false">'Diet Input'!Z21</f>
        <v>0</v>
      </c>
    </row>
    <row r="21" customFormat="false" ht="14.5" hidden="false" customHeight="false" outlineLevel="0" collapsed="false">
      <c r="A21" s="0" t="s">
        <v>119</v>
      </c>
      <c r="B21" s="0" t="e">
        <f aca="false">B20*VLOOKUP(B19, FoodEmission, 5,0)*VLOOKUP(B19, FoodEmission, 4,0)</f>
        <v>#N/A</v>
      </c>
      <c r="C21" s="0" t="e">
        <f aca="false">C20*VLOOKUP(C19, FoodEmission, 5,0)*VLOOKUP(C19, FoodEmission, 4,0)</f>
        <v>#N/A</v>
      </c>
      <c r="D21" s="0" t="e">
        <f aca="false">D20*VLOOKUP(D19, FoodEmission, 5,0)*VLOOKUP(D19, FoodEmission, 4,0)</f>
        <v>#N/A</v>
      </c>
      <c r="E21" s="0" t="e">
        <f aca="false">E20*VLOOKUP(E19, FoodEmission, 5,0)*VLOOKUP(E19, FoodEmission, 4,0)</f>
        <v>#N/A</v>
      </c>
      <c r="F21" s="0" t="e">
        <f aca="false">F20*VLOOKUP(F19, FoodEmission, 5,0)*VLOOKUP(F19, FoodEmission, 4,0)</f>
        <v>#N/A</v>
      </c>
      <c r="G21" s="0" t="e">
        <f aca="false">G20*VLOOKUP(G19, FoodEmission, 5,0)*VLOOKUP(G19, FoodEmission, 4,0)</f>
        <v>#N/A</v>
      </c>
      <c r="H21" s="0" t="e">
        <f aca="false">H20*VLOOKUP(H19, FoodEmission, 5,0)*VLOOKUP(H19, FoodEmission, 4,0)</f>
        <v>#N/A</v>
      </c>
      <c r="I21" s="0" t="e">
        <f aca="false">I20*VLOOKUP(I19, FoodEmission, 5,0)*VLOOKUP(I19, FoodEmission, 4,0)</f>
        <v>#N/A</v>
      </c>
      <c r="J21" s="0" t="e">
        <f aca="false">J20*VLOOKUP(J19, FoodEmission, 5,0)*VLOOKUP(J19, FoodEmission, 4,0)</f>
        <v>#N/A</v>
      </c>
      <c r="K21" s="0" t="e">
        <f aca="false">K20*VLOOKUP(K19, FoodEmission, 5,0)*VLOOKUP(K19, FoodEmission, 4,0)</f>
        <v>#N/A</v>
      </c>
      <c r="L21" s="0" t="e">
        <f aca="false">L20*VLOOKUP(L19, FoodEmission, 5,0)*VLOOKUP(L19, FoodEmission, 4,0)</f>
        <v>#N/A</v>
      </c>
      <c r="M21" s="0" t="e">
        <f aca="false">M20*VLOOKUP(M19, FoodEmission, 5,0)*VLOOKUP(M19, FoodEmission, 4,0)</f>
        <v>#N/A</v>
      </c>
      <c r="N21" s="0" t="e">
        <f aca="false">N20*VLOOKUP(N19, FoodEmission, 5,0)*VLOOKUP(N19, FoodEmission, 4,0)</f>
        <v>#N/A</v>
      </c>
      <c r="O21" s="0" t="e">
        <f aca="false">O20*VLOOKUP(O19, FoodEmission, 5,0)*VLOOKUP(O19, FoodEmission, 4,0)</f>
        <v>#N/A</v>
      </c>
      <c r="P21" s="0" t="e">
        <f aca="false">P20*VLOOKUP(P19, FoodEmission, 5,0)*VLOOKUP(P19, FoodEmission, 4,0)</f>
        <v>#N/A</v>
      </c>
      <c r="Q21" s="0" t="e">
        <f aca="false">Q20*VLOOKUP(Q19, FoodEmission, 5,0)*VLOOKUP(Q19, FoodEmission, 4,0)</f>
        <v>#N/A</v>
      </c>
      <c r="R21" s="0" t="e">
        <f aca="false">R20*VLOOKUP(R19, FoodEmission, 5,0)*VLOOKUP(R19, FoodEmission, 4,0)</f>
        <v>#N/A</v>
      </c>
      <c r="S21" s="0" t="e">
        <f aca="false">S20*VLOOKUP(S19, FoodEmission, 5,0)*VLOOKUP(S19, FoodEmission, 4,0)</f>
        <v>#N/A</v>
      </c>
      <c r="T21" s="0" t="e">
        <f aca="false">T20*VLOOKUP(T19, FoodEmission, 5,0)*VLOOKUP(T19, FoodEmission, 4,0)</f>
        <v>#N/A</v>
      </c>
      <c r="U21" s="0" t="e">
        <f aca="false">U20*VLOOKUP(U19, FoodEmission, 5,0)*VLOOKUP(U19, FoodEmission, 4,0)</f>
        <v>#N/A</v>
      </c>
      <c r="V21" s="0" t="e">
        <f aca="false">V20*VLOOKUP(V19, FoodEmission, 5,0)*VLOOKUP(V19, FoodEmission, 4,0)</f>
        <v>#N/A</v>
      </c>
      <c r="W21" s="0" t="e">
        <f aca="false">W20*VLOOKUP(W19, FoodEmission, 5,0)*VLOOKUP(W19, FoodEmission, 4,0)</f>
        <v>#N/A</v>
      </c>
      <c r="X21" s="0" t="e">
        <f aca="false">X20*VLOOKUP(X19, FoodEmission, 5,0)*VLOOKUP(X19, FoodEmission, 4,0)</f>
        <v>#N/A</v>
      </c>
      <c r="Y21" s="0" t="e">
        <f aca="false">Y20*VLOOKUP(Y19, FoodEmission, 5,0)*VLOOKUP(Y19, FoodEmission, 4,0)</f>
        <v>#N/A</v>
      </c>
      <c r="Z21" s="0" t="e">
        <f aca="false">Z20*VLOOKUP(Z19, FoodEmission, 5,0)*VLOOKUP(Z19, FoodEmission, 4,0)</f>
        <v>#N/A</v>
      </c>
    </row>
    <row r="22" customFormat="false" ht="14.5" hidden="false" customHeight="false" outlineLevel="0" collapsed="false">
      <c r="A22" s="0" t="s">
        <v>120</v>
      </c>
      <c r="B22" s="0" t="e">
        <f aca="false">VLOOKUP(B19, FoodEmission, 8,0)</f>
        <v>#N/A</v>
      </c>
      <c r="C22" s="0" t="e">
        <f aca="false">VLOOKUP(C19, FoodEmission, 8,0)</f>
        <v>#N/A</v>
      </c>
      <c r="D22" s="0" t="e">
        <f aca="false">VLOOKUP(D19, FoodEmission, 8,0)</f>
        <v>#N/A</v>
      </c>
      <c r="E22" s="0" t="e">
        <f aca="false">VLOOKUP(E19, FoodEmission, 8,0)</f>
        <v>#N/A</v>
      </c>
      <c r="F22" s="0" t="e">
        <f aca="false">VLOOKUP(F19, FoodEmission, 8,0)</f>
        <v>#N/A</v>
      </c>
      <c r="G22" s="0" t="e">
        <f aca="false">VLOOKUP(G19, FoodEmission, 8,0)</f>
        <v>#N/A</v>
      </c>
      <c r="H22" s="0" t="e">
        <f aca="false">VLOOKUP(H19, FoodEmission, 8,0)</f>
        <v>#N/A</v>
      </c>
      <c r="I22" s="0" t="e">
        <f aca="false">VLOOKUP(I19, FoodEmission, 8,0)</f>
        <v>#N/A</v>
      </c>
      <c r="J22" s="0" t="e">
        <f aca="false">VLOOKUP(J19, FoodEmission, 8,0)</f>
        <v>#N/A</v>
      </c>
      <c r="K22" s="0" t="e">
        <f aca="false">VLOOKUP(K19, FoodEmission, 8,0)</f>
        <v>#N/A</v>
      </c>
      <c r="L22" s="0" t="e">
        <f aca="false">VLOOKUP(L19, FoodEmission, 8,0)</f>
        <v>#N/A</v>
      </c>
      <c r="M22" s="0" t="e">
        <f aca="false">VLOOKUP(M19, FoodEmission, 8,0)</f>
        <v>#N/A</v>
      </c>
      <c r="N22" s="0" t="e">
        <f aca="false">VLOOKUP(N19, FoodEmission, 8,0)</f>
        <v>#N/A</v>
      </c>
      <c r="O22" s="0" t="e">
        <f aca="false">VLOOKUP(O19, FoodEmission, 8,0)</f>
        <v>#N/A</v>
      </c>
      <c r="P22" s="0" t="e">
        <f aca="false">VLOOKUP(P19, FoodEmission, 8,0)</f>
        <v>#N/A</v>
      </c>
      <c r="Q22" s="0" t="e">
        <f aca="false">VLOOKUP(Q19, FoodEmission, 8,0)</f>
        <v>#N/A</v>
      </c>
      <c r="R22" s="0" t="e">
        <f aca="false">VLOOKUP(R19, FoodEmission, 8,0)</f>
        <v>#N/A</v>
      </c>
      <c r="S22" s="0" t="e">
        <f aca="false">VLOOKUP(S19, FoodEmission, 8,0)</f>
        <v>#N/A</v>
      </c>
      <c r="T22" s="0" t="e">
        <f aca="false">VLOOKUP(T19, FoodEmission, 8,0)</f>
        <v>#N/A</v>
      </c>
      <c r="U22" s="0" t="e">
        <f aca="false">VLOOKUP(U19, FoodEmission, 8,0)</f>
        <v>#N/A</v>
      </c>
      <c r="V22" s="0" t="e">
        <f aca="false">VLOOKUP(V19, FoodEmission, 8,0)</f>
        <v>#N/A</v>
      </c>
      <c r="W22" s="0" t="e">
        <f aca="false">VLOOKUP(W19, FoodEmission, 8,0)</f>
        <v>#N/A</v>
      </c>
      <c r="X22" s="0" t="e">
        <f aca="false">VLOOKUP(X19, FoodEmission, 8,0)</f>
        <v>#N/A</v>
      </c>
      <c r="Y22" s="0" t="e">
        <f aca="false">VLOOKUP(Y19, FoodEmission, 8,0)</f>
        <v>#N/A</v>
      </c>
      <c r="Z22" s="0" t="e">
        <f aca="false">VLOOKUP(Z19, FoodEmission, 8,0)</f>
        <v>#N/A</v>
      </c>
    </row>
    <row r="23" customFormat="false" ht="14.5" hidden="false" customHeight="false" outlineLevel="0" collapsed="false">
      <c r="A23" s="0" t="s">
        <v>115</v>
      </c>
      <c r="B23" s="0" t="n">
        <f aca="false">IFERROR(B21+B22, 0)</f>
        <v>0</v>
      </c>
      <c r="C23" s="0" t="n">
        <f aca="false">IFERROR(C21+C22, 0)</f>
        <v>0</v>
      </c>
      <c r="D23" s="0" t="n">
        <f aca="false">IFERROR(D21+D22, 0)</f>
        <v>0</v>
      </c>
      <c r="E23" s="0" t="n">
        <f aca="false">IFERROR(E21+E22, 0)</f>
        <v>0</v>
      </c>
      <c r="F23" s="0" t="n">
        <f aca="false">IFERROR(F21+F22, 0)</f>
        <v>0</v>
      </c>
      <c r="G23" s="0" t="n">
        <f aca="false">IFERROR(G21+G22, 0)</f>
        <v>0</v>
      </c>
      <c r="H23" s="0" t="n">
        <f aca="false">IFERROR(H21+H22, 0)</f>
        <v>0</v>
      </c>
      <c r="I23" s="0" t="n">
        <f aca="false">IFERROR(I21+I22, 0)</f>
        <v>0</v>
      </c>
      <c r="J23" s="0" t="n">
        <f aca="false">IFERROR(J21+J22, 0)</f>
        <v>0</v>
      </c>
      <c r="K23" s="0" t="n">
        <f aca="false">IFERROR(K21+K22, 0)</f>
        <v>0</v>
      </c>
      <c r="L23" s="0" t="n">
        <f aca="false">IFERROR(L21+L22, 0)</f>
        <v>0</v>
      </c>
      <c r="M23" s="0" t="n">
        <f aca="false">IFERROR(M21+M22, 0)</f>
        <v>0</v>
      </c>
      <c r="N23" s="0" t="n">
        <f aca="false">IFERROR(N21+N22, 0)</f>
        <v>0</v>
      </c>
      <c r="O23" s="0" t="n">
        <f aca="false">IFERROR(O21+O22, 0)</f>
        <v>0</v>
      </c>
      <c r="P23" s="0" t="n">
        <f aca="false">IFERROR(P21+P22, 0)</f>
        <v>0</v>
      </c>
      <c r="Q23" s="0" t="n">
        <f aca="false">IFERROR(Q21+Q22, 0)</f>
        <v>0</v>
      </c>
      <c r="R23" s="0" t="n">
        <f aca="false">IFERROR(R21+R22, 0)</f>
        <v>0</v>
      </c>
      <c r="S23" s="0" t="n">
        <f aca="false">IFERROR(S21+S22, 0)</f>
        <v>0</v>
      </c>
      <c r="T23" s="0" t="n">
        <f aca="false">IFERROR(T21+T22, 0)</f>
        <v>0</v>
      </c>
      <c r="U23" s="0" t="n">
        <f aca="false">IFERROR(U21+U22, 0)</f>
        <v>0</v>
      </c>
      <c r="V23" s="0" t="n">
        <f aca="false">IFERROR(V21+V22, 0)</f>
        <v>0</v>
      </c>
      <c r="W23" s="0" t="n">
        <f aca="false">IFERROR(W21+W22, 0)</f>
        <v>0</v>
      </c>
      <c r="X23" s="0" t="n">
        <f aca="false">IFERROR(X21+X22, 0)</f>
        <v>0</v>
      </c>
      <c r="Y23" s="0" t="n">
        <f aca="false">IFERROR(Y21+Y22, 0)</f>
        <v>0</v>
      </c>
      <c r="Z23" s="0" t="n">
        <f aca="false">IFERROR(Z21+Z22, 0)</f>
        <v>0</v>
      </c>
    </row>
    <row r="24" customFormat="false" ht="14.5" hidden="false" customHeight="false" outlineLevel="0" collapsed="false">
      <c r="A24" s="0" t="s">
        <v>121</v>
      </c>
      <c r="B24" s="0" t="n">
        <f aca="false">IFERROR(SUM(B23:Z23),0)</f>
        <v>0</v>
      </c>
    </row>
    <row r="26" customFormat="false" ht="15" hidden="false" customHeight="false" outlineLevel="0" collapsed="false">
      <c r="A26" s="99" t="s">
        <v>112</v>
      </c>
    </row>
    <row r="27" customFormat="false" ht="14.5" hidden="false" customHeight="false" outlineLevel="0" collapsed="false">
      <c r="A27" s="0" t="s">
        <v>114</v>
      </c>
      <c r="B27" s="0" t="n">
        <f aca="false">'Diet Input'!B25</f>
        <v>0</v>
      </c>
      <c r="C27" s="0" t="n">
        <f aca="false">'Diet Input'!C25</f>
        <v>0</v>
      </c>
      <c r="D27" s="0" t="n">
        <f aca="false">'Diet Input'!D25</f>
        <v>0</v>
      </c>
      <c r="E27" s="0" t="n">
        <f aca="false">'Diet Input'!E25</f>
        <v>0</v>
      </c>
      <c r="F27" s="0" t="n">
        <f aca="false">'Diet Input'!F25</f>
        <v>0</v>
      </c>
      <c r="G27" s="0" t="n">
        <f aca="false">'Diet Input'!G25</f>
        <v>0</v>
      </c>
      <c r="H27" s="0" t="n">
        <f aca="false">'Diet Input'!H25</f>
        <v>0</v>
      </c>
      <c r="I27" s="0" t="n">
        <f aca="false">'Diet Input'!I25</f>
        <v>0</v>
      </c>
      <c r="J27" s="0" t="n">
        <f aca="false">'Diet Input'!J25</f>
        <v>0</v>
      </c>
      <c r="K27" s="0" t="n">
        <f aca="false">'Diet Input'!K25</f>
        <v>0</v>
      </c>
      <c r="L27" s="0" t="n">
        <f aca="false">'Diet Input'!L25</f>
        <v>0</v>
      </c>
      <c r="M27" s="0" t="n">
        <f aca="false">'Diet Input'!M25</f>
        <v>0</v>
      </c>
      <c r="N27" s="0" t="n">
        <f aca="false">'Diet Input'!N25</f>
        <v>0</v>
      </c>
      <c r="O27" s="0" t="n">
        <f aca="false">'Diet Input'!O25</f>
        <v>0</v>
      </c>
      <c r="P27" s="0" t="n">
        <f aca="false">'Diet Input'!P25</f>
        <v>0</v>
      </c>
      <c r="Q27" s="0" t="n">
        <f aca="false">'Diet Input'!Q25</f>
        <v>0</v>
      </c>
      <c r="R27" s="0" t="n">
        <f aca="false">'Diet Input'!R25</f>
        <v>0</v>
      </c>
      <c r="S27" s="0" t="n">
        <f aca="false">'Diet Input'!S25</f>
        <v>0</v>
      </c>
      <c r="T27" s="0" t="n">
        <f aca="false">'Diet Input'!T25</f>
        <v>0</v>
      </c>
      <c r="U27" s="0" t="n">
        <f aca="false">'Diet Input'!U25</f>
        <v>0</v>
      </c>
      <c r="V27" s="0" t="n">
        <f aca="false">'Diet Input'!V25</f>
        <v>0</v>
      </c>
      <c r="W27" s="0" t="n">
        <f aca="false">'Diet Input'!W25</f>
        <v>0</v>
      </c>
      <c r="X27" s="0" t="n">
        <f aca="false">'Diet Input'!X25</f>
        <v>0</v>
      </c>
      <c r="Y27" s="0" t="n">
        <f aca="false">'Diet Input'!Y25</f>
        <v>0</v>
      </c>
      <c r="Z27" s="0" t="n">
        <f aca="false">'Diet Input'!Z25</f>
        <v>0</v>
      </c>
    </row>
    <row r="28" customFormat="false" ht="14.5" hidden="false" customHeight="false" outlineLevel="0" collapsed="false">
      <c r="A28" s="0" t="s">
        <v>118</v>
      </c>
      <c r="B28" s="0" t="n">
        <f aca="false">'Diet Input'!B27</f>
        <v>0</v>
      </c>
      <c r="C28" s="0" t="n">
        <f aca="false">'Diet Input'!C27</f>
        <v>0</v>
      </c>
      <c r="D28" s="0" t="n">
        <f aca="false">'Diet Input'!D27</f>
        <v>0</v>
      </c>
      <c r="E28" s="0" t="n">
        <f aca="false">'Diet Input'!E27</f>
        <v>0</v>
      </c>
      <c r="F28" s="0" t="n">
        <f aca="false">'Diet Input'!F27</f>
        <v>0</v>
      </c>
      <c r="G28" s="0" t="n">
        <f aca="false">'Diet Input'!G27</f>
        <v>0</v>
      </c>
      <c r="H28" s="0" t="n">
        <f aca="false">'Diet Input'!H27</f>
        <v>0</v>
      </c>
      <c r="I28" s="0" t="n">
        <f aca="false">'Diet Input'!I27</f>
        <v>0</v>
      </c>
      <c r="J28" s="0" t="n">
        <f aca="false">'Diet Input'!J27</f>
        <v>0</v>
      </c>
      <c r="K28" s="0" t="n">
        <f aca="false">'Diet Input'!K27</f>
        <v>0</v>
      </c>
      <c r="L28" s="0" t="n">
        <f aca="false">'Diet Input'!L27</f>
        <v>0</v>
      </c>
      <c r="M28" s="0" t="n">
        <f aca="false">'Diet Input'!M27</f>
        <v>0</v>
      </c>
      <c r="N28" s="0" t="n">
        <f aca="false">'Diet Input'!N27</f>
        <v>0</v>
      </c>
      <c r="O28" s="0" t="n">
        <f aca="false">'Diet Input'!O27</f>
        <v>0</v>
      </c>
      <c r="P28" s="0" t="n">
        <f aca="false">'Diet Input'!P27</f>
        <v>0</v>
      </c>
      <c r="Q28" s="0" t="n">
        <f aca="false">'Diet Input'!Q27</f>
        <v>0</v>
      </c>
      <c r="R28" s="0" t="n">
        <f aca="false">'Diet Input'!R27</f>
        <v>0</v>
      </c>
      <c r="S28" s="0" t="n">
        <f aca="false">'Diet Input'!S27</f>
        <v>0</v>
      </c>
      <c r="T28" s="0" t="n">
        <f aca="false">'Diet Input'!T27</f>
        <v>0</v>
      </c>
      <c r="U28" s="0" t="n">
        <f aca="false">'Diet Input'!U27</f>
        <v>0</v>
      </c>
      <c r="V28" s="0" t="n">
        <f aca="false">'Diet Input'!V27</f>
        <v>0</v>
      </c>
      <c r="W28" s="0" t="n">
        <f aca="false">'Diet Input'!W27</f>
        <v>0</v>
      </c>
      <c r="X28" s="0" t="n">
        <f aca="false">'Diet Input'!X27</f>
        <v>0</v>
      </c>
      <c r="Y28" s="0" t="n">
        <f aca="false">'Diet Input'!Y27</f>
        <v>0</v>
      </c>
      <c r="Z28" s="0" t="n">
        <f aca="false">'Diet Input'!Z27</f>
        <v>0</v>
      </c>
    </row>
    <row r="29" customFormat="false" ht="14.5" hidden="false" customHeight="false" outlineLevel="0" collapsed="false">
      <c r="A29" s="0" t="s">
        <v>119</v>
      </c>
      <c r="B29" s="0" t="e">
        <f aca="false">B28*VLOOKUP(B27, FoodEmission, 5,0)*VLOOKUP(B27, FoodEmission, 4,0)</f>
        <v>#N/A</v>
      </c>
      <c r="C29" s="0" t="e">
        <f aca="false">C28*VLOOKUP(C27, FoodEmission, 5,0)*VLOOKUP(C27, FoodEmission, 4,0)</f>
        <v>#N/A</v>
      </c>
      <c r="D29" s="0" t="e">
        <f aca="false">D28*VLOOKUP(D27, FoodEmission, 5,0)*VLOOKUP(D27, FoodEmission, 4,0)</f>
        <v>#N/A</v>
      </c>
      <c r="E29" s="0" t="e">
        <f aca="false">E28*VLOOKUP(E27, FoodEmission, 5,0)*VLOOKUP(E27, FoodEmission, 4,0)</f>
        <v>#N/A</v>
      </c>
      <c r="F29" s="0" t="e">
        <f aca="false">F28*VLOOKUP(F27, FoodEmission, 5,0)*VLOOKUP(F27, FoodEmission, 4,0)</f>
        <v>#N/A</v>
      </c>
      <c r="G29" s="0" t="e">
        <f aca="false">G28*VLOOKUP(G27, FoodEmission, 5,0)*VLOOKUP(G27, FoodEmission, 4,0)</f>
        <v>#N/A</v>
      </c>
      <c r="H29" s="0" t="e">
        <f aca="false">H28*VLOOKUP(H27, FoodEmission, 5,0)*VLOOKUP(H27, FoodEmission, 4,0)</f>
        <v>#N/A</v>
      </c>
      <c r="I29" s="0" t="e">
        <f aca="false">I28*VLOOKUP(I27, FoodEmission, 5,0)*VLOOKUP(I27, FoodEmission, 4,0)</f>
        <v>#N/A</v>
      </c>
      <c r="J29" s="0" t="e">
        <f aca="false">J28*VLOOKUP(J27, FoodEmission, 5,0)*VLOOKUP(J27, FoodEmission, 4,0)</f>
        <v>#N/A</v>
      </c>
      <c r="K29" s="0" t="e">
        <f aca="false">K28*VLOOKUP(K27, FoodEmission, 5,0)*VLOOKUP(K27, FoodEmission, 4,0)</f>
        <v>#N/A</v>
      </c>
      <c r="L29" s="0" t="e">
        <f aca="false">L28*VLOOKUP(L27, FoodEmission, 5,0)*VLOOKUP(L27, FoodEmission, 4,0)</f>
        <v>#N/A</v>
      </c>
      <c r="M29" s="0" t="e">
        <f aca="false">M28*VLOOKUP(M27, FoodEmission, 5,0)*VLOOKUP(M27, FoodEmission, 4,0)</f>
        <v>#N/A</v>
      </c>
      <c r="N29" s="0" t="e">
        <f aca="false">N28*VLOOKUP(N27, FoodEmission, 5,0)*VLOOKUP(N27, FoodEmission, 4,0)</f>
        <v>#N/A</v>
      </c>
      <c r="O29" s="0" t="e">
        <f aca="false">O28*VLOOKUP(O27, FoodEmission, 5,0)*VLOOKUP(O27, FoodEmission, 4,0)</f>
        <v>#N/A</v>
      </c>
      <c r="P29" s="0" t="e">
        <f aca="false">P28*VLOOKUP(P27, FoodEmission, 5,0)*VLOOKUP(P27, FoodEmission, 4,0)</f>
        <v>#N/A</v>
      </c>
      <c r="Q29" s="0" t="e">
        <f aca="false">Q28*VLOOKUP(Q27, FoodEmission, 5,0)*VLOOKUP(Q27, FoodEmission, 4,0)</f>
        <v>#N/A</v>
      </c>
      <c r="R29" s="0" t="e">
        <f aca="false">R28*VLOOKUP(R27, FoodEmission, 5,0)*VLOOKUP(R27, FoodEmission, 4,0)</f>
        <v>#N/A</v>
      </c>
      <c r="S29" s="0" t="e">
        <f aca="false">S28*VLOOKUP(S27, FoodEmission, 5,0)*VLOOKUP(S27, FoodEmission, 4,0)</f>
        <v>#N/A</v>
      </c>
      <c r="T29" s="0" t="e">
        <f aca="false">T28*VLOOKUP(T27, FoodEmission, 5,0)*VLOOKUP(T27, FoodEmission, 4,0)</f>
        <v>#N/A</v>
      </c>
      <c r="U29" s="0" t="e">
        <f aca="false">U28*VLOOKUP(U27, FoodEmission, 5,0)*VLOOKUP(U27, FoodEmission, 4,0)</f>
        <v>#N/A</v>
      </c>
      <c r="V29" s="0" t="e">
        <f aca="false">V28*VLOOKUP(V27, FoodEmission, 5,0)*VLOOKUP(V27, FoodEmission, 4,0)</f>
        <v>#N/A</v>
      </c>
      <c r="W29" s="0" t="e">
        <f aca="false">W28*VLOOKUP(W27, FoodEmission, 5,0)*VLOOKUP(W27, FoodEmission, 4,0)</f>
        <v>#N/A</v>
      </c>
      <c r="X29" s="0" t="e">
        <f aca="false">X28*VLOOKUP(X27, FoodEmission, 5,0)*VLOOKUP(X27, FoodEmission, 4,0)</f>
        <v>#N/A</v>
      </c>
      <c r="Y29" s="0" t="e">
        <f aca="false">Y28*VLOOKUP(Y27, FoodEmission, 5,0)*VLOOKUP(Y27, FoodEmission, 4,0)</f>
        <v>#N/A</v>
      </c>
      <c r="Z29" s="0" t="e">
        <f aca="false">Z28*VLOOKUP(Z27, FoodEmission, 5,0)*VLOOKUP(Z27, FoodEmission, 4,0)</f>
        <v>#N/A</v>
      </c>
    </row>
    <row r="30" customFormat="false" ht="14.5" hidden="false" customHeight="false" outlineLevel="0" collapsed="false">
      <c r="A30" s="0" t="s">
        <v>120</v>
      </c>
      <c r="B30" s="0" t="e">
        <f aca="false">VLOOKUP(B27, FoodEmission, 8,0)</f>
        <v>#N/A</v>
      </c>
      <c r="C30" s="0" t="e">
        <f aca="false">VLOOKUP(C27, FoodEmission, 8,0)</f>
        <v>#N/A</v>
      </c>
      <c r="D30" s="0" t="e">
        <f aca="false">VLOOKUP(D27, FoodEmission, 8,0)</f>
        <v>#N/A</v>
      </c>
      <c r="E30" s="0" t="e">
        <f aca="false">VLOOKUP(E27, FoodEmission, 8,0)</f>
        <v>#N/A</v>
      </c>
      <c r="F30" s="0" t="e">
        <f aca="false">VLOOKUP(F27, FoodEmission, 8,0)</f>
        <v>#N/A</v>
      </c>
      <c r="G30" s="0" t="e">
        <f aca="false">VLOOKUP(G27, FoodEmission, 8,0)</f>
        <v>#N/A</v>
      </c>
      <c r="H30" s="0" t="e">
        <f aca="false">VLOOKUP(H27, FoodEmission, 8,0)</f>
        <v>#N/A</v>
      </c>
      <c r="I30" s="0" t="e">
        <f aca="false">VLOOKUP(I27, FoodEmission, 8,0)</f>
        <v>#N/A</v>
      </c>
      <c r="J30" s="0" t="e">
        <f aca="false">VLOOKUP(J27, FoodEmission, 8,0)</f>
        <v>#N/A</v>
      </c>
      <c r="K30" s="0" t="e">
        <f aca="false">VLOOKUP(K27, FoodEmission, 8,0)</f>
        <v>#N/A</v>
      </c>
      <c r="L30" s="0" t="e">
        <f aca="false">VLOOKUP(L27, FoodEmission, 8,0)</f>
        <v>#N/A</v>
      </c>
      <c r="M30" s="0" t="e">
        <f aca="false">VLOOKUP(M27, FoodEmission, 8,0)</f>
        <v>#N/A</v>
      </c>
      <c r="N30" s="0" t="e">
        <f aca="false">VLOOKUP(N27, FoodEmission, 8,0)</f>
        <v>#N/A</v>
      </c>
      <c r="O30" s="0" t="e">
        <f aca="false">VLOOKUP(O27, FoodEmission, 8,0)</f>
        <v>#N/A</v>
      </c>
      <c r="P30" s="0" t="e">
        <f aca="false">VLOOKUP(P27, FoodEmission, 8,0)</f>
        <v>#N/A</v>
      </c>
      <c r="Q30" s="0" t="e">
        <f aca="false">VLOOKUP(Q27, FoodEmission, 8,0)</f>
        <v>#N/A</v>
      </c>
      <c r="R30" s="0" t="e">
        <f aca="false">VLOOKUP(R27, FoodEmission, 8,0)</f>
        <v>#N/A</v>
      </c>
      <c r="S30" s="0" t="e">
        <f aca="false">VLOOKUP(S27, FoodEmission, 8,0)</f>
        <v>#N/A</v>
      </c>
      <c r="T30" s="0" t="e">
        <f aca="false">VLOOKUP(T27, FoodEmission, 8,0)</f>
        <v>#N/A</v>
      </c>
      <c r="U30" s="0" t="e">
        <f aca="false">VLOOKUP(U27, FoodEmission, 8,0)</f>
        <v>#N/A</v>
      </c>
      <c r="V30" s="0" t="e">
        <f aca="false">VLOOKUP(V27, FoodEmission, 8,0)</f>
        <v>#N/A</v>
      </c>
      <c r="W30" s="0" t="e">
        <f aca="false">VLOOKUP(W27, FoodEmission, 8,0)</f>
        <v>#N/A</v>
      </c>
      <c r="X30" s="0" t="e">
        <f aca="false">VLOOKUP(X27, FoodEmission, 8,0)</f>
        <v>#N/A</v>
      </c>
      <c r="Y30" s="0" t="e">
        <f aca="false">VLOOKUP(Y27, FoodEmission, 8,0)</f>
        <v>#N/A</v>
      </c>
      <c r="Z30" s="0" t="e">
        <f aca="false">VLOOKUP(Z27, FoodEmission, 8,0)</f>
        <v>#N/A</v>
      </c>
    </row>
    <row r="31" customFormat="false" ht="14.5" hidden="false" customHeight="false" outlineLevel="0" collapsed="false">
      <c r="A31" s="0" t="s">
        <v>115</v>
      </c>
      <c r="B31" s="0" t="n">
        <f aca="false">IFERROR(B29+B30, 0)</f>
        <v>0</v>
      </c>
      <c r="C31" s="0" t="n">
        <f aca="false">IFERROR(C29+C30, 0)</f>
        <v>0</v>
      </c>
      <c r="D31" s="0" t="n">
        <f aca="false">IFERROR(D29+D30, 0)</f>
        <v>0</v>
      </c>
      <c r="E31" s="0" t="n">
        <f aca="false">IFERROR(E29+E30, 0)</f>
        <v>0</v>
      </c>
      <c r="F31" s="0" t="n">
        <f aca="false">IFERROR(F29+F30, 0)</f>
        <v>0</v>
      </c>
      <c r="G31" s="0" t="n">
        <f aca="false">IFERROR(G29+G30, 0)</f>
        <v>0</v>
      </c>
      <c r="H31" s="0" t="n">
        <f aca="false">IFERROR(H29+H30, 0)</f>
        <v>0</v>
      </c>
      <c r="I31" s="0" t="n">
        <f aca="false">IFERROR(I29+I30, 0)</f>
        <v>0</v>
      </c>
      <c r="J31" s="0" t="n">
        <f aca="false">IFERROR(J29+J30, 0)</f>
        <v>0</v>
      </c>
      <c r="K31" s="0" t="n">
        <f aca="false">IFERROR(K29+K30, 0)</f>
        <v>0</v>
      </c>
      <c r="L31" s="0" t="n">
        <f aca="false">IFERROR(L29+L30, 0)</f>
        <v>0</v>
      </c>
      <c r="M31" s="0" t="n">
        <f aca="false">IFERROR(M29+M30, 0)</f>
        <v>0</v>
      </c>
      <c r="N31" s="0" t="n">
        <f aca="false">IFERROR(N29+N30, 0)</f>
        <v>0</v>
      </c>
      <c r="O31" s="0" t="n">
        <f aca="false">IFERROR(O29+O30, 0)</f>
        <v>0</v>
      </c>
      <c r="P31" s="0" t="n">
        <f aca="false">IFERROR(P29+P30, 0)</f>
        <v>0</v>
      </c>
      <c r="Q31" s="0" t="n">
        <f aca="false">IFERROR(Q29+Q30, 0)</f>
        <v>0</v>
      </c>
      <c r="R31" s="0" t="n">
        <f aca="false">IFERROR(R29+R30, 0)</f>
        <v>0</v>
      </c>
      <c r="S31" s="0" t="n">
        <f aca="false">IFERROR(S29+S30, 0)</f>
        <v>0</v>
      </c>
      <c r="T31" s="0" t="n">
        <f aca="false">IFERROR(T29+T30, 0)</f>
        <v>0</v>
      </c>
      <c r="U31" s="0" t="n">
        <f aca="false">IFERROR(U29+U30, 0)</f>
        <v>0</v>
      </c>
      <c r="V31" s="0" t="n">
        <f aca="false">IFERROR(V29+V30, 0)</f>
        <v>0</v>
      </c>
      <c r="W31" s="0" t="n">
        <f aca="false">IFERROR(W29+W30, 0)</f>
        <v>0</v>
      </c>
      <c r="X31" s="0" t="n">
        <f aca="false">IFERROR(X29+X30, 0)</f>
        <v>0</v>
      </c>
      <c r="Y31" s="0" t="n">
        <f aca="false">IFERROR(Y29+Y30, 0)</f>
        <v>0</v>
      </c>
      <c r="Z31" s="0" t="n">
        <f aca="false">IFERROR(Z29+Z30, 0)</f>
        <v>0</v>
      </c>
    </row>
    <row r="32" customFormat="false" ht="14.5" hidden="false" customHeight="false" outlineLevel="0" collapsed="false">
      <c r="A32" s="0" t="s">
        <v>121</v>
      </c>
      <c r="B32" s="0" t="n">
        <f aca="false">IFERROR(SUM(B31:Z31),0)</f>
        <v>0</v>
      </c>
    </row>
    <row r="1048576" customFormat="false" ht="14.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60"/>
  <sheetViews>
    <sheetView windowProtection="false"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C50" activeCellId="0" sqref="C50"/>
    </sheetView>
  </sheetViews>
  <sheetFormatPr defaultRowHeight="14.5"/>
  <cols>
    <col collapsed="false" hidden="false" max="1" min="1" style="0" width="17.280612244898"/>
    <col collapsed="false" hidden="false" max="2" min="2" style="0" width="17.5510204081633"/>
    <col collapsed="false" hidden="false" max="3" min="3" style="0" width="20.5204081632653"/>
    <col collapsed="false" hidden="false" max="4" min="4" style="0" width="18.6275510204082"/>
    <col collapsed="false" hidden="false" max="5" min="5" style="0" width="18.8979591836735"/>
    <col collapsed="false" hidden="false" max="6" min="6" style="0" width="16.469387755102"/>
    <col collapsed="false" hidden="false" max="8" min="7" style="0" width="12.6887755102041"/>
    <col collapsed="false" hidden="false" max="9" min="9" style="0" width="11.3418367346939"/>
    <col collapsed="false" hidden="false" max="10" min="10" style="0" width="13.7704081632653"/>
    <col collapsed="false" hidden="false" max="11" min="11" style="0" width="8.50510204081633"/>
    <col collapsed="false" hidden="false" max="12" min="12" style="0" width="12.4183673469388"/>
    <col collapsed="false" hidden="false" max="1025" min="13" style="0" width="8.50510204081633"/>
  </cols>
  <sheetData>
    <row r="1" customFormat="false" ht="15" hidden="false" customHeight="false" outlineLevel="0" collapsed="false">
      <c r="A1" s="102" t="s">
        <v>122</v>
      </c>
      <c r="B1" s="102"/>
      <c r="C1" s="102"/>
      <c r="D1" s="102"/>
      <c r="E1" s="102"/>
      <c r="F1" s="102"/>
      <c r="G1" s="102"/>
      <c r="H1" s="102"/>
      <c r="I1" s="102"/>
    </row>
    <row r="2" customFormat="false" ht="15" hidden="false" customHeight="false" outlineLevel="0" collapsed="false">
      <c r="A2" s="103" t="s">
        <v>114</v>
      </c>
      <c r="B2" s="103" t="s">
        <v>123</v>
      </c>
      <c r="C2" s="103" t="s">
        <v>124</v>
      </c>
      <c r="D2" s="103" t="s">
        <v>125</v>
      </c>
      <c r="E2" s="103" t="s">
        <v>126</v>
      </c>
      <c r="F2" s="103" t="s">
        <v>127</v>
      </c>
      <c r="G2" s="103" t="s">
        <v>128</v>
      </c>
      <c r="H2" s="104" t="s">
        <v>129</v>
      </c>
      <c r="I2" s="105" t="s">
        <v>130</v>
      </c>
    </row>
    <row r="3" customFormat="false" ht="14.5" hidden="false" customHeight="false" outlineLevel="0" collapsed="false">
      <c r="A3" s="106" t="s">
        <v>131</v>
      </c>
      <c r="B3" s="106" t="s">
        <v>132</v>
      </c>
      <c r="C3" s="106" t="s">
        <v>133</v>
      </c>
      <c r="D3" s="106" t="n">
        <v>0.33</v>
      </c>
      <c r="E3" s="106" t="n">
        <v>0.38</v>
      </c>
      <c r="F3" s="106" t="s">
        <v>134</v>
      </c>
      <c r="G3" s="106" t="n">
        <v>250</v>
      </c>
      <c r="H3" s="106" t="n">
        <v>0.0675</v>
      </c>
      <c r="I3" s="106"/>
    </row>
    <row r="4" customFormat="false" ht="14.5" hidden="false" customHeight="false" outlineLevel="0" collapsed="false">
      <c r="A4" s="107" t="s">
        <v>135</v>
      </c>
      <c r="B4" s="107" t="s">
        <v>132</v>
      </c>
      <c r="C4" s="107" t="s">
        <v>136</v>
      </c>
      <c r="D4" s="106" t="n">
        <f aca="false">30/1000</f>
        <v>0.03</v>
      </c>
      <c r="E4" s="108" t="n">
        <v>2.51</v>
      </c>
      <c r="F4" s="106" t="s">
        <v>137</v>
      </c>
      <c r="G4" s="106" t="n">
        <v>250</v>
      </c>
      <c r="H4" s="106" t="n">
        <v>0.03925</v>
      </c>
      <c r="I4" s="107"/>
    </row>
    <row r="5" customFormat="false" ht="14.5" hidden="false" customHeight="false" outlineLevel="0" collapsed="false">
      <c r="A5" s="107" t="s">
        <v>138</v>
      </c>
      <c r="B5" s="107" t="s">
        <v>132</v>
      </c>
      <c r="C5" s="107" t="s">
        <v>139</v>
      </c>
      <c r="D5" s="107" t="n">
        <v>0.25</v>
      </c>
      <c r="E5" s="107" t="n">
        <v>0.79</v>
      </c>
      <c r="F5" s="106" t="s">
        <v>134</v>
      </c>
      <c r="G5" s="106" t="n">
        <v>250</v>
      </c>
      <c r="H5" s="106" t="n">
        <v>0.0675</v>
      </c>
      <c r="I5" s="107"/>
    </row>
    <row r="6" customFormat="false" ht="14.5" hidden="false" customHeight="false" outlineLevel="0" collapsed="false">
      <c r="A6" s="107" t="s">
        <v>140</v>
      </c>
      <c r="B6" s="107" t="s">
        <v>132</v>
      </c>
      <c r="C6" s="107" t="s">
        <v>133</v>
      </c>
      <c r="D6" s="109" t="n">
        <v>0.33</v>
      </c>
      <c r="E6" s="108" t="n">
        <v>1.72</v>
      </c>
      <c r="F6" s="106" t="s">
        <v>141</v>
      </c>
      <c r="G6" s="106" t="n">
        <v>250</v>
      </c>
      <c r="H6" s="110" t="n">
        <v>0.03375</v>
      </c>
      <c r="I6" s="107"/>
    </row>
    <row r="7" customFormat="false" ht="14.5" hidden="false" customHeight="false" outlineLevel="0" collapsed="false">
      <c r="A7" s="107" t="s">
        <v>142</v>
      </c>
      <c r="B7" s="107" t="s">
        <v>132</v>
      </c>
      <c r="C7" s="107" t="s">
        <v>139</v>
      </c>
      <c r="D7" s="107" t="n">
        <v>0.25</v>
      </c>
      <c r="E7" s="108" t="n">
        <v>0.69</v>
      </c>
      <c r="F7" s="106" t="s">
        <v>134</v>
      </c>
      <c r="G7" s="106" t="n">
        <v>250</v>
      </c>
      <c r="H7" s="106" t="n">
        <v>0.0675</v>
      </c>
      <c r="I7" s="107"/>
    </row>
    <row r="8" customFormat="false" ht="14.5" hidden="false" customHeight="false" outlineLevel="0" collapsed="false">
      <c r="A8" s="107" t="s">
        <v>143</v>
      </c>
      <c r="B8" s="107" t="s">
        <v>132</v>
      </c>
      <c r="C8" s="107" t="s">
        <v>136</v>
      </c>
      <c r="D8" s="107" t="n">
        <f aca="false">30/1000</f>
        <v>0.03</v>
      </c>
      <c r="E8" s="108" t="n">
        <v>1.26</v>
      </c>
      <c r="F8" s="107" t="s">
        <v>137</v>
      </c>
      <c r="G8" s="106" t="n">
        <v>250</v>
      </c>
      <c r="H8" s="106" t="n">
        <v>0.03925</v>
      </c>
      <c r="I8" s="107"/>
    </row>
    <row r="9" customFormat="false" ht="14.5" hidden="false" customHeight="false" outlineLevel="0" collapsed="false">
      <c r="A9" s="107" t="s">
        <v>144</v>
      </c>
      <c r="B9" s="107" t="s">
        <v>132</v>
      </c>
      <c r="C9" s="107" t="s">
        <v>145</v>
      </c>
      <c r="D9" s="107" t="n">
        <f aca="false">80/1000</f>
        <v>0.08</v>
      </c>
      <c r="E9" s="108" t="n">
        <v>2.73</v>
      </c>
      <c r="F9" s="107" t="s">
        <v>134</v>
      </c>
      <c r="G9" s="106" t="n">
        <v>250</v>
      </c>
      <c r="H9" s="106" t="n">
        <v>0.0675</v>
      </c>
      <c r="I9" s="107"/>
    </row>
    <row r="10" customFormat="false" ht="14.5" hidden="false" customHeight="false" outlineLevel="0" collapsed="false">
      <c r="A10" s="107" t="s">
        <v>146</v>
      </c>
      <c r="B10" s="107" t="s">
        <v>132</v>
      </c>
      <c r="C10" s="107" t="s">
        <v>147</v>
      </c>
      <c r="D10" s="107" t="n">
        <f aca="false">150/1000</f>
        <v>0.15</v>
      </c>
      <c r="E10" s="108" t="n">
        <v>0.64</v>
      </c>
      <c r="F10" s="106" t="s">
        <v>137</v>
      </c>
      <c r="G10" s="106" t="n">
        <v>250</v>
      </c>
      <c r="H10" s="106" t="n">
        <v>0.03925</v>
      </c>
      <c r="I10" s="107"/>
    </row>
    <row r="11" customFormat="false" ht="14.5" hidden="false" customHeight="false" outlineLevel="0" collapsed="false">
      <c r="A11" s="107" t="s">
        <v>148</v>
      </c>
      <c r="B11" s="107" t="s">
        <v>149</v>
      </c>
      <c r="C11" s="107" t="s">
        <v>150</v>
      </c>
      <c r="D11" s="107" t="n">
        <f aca="false">40/1000</f>
        <v>0.04</v>
      </c>
      <c r="E11" s="108" t="n">
        <v>0.83</v>
      </c>
      <c r="F11" s="106" t="s">
        <v>134</v>
      </c>
      <c r="G11" s="106" t="n">
        <v>250</v>
      </c>
      <c r="H11" s="106" t="n">
        <v>0.0675</v>
      </c>
      <c r="I11" s="107"/>
    </row>
    <row r="12" customFormat="false" ht="14.5" hidden="false" customHeight="false" outlineLevel="0" collapsed="false">
      <c r="A12" s="107" t="s">
        <v>151</v>
      </c>
      <c r="B12" s="107" t="s">
        <v>149</v>
      </c>
      <c r="C12" s="107" t="s">
        <v>152</v>
      </c>
      <c r="D12" s="107" t="n">
        <f aca="false">15/1000</f>
        <v>0.015</v>
      </c>
      <c r="E12" s="108" t="n">
        <v>0.45</v>
      </c>
      <c r="F12" s="107" t="s">
        <v>134</v>
      </c>
      <c r="G12" s="106" t="n">
        <v>250</v>
      </c>
      <c r="H12" s="106" t="n">
        <v>0.0675</v>
      </c>
      <c r="I12" s="107"/>
    </row>
    <row r="13" customFormat="false" ht="14.5" hidden="false" customHeight="false" outlineLevel="0" collapsed="false">
      <c r="A13" s="107" t="s">
        <v>153</v>
      </c>
      <c r="B13" s="107" t="s">
        <v>149</v>
      </c>
      <c r="C13" s="107" t="s">
        <v>154</v>
      </c>
      <c r="D13" s="107" t="n">
        <f aca="false">20/1000</f>
        <v>0.02</v>
      </c>
      <c r="E13" s="108" t="n">
        <v>9.82</v>
      </c>
      <c r="F13" s="107" t="s">
        <v>134</v>
      </c>
      <c r="G13" s="106" t="n">
        <v>250</v>
      </c>
      <c r="H13" s="106" t="n">
        <v>0.0675</v>
      </c>
      <c r="I13" s="107"/>
    </row>
    <row r="14" customFormat="false" ht="14.5" hidden="false" customHeight="false" outlineLevel="0" collapsed="false">
      <c r="A14" s="107" t="s">
        <v>155</v>
      </c>
      <c r="B14" s="107" t="s">
        <v>149</v>
      </c>
      <c r="C14" s="107" t="s">
        <v>156</v>
      </c>
      <c r="D14" s="107" t="n">
        <f aca="false">60/1000</f>
        <v>0.06</v>
      </c>
      <c r="E14" s="108" t="n">
        <v>1.85</v>
      </c>
      <c r="F14" s="107" t="s">
        <v>134</v>
      </c>
      <c r="G14" s="106" t="n">
        <v>250</v>
      </c>
      <c r="H14" s="106" t="n">
        <v>0.0675</v>
      </c>
      <c r="I14" s="107"/>
    </row>
    <row r="15" customFormat="false" ht="14.5" hidden="false" customHeight="false" outlineLevel="0" collapsed="false">
      <c r="A15" s="107" t="s">
        <v>157</v>
      </c>
      <c r="B15" s="107" t="s">
        <v>149</v>
      </c>
      <c r="C15" s="107" t="s">
        <v>158</v>
      </c>
      <c r="D15" s="107" t="n">
        <f aca="false">40/1000</f>
        <v>0.04</v>
      </c>
      <c r="E15" s="108" t="n">
        <v>1.85</v>
      </c>
      <c r="F15" s="107" t="s">
        <v>134</v>
      </c>
      <c r="G15" s="106" t="n">
        <v>250</v>
      </c>
      <c r="H15" s="106" t="n">
        <v>0.0675</v>
      </c>
      <c r="I15" s="107"/>
    </row>
    <row r="16" customFormat="false" ht="14.5" hidden="false" customHeight="false" outlineLevel="0" collapsed="false">
      <c r="A16" s="107" t="s">
        <v>138</v>
      </c>
      <c r="B16" s="107" t="s">
        <v>149</v>
      </c>
      <c r="C16" s="107" t="s">
        <v>139</v>
      </c>
      <c r="D16" s="107" t="n">
        <v>0.25</v>
      </c>
      <c r="E16" s="108" t="n">
        <v>0.79</v>
      </c>
      <c r="F16" s="107" t="s">
        <v>134</v>
      </c>
      <c r="G16" s="106" t="n">
        <v>250</v>
      </c>
      <c r="H16" s="106" t="n">
        <v>0.0675</v>
      </c>
      <c r="I16" s="107"/>
    </row>
    <row r="17" customFormat="false" ht="14.5" hidden="false" customHeight="false" outlineLevel="0" collapsed="false">
      <c r="A17" s="107" t="s">
        <v>159</v>
      </c>
      <c r="B17" s="107" t="s">
        <v>149</v>
      </c>
      <c r="C17" s="107" t="s">
        <v>150</v>
      </c>
      <c r="D17" s="107" t="n">
        <f aca="false">40/1000</f>
        <v>0.04</v>
      </c>
      <c r="E17" s="108" t="n">
        <v>0.83</v>
      </c>
      <c r="F17" s="107" t="s">
        <v>134</v>
      </c>
      <c r="G17" s="106" t="n">
        <v>250</v>
      </c>
      <c r="H17" s="106" t="n">
        <v>0.0675</v>
      </c>
      <c r="I17" s="107"/>
    </row>
    <row r="18" customFormat="false" ht="14.5" hidden="false" customHeight="false" outlineLevel="0" collapsed="false">
      <c r="A18" s="107" t="s">
        <v>160</v>
      </c>
      <c r="B18" s="107" t="s">
        <v>149</v>
      </c>
      <c r="C18" s="107" t="s">
        <v>161</v>
      </c>
      <c r="D18" s="107" t="n">
        <v>0.2</v>
      </c>
      <c r="E18" s="108" t="n">
        <v>0.9</v>
      </c>
      <c r="F18" s="107" t="s">
        <v>134</v>
      </c>
      <c r="G18" s="106" t="n">
        <v>250</v>
      </c>
      <c r="H18" s="106" t="n">
        <v>0.0675</v>
      </c>
      <c r="I18" s="107"/>
    </row>
    <row r="19" customFormat="false" ht="14.5" hidden="false" customHeight="false" outlineLevel="0" collapsed="false">
      <c r="A19" s="107" t="s">
        <v>162</v>
      </c>
      <c r="B19" s="107" t="s">
        <v>163</v>
      </c>
      <c r="C19" s="107" t="s">
        <v>164</v>
      </c>
      <c r="D19" s="107" t="n">
        <v>0.15</v>
      </c>
      <c r="E19" s="108" t="n">
        <v>0.23</v>
      </c>
      <c r="F19" s="107" t="s">
        <v>134</v>
      </c>
      <c r="G19" s="106" t="n">
        <v>250</v>
      </c>
      <c r="H19" s="106" t="n">
        <v>0.03925</v>
      </c>
      <c r="I19" s="107"/>
    </row>
    <row r="20" customFormat="false" ht="14.5" hidden="false" customHeight="false" outlineLevel="0" collapsed="false">
      <c r="A20" s="107" t="s">
        <v>165</v>
      </c>
      <c r="B20" s="107" t="s">
        <v>163</v>
      </c>
      <c r="C20" s="107" t="s">
        <v>164</v>
      </c>
      <c r="D20" s="107" t="n">
        <v>0.15</v>
      </c>
      <c r="E20" s="108" t="n">
        <v>0.27</v>
      </c>
      <c r="F20" s="107" t="s">
        <v>134</v>
      </c>
      <c r="G20" s="106" t="n">
        <v>250</v>
      </c>
      <c r="H20" s="106" t="n">
        <v>0.03925</v>
      </c>
      <c r="I20" s="107"/>
    </row>
    <row r="21" customFormat="false" ht="14.5" hidden="false" customHeight="false" outlineLevel="0" collapsed="false">
      <c r="A21" s="107" t="s">
        <v>166</v>
      </c>
      <c r="B21" s="107" t="s">
        <v>163</v>
      </c>
      <c r="C21" s="107" t="s">
        <v>167</v>
      </c>
      <c r="D21" s="107" t="n">
        <v>0.15</v>
      </c>
      <c r="E21" s="108" t="n">
        <v>0.83</v>
      </c>
      <c r="F21" s="107" t="s">
        <v>134</v>
      </c>
      <c r="G21" s="106" t="n">
        <v>250</v>
      </c>
      <c r="H21" s="106" t="n">
        <v>0.03925</v>
      </c>
      <c r="I21" s="107"/>
    </row>
    <row r="22" customFormat="false" ht="14.5" hidden="false" customHeight="false" outlineLevel="0" collapsed="false">
      <c r="A22" s="107" t="s">
        <v>168</v>
      </c>
      <c r="B22" s="107" t="s">
        <v>163</v>
      </c>
      <c r="C22" s="107" t="s">
        <v>167</v>
      </c>
      <c r="D22" s="107" t="n">
        <v>0.15</v>
      </c>
      <c r="E22" s="108" t="n">
        <v>0.14</v>
      </c>
      <c r="F22" s="107" t="s">
        <v>134</v>
      </c>
      <c r="G22" s="106" t="n">
        <v>250</v>
      </c>
      <c r="H22" s="106" t="n">
        <v>0.03925</v>
      </c>
      <c r="I22" s="107"/>
    </row>
    <row r="23" customFormat="false" ht="14.5" hidden="false" customHeight="false" outlineLevel="0" collapsed="false">
      <c r="A23" s="107" t="s">
        <v>169</v>
      </c>
      <c r="B23" s="107" t="s">
        <v>170</v>
      </c>
      <c r="C23" s="107" t="s">
        <v>171</v>
      </c>
      <c r="D23" s="107" t="n">
        <f aca="false">60/1000</f>
        <v>0.06</v>
      </c>
      <c r="E23" s="108" t="n">
        <v>2.16</v>
      </c>
      <c r="F23" s="107" t="s">
        <v>141</v>
      </c>
      <c r="G23" s="106" t="n">
        <v>250</v>
      </c>
      <c r="H23" s="106" t="n">
        <v>0.03375</v>
      </c>
      <c r="I23" s="107"/>
    </row>
    <row r="24" customFormat="false" ht="14.5" hidden="false" customHeight="false" outlineLevel="0" collapsed="false">
      <c r="A24" s="107" t="s">
        <v>148</v>
      </c>
      <c r="B24" s="107" t="s">
        <v>170</v>
      </c>
      <c r="C24" s="107" t="s">
        <v>150</v>
      </c>
      <c r="D24" s="107" t="n">
        <f aca="false">40/1000</f>
        <v>0.04</v>
      </c>
      <c r="E24" s="108" t="n">
        <v>0.83</v>
      </c>
      <c r="F24" s="107" t="s">
        <v>134</v>
      </c>
      <c r="G24" s="106" t="n">
        <v>250</v>
      </c>
      <c r="H24" s="106" t="n">
        <v>0.0675</v>
      </c>
      <c r="I24" s="107"/>
    </row>
    <row r="25" customFormat="false" ht="15" hidden="false" customHeight="true" outlineLevel="0" collapsed="false">
      <c r="A25" s="107" t="s">
        <v>172</v>
      </c>
      <c r="B25" s="107" t="s">
        <v>170</v>
      </c>
      <c r="C25" s="107" t="s">
        <v>173</v>
      </c>
      <c r="D25" s="107" t="n">
        <f aca="false">80/1000</f>
        <v>0.08</v>
      </c>
      <c r="E25" s="108" t="n">
        <v>0.26</v>
      </c>
      <c r="F25" s="107" t="s">
        <v>137</v>
      </c>
      <c r="G25" s="106" t="n">
        <v>250</v>
      </c>
      <c r="H25" s="106" t="n">
        <v>0.03925</v>
      </c>
      <c r="I25" s="107"/>
    </row>
    <row r="26" customFormat="false" ht="14.5" hidden="false" customHeight="false" outlineLevel="0" collapsed="false">
      <c r="A26" s="107" t="s">
        <v>174</v>
      </c>
      <c r="B26" s="107" t="s">
        <v>170</v>
      </c>
      <c r="C26" s="107" t="s">
        <v>175</v>
      </c>
      <c r="D26" s="107" t="n">
        <v>0.25</v>
      </c>
      <c r="E26" s="108" t="n">
        <v>0.6</v>
      </c>
      <c r="F26" s="107" t="s">
        <v>137</v>
      </c>
      <c r="G26" s="106" t="n">
        <v>250</v>
      </c>
      <c r="H26" s="106" t="n">
        <v>0.03925</v>
      </c>
      <c r="I26" s="107" t="n">
        <v>297.5</v>
      </c>
    </row>
    <row r="27" customFormat="false" ht="14.5" hidden="false" customHeight="false" outlineLevel="0" collapsed="false">
      <c r="A27" s="107" t="s">
        <v>176</v>
      </c>
      <c r="B27" s="107" t="s">
        <v>170</v>
      </c>
      <c r="C27" s="107" t="s">
        <v>177</v>
      </c>
      <c r="D27" s="107" t="n">
        <v>0.12</v>
      </c>
      <c r="E27" s="108" t="n">
        <v>2.35</v>
      </c>
      <c r="F27" s="107" t="s">
        <v>141</v>
      </c>
      <c r="G27" s="106" t="n">
        <v>250</v>
      </c>
      <c r="H27" s="106" t="n">
        <v>0.03375</v>
      </c>
      <c r="I27" s="107" t="n">
        <v>285</v>
      </c>
    </row>
    <row r="28" customFormat="false" ht="14.5" hidden="false" customHeight="false" outlineLevel="0" collapsed="false">
      <c r="A28" s="107" t="s">
        <v>159</v>
      </c>
      <c r="B28" s="107" t="s">
        <v>170</v>
      </c>
      <c r="C28" s="107" t="s">
        <v>150</v>
      </c>
      <c r="D28" s="107" t="n">
        <f aca="false">40/1000</f>
        <v>0.04</v>
      </c>
      <c r="E28" s="108" t="n">
        <v>0.83</v>
      </c>
      <c r="F28" s="107" t="s">
        <v>134</v>
      </c>
      <c r="G28" s="106" t="n">
        <v>250</v>
      </c>
      <c r="H28" s="106" t="n">
        <v>0.0675</v>
      </c>
      <c r="I28" s="107"/>
    </row>
    <row r="29" customFormat="false" ht="14.5" hidden="false" customHeight="false" outlineLevel="0" collapsed="false">
      <c r="A29" s="107" t="s">
        <v>178</v>
      </c>
      <c r="B29" s="107" t="s">
        <v>179</v>
      </c>
      <c r="C29" s="106" t="s">
        <v>180</v>
      </c>
      <c r="D29" s="107" t="n">
        <f aca="false">65/1000</f>
        <v>0.065</v>
      </c>
      <c r="E29" s="108" t="n">
        <v>17.59</v>
      </c>
      <c r="F29" s="106" t="s">
        <v>134</v>
      </c>
      <c r="G29" s="106" t="n">
        <v>250</v>
      </c>
      <c r="H29" s="106" t="n">
        <v>0.0675</v>
      </c>
      <c r="I29" s="107" t="n">
        <v>169</v>
      </c>
    </row>
    <row r="30" customFormat="false" ht="14.5" hidden="false" customHeight="false" outlineLevel="0" collapsed="false">
      <c r="A30" s="106" t="s">
        <v>181</v>
      </c>
      <c r="B30" s="107" t="s">
        <v>179</v>
      </c>
      <c r="C30" s="106" t="s">
        <v>182</v>
      </c>
      <c r="D30" s="107" t="n">
        <f aca="false">80/1000</f>
        <v>0.08</v>
      </c>
      <c r="E30" s="111" t="n">
        <v>3.73</v>
      </c>
      <c r="F30" s="106" t="s">
        <v>134</v>
      </c>
      <c r="G30" s="106" t="n">
        <v>250</v>
      </c>
      <c r="H30" s="106" t="n">
        <v>0.0675</v>
      </c>
      <c r="I30" s="107" t="n">
        <v>608.5</v>
      </c>
    </row>
    <row r="31" customFormat="false" ht="14.5" hidden="false" customHeight="false" outlineLevel="0" collapsed="false">
      <c r="A31" s="107" t="s">
        <v>183</v>
      </c>
      <c r="B31" s="107" t="s">
        <v>179</v>
      </c>
      <c r="C31" s="107" t="s">
        <v>184</v>
      </c>
      <c r="D31" s="107" t="n">
        <v>0.115</v>
      </c>
      <c r="E31" s="108" t="n">
        <v>1.12</v>
      </c>
      <c r="F31" s="107" t="s">
        <v>134</v>
      </c>
      <c r="G31" s="106" t="n">
        <v>250</v>
      </c>
      <c r="H31" s="106" t="n">
        <v>0.0675</v>
      </c>
      <c r="I31" s="107"/>
    </row>
    <row r="32" customFormat="false" ht="14.5" hidden="false" customHeight="false" outlineLevel="0" collapsed="false">
      <c r="A32" s="107" t="s">
        <v>185</v>
      </c>
      <c r="B32" s="107" t="s">
        <v>179</v>
      </c>
      <c r="C32" s="107" t="s">
        <v>180</v>
      </c>
      <c r="D32" s="107" t="n">
        <v>0.1</v>
      </c>
      <c r="E32" s="108" t="n">
        <v>24.89</v>
      </c>
      <c r="F32" s="107" t="s">
        <v>134</v>
      </c>
      <c r="G32" s="106" t="n">
        <v>250</v>
      </c>
      <c r="H32" s="106" t="n">
        <v>0.0675</v>
      </c>
      <c r="I32" s="107"/>
    </row>
    <row r="33" customFormat="false" ht="14.5" hidden="false" customHeight="false" outlineLevel="0" collapsed="false">
      <c r="A33" s="107" t="s">
        <v>186</v>
      </c>
      <c r="B33" s="107" t="s">
        <v>179</v>
      </c>
      <c r="C33" s="107" t="s">
        <v>180</v>
      </c>
      <c r="D33" s="107" t="n">
        <v>0.1</v>
      </c>
      <c r="E33" s="108" t="n">
        <v>5.45</v>
      </c>
      <c r="F33" s="107" t="s">
        <v>134</v>
      </c>
      <c r="G33" s="106" t="n">
        <v>250</v>
      </c>
      <c r="H33" s="106" t="n">
        <v>0.0675</v>
      </c>
      <c r="I33" s="107"/>
    </row>
    <row r="34" customFormat="false" ht="14.5" hidden="false" customHeight="false" outlineLevel="0" collapsed="false">
      <c r="A34" s="107" t="s">
        <v>187</v>
      </c>
      <c r="B34" s="107" t="s">
        <v>179</v>
      </c>
      <c r="C34" s="107" t="s">
        <v>184</v>
      </c>
      <c r="D34" s="109" t="n">
        <v>2.88</v>
      </c>
      <c r="E34" s="107" t="n">
        <v>1.12</v>
      </c>
      <c r="F34" s="107" t="s">
        <v>134</v>
      </c>
      <c r="G34" s="106" t="n">
        <v>250</v>
      </c>
      <c r="H34" s="110" t="n">
        <v>0.0675</v>
      </c>
      <c r="I34" s="107"/>
    </row>
    <row r="35" customFormat="false" ht="14.5" hidden="false" customHeight="false" outlineLevel="0" collapsed="false">
      <c r="A35" s="107" t="s">
        <v>188</v>
      </c>
      <c r="B35" s="107" t="s">
        <v>179</v>
      </c>
      <c r="C35" s="107" t="s">
        <v>189</v>
      </c>
      <c r="D35" s="109" t="n">
        <f aca="false">75/1000</f>
        <v>0.075</v>
      </c>
      <c r="E35" s="107" t="n">
        <v>9.34</v>
      </c>
      <c r="F35" s="107" t="s">
        <v>137</v>
      </c>
      <c r="G35" s="106" t="n">
        <v>250</v>
      </c>
      <c r="H35" s="110" t="n">
        <v>0.03925</v>
      </c>
      <c r="I35" s="107"/>
    </row>
    <row r="36" customFormat="false" ht="14.5" hidden="false" customHeight="false" outlineLevel="0" collapsed="false">
      <c r="A36" s="107" t="s">
        <v>190</v>
      </c>
      <c r="B36" s="107" t="s">
        <v>179</v>
      </c>
      <c r="C36" s="107" t="s">
        <v>180</v>
      </c>
      <c r="D36" s="107" t="n">
        <v>0.1</v>
      </c>
      <c r="E36" s="108" t="n">
        <v>7.05</v>
      </c>
      <c r="F36" s="107" t="s">
        <v>134</v>
      </c>
      <c r="G36" s="106" t="n">
        <v>250</v>
      </c>
      <c r="H36" s="106" t="n">
        <v>0.0675</v>
      </c>
      <c r="I36" s="107"/>
    </row>
    <row r="37" customFormat="false" ht="14.5" hidden="false" customHeight="false" outlineLevel="0" collapsed="false">
      <c r="A37" s="107" t="s">
        <v>191</v>
      </c>
      <c r="B37" s="107" t="s">
        <v>192</v>
      </c>
      <c r="C37" s="107" t="s">
        <v>193</v>
      </c>
      <c r="D37" s="109" t="n">
        <f aca="false">75/1000</f>
        <v>0.075</v>
      </c>
      <c r="E37" s="107" t="n">
        <v>3.56</v>
      </c>
      <c r="F37" s="107" t="s">
        <v>141</v>
      </c>
      <c r="G37" s="106" t="n">
        <v>250</v>
      </c>
      <c r="H37" s="110" t="n">
        <v>0.03375</v>
      </c>
      <c r="I37" s="107"/>
    </row>
    <row r="38" customFormat="false" ht="14.5" hidden="false" customHeight="false" outlineLevel="0" collapsed="false">
      <c r="A38" s="107" t="s">
        <v>194</v>
      </c>
      <c r="B38" s="107" t="s">
        <v>192</v>
      </c>
      <c r="C38" s="107" t="s">
        <v>193</v>
      </c>
      <c r="D38" s="109" t="n">
        <f aca="false">75/1000</f>
        <v>0.075</v>
      </c>
      <c r="E38" s="108" t="n">
        <v>0.95</v>
      </c>
      <c r="F38" s="107" t="s">
        <v>141</v>
      </c>
      <c r="G38" s="106" t="n">
        <v>250</v>
      </c>
      <c r="H38" s="106" t="n">
        <v>0.03375</v>
      </c>
      <c r="I38" s="107"/>
    </row>
    <row r="39" customFormat="false" ht="14.5" hidden="false" customHeight="false" outlineLevel="0" collapsed="false">
      <c r="A39" s="107" t="s">
        <v>195</v>
      </c>
      <c r="B39" s="107" t="s">
        <v>192</v>
      </c>
      <c r="C39" s="107" t="s">
        <v>152</v>
      </c>
      <c r="D39" s="107" t="n">
        <f aca="false">15/1000</f>
        <v>0.015</v>
      </c>
      <c r="E39" s="108" t="n">
        <v>1.7</v>
      </c>
      <c r="F39" s="107" t="s">
        <v>137</v>
      </c>
      <c r="G39" s="106" t="n">
        <v>250</v>
      </c>
      <c r="H39" s="106" t="n">
        <v>0.03925</v>
      </c>
      <c r="I39" s="107"/>
    </row>
    <row r="40" customFormat="false" ht="14.5" hidden="false" customHeight="false" outlineLevel="0" collapsed="false">
      <c r="A40" s="107" t="s">
        <v>196</v>
      </c>
      <c r="B40" s="107" t="s">
        <v>192</v>
      </c>
      <c r="C40" s="107" t="s">
        <v>193</v>
      </c>
      <c r="D40" s="107" t="n">
        <f aca="false">75/1000</f>
        <v>0.075</v>
      </c>
      <c r="E40" s="108" t="n">
        <v>0</v>
      </c>
      <c r="F40" s="107" t="s">
        <v>134</v>
      </c>
      <c r="G40" s="106" t="n">
        <v>250</v>
      </c>
      <c r="H40" s="106" t="n">
        <v>0.0675</v>
      </c>
      <c r="I40" s="107"/>
    </row>
    <row r="41" customFormat="false" ht="14.5" hidden="false" customHeight="false" outlineLevel="0" collapsed="false">
      <c r="A41" s="107" t="s">
        <v>197</v>
      </c>
      <c r="B41" s="107" t="s">
        <v>192</v>
      </c>
      <c r="C41" s="107" t="s">
        <v>198</v>
      </c>
      <c r="D41" s="109" t="n">
        <f aca="false">120/1000</f>
        <v>0.12</v>
      </c>
      <c r="E41" s="108" t="n">
        <v>1.24</v>
      </c>
      <c r="F41" s="107" t="s">
        <v>137</v>
      </c>
      <c r="G41" s="107" t="n">
        <v>250</v>
      </c>
      <c r="H41" s="109" t="n">
        <v>0.03925</v>
      </c>
      <c r="I41" s="107" t="n">
        <v>288</v>
      </c>
    </row>
    <row r="42" customFormat="false" ht="14.5" hidden="false" customHeight="false" outlineLevel="0" collapsed="false">
      <c r="A42" s="107" t="s">
        <v>199</v>
      </c>
      <c r="B42" s="107" t="s">
        <v>192</v>
      </c>
      <c r="C42" s="107" t="s">
        <v>152</v>
      </c>
      <c r="D42" s="109" t="n">
        <f aca="false">15/1000</f>
        <v>0.015</v>
      </c>
      <c r="E42" s="107" t="n">
        <v>1.53</v>
      </c>
      <c r="F42" s="107" t="s">
        <v>137</v>
      </c>
      <c r="G42" s="107" t="n">
        <v>250</v>
      </c>
      <c r="H42" s="109" t="n">
        <v>0.03925</v>
      </c>
      <c r="I42" s="107"/>
    </row>
    <row r="43" customFormat="false" ht="14.5" hidden="false" customHeight="false" outlineLevel="0" collapsed="false">
      <c r="A43" s="107" t="s">
        <v>200</v>
      </c>
      <c r="B43" s="107" t="s">
        <v>192</v>
      </c>
      <c r="C43" s="107" t="s">
        <v>201</v>
      </c>
      <c r="D43" s="109" t="n">
        <f aca="false">50/1000</f>
        <v>0.05</v>
      </c>
      <c r="E43" s="107" t="n">
        <v>3.43</v>
      </c>
      <c r="F43" s="107" t="s">
        <v>141</v>
      </c>
      <c r="G43" s="107" t="n">
        <v>250</v>
      </c>
      <c r="H43" s="109" t="n">
        <v>0.03375</v>
      </c>
      <c r="I43" s="107"/>
    </row>
    <row r="44" customFormat="false" ht="14.5" hidden="false" customHeight="false" outlineLevel="0" collapsed="false">
      <c r="A44" s="107" t="s">
        <v>202</v>
      </c>
      <c r="B44" s="107" t="s">
        <v>192</v>
      </c>
      <c r="C44" s="107" t="s">
        <v>152</v>
      </c>
      <c r="D44" s="109" t="n">
        <f aca="false">15/1000</f>
        <v>0.015</v>
      </c>
      <c r="E44" s="107" t="n">
        <v>1.48</v>
      </c>
      <c r="F44" s="107" t="s">
        <v>137</v>
      </c>
      <c r="G44" s="107" t="n">
        <v>250</v>
      </c>
      <c r="H44" s="109" t="n">
        <v>0.03925</v>
      </c>
      <c r="I44" s="107"/>
    </row>
    <row r="45" customFormat="false" ht="14.5" hidden="false" customHeight="false" outlineLevel="0" collapsed="false">
      <c r="A45" s="107" t="s">
        <v>203</v>
      </c>
      <c r="B45" s="107" t="s">
        <v>192</v>
      </c>
      <c r="C45" s="107" t="s">
        <v>204</v>
      </c>
      <c r="D45" s="109" t="n">
        <f aca="false">15/1000</f>
        <v>0.015</v>
      </c>
      <c r="E45" s="107" t="n">
        <v>3.93</v>
      </c>
      <c r="F45" s="107" t="s">
        <v>134</v>
      </c>
      <c r="G45" s="107" t="n">
        <v>250</v>
      </c>
      <c r="H45" s="109" t="n">
        <v>0.03375</v>
      </c>
      <c r="I45" s="107"/>
    </row>
    <row r="46" customFormat="false" ht="14.5" hidden="false" customHeight="false" outlineLevel="0" collapsed="false">
      <c r="A46" s="107" t="s">
        <v>205</v>
      </c>
      <c r="B46" s="107" t="s">
        <v>192</v>
      </c>
      <c r="C46" s="107" t="s">
        <v>206</v>
      </c>
      <c r="D46" s="109" t="n">
        <v>0.17</v>
      </c>
      <c r="E46" s="108" t="n">
        <v>0.71</v>
      </c>
      <c r="F46" s="107" t="s">
        <v>134</v>
      </c>
      <c r="G46" s="107" t="n">
        <v>250</v>
      </c>
      <c r="H46" s="109" t="n">
        <v>0.0675</v>
      </c>
      <c r="I46" s="107" t="n">
        <v>789.5</v>
      </c>
    </row>
    <row r="47" customFormat="false" ht="14.5" hidden="false" customHeight="false" outlineLevel="0" collapsed="false">
      <c r="A47" s="107" t="s">
        <v>207</v>
      </c>
      <c r="B47" s="107" t="s">
        <v>192</v>
      </c>
      <c r="C47" s="112" t="s">
        <v>208</v>
      </c>
      <c r="D47" s="109" t="n">
        <v>1</v>
      </c>
      <c r="E47" s="108" t="n">
        <v>0</v>
      </c>
      <c r="F47" s="107" t="s">
        <v>134</v>
      </c>
      <c r="G47" s="107" t="n">
        <v>250</v>
      </c>
      <c r="H47" s="109" t="n">
        <v>0.0675</v>
      </c>
      <c r="I47" s="107"/>
    </row>
    <row r="48" customFormat="false" ht="14.5" hidden="false" customHeight="false" outlineLevel="0" collapsed="false">
      <c r="A48" s="107" t="s">
        <v>209</v>
      </c>
      <c r="B48" s="107" t="s">
        <v>192</v>
      </c>
      <c r="C48" s="107" t="s">
        <v>193</v>
      </c>
      <c r="D48" s="109" t="n">
        <f aca="false">75/1000</f>
        <v>0.075</v>
      </c>
      <c r="E48" s="107" t="n">
        <v>0.76</v>
      </c>
      <c r="F48" s="107" t="s">
        <v>141</v>
      </c>
      <c r="G48" s="107" t="n">
        <v>250</v>
      </c>
      <c r="H48" s="109" t="n">
        <v>0.03375</v>
      </c>
      <c r="I48" s="107"/>
    </row>
    <row r="49" customFormat="false" ht="14.5" hidden="false" customHeight="false" outlineLevel="0" collapsed="false">
      <c r="A49" s="107" t="s">
        <v>210</v>
      </c>
      <c r="B49" s="107" t="s">
        <v>211</v>
      </c>
      <c r="C49" s="107" t="s">
        <v>193</v>
      </c>
      <c r="D49" s="107" t="n">
        <v>0.075</v>
      </c>
      <c r="E49" s="108" t="n">
        <v>0.05</v>
      </c>
      <c r="F49" s="107" t="s">
        <v>137</v>
      </c>
      <c r="G49" s="107" t="n">
        <v>250</v>
      </c>
      <c r="H49" s="107" t="n">
        <v>0.03925</v>
      </c>
      <c r="I49" s="107"/>
    </row>
    <row r="50" customFormat="false" ht="14.5" hidden="false" customHeight="false" outlineLevel="0" collapsed="false">
      <c r="A50" s="107" t="s">
        <v>212</v>
      </c>
      <c r="B50" s="107" t="s">
        <v>211</v>
      </c>
      <c r="C50" s="107" t="s">
        <v>193</v>
      </c>
      <c r="D50" s="109" t="n">
        <v>0.075</v>
      </c>
      <c r="E50" s="108" t="n">
        <v>0.36</v>
      </c>
      <c r="F50" s="107" t="s">
        <v>137</v>
      </c>
      <c r="G50" s="107" t="n">
        <v>250</v>
      </c>
      <c r="H50" s="109" t="n">
        <v>0.03925</v>
      </c>
      <c r="I50" s="107"/>
    </row>
    <row r="51" customFormat="false" ht="14.5" hidden="false" customHeight="false" outlineLevel="0" collapsed="false">
      <c r="A51" s="107" t="s">
        <v>213</v>
      </c>
      <c r="B51" s="107" t="s">
        <v>211</v>
      </c>
      <c r="C51" s="107" t="s">
        <v>193</v>
      </c>
      <c r="D51" s="109" t="n">
        <v>0.075</v>
      </c>
      <c r="E51" s="108" t="n">
        <v>0.11</v>
      </c>
      <c r="F51" s="107" t="s">
        <v>137</v>
      </c>
      <c r="G51" s="107" t="n">
        <v>250</v>
      </c>
      <c r="H51" s="109" t="n">
        <v>0.03925</v>
      </c>
      <c r="I51" s="107"/>
    </row>
    <row r="52" customFormat="false" ht="14.5" hidden="false" customHeight="false" outlineLevel="0" collapsed="false">
      <c r="A52" s="107" t="s">
        <v>214</v>
      </c>
      <c r="B52" s="107" t="s">
        <v>211</v>
      </c>
      <c r="C52" s="107" t="s">
        <v>193</v>
      </c>
      <c r="D52" s="109" t="n">
        <v>0.075</v>
      </c>
      <c r="E52" s="108" t="n">
        <v>0.09</v>
      </c>
      <c r="F52" s="107" t="s">
        <v>137</v>
      </c>
      <c r="G52" s="107" t="n">
        <v>250</v>
      </c>
      <c r="H52" s="109" t="n">
        <v>0.03925</v>
      </c>
      <c r="I52" s="107"/>
    </row>
    <row r="53" customFormat="false" ht="14.5" hidden="false" customHeight="false" outlineLevel="0" collapsed="false">
      <c r="A53" s="107" t="s">
        <v>215</v>
      </c>
      <c r="B53" s="107" t="s">
        <v>211</v>
      </c>
      <c r="C53" s="107" t="s">
        <v>216</v>
      </c>
      <c r="D53" s="109" t="n">
        <v>0.01</v>
      </c>
      <c r="E53" s="108" t="n">
        <v>0.95</v>
      </c>
      <c r="F53" s="107" t="s">
        <v>137</v>
      </c>
      <c r="G53" s="107" t="n">
        <v>250</v>
      </c>
      <c r="H53" s="109" t="n">
        <v>0.03925</v>
      </c>
      <c r="I53" s="107"/>
    </row>
    <row r="54" customFormat="false" ht="14.5" hidden="false" customHeight="false" outlineLevel="0" collapsed="false">
      <c r="A54" s="107" t="s">
        <v>217</v>
      </c>
      <c r="B54" s="107" t="s">
        <v>211</v>
      </c>
      <c r="C54" s="107" t="s">
        <v>218</v>
      </c>
      <c r="D54" s="109" t="n">
        <v>0.075</v>
      </c>
      <c r="E54" s="108" t="n">
        <v>0.09</v>
      </c>
      <c r="F54" s="107" t="s">
        <v>137</v>
      </c>
      <c r="G54" s="107" t="n">
        <v>250</v>
      </c>
      <c r="H54" s="109" t="n">
        <v>0.03925</v>
      </c>
      <c r="I54" s="107"/>
    </row>
    <row r="55" customFormat="false" ht="14.5" hidden="false" customHeight="false" outlineLevel="0" collapsed="false">
      <c r="A55" s="107" t="s">
        <v>219</v>
      </c>
      <c r="B55" s="107" t="s">
        <v>211</v>
      </c>
      <c r="C55" s="107" t="s">
        <v>220</v>
      </c>
      <c r="D55" s="109" t="n">
        <v>0.075</v>
      </c>
      <c r="E55" s="108" t="n">
        <v>0.13</v>
      </c>
      <c r="F55" s="107" t="s">
        <v>137</v>
      </c>
      <c r="G55" s="107" t="n">
        <v>250</v>
      </c>
      <c r="H55" s="109" t="n">
        <v>0.03925</v>
      </c>
      <c r="I55" s="107"/>
    </row>
    <row r="56" customFormat="false" ht="14.5" hidden="false" customHeight="false" outlineLevel="0" collapsed="false">
      <c r="A56" s="107" t="s">
        <v>221</v>
      </c>
      <c r="B56" s="107" t="s">
        <v>211</v>
      </c>
      <c r="C56" s="107" t="s">
        <v>220</v>
      </c>
      <c r="D56" s="109" t="n">
        <v>0.075</v>
      </c>
      <c r="E56" s="108" t="n">
        <v>0.29</v>
      </c>
      <c r="F56" s="107" t="s">
        <v>137</v>
      </c>
      <c r="G56" s="107" t="n">
        <v>250</v>
      </c>
      <c r="H56" s="109" t="n">
        <v>0.03925</v>
      </c>
      <c r="I56" s="107"/>
    </row>
    <row r="57" customFormat="false" ht="14.5" hidden="false" customHeight="false" outlineLevel="0" collapsed="false">
      <c r="A57" s="107" t="s">
        <v>222</v>
      </c>
      <c r="B57" s="107" t="s">
        <v>211</v>
      </c>
      <c r="C57" s="107" t="s">
        <v>164</v>
      </c>
      <c r="D57" s="109" t="n">
        <v>0.15</v>
      </c>
      <c r="E57" s="108" t="n">
        <v>0.33</v>
      </c>
      <c r="F57" s="107" t="s">
        <v>137</v>
      </c>
      <c r="G57" s="107" t="n">
        <v>250</v>
      </c>
      <c r="H57" s="109" t="n">
        <v>0.03925</v>
      </c>
      <c r="I57" s="107" t="n">
        <v>314</v>
      </c>
    </row>
    <row r="58" customFormat="false" ht="14.5" hidden="false" customHeight="false" outlineLevel="0" collapsed="false">
      <c r="A58" s="107" t="s">
        <v>223</v>
      </c>
      <c r="B58" s="107" t="s">
        <v>211</v>
      </c>
      <c r="C58" s="107" t="s">
        <v>220</v>
      </c>
      <c r="D58" s="109" t="n">
        <v>0.075</v>
      </c>
      <c r="E58" s="108" t="n">
        <v>0.34</v>
      </c>
      <c r="F58" s="107" t="s">
        <v>137</v>
      </c>
      <c r="G58" s="107" t="n">
        <v>250</v>
      </c>
      <c r="H58" s="109" t="n">
        <v>0.03925</v>
      </c>
      <c r="I58" s="107"/>
    </row>
    <row r="59" customFormat="false" ht="14.5" hidden="false" customHeight="false" outlineLevel="0" collapsed="false">
      <c r="A59" s="107" t="s">
        <v>224</v>
      </c>
      <c r="B59" s="107" t="s">
        <v>211</v>
      </c>
      <c r="C59" s="107" t="s">
        <v>225</v>
      </c>
      <c r="D59" s="109" t="n">
        <v>0.075</v>
      </c>
      <c r="E59" s="108" t="n">
        <v>0.43</v>
      </c>
      <c r="F59" s="107" t="s">
        <v>137</v>
      </c>
      <c r="G59" s="107" t="n">
        <v>250</v>
      </c>
      <c r="H59" s="109" t="n">
        <v>0.03925</v>
      </c>
      <c r="I59" s="107"/>
    </row>
    <row r="60" customFormat="false" ht="14.5" hidden="false" customHeight="false" outlineLevel="0" collapsed="false">
      <c r="A60" s="107" t="s">
        <v>226</v>
      </c>
      <c r="B60" s="107" t="s">
        <v>211</v>
      </c>
      <c r="C60" s="107" t="s">
        <v>227</v>
      </c>
      <c r="D60" s="109" t="n">
        <v>0.075</v>
      </c>
      <c r="E60" s="108" t="n">
        <v>0.23</v>
      </c>
      <c r="F60" s="107" t="s">
        <v>137</v>
      </c>
      <c r="G60" s="107" t="n">
        <v>250</v>
      </c>
      <c r="H60" s="109" t="n">
        <v>0.03925</v>
      </c>
      <c r="I60" s="107"/>
    </row>
  </sheetData>
  <mergeCells count="1">
    <mergeCell ref="A1:I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sheetPr filterMode="false">
    <tabColor rgb="FF1F497D"/>
    <pageSetUpPr fitToPage="true"/>
  </sheetPr>
  <dimension ref="A1:F92"/>
  <sheetViews>
    <sheetView windowProtection="false" showFormulas="false" showGridLines="true" showRowColHeaders="true" showZeros="true" rightToLeft="false" tabSelected="false" showOutlineSymbols="true" defaultGridColor="true" view="normal" topLeftCell="A25" colorId="64" zoomScale="55" zoomScaleNormal="55" zoomScalePageLayoutView="80" workbookViewId="0">
      <selection pane="topLeft" activeCell="B6" activeCellId="0" sqref="B6"/>
    </sheetView>
  </sheetViews>
  <sheetFormatPr defaultRowHeight="14.5"/>
  <cols>
    <col collapsed="false" hidden="false" max="1" min="1" style="0" width="28.3469387755102"/>
    <col collapsed="false" hidden="false" max="2" min="2" style="0" width="13.3622448979592"/>
    <col collapsed="false" hidden="false" max="5" min="3" style="0" width="16.8724489795918"/>
    <col collapsed="false" hidden="false" max="1025" min="6" style="0" width="8.50510204081633"/>
  </cols>
  <sheetData>
    <row r="1" customFormat="false" ht="36" hidden="false" customHeight="false" outlineLevel="0" collapsed="false">
      <c r="A1" s="113" t="s">
        <v>228</v>
      </c>
      <c r="B1" s="85"/>
      <c r="C1" s="114" t="str">
        <f aca="false">Start!B7</f>
        <v>Mina Mirzadeh</v>
      </c>
      <c r="D1" s="114"/>
      <c r="E1" s="85"/>
      <c r="F1" s="85"/>
    </row>
    <row r="2" customFormat="false" ht="14.5" hidden="false" customHeight="false" outlineLevel="0" collapsed="false">
      <c r="A2" s="115" t="s">
        <v>229</v>
      </c>
      <c r="B2" s="85"/>
      <c r="C2" s="85"/>
      <c r="D2" s="85"/>
      <c r="E2" s="85"/>
      <c r="F2" s="85"/>
    </row>
    <row r="3" customFormat="false" ht="14.5" hidden="false" customHeight="false" outlineLevel="0" collapsed="false">
      <c r="A3" s="85"/>
      <c r="B3" s="85"/>
      <c r="C3" s="85"/>
      <c r="D3" s="85"/>
      <c r="E3" s="85"/>
      <c r="F3" s="85"/>
    </row>
    <row r="4" customFormat="false" ht="14.5" hidden="false" customHeight="false" outlineLevel="0" collapsed="false">
      <c r="A4" s="116" t="s">
        <v>230</v>
      </c>
      <c r="B4" s="117"/>
      <c r="C4" s="117"/>
      <c r="D4" s="117"/>
      <c r="E4" s="117"/>
      <c r="F4" s="117"/>
    </row>
    <row r="5" customFormat="false" ht="14.5" hidden="false" customHeight="false" outlineLevel="0" collapsed="false">
      <c r="A5" s="85" t="s">
        <v>231</v>
      </c>
      <c r="B5" s="118" t="n">
        <f aca="false">'household calculator'!G31</f>
        <v>73278.5988</v>
      </c>
      <c r="C5" s="85" t="s">
        <v>232</v>
      </c>
      <c r="D5" s="85"/>
      <c r="E5" s="85"/>
      <c r="F5" s="85"/>
    </row>
    <row r="6" customFormat="false" ht="14.5" hidden="false" customHeight="false" outlineLevel="0" collapsed="false">
      <c r="A6" s="85" t="s">
        <v>233</v>
      </c>
      <c r="B6" s="118" t="n">
        <f aca="false">'household calculator'!I31+B44</f>
        <v>521.4376308284</v>
      </c>
      <c r="C6" s="85" t="s">
        <v>234</v>
      </c>
      <c r="D6" s="85"/>
      <c r="E6" s="85"/>
      <c r="F6" s="85"/>
    </row>
    <row r="7" customFormat="false" ht="14.5" hidden="false" customHeight="false" outlineLevel="0" collapsed="false">
      <c r="A7" s="85" t="s">
        <v>235</v>
      </c>
      <c r="B7" s="118" t="n">
        <f aca="false">'household calculator'!K31</f>
        <v>2679.70343666667</v>
      </c>
      <c r="C7" s="85" t="s">
        <v>236</v>
      </c>
      <c r="D7" s="85"/>
      <c r="E7" s="85"/>
      <c r="F7" s="85"/>
    </row>
    <row r="8" customFormat="false" ht="14.5" hidden="false" customHeight="false" outlineLevel="0" collapsed="false">
      <c r="A8" s="85"/>
      <c r="B8" s="85"/>
      <c r="C8" s="85"/>
      <c r="D8" s="85"/>
      <c r="E8" s="85"/>
      <c r="F8" s="85"/>
    </row>
    <row r="9" customFormat="false" ht="14.5" hidden="false" customHeight="false" outlineLevel="0" collapsed="false">
      <c r="A9" s="85"/>
      <c r="B9" s="85"/>
      <c r="C9" s="85"/>
      <c r="D9" s="85"/>
      <c r="E9" s="85"/>
      <c r="F9" s="85"/>
    </row>
    <row r="10" customFormat="false" ht="14.5" hidden="false" customHeight="false" outlineLevel="0" collapsed="false">
      <c r="A10" s="116" t="s">
        <v>237</v>
      </c>
      <c r="B10" s="117"/>
      <c r="C10" s="117"/>
      <c r="D10" s="119"/>
      <c r="E10" s="119"/>
      <c r="F10" s="117"/>
    </row>
    <row r="11" customFormat="false" ht="14.5" hidden="false" customHeight="false" outlineLevel="0" collapsed="false">
      <c r="A11" s="85"/>
      <c r="B11" s="85"/>
      <c r="C11" s="85"/>
      <c r="D11" s="85"/>
      <c r="E11" s="85"/>
      <c r="F11" s="85"/>
    </row>
    <row r="12" customFormat="false" ht="14.5" hidden="false" customHeight="false" outlineLevel="0" collapsed="false">
      <c r="A12" s="85"/>
      <c r="B12" s="85"/>
      <c r="C12" s="85"/>
      <c r="D12" s="85"/>
      <c r="E12" s="85"/>
      <c r="F12" s="85"/>
    </row>
    <row r="13" customFormat="false" ht="14.5" hidden="false" customHeight="false" outlineLevel="0" collapsed="false">
      <c r="A13" s="85"/>
      <c r="B13" s="85"/>
      <c r="C13" s="85"/>
      <c r="D13" s="85"/>
      <c r="E13" s="85"/>
      <c r="F13" s="85"/>
    </row>
    <row r="14" customFormat="false" ht="14.5" hidden="false" customHeight="false" outlineLevel="0" collapsed="false">
      <c r="A14" s="120" t="s">
        <v>238</v>
      </c>
      <c r="B14" s="121"/>
      <c r="C14" s="122" t="s">
        <v>239</v>
      </c>
      <c r="D14" s="122"/>
      <c r="E14" s="122"/>
      <c r="F14" s="85"/>
    </row>
    <row r="15" customFormat="false" ht="43.5" hidden="false" customHeight="false" outlineLevel="0" collapsed="false">
      <c r="A15" s="121"/>
      <c r="B15" s="123" t="s">
        <v>240</v>
      </c>
      <c r="C15" s="124" t="s">
        <v>241</v>
      </c>
      <c r="D15" s="124" t="s">
        <v>242</v>
      </c>
      <c r="E15" s="124" t="s">
        <v>243</v>
      </c>
      <c r="F15" s="85"/>
    </row>
    <row r="16" customFormat="false" ht="14.5" hidden="false" customHeight="false" outlineLevel="0" collapsed="false">
      <c r="A16" s="118" t="s">
        <v>244</v>
      </c>
      <c r="B16" s="118" t="n">
        <f aca="false">'household calculator'!G7+'household calculator'!G8 + 'household calculator'!G10+'household calculator'!G11+'household calculator'!G12</f>
        <v>37123.68</v>
      </c>
      <c r="C16" s="125" t="n">
        <f aca="false">B16/'back end data'!$B$87</f>
        <v>371.2368</v>
      </c>
      <c r="D16" s="126" t="n">
        <f aca="false">B16/'back end data'!$B$88</f>
        <v>0.03712368</v>
      </c>
      <c r="E16" s="125" t="n">
        <f aca="false">B16/'back end data'!$B$89</f>
        <v>11249.6</v>
      </c>
      <c r="F16" s="85"/>
    </row>
    <row r="17" customFormat="false" ht="14.5" hidden="false" customHeight="false" outlineLevel="0" collapsed="false">
      <c r="A17" s="118" t="s">
        <v>245</v>
      </c>
      <c r="B17" s="118" t="n">
        <f aca="false">'household calculator'!G9</f>
        <v>23723.7</v>
      </c>
      <c r="C17" s="125" t="n">
        <f aca="false">B17/'back end data'!$B$87</f>
        <v>237.237</v>
      </c>
      <c r="D17" s="126" t="n">
        <f aca="false">B17/'back end data'!$B$88</f>
        <v>0.0237237</v>
      </c>
      <c r="E17" s="125" t="n">
        <f aca="false">B17/'back end data'!$B$89</f>
        <v>7189</v>
      </c>
      <c r="F17" s="85"/>
    </row>
    <row r="18" customFormat="false" ht="14.5" hidden="false" customHeight="false" outlineLevel="0" collapsed="false">
      <c r="A18" s="118" t="s">
        <v>246</v>
      </c>
      <c r="B18" s="118" t="n">
        <f aca="false">'household calculator'!G19</f>
        <v>364.98</v>
      </c>
      <c r="C18" s="125" t="n">
        <f aca="false">B18/'back end data'!$B$87</f>
        <v>3.6498</v>
      </c>
      <c r="D18" s="126" t="n">
        <f aca="false">B18/'back end data'!$B$88</f>
        <v>0.00036498</v>
      </c>
      <c r="E18" s="125" t="n">
        <f aca="false">B18/'back end data'!$B$89</f>
        <v>110.6</v>
      </c>
      <c r="F18" s="85"/>
    </row>
    <row r="19" customFormat="false" ht="14.5" hidden="false" customHeight="false" outlineLevel="0" collapsed="false">
      <c r="A19" s="118" t="s">
        <v>247</v>
      </c>
      <c r="B19" s="118" t="n">
        <f aca="false">'household calculator'!G15</f>
        <v>1116.8388</v>
      </c>
      <c r="C19" s="125" t="n">
        <f aca="false">B19/'back end data'!$B$87</f>
        <v>11.168388</v>
      </c>
      <c r="D19" s="126" t="n">
        <f aca="false">B19/'back end data'!$B$88</f>
        <v>0.0011168388</v>
      </c>
      <c r="E19" s="125" t="n">
        <f aca="false">B19/'back end data'!$B$89</f>
        <v>338.436</v>
      </c>
      <c r="F19" s="85"/>
    </row>
    <row r="20" customFormat="false" ht="14.5" hidden="false" customHeight="false" outlineLevel="0" collapsed="false">
      <c r="A20" s="118" t="s">
        <v>248</v>
      </c>
      <c r="B20" s="118" t="n">
        <f aca="false">'household calculator'!G20+'household calculator'!G21</f>
        <v>10949.4</v>
      </c>
      <c r="C20" s="125" t="n">
        <f aca="false">B20/'back end data'!$B$87</f>
        <v>109.494</v>
      </c>
      <c r="D20" s="126" t="n">
        <f aca="false">B20/'back end data'!$B$88</f>
        <v>0.0109494</v>
      </c>
      <c r="E20" s="125" t="n">
        <f aca="false">B20/'back end data'!$B$89</f>
        <v>3318</v>
      </c>
      <c r="F20" s="85"/>
    </row>
    <row r="21" customFormat="false" ht="14.5" hidden="false" customHeight="false" outlineLevel="0" collapsed="false">
      <c r="A21" s="127" t="s">
        <v>121</v>
      </c>
      <c r="B21" s="127" t="n">
        <f aca="false">SUM(B16:B20)</f>
        <v>73278.5988</v>
      </c>
      <c r="C21" s="128" t="n">
        <f aca="false">B21/'back end data'!$B$87</f>
        <v>732.785988</v>
      </c>
      <c r="D21" s="129" t="n">
        <f aca="false">B21/'back end data'!$B$88</f>
        <v>0.0732785988</v>
      </c>
      <c r="E21" s="128" t="n">
        <f aca="false">B21/'back end data'!$B$89</f>
        <v>22205.636</v>
      </c>
      <c r="F21" s="85"/>
    </row>
    <row r="22" customFormat="false" ht="14.5" hidden="false" customHeight="false" outlineLevel="0" collapsed="false">
      <c r="A22" s="85"/>
      <c r="B22" s="85"/>
      <c r="C22" s="85"/>
      <c r="D22" s="85"/>
      <c r="E22" s="85"/>
      <c r="F22" s="85"/>
    </row>
    <row r="23" customFormat="false" ht="14.5" hidden="false" customHeight="false" outlineLevel="0" collapsed="false">
      <c r="A23" s="85"/>
      <c r="B23" s="85"/>
      <c r="C23" s="85"/>
      <c r="D23" s="85"/>
      <c r="E23" s="85"/>
      <c r="F23" s="85"/>
    </row>
    <row r="24" customFormat="false" ht="14.5" hidden="false" customHeight="false" outlineLevel="0" collapsed="false">
      <c r="A24" s="85"/>
      <c r="B24" s="85"/>
      <c r="C24" s="85"/>
      <c r="D24" s="85"/>
      <c r="E24" s="85"/>
      <c r="F24" s="85"/>
    </row>
    <row r="25" customFormat="false" ht="14.5" hidden="false" customHeight="false" outlineLevel="0" collapsed="false">
      <c r="A25" s="85"/>
      <c r="B25" s="85"/>
      <c r="C25" s="85"/>
      <c r="D25" s="85"/>
      <c r="E25" s="85"/>
      <c r="F25" s="85"/>
    </row>
    <row r="26" customFormat="false" ht="14.5" hidden="false" customHeight="false" outlineLevel="0" collapsed="false">
      <c r="A26" s="120" t="s">
        <v>249</v>
      </c>
      <c r="B26" s="121"/>
      <c r="C26" s="122" t="s">
        <v>239</v>
      </c>
      <c r="D26" s="122"/>
      <c r="E26" s="122"/>
      <c r="F26" s="85"/>
    </row>
    <row r="27" customFormat="false" ht="29" hidden="false" customHeight="false" outlineLevel="0" collapsed="false">
      <c r="A27" s="121"/>
      <c r="B27" s="123" t="s">
        <v>236</v>
      </c>
      <c r="C27" s="124" t="s">
        <v>250</v>
      </c>
      <c r="D27" s="124" t="s">
        <v>251</v>
      </c>
      <c r="E27" s="124" t="s">
        <v>252</v>
      </c>
      <c r="F27" s="85"/>
    </row>
    <row r="28" customFormat="false" ht="14.5" hidden="false" customHeight="false" outlineLevel="0" collapsed="false">
      <c r="A28" s="85" t="s">
        <v>253</v>
      </c>
      <c r="B28" s="118" t="n">
        <f aca="false">'household calculator'!K30</f>
        <v>875.952</v>
      </c>
      <c r="C28" s="125" t="n">
        <f aca="false">B28/'back end data'!$B$91</f>
        <v>456.225</v>
      </c>
      <c r="D28" s="130" t="n">
        <f aca="false">B28/'back end data'!$B$93</f>
        <v>83424</v>
      </c>
      <c r="E28" s="125" t="n">
        <f aca="false">B28/'back end data'!$B$92</f>
        <v>5474.7</v>
      </c>
      <c r="F28" s="85"/>
    </row>
    <row r="29" customFormat="false" ht="14.5" hidden="false" customHeight="false" outlineLevel="0" collapsed="false">
      <c r="A29" s="85" t="s">
        <v>254</v>
      </c>
      <c r="B29" s="118" t="n">
        <f aca="false">SUM('household calculator'!K25:K27)</f>
        <v>184.3149</v>
      </c>
      <c r="C29" s="125" t="n">
        <f aca="false">B29/'back end data'!$B$91</f>
        <v>95.99734375</v>
      </c>
      <c r="D29" s="130" t="n">
        <f aca="false">B29/'back end data'!$B$93</f>
        <v>17553.8</v>
      </c>
      <c r="E29" s="125" t="n">
        <f aca="false">B29/'back end data'!$B$92</f>
        <v>1151.968125</v>
      </c>
      <c r="F29" s="85"/>
    </row>
    <row r="30" customFormat="false" ht="14.5" hidden="false" customHeight="false" outlineLevel="0" collapsed="false">
      <c r="A30" s="85" t="s">
        <v>255</v>
      </c>
      <c r="B30" s="118" t="n">
        <f aca="false">'household calculator'!K24</f>
        <v>0</v>
      </c>
      <c r="C30" s="125" t="n">
        <f aca="false">B30/'back end data'!$B$91</f>
        <v>0</v>
      </c>
      <c r="D30" s="130" t="n">
        <f aca="false">B30/'back end data'!$B$93</f>
        <v>0</v>
      </c>
      <c r="E30" s="125" t="n">
        <f aca="false">B30/'back end data'!$B$92</f>
        <v>0</v>
      </c>
      <c r="F30" s="85"/>
    </row>
    <row r="31" customFormat="false" ht="14.5" hidden="false" customHeight="false" outlineLevel="0" collapsed="false">
      <c r="A31" s="85" t="s">
        <v>247</v>
      </c>
      <c r="B31" s="118" t="n">
        <f aca="false">SUM('household calculator'!K15:K16)</f>
        <v>89.5620366666667</v>
      </c>
      <c r="C31" s="125" t="n">
        <f aca="false">B31/'back end data'!$B$91</f>
        <v>46.6468940972222</v>
      </c>
      <c r="D31" s="130" t="n">
        <f aca="false">B31/'back end data'!$B$93</f>
        <v>8529.71777777778</v>
      </c>
      <c r="E31" s="125" t="n">
        <f aca="false">B31/'back end data'!$B$92</f>
        <v>559.762729166667</v>
      </c>
      <c r="F31" s="85"/>
    </row>
    <row r="32" customFormat="false" ht="14.5" hidden="false" customHeight="false" outlineLevel="0" collapsed="false">
      <c r="A32" s="118" t="s">
        <v>256</v>
      </c>
      <c r="B32" s="118" t="n">
        <f aca="false">SUM('household calculator'!K7:K8,'household calculator'!K19:K21)</f>
        <v>1529.8745</v>
      </c>
      <c r="C32" s="125" t="n">
        <f aca="false">B32/'back end data'!$B$91</f>
        <v>796.809635416667</v>
      </c>
      <c r="D32" s="130" t="n">
        <f aca="false">B32/'back end data'!$B$93</f>
        <v>145702.333333333</v>
      </c>
      <c r="E32" s="125" t="n">
        <f aca="false">B32/'back end data'!$B$92</f>
        <v>9561.715625</v>
      </c>
      <c r="F32" s="85"/>
    </row>
    <row r="33" customFormat="false" ht="14.5" hidden="false" customHeight="false" outlineLevel="0" collapsed="false">
      <c r="A33" s="127" t="s">
        <v>121</v>
      </c>
      <c r="B33" s="127" t="n">
        <f aca="false">SUM(B28:B32)</f>
        <v>2679.70343666667</v>
      </c>
      <c r="C33" s="128" t="n">
        <f aca="false">B33/'back end data'!$B$91</f>
        <v>1395.67887326389</v>
      </c>
      <c r="D33" s="131" t="n">
        <f aca="false">B33/'back end data'!$B$93</f>
        <v>255209.851111111</v>
      </c>
      <c r="E33" s="128" t="n">
        <f aca="false">B33/'back end data'!$B$92</f>
        <v>16748.1464791667</v>
      </c>
      <c r="F33" s="85"/>
    </row>
    <row r="34" customFormat="false" ht="14.5" hidden="false" customHeight="false" outlineLevel="0" collapsed="false">
      <c r="A34" s="85"/>
      <c r="B34" s="85"/>
      <c r="C34" s="85"/>
      <c r="D34" s="85"/>
      <c r="E34" s="85"/>
      <c r="F34" s="85"/>
    </row>
    <row r="35" customFormat="false" ht="14.5" hidden="false" customHeight="false" outlineLevel="0" collapsed="false">
      <c r="A35" s="85"/>
      <c r="B35" s="85"/>
      <c r="C35" s="85"/>
      <c r="D35" s="85"/>
      <c r="E35" s="85"/>
      <c r="F35" s="85"/>
    </row>
    <row r="36" customFormat="false" ht="14.5" hidden="false" customHeight="false" outlineLevel="0" collapsed="false">
      <c r="A36" s="85"/>
      <c r="B36" s="85"/>
      <c r="C36" s="85"/>
      <c r="D36" s="85"/>
      <c r="E36" s="85"/>
      <c r="F36" s="85"/>
    </row>
    <row r="37" customFormat="false" ht="14.5" hidden="false" customHeight="false" outlineLevel="0" collapsed="false">
      <c r="A37" s="85"/>
      <c r="B37" s="85"/>
      <c r="C37" s="85"/>
      <c r="D37" s="85"/>
      <c r="E37" s="85"/>
      <c r="F37" s="85"/>
    </row>
    <row r="38" customFormat="false" ht="14.5" hidden="false" customHeight="false" outlineLevel="0" collapsed="false">
      <c r="A38" s="120" t="s">
        <v>257</v>
      </c>
      <c r="B38" s="121"/>
      <c r="C38" s="122" t="s">
        <v>239</v>
      </c>
      <c r="D38" s="122"/>
      <c r="E38" s="122"/>
      <c r="F38" s="85"/>
    </row>
    <row r="39" customFormat="false" ht="43.5" hidden="false" customHeight="false" outlineLevel="0" collapsed="false">
      <c r="A39" s="121"/>
      <c r="B39" s="123" t="s">
        <v>234</v>
      </c>
      <c r="C39" s="132" t="s">
        <v>258</v>
      </c>
      <c r="D39" s="132" t="s">
        <v>259</v>
      </c>
      <c r="E39" s="132" t="s">
        <v>260</v>
      </c>
      <c r="F39" s="85"/>
    </row>
    <row r="40" customFormat="false" ht="14.5" hidden="false" customHeight="false" outlineLevel="0" collapsed="false">
      <c r="A40" s="85" t="s">
        <v>253</v>
      </c>
      <c r="B40" s="118" t="n">
        <f aca="false">'household calculator'!I30</f>
        <v>165.91406832</v>
      </c>
      <c r="C40" s="125" t="n">
        <f aca="false">B40/'back end data'!$B$95</f>
        <v>55.675861852349</v>
      </c>
      <c r="D40" s="130" t="n">
        <f aca="false">B40/'back end data'!$B$96</f>
        <v>41.406056481158</v>
      </c>
      <c r="E40" s="125" t="n">
        <f aca="false">B40/'back end data'!$B$97</f>
        <v>82.95703416</v>
      </c>
      <c r="F40" s="85"/>
    </row>
    <row r="41" customFormat="false" ht="14.5" hidden="false" customHeight="false" outlineLevel="0" collapsed="false">
      <c r="A41" s="85" t="s">
        <v>261</v>
      </c>
      <c r="B41" s="118" t="n">
        <f aca="false">SUM('household calculator'!I24:I27)</f>
        <v>34.911085209</v>
      </c>
      <c r="C41" s="125" t="n">
        <f aca="false">B41/'back end data'!$B$95</f>
        <v>11.7151292647651</v>
      </c>
      <c r="D41" s="130" t="n">
        <f aca="false">B41/'back end data'!$B$96</f>
        <v>8.71252438457699</v>
      </c>
      <c r="E41" s="125" t="n">
        <f aca="false">B41/'back end data'!$B$97</f>
        <v>17.4555426045</v>
      </c>
      <c r="F41" s="85"/>
    </row>
    <row r="42" customFormat="false" ht="14.5" hidden="false" customHeight="false" outlineLevel="0" collapsed="false">
      <c r="A42" s="85" t="s">
        <v>262</v>
      </c>
      <c r="B42" s="118" t="n">
        <f aca="false">SUM('household calculator'!I19:I21)+SUM('household calculator'!I7:I8)</f>
        <v>289.773529045</v>
      </c>
      <c r="C42" s="125" t="n">
        <f aca="false">B42/'back end data'!$B$95</f>
        <v>97.2394392768456</v>
      </c>
      <c r="D42" s="130" t="n">
        <f aca="false">B42/'back end data'!$B$96</f>
        <v>72.316827812578</v>
      </c>
      <c r="E42" s="125" t="n">
        <f aca="false">B42/'back end data'!$B$97</f>
        <v>144.8867645225</v>
      </c>
      <c r="F42" s="85"/>
    </row>
    <row r="43" customFormat="false" ht="14.5" hidden="false" customHeight="false" outlineLevel="0" collapsed="false">
      <c r="A43" s="118" t="s">
        <v>247</v>
      </c>
      <c r="B43" s="118" t="n">
        <f aca="false">'household calculator'!I15+'household calculator'!I16</f>
        <v>30.8389482544</v>
      </c>
      <c r="C43" s="125" t="n">
        <f aca="false">B43/'back end data'!$B$95</f>
        <v>10.3486403538255</v>
      </c>
      <c r="D43" s="130" t="n">
        <f aca="false">B43/'back end data'!$B$96</f>
        <v>7.69626859356127</v>
      </c>
      <c r="E43" s="125" t="n">
        <f aca="false">B43/'back end data'!$B$97</f>
        <v>15.4194741272</v>
      </c>
      <c r="F43" s="85"/>
    </row>
    <row r="44" customFormat="false" ht="14.5" hidden="false" customHeight="false" outlineLevel="0" collapsed="false">
      <c r="A44" s="85" t="s">
        <v>263</v>
      </c>
      <c r="B44" s="118" t="n">
        <f aca="false">365*(SUM('Food Footprint Report'!B9:E9))</f>
        <v>0</v>
      </c>
      <c r="C44" s="125" t="n">
        <f aca="false">B44/'back end data'!$B$95</f>
        <v>0</v>
      </c>
      <c r="D44" s="130" t="n">
        <f aca="false">B44/'back end data'!$B$96</f>
        <v>0</v>
      </c>
      <c r="E44" s="125" t="n">
        <f aca="false">B44/'back end data'!$B$97</f>
        <v>0</v>
      </c>
      <c r="F44" s="85"/>
    </row>
    <row r="45" customFormat="false" ht="14.5" hidden="false" customHeight="false" outlineLevel="0" collapsed="false">
      <c r="A45" s="127" t="s">
        <v>121</v>
      </c>
      <c r="B45" s="127" t="n">
        <f aca="false">SUM(B40:B44)</f>
        <v>521.4376308284</v>
      </c>
      <c r="C45" s="128" t="n">
        <f aca="false">B45/'back end data'!$B$95</f>
        <v>174.979070747785</v>
      </c>
      <c r="D45" s="131" t="n">
        <f aca="false">B45/'back end data'!$B$96</f>
        <v>130.131677271874</v>
      </c>
      <c r="E45" s="128" t="n">
        <f aca="false">B45/'back end data'!$B$97</f>
        <v>260.7188154142</v>
      </c>
      <c r="F45" s="85"/>
    </row>
    <row r="46" customFormat="false" ht="14.5" hidden="false" customHeight="false" outlineLevel="0" collapsed="false">
      <c r="A46" s="85"/>
      <c r="B46" s="85"/>
      <c r="C46" s="85"/>
      <c r="D46" s="85"/>
      <c r="E46" s="85"/>
      <c r="F46" s="85"/>
    </row>
    <row r="47" customFormat="false" ht="14.5" hidden="false" customHeight="false" outlineLevel="0" collapsed="false">
      <c r="A47" s="85"/>
      <c r="B47" s="85"/>
      <c r="C47" s="85"/>
      <c r="D47" s="85"/>
      <c r="E47" s="85"/>
      <c r="F47" s="85"/>
    </row>
    <row r="48" customFormat="false" ht="14.5" hidden="false" customHeight="false" outlineLevel="0" collapsed="false">
      <c r="A48" s="85"/>
      <c r="B48" s="85"/>
      <c r="C48" s="85"/>
      <c r="D48" s="85"/>
      <c r="E48" s="85"/>
      <c r="F48" s="85"/>
    </row>
    <row r="49" customFormat="false" ht="14.5" hidden="false" customHeight="false" outlineLevel="0" collapsed="false">
      <c r="A49" s="85"/>
      <c r="B49" s="85"/>
      <c r="C49" s="85"/>
      <c r="D49" s="85"/>
      <c r="E49" s="85"/>
      <c r="F49" s="85"/>
    </row>
    <row r="50" customFormat="false" ht="14.5" hidden="false" customHeight="false" outlineLevel="0" collapsed="false">
      <c r="A50" s="85"/>
      <c r="B50" s="85"/>
      <c r="C50" s="85"/>
      <c r="D50" s="85"/>
      <c r="E50" s="85"/>
      <c r="F50" s="85"/>
    </row>
    <row r="51" customFormat="false" ht="14.5" hidden="false" customHeight="false" outlineLevel="0" collapsed="false">
      <c r="A51" s="85"/>
      <c r="B51" s="85"/>
      <c r="C51" s="85"/>
      <c r="D51" s="85"/>
      <c r="E51" s="85"/>
      <c r="F51" s="85"/>
    </row>
    <row r="52" customFormat="false" ht="14.5" hidden="false" customHeight="false" outlineLevel="0" collapsed="false">
      <c r="A52" s="85"/>
      <c r="B52" s="85"/>
      <c r="C52" s="85"/>
      <c r="D52" s="85"/>
      <c r="E52" s="85"/>
      <c r="F52" s="85"/>
    </row>
    <row r="53" customFormat="false" ht="14.5" hidden="false" customHeight="false" outlineLevel="0" collapsed="false">
      <c r="A53" s="85"/>
      <c r="B53" s="85"/>
      <c r="C53" s="85"/>
      <c r="D53" s="85"/>
      <c r="E53" s="85"/>
      <c r="F53" s="85"/>
    </row>
    <row r="54" customFormat="false" ht="14.5" hidden="false" customHeight="false" outlineLevel="0" collapsed="false">
      <c r="A54" s="85"/>
      <c r="B54" s="85"/>
      <c r="C54" s="85"/>
      <c r="D54" s="85"/>
      <c r="E54" s="85"/>
      <c r="F54" s="85"/>
    </row>
    <row r="55" customFormat="false" ht="14.5" hidden="false" customHeight="false" outlineLevel="0" collapsed="false">
      <c r="A55" s="85"/>
      <c r="B55" s="85"/>
      <c r="C55" s="85"/>
      <c r="D55" s="85"/>
      <c r="E55" s="85"/>
      <c r="F55" s="85"/>
    </row>
    <row r="56" customFormat="false" ht="14.5" hidden="false" customHeight="false" outlineLevel="0" collapsed="false">
      <c r="A56" s="85"/>
      <c r="B56" s="85"/>
      <c r="C56" s="85"/>
      <c r="D56" s="85"/>
      <c r="E56" s="85"/>
      <c r="F56" s="85"/>
    </row>
    <row r="57" customFormat="false" ht="14.5" hidden="false" customHeight="false" outlineLevel="0" collapsed="false">
      <c r="A57" s="85"/>
      <c r="B57" s="85"/>
      <c r="C57" s="85"/>
      <c r="D57" s="85"/>
      <c r="E57" s="85"/>
      <c r="F57" s="85"/>
    </row>
    <row r="58" customFormat="false" ht="14.5" hidden="false" customHeight="false" outlineLevel="0" collapsed="false">
      <c r="A58" s="85"/>
      <c r="B58" s="85"/>
      <c r="C58" s="85"/>
      <c r="D58" s="85"/>
      <c r="E58" s="85"/>
      <c r="F58" s="85"/>
    </row>
    <row r="59" customFormat="false" ht="14.5" hidden="false" customHeight="false" outlineLevel="0" collapsed="false">
      <c r="A59" s="85"/>
      <c r="B59" s="85"/>
      <c r="C59" s="85"/>
      <c r="D59" s="85"/>
      <c r="E59" s="85"/>
      <c r="F59" s="85"/>
    </row>
    <row r="60" customFormat="false" ht="14.5" hidden="false" customHeight="false" outlineLevel="0" collapsed="false">
      <c r="A60" s="85"/>
      <c r="B60" s="85"/>
      <c r="C60" s="85"/>
      <c r="D60" s="85"/>
      <c r="E60" s="85"/>
      <c r="F60" s="85"/>
    </row>
    <row r="61" customFormat="false" ht="14.5" hidden="false" customHeight="false" outlineLevel="0" collapsed="false">
      <c r="A61" s="85"/>
      <c r="B61" s="85"/>
      <c r="C61" s="85"/>
      <c r="D61" s="85"/>
      <c r="E61" s="85"/>
      <c r="F61" s="85"/>
    </row>
    <row r="62" customFormat="false" ht="14.5" hidden="false" customHeight="false" outlineLevel="0" collapsed="false">
      <c r="A62" s="85"/>
      <c r="B62" s="85"/>
      <c r="C62" s="85"/>
      <c r="D62" s="85"/>
      <c r="E62" s="85"/>
      <c r="F62" s="85"/>
    </row>
    <row r="63" customFormat="false" ht="14.5" hidden="false" customHeight="false" outlineLevel="0" collapsed="false">
      <c r="A63" s="85"/>
      <c r="B63" s="85"/>
      <c r="C63" s="85"/>
      <c r="D63" s="85"/>
      <c r="E63" s="85"/>
      <c r="F63" s="85"/>
    </row>
    <row r="64" customFormat="false" ht="14.5" hidden="false" customHeight="false" outlineLevel="0" collapsed="false">
      <c r="A64" s="85"/>
      <c r="B64" s="85"/>
      <c r="C64" s="85"/>
      <c r="D64" s="85"/>
      <c r="E64" s="85"/>
      <c r="F64" s="85"/>
    </row>
    <row r="65" customFormat="false" ht="14.5" hidden="false" customHeight="false" outlineLevel="0" collapsed="false">
      <c r="A65" s="85"/>
      <c r="B65" s="85"/>
      <c r="C65" s="85"/>
      <c r="D65" s="85"/>
      <c r="E65" s="85"/>
      <c r="F65" s="85"/>
    </row>
    <row r="66" customFormat="false" ht="14.5" hidden="false" customHeight="false" outlineLevel="0" collapsed="false">
      <c r="A66" s="85"/>
      <c r="B66" s="85"/>
      <c r="C66" s="85"/>
      <c r="D66" s="85"/>
      <c r="E66" s="85"/>
      <c r="F66" s="85"/>
    </row>
    <row r="67" customFormat="false" ht="14.5" hidden="false" customHeight="false" outlineLevel="0" collapsed="false">
      <c r="A67" s="85"/>
      <c r="B67" s="85"/>
      <c r="C67" s="85"/>
      <c r="D67" s="85"/>
      <c r="E67" s="85"/>
      <c r="F67" s="85"/>
    </row>
    <row r="68" customFormat="false" ht="14.5" hidden="false" customHeight="false" outlineLevel="0" collapsed="false">
      <c r="A68" s="85"/>
      <c r="B68" s="85"/>
      <c r="C68" s="85"/>
      <c r="D68" s="85"/>
      <c r="E68" s="85"/>
      <c r="F68" s="85"/>
    </row>
    <row r="69" customFormat="false" ht="14.5" hidden="false" customHeight="false" outlineLevel="0" collapsed="false">
      <c r="A69" s="85"/>
      <c r="B69" s="85"/>
      <c r="C69" s="85"/>
      <c r="D69" s="85"/>
      <c r="E69" s="85"/>
      <c r="F69" s="85"/>
    </row>
    <row r="70" customFormat="false" ht="14.5" hidden="false" customHeight="false" outlineLevel="0" collapsed="false">
      <c r="A70" s="85"/>
      <c r="B70" s="85"/>
      <c r="C70" s="85"/>
      <c r="D70" s="85"/>
      <c r="E70" s="85"/>
      <c r="F70" s="85"/>
    </row>
    <row r="71" customFormat="false" ht="14.5" hidden="false" customHeight="false" outlineLevel="0" collapsed="false">
      <c r="A71" s="85"/>
      <c r="B71" s="85"/>
      <c r="C71" s="85"/>
      <c r="D71" s="85"/>
      <c r="E71" s="85"/>
      <c r="F71" s="85"/>
    </row>
    <row r="72" customFormat="false" ht="14.5" hidden="false" customHeight="false" outlineLevel="0" collapsed="false">
      <c r="A72" s="85"/>
      <c r="B72" s="85"/>
      <c r="C72" s="85"/>
      <c r="D72" s="85"/>
      <c r="E72" s="85"/>
      <c r="F72" s="85"/>
    </row>
    <row r="73" customFormat="false" ht="14.5" hidden="false" customHeight="false" outlineLevel="0" collapsed="false">
      <c r="A73" s="85"/>
      <c r="B73" s="85"/>
      <c r="C73" s="85"/>
      <c r="D73" s="85"/>
      <c r="E73" s="85"/>
      <c r="F73" s="85"/>
    </row>
    <row r="74" customFormat="false" ht="14.5" hidden="false" customHeight="false" outlineLevel="0" collapsed="false">
      <c r="A74" s="85"/>
      <c r="B74" s="85"/>
      <c r="C74" s="85"/>
      <c r="D74" s="85"/>
      <c r="E74" s="85"/>
      <c r="F74" s="85"/>
    </row>
    <row r="75" customFormat="false" ht="14.5" hidden="false" customHeight="false" outlineLevel="0" collapsed="false">
      <c r="A75" s="85"/>
      <c r="B75" s="85"/>
      <c r="C75" s="85"/>
      <c r="D75" s="85"/>
      <c r="E75" s="85"/>
      <c r="F75" s="85"/>
    </row>
    <row r="76" customFormat="false" ht="14.5" hidden="false" customHeight="false" outlineLevel="0" collapsed="false">
      <c r="A76" s="85"/>
      <c r="B76" s="85"/>
      <c r="C76" s="85"/>
      <c r="D76" s="85"/>
      <c r="E76" s="85"/>
      <c r="F76" s="85"/>
    </row>
    <row r="77" customFormat="false" ht="14.5" hidden="false" customHeight="false" outlineLevel="0" collapsed="false">
      <c r="A77" s="85"/>
      <c r="B77" s="85"/>
      <c r="C77" s="85"/>
      <c r="D77" s="85"/>
      <c r="E77" s="85"/>
      <c r="F77" s="85"/>
    </row>
    <row r="78" customFormat="false" ht="14.5" hidden="false" customHeight="false" outlineLevel="0" collapsed="false">
      <c r="A78" s="85"/>
      <c r="B78" s="85"/>
      <c r="C78" s="85"/>
      <c r="D78" s="85"/>
      <c r="E78" s="85"/>
      <c r="F78" s="85"/>
    </row>
    <row r="79" customFormat="false" ht="14.5" hidden="false" customHeight="false" outlineLevel="0" collapsed="false">
      <c r="A79" s="85"/>
      <c r="B79" s="85"/>
      <c r="C79" s="85"/>
      <c r="D79" s="85"/>
      <c r="E79" s="85"/>
      <c r="F79" s="85"/>
    </row>
    <row r="80" customFormat="false" ht="14.5" hidden="false" customHeight="false" outlineLevel="0" collapsed="false">
      <c r="A80" s="85"/>
      <c r="B80" s="85"/>
      <c r="C80" s="85"/>
      <c r="D80" s="85"/>
      <c r="E80" s="85"/>
      <c r="F80" s="85"/>
    </row>
    <row r="81" customFormat="false" ht="14.5" hidden="false" customHeight="false" outlineLevel="0" collapsed="false">
      <c r="A81" s="85"/>
      <c r="B81" s="85"/>
      <c r="C81" s="85"/>
      <c r="D81" s="85"/>
      <c r="E81" s="85"/>
      <c r="F81" s="85"/>
    </row>
    <row r="82" customFormat="false" ht="14.5" hidden="false" customHeight="false" outlineLevel="0" collapsed="false">
      <c r="A82" s="85"/>
      <c r="B82" s="85"/>
      <c r="C82" s="85"/>
      <c r="D82" s="85"/>
      <c r="E82" s="85"/>
      <c r="F82" s="85"/>
    </row>
    <row r="83" customFormat="false" ht="14.5" hidden="false" customHeight="false" outlineLevel="0" collapsed="false">
      <c r="A83" s="85"/>
      <c r="B83" s="85"/>
      <c r="C83" s="85"/>
      <c r="D83" s="85"/>
      <c r="E83" s="85"/>
      <c r="F83" s="85"/>
    </row>
    <row r="84" customFormat="false" ht="14.5" hidden="false" customHeight="false" outlineLevel="0" collapsed="false">
      <c r="A84" s="85"/>
      <c r="B84" s="85"/>
      <c r="C84" s="85"/>
      <c r="D84" s="85"/>
      <c r="E84" s="85"/>
      <c r="F84" s="85"/>
    </row>
    <row r="85" customFormat="false" ht="14.5" hidden="false" customHeight="false" outlineLevel="0" collapsed="false">
      <c r="A85" s="85"/>
      <c r="B85" s="85"/>
      <c r="C85" s="85"/>
      <c r="D85" s="85"/>
      <c r="E85" s="85"/>
      <c r="F85" s="85"/>
    </row>
    <row r="86" customFormat="false" ht="14.5" hidden="false" customHeight="false" outlineLevel="0" collapsed="false">
      <c r="A86" s="85"/>
      <c r="B86" s="85"/>
      <c r="C86" s="85"/>
      <c r="D86" s="85"/>
      <c r="E86" s="85"/>
      <c r="F86" s="85"/>
    </row>
    <row r="87" customFormat="false" ht="14.5" hidden="false" customHeight="false" outlineLevel="0" collapsed="false">
      <c r="A87" s="85"/>
      <c r="B87" s="85"/>
      <c r="C87" s="85"/>
      <c r="D87" s="85"/>
      <c r="E87" s="85"/>
      <c r="F87" s="85"/>
    </row>
    <row r="88" customFormat="false" ht="14.5" hidden="false" customHeight="false" outlineLevel="0" collapsed="false">
      <c r="A88" s="85"/>
      <c r="B88" s="85"/>
      <c r="C88" s="85"/>
      <c r="D88" s="85"/>
      <c r="E88" s="85"/>
      <c r="F88" s="85"/>
    </row>
    <row r="89" customFormat="false" ht="14.5" hidden="false" customHeight="false" outlineLevel="0" collapsed="false">
      <c r="F89" s="85"/>
    </row>
    <row r="90" customFormat="false" ht="14.5" hidden="false" customHeight="false" outlineLevel="0" collapsed="false">
      <c r="F90" s="85"/>
    </row>
    <row r="91" customFormat="false" ht="14.5" hidden="false" customHeight="false" outlineLevel="0" collapsed="false">
      <c r="F91" s="85"/>
    </row>
    <row r="92" customFormat="false" ht="45" hidden="false" customHeight="true" outlineLevel="0" collapsed="false"/>
  </sheetData>
  <mergeCells count="3">
    <mergeCell ref="C14:E14"/>
    <mergeCell ref="C26:E26"/>
    <mergeCell ref="C38:E38"/>
  </mergeCells>
  <printOptions headings="false" gridLines="false" gridLinesSet="true" horizontalCentered="false" verticalCentered="false"/>
  <pageMargins left="0.7" right="0.7" top="0.75" bottom="0.75" header="0.3" footer="0.511805555555555"/>
  <pageSetup paperSize="9" scale="100" firstPageNumber="0" fitToWidth="1" fitToHeight="0" pageOrder="downThenOver" orientation="portrait" usePrinterDefaults="false" blackAndWhite="false" draft="false" cellComments="none" useFirstPageNumber="false" horizontalDpi="300" verticalDpi="300" copies="1"/>
  <headerFooter differentFirst="false" differentOddEven="false">
    <oddHeader>&amp;LLEDsafari footprint report&amp;R&amp;P</oddHeader>
    <oddFooter/>
  </headerFooter>
</worksheet>
</file>

<file path=xl/worksheets/sheet8.xml><?xml version="1.0" encoding="utf-8"?>
<worksheet xmlns="http://schemas.openxmlformats.org/spreadsheetml/2006/main" xmlns:r="http://schemas.openxmlformats.org/officeDocument/2006/relationships">
  <sheetPr filterMode="false">
    <tabColor rgb="FFC0504D"/>
    <pageSetUpPr fitToPage="false"/>
  </sheetPr>
  <dimension ref="A1:AM70"/>
  <sheetViews>
    <sheetView windowProtection="false" showFormulas="false" showGridLines="true" showRowColHeaders="true" showZeros="true" rightToLeft="false" tabSelected="false" showOutlineSymbols="true" defaultGridColor="true" view="normal" topLeftCell="A4" colorId="64" zoomScale="90" zoomScaleNormal="90" zoomScalePageLayoutView="100" workbookViewId="0">
      <selection pane="topLeft" activeCell="C11" activeCellId="0" sqref="C11"/>
    </sheetView>
  </sheetViews>
  <sheetFormatPr defaultRowHeight="14.5"/>
  <cols>
    <col collapsed="false" hidden="false" max="1" min="1" style="0" width="44.8163265306122"/>
    <col collapsed="false" hidden="false" max="2" min="2" style="0" width="23.8928571428571"/>
    <col collapsed="false" hidden="false" max="3" min="3" style="0" width="14.1734693877551"/>
    <col collapsed="false" hidden="false" max="4" min="4" style="0" width="15.7959183673469"/>
    <col collapsed="false" hidden="false" max="5" min="5" style="0" width="14.1734693877551"/>
    <col collapsed="false" hidden="true" max="10" min="6" style="133" width="0"/>
    <col collapsed="false" hidden="true" max="20" min="11" style="0" width="0"/>
    <col collapsed="false" hidden="false" max="21" min="21" style="0" width="14.1734693877551"/>
    <col collapsed="false" hidden="false" max="22" min="22" style="0" width="13.3622448979592"/>
    <col collapsed="false" hidden="false" max="23" min="23" style="0" width="5.66836734693878"/>
    <col collapsed="false" hidden="false" max="24" min="24" style="0" width="17.5510204081633"/>
    <col collapsed="false" hidden="false" max="25" min="25" style="0" width="6.47959183673469"/>
    <col collapsed="false" hidden="false" max="26" min="26" style="0" width="14.3112244897959"/>
    <col collapsed="false" hidden="false" max="27" min="27" style="0" width="8.50510204081633"/>
    <col collapsed="false" hidden="true" max="32" min="28" style="0" width="0"/>
    <col collapsed="false" hidden="false" max="33" min="33" style="0" width="15.2551020408163"/>
    <col collapsed="false" hidden="false" max="34" min="34" style="0" width="6.47959183673469"/>
    <col collapsed="false" hidden="false" max="35" min="35" style="0" width="18.0867346938776"/>
    <col collapsed="false" hidden="false" max="36" min="36" style="0" width="7.96428571428571"/>
    <col collapsed="false" hidden="false" max="37" min="37" style="0" width="12.9591836734694"/>
    <col collapsed="false" hidden="false" max="1025" min="38" style="0" width="8.50510204081633"/>
  </cols>
  <sheetData>
    <row r="1" customFormat="false" ht="28.5" hidden="false" customHeight="false" outlineLevel="0" collapsed="false">
      <c r="A1" s="134" t="s">
        <v>264</v>
      </c>
      <c r="F1" s="0"/>
      <c r="G1" s="0"/>
      <c r="H1" s="0"/>
      <c r="I1" s="0"/>
      <c r="J1" s="0"/>
    </row>
    <row r="2" customFormat="false" ht="14.5" hidden="false" customHeight="false" outlineLevel="0" collapsed="false">
      <c r="A2" s="135" t="s">
        <v>265</v>
      </c>
      <c r="B2" s="135"/>
      <c r="C2" s="135"/>
      <c r="D2" s="135"/>
      <c r="E2" s="85"/>
      <c r="F2" s="0"/>
      <c r="G2" s="0"/>
      <c r="H2" s="0"/>
      <c r="I2" s="0"/>
      <c r="J2" s="0"/>
      <c r="U2" s="85"/>
      <c r="V2" s="85"/>
      <c r="W2" s="85"/>
      <c r="X2" s="85"/>
      <c r="Y2" s="85"/>
      <c r="Z2" s="85"/>
      <c r="AA2" s="85"/>
      <c r="AB2" s="85"/>
      <c r="AC2" s="85"/>
      <c r="AD2" s="85"/>
      <c r="AE2" s="85"/>
      <c r="AF2" s="85"/>
      <c r="AG2" s="85"/>
      <c r="AH2" s="85"/>
      <c r="AI2" s="85"/>
      <c r="AJ2" s="85"/>
      <c r="AK2" s="85"/>
      <c r="AL2" s="85"/>
      <c r="AM2" s="85"/>
    </row>
    <row r="3" customFormat="false" ht="14.5" hidden="false" customHeight="false" outlineLevel="0" collapsed="false">
      <c r="A3" s="135" t="s">
        <v>266</v>
      </c>
      <c r="B3" s="136" t="s">
        <v>22</v>
      </c>
      <c r="C3" s="135"/>
      <c r="D3" s="135"/>
      <c r="E3" s="85"/>
      <c r="F3" s="0"/>
      <c r="G3" s="0"/>
      <c r="H3" s="0"/>
      <c r="I3" s="0"/>
      <c r="J3" s="0"/>
      <c r="U3" s="85"/>
      <c r="V3" s="85"/>
      <c r="W3" s="85"/>
      <c r="X3" s="85"/>
      <c r="Y3" s="85"/>
      <c r="Z3" s="85"/>
      <c r="AA3" s="85"/>
      <c r="AB3" s="85"/>
      <c r="AC3" s="85"/>
      <c r="AD3" s="85"/>
      <c r="AE3" s="85"/>
      <c r="AF3" s="85"/>
      <c r="AG3" s="85"/>
      <c r="AH3" s="85"/>
      <c r="AI3" s="85"/>
      <c r="AJ3" s="85"/>
      <c r="AK3" s="85"/>
      <c r="AL3" s="85"/>
      <c r="AM3" s="85"/>
    </row>
    <row r="4" customFormat="false" ht="14.5" hidden="false" customHeight="false" outlineLevel="0" collapsed="false">
      <c r="A4" s="135"/>
      <c r="B4" s="135"/>
      <c r="C4" s="135"/>
      <c r="D4" s="135"/>
      <c r="E4" s="85"/>
      <c r="F4" s="0"/>
      <c r="G4" s="0"/>
      <c r="H4" s="0"/>
      <c r="I4" s="0"/>
      <c r="J4" s="0"/>
      <c r="U4" s="85"/>
      <c r="V4" s="85"/>
      <c r="W4" s="85"/>
      <c r="X4" s="85"/>
      <c r="Y4" s="85"/>
      <c r="Z4" s="85"/>
      <c r="AA4" s="85"/>
      <c r="AB4" s="85"/>
      <c r="AC4" s="85"/>
      <c r="AD4" s="85"/>
      <c r="AE4" s="85"/>
      <c r="AF4" s="85"/>
      <c r="AG4" s="85"/>
      <c r="AH4" s="85"/>
      <c r="AI4" s="85"/>
      <c r="AJ4" s="85"/>
      <c r="AK4" s="85"/>
      <c r="AL4" s="85"/>
      <c r="AM4" s="85"/>
    </row>
    <row r="5" customFormat="false" ht="15" hidden="false" customHeight="false" outlineLevel="0" collapsed="false">
      <c r="A5" s="85"/>
      <c r="B5" s="85"/>
      <c r="C5" s="85"/>
      <c r="D5" s="85"/>
      <c r="E5" s="85"/>
      <c r="F5" s="0"/>
      <c r="G5" s="0"/>
      <c r="H5" s="0"/>
      <c r="I5" s="0"/>
      <c r="J5" s="0"/>
      <c r="U5" s="85"/>
      <c r="V5" s="85"/>
      <c r="W5" s="85"/>
      <c r="X5" s="85"/>
      <c r="Y5" s="85"/>
      <c r="Z5" s="85"/>
      <c r="AA5" s="85"/>
      <c r="AB5" s="85"/>
      <c r="AC5" s="85"/>
      <c r="AD5" s="85"/>
      <c r="AE5" s="85"/>
      <c r="AF5" s="85"/>
      <c r="AG5" s="85"/>
      <c r="AH5" s="85"/>
      <c r="AI5" s="85"/>
      <c r="AJ5" s="85"/>
      <c r="AK5" s="85"/>
      <c r="AL5" s="85"/>
      <c r="AM5" s="85"/>
    </row>
    <row r="6" customFormat="false" ht="18.5" hidden="false" customHeight="true" outlineLevel="0" collapsed="false">
      <c r="A6" s="85"/>
      <c r="B6" s="137" t="s">
        <v>267</v>
      </c>
      <c r="C6" s="137"/>
      <c r="D6" s="137"/>
      <c r="E6" s="85"/>
      <c r="F6" s="138" t="s">
        <v>268</v>
      </c>
      <c r="G6" s="138"/>
      <c r="H6" s="138"/>
      <c r="I6" s="138"/>
      <c r="J6" s="138"/>
      <c r="K6" s="139" t="s">
        <v>269</v>
      </c>
      <c r="L6" s="139"/>
      <c r="M6" s="139"/>
      <c r="N6" s="139"/>
      <c r="O6" s="139"/>
      <c r="P6" s="140" t="s">
        <v>270</v>
      </c>
      <c r="Q6" s="140"/>
      <c r="R6" s="140"/>
      <c r="S6" s="140"/>
      <c r="T6" s="140"/>
      <c r="U6" s="141"/>
      <c r="V6" s="142" t="s">
        <v>271</v>
      </c>
      <c r="W6" s="142"/>
      <c r="X6" s="142"/>
      <c r="Y6" s="142"/>
      <c r="Z6" s="142"/>
      <c r="AA6" s="85"/>
      <c r="AB6" s="143" t="s">
        <v>272</v>
      </c>
      <c r="AC6" s="143"/>
      <c r="AD6" s="143"/>
      <c r="AE6" s="143"/>
      <c r="AF6" s="143"/>
      <c r="AG6" s="142" t="s">
        <v>273</v>
      </c>
      <c r="AH6" s="142"/>
      <c r="AI6" s="142"/>
      <c r="AJ6" s="142"/>
      <c r="AK6" s="142"/>
      <c r="AL6" s="85"/>
      <c r="AM6" s="85"/>
    </row>
    <row r="7" customFormat="false" ht="15" hidden="false" customHeight="true" outlineLevel="0" collapsed="false">
      <c r="A7" s="85"/>
      <c r="B7" s="137"/>
      <c r="C7" s="137"/>
      <c r="D7" s="137"/>
      <c r="E7" s="85"/>
      <c r="F7" s="138"/>
      <c r="G7" s="138"/>
      <c r="H7" s="138"/>
      <c r="I7" s="138"/>
      <c r="J7" s="138"/>
      <c r="K7" s="139"/>
      <c r="L7" s="139"/>
      <c r="M7" s="139"/>
      <c r="N7" s="139"/>
      <c r="O7" s="139"/>
      <c r="P7" s="140"/>
      <c r="Q7" s="140"/>
      <c r="R7" s="140"/>
      <c r="S7" s="140"/>
      <c r="T7" s="140"/>
      <c r="U7" s="141"/>
      <c r="V7" s="142"/>
      <c r="W7" s="142"/>
      <c r="X7" s="142"/>
      <c r="Y7" s="142"/>
      <c r="Z7" s="142"/>
      <c r="AA7" s="85"/>
      <c r="AB7" s="143"/>
      <c r="AC7" s="143"/>
      <c r="AD7" s="143"/>
      <c r="AE7" s="143"/>
      <c r="AF7" s="143"/>
      <c r="AG7" s="142"/>
      <c r="AH7" s="142"/>
      <c r="AI7" s="142"/>
      <c r="AJ7" s="142"/>
      <c r="AK7" s="142"/>
      <c r="AL7" s="85"/>
      <c r="AM7" s="85"/>
    </row>
    <row r="8" customFormat="false" ht="15" hidden="false" customHeight="true" outlineLevel="0" collapsed="false">
      <c r="A8" s="144" t="s">
        <v>34</v>
      </c>
      <c r="B8" s="144" t="s">
        <v>274</v>
      </c>
      <c r="C8" s="145" t="s">
        <v>275</v>
      </c>
      <c r="D8" s="146" t="s">
        <v>37</v>
      </c>
      <c r="E8" s="147" t="s">
        <v>276</v>
      </c>
      <c r="F8" s="148" t="s">
        <v>277</v>
      </c>
      <c r="G8" s="149" t="s">
        <v>278</v>
      </c>
      <c r="H8" s="149" t="s">
        <v>279</v>
      </c>
      <c r="I8" s="149" t="s">
        <v>280</v>
      </c>
      <c r="J8" s="150" t="s">
        <v>281</v>
      </c>
      <c r="K8" s="148" t="s">
        <v>277</v>
      </c>
      <c r="L8" s="149" t="s">
        <v>278</v>
      </c>
      <c r="M8" s="149" t="s">
        <v>279</v>
      </c>
      <c r="N8" s="149" t="s">
        <v>280</v>
      </c>
      <c r="O8" s="150" t="s">
        <v>281</v>
      </c>
      <c r="P8" s="151" t="str">
        <f aca="false">'household calculator'!G5</f>
        <v>direct water [L]</v>
      </c>
      <c r="Q8" s="152" t="str">
        <f aca="false">'household calculator'!H5</f>
        <v>hidden water [L]</v>
      </c>
      <c r="R8" s="152" t="str">
        <f aca="false">'household calculator'!I5</f>
        <v>direct CO2 [kgCO2e]</v>
      </c>
      <c r="S8" s="152" t="str">
        <f aca="false">'household calculator'!J5</f>
        <v>hidden CO2 [kgCO2e]</v>
      </c>
      <c r="T8" s="152" t="str">
        <f aca="false">'household calculator'!K5</f>
        <v>electricity [kWh]</v>
      </c>
      <c r="U8" s="10"/>
      <c r="V8" s="148" t="s">
        <v>277</v>
      </c>
      <c r="W8" s="149" t="s">
        <v>278</v>
      </c>
      <c r="X8" s="149" t="s">
        <v>279</v>
      </c>
      <c r="Y8" s="149" t="s">
        <v>280</v>
      </c>
      <c r="Z8" s="150" t="s">
        <v>281</v>
      </c>
      <c r="AA8" s="85"/>
      <c r="AB8" s="148" t="s">
        <v>277</v>
      </c>
      <c r="AC8" s="149"/>
      <c r="AD8" s="149" t="s">
        <v>279</v>
      </c>
      <c r="AE8" s="149"/>
      <c r="AF8" s="149" t="s">
        <v>281</v>
      </c>
      <c r="AG8" s="148" t="s">
        <v>277</v>
      </c>
      <c r="AH8" s="149" t="s">
        <v>278</v>
      </c>
      <c r="AI8" s="149" t="s">
        <v>279</v>
      </c>
      <c r="AJ8" s="149" t="s">
        <v>280</v>
      </c>
      <c r="AK8" s="150" t="s">
        <v>281</v>
      </c>
      <c r="AL8" s="85"/>
      <c r="AM8" s="85"/>
    </row>
    <row r="9" customFormat="false" ht="15" hidden="false" customHeight="true" outlineLevel="0" collapsed="false">
      <c r="A9" s="153" t="s">
        <v>41</v>
      </c>
      <c r="B9" s="154"/>
      <c r="C9" s="155"/>
      <c r="D9" s="156"/>
      <c r="E9" s="157"/>
      <c r="F9" s="158"/>
      <c r="G9" s="159"/>
      <c r="H9" s="159"/>
      <c r="I9" s="159"/>
      <c r="J9" s="160"/>
      <c r="K9" s="158"/>
      <c r="L9" s="159"/>
      <c r="M9" s="159"/>
      <c r="N9" s="159"/>
      <c r="O9" s="160"/>
      <c r="P9" s="154" t="n">
        <f aca="false">'household calculator'!G6</f>
        <v>0</v>
      </c>
      <c r="Q9" s="161" t="n">
        <f aca="false">'household calculator'!H6</f>
        <v>0</v>
      </c>
      <c r="R9" s="161" t="n">
        <f aca="false">'household calculator'!I6</f>
        <v>0</v>
      </c>
      <c r="S9" s="161" t="n">
        <f aca="false">'household calculator'!J6</f>
        <v>0</v>
      </c>
      <c r="T9" s="161" t="n">
        <f aca="false">'household calculator'!K6</f>
        <v>0</v>
      </c>
      <c r="U9" s="10"/>
      <c r="V9" s="154"/>
      <c r="W9" s="161"/>
      <c r="X9" s="161"/>
      <c r="Y9" s="161"/>
      <c r="Z9" s="156"/>
      <c r="AA9" s="85"/>
      <c r="AB9" s="154"/>
      <c r="AC9" s="161"/>
      <c r="AD9" s="161"/>
      <c r="AE9" s="161"/>
      <c r="AF9" s="161"/>
      <c r="AG9" s="154"/>
      <c r="AH9" s="161"/>
      <c r="AI9" s="161"/>
      <c r="AJ9" s="161"/>
      <c r="AK9" s="156"/>
      <c r="AL9" s="85"/>
      <c r="AM9" s="85"/>
    </row>
    <row r="10" customFormat="false" ht="15" hidden="false" customHeight="true" outlineLevel="0" collapsed="false">
      <c r="A10" s="162" t="s">
        <v>42</v>
      </c>
      <c r="B10" s="163" t="s">
        <v>282</v>
      </c>
      <c r="C10" s="49" t="n">
        <v>0</v>
      </c>
      <c r="D10" s="164" t="s">
        <v>44</v>
      </c>
      <c r="E10" s="162" t="n">
        <f aca="false">VLOOKUP(B10,'back end data'!A8:B10,2,0)</f>
        <v>5.5</v>
      </c>
      <c r="F10" s="165" t="n">
        <f aca="false">C10*E10</f>
        <v>0</v>
      </c>
      <c r="G10" s="166"/>
      <c r="H10" s="166" t="n">
        <f aca="false">F10*VLOOKUP(Start!B15,'back end data'!A76:G77,4,0)</f>
        <v>0</v>
      </c>
      <c r="I10" s="167"/>
      <c r="J10" s="164" t="n">
        <f aca="false">F10*VLOOKUP(Start!B15,'back end data'!A76:G77,6,0)</f>
        <v>0</v>
      </c>
      <c r="K10" s="163" t="n">
        <f aca="false">52.14*F10</f>
        <v>0</v>
      </c>
      <c r="L10" s="167" t="n">
        <f aca="false">52.14*G10</f>
        <v>0</v>
      </c>
      <c r="M10" s="167" t="n">
        <f aca="false">52.14*H10</f>
        <v>0</v>
      </c>
      <c r="N10" s="167" t="n">
        <f aca="false">52.14*I10</f>
        <v>0</v>
      </c>
      <c r="O10" s="164" t="n">
        <f aca="false">52.14*J10</f>
        <v>0</v>
      </c>
      <c r="P10" s="168" t="n">
        <f aca="false">'household calculator'!G7</f>
        <v>31284</v>
      </c>
      <c r="Q10" s="169" t="n">
        <f aca="false">'household calculator'!H7</f>
        <v>0</v>
      </c>
      <c r="R10" s="169" t="n">
        <f aca="false">'household calculator'!I7</f>
        <v>214.049631351111</v>
      </c>
      <c r="S10" s="169" t="n">
        <f aca="false">'household calculator'!J7</f>
        <v>0</v>
      </c>
      <c r="T10" s="169" t="n">
        <f aca="false">'household calculator'!K7</f>
        <v>1130.08622222222</v>
      </c>
      <c r="U10" s="10"/>
      <c r="V10" s="170" t="n">
        <f aca="false">IF(P10&lt;&gt;0,(P10-K10)/P10,"")</f>
        <v>1</v>
      </c>
      <c r="W10" s="171" t="str">
        <f aca="false">IF(Q10&lt;&gt;0,(Q10-L10)/Q10,"")</f>
        <v/>
      </c>
      <c r="X10" s="171" t="n">
        <f aca="false">IF(R10&lt;&gt;0,(R10-M10)/R10,"")</f>
        <v>1</v>
      </c>
      <c r="Y10" s="171" t="str">
        <f aca="false">IF(S10&lt;&gt;0,(S10-N10)/S10,"")</f>
        <v/>
      </c>
      <c r="Z10" s="172" t="n">
        <f aca="false">IF(T10&lt;&gt;0,(T10-O10)/T10,"")</f>
        <v>1</v>
      </c>
      <c r="AA10" s="85"/>
      <c r="AB10" s="173" t="n">
        <f aca="false">(P10-K10)/(P$34-K$34)</f>
        <v>0.426918643537163</v>
      </c>
      <c r="AC10" s="174"/>
      <c r="AD10" s="174" t="e">
        <f aca="false">(R10-M10)/(R$34-M$34)</f>
        <v>#N/A</v>
      </c>
      <c r="AE10" s="174"/>
      <c r="AF10" s="174" t="e">
        <f aca="false">(T10-O10)/(T$34-O$34)</f>
        <v>#N/A</v>
      </c>
      <c r="AG10" s="175" t="n">
        <f aca="false">IF(P10&lt;&gt;0,(P10-K10),"")</f>
        <v>31284</v>
      </c>
      <c r="AH10" s="176" t="str">
        <f aca="false">IF(Q10&lt;&gt;0,(Q10-L10),"")</f>
        <v/>
      </c>
      <c r="AI10" s="176" t="n">
        <f aca="false">IF(R10&lt;&gt;0,(R10-M10),"")</f>
        <v>214.049631351111</v>
      </c>
      <c r="AJ10" s="176" t="str">
        <f aca="false">IF(S10&lt;&gt;0,(S10-N10),"")</f>
        <v/>
      </c>
      <c r="AK10" s="177" t="n">
        <f aca="false">IF(T10&lt;&gt;0,(T10-O10),"")</f>
        <v>1130.08622222222</v>
      </c>
      <c r="AL10" s="85"/>
      <c r="AM10" s="85"/>
    </row>
    <row r="11" customFormat="false" ht="14.5" hidden="false" customHeight="false" outlineLevel="0" collapsed="false">
      <c r="A11" s="162" t="s">
        <v>45</v>
      </c>
      <c r="B11" s="163" t="s">
        <v>283</v>
      </c>
      <c r="C11" s="49" t="n">
        <v>0</v>
      </c>
      <c r="D11" s="164" t="s">
        <v>47</v>
      </c>
      <c r="E11" s="162" t="n">
        <f aca="false">VLOOKUP(B11,'back end data'!A12:B14,2,0)</f>
        <v>110</v>
      </c>
      <c r="F11" s="165" t="n">
        <f aca="false">C11*E11</f>
        <v>0</v>
      </c>
      <c r="G11" s="166"/>
      <c r="H11" s="166" t="n">
        <f aca="false">F11*VLOOKUP(Start!B15,'back end data'!A76:G77,4,0)</f>
        <v>0</v>
      </c>
      <c r="I11" s="166"/>
      <c r="J11" s="178" t="n">
        <f aca="false">F11*VLOOKUP(Start!B15,'back end data'!A76:G77,6,0)</f>
        <v>0</v>
      </c>
      <c r="K11" s="163" t="n">
        <f aca="false">52.14*F11</f>
        <v>0</v>
      </c>
      <c r="L11" s="167" t="n">
        <f aca="false">52.14*G11</f>
        <v>0</v>
      </c>
      <c r="M11" s="167" t="n">
        <f aca="false">52.14*H11</f>
        <v>0</v>
      </c>
      <c r="N11" s="167" t="n">
        <f aca="false">52.14*I11</f>
        <v>0</v>
      </c>
      <c r="O11" s="164" t="n">
        <f aca="false">52.14*J11</f>
        <v>0</v>
      </c>
      <c r="P11" s="168" t="n">
        <f aca="false">'household calculator'!G8</f>
        <v>0</v>
      </c>
      <c r="Q11" s="169" t="n">
        <f aca="false">'household calculator'!H8</f>
        <v>0</v>
      </c>
      <c r="R11" s="169" t="n">
        <f aca="false">'household calculator'!I8</f>
        <v>0</v>
      </c>
      <c r="S11" s="169" t="n">
        <f aca="false">'household calculator'!J8</f>
        <v>0</v>
      </c>
      <c r="T11" s="169" t="n">
        <f aca="false">'household calculator'!K8</f>
        <v>0</v>
      </c>
      <c r="U11" s="10"/>
      <c r="V11" s="170" t="str">
        <f aca="false">IF(P11&lt;&gt;0,(P11-K11)/P11,"")</f>
        <v/>
      </c>
      <c r="W11" s="171" t="str">
        <f aca="false">IF(Q11&lt;&gt;0,(Q11-L11)/Q11,"")</f>
        <v/>
      </c>
      <c r="X11" s="171" t="str">
        <f aca="false">IF(R11&lt;&gt;0,(R11-M11)/R11,"")</f>
        <v/>
      </c>
      <c r="Y11" s="171" t="str">
        <f aca="false">IF(S11&lt;&gt;0,(S11-N11)/S11,"")</f>
        <v/>
      </c>
      <c r="Z11" s="172" t="str">
        <f aca="false">IF(T11&lt;&gt;0,(T11-O11)/T11,"")</f>
        <v/>
      </c>
      <c r="AA11" s="85"/>
      <c r="AB11" s="173" t="n">
        <f aca="false">(P11-K11)/(P$34-K$34)</f>
        <v>0</v>
      </c>
      <c r="AC11" s="179"/>
      <c r="AD11" s="174" t="e">
        <f aca="false">(R11-M11)/(R$34-M$34)</f>
        <v>#N/A</v>
      </c>
      <c r="AE11" s="179"/>
      <c r="AF11" s="174" t="e">
        <f aca="false">(T11-O11)/(T$34-O$34)</f>
        <v>#N/A</v>
      </c>
      <c r="AG11" s="175" t="str">
        <f aca="false">IF(P11&lt;&gt;0,(P11-K11),"")</f>
        <v/>
      </c>
      <c r="AH11" s="176" t="str">
        <f aca="false">IF(Q11&lt;&gt;0,(Q11-L11),"")</f>
        <v/>
      </c>
      <c r="AI11" s="176" t="str">
        <f aca="false">IF(R11&lt;&gt;0,(R11-M11),"")</f>
        <v/>
      </c>
      <c r="AJ11" s="176" t="str">
        <f aca="false">IF(S11&lt;&gt;0,(S11-N11),"")</f>
        <v/>
      </c>
      <c r="AK11" s="177" t="str">
        <f aca="false">IF(T11&lt;&gt;0,(T11-O11),"")</f>
        <v/>
      </c>
      <c r="AL11" s="85"/>
      <c r="AM11" s="85"/>
    </row>
    <row r="12" customFormat="false" ht="14.5" hidden="false" customHeight="false" outlineLevel="0" collapsed="false">
      <c r="A12" s="162" t="s">
        <v>48</v>
      </c>
      <c r="B12" s="163" t="s">
        <v>284</v>
      </c>
      <c r="C12" s="49" t="n">
        <v>0</v>
      </c>
      <c r="D12" s="164" t="s">
        <v>50</v>
      </c>
      <c r="E12" s="162" t="n">
        <f aca="false">VLOOKUP(B12,'back end data'!A16:B18,2,0)</f>
        <v>3.5</v>
      </c>
      <c r="F12" s="165" t="n">
        <f aca="false">7*C12*E12</f>
        <v>0</v>
      </c>
      <c r="G12" s="166"/>
      <c r="H12" s="166" t="n">
        <v>0</v>
      </c>
      <c r="I12" s="166"/>
      <c r="J12" s="178" t="n">
        <v>0</v>
      </c>
      <c r="K12" s="163" t="n">
        <f aca="false">52.14*F12</f>
        <v>0</v>
      </c>
      <c r="L12" s="167" t="n">
        <f aca="false">52.14*G12</f>
        <v>0</v>
      </c>
      <c r="M12" s="167" t="n">
        <f aca="false">52.14*H12</f>
        <v>0</v>
      </c>
      <c r="N12" s="167" t="n">
        <f aca="false">52.14*I12</f>
        <v>0</v>
      </c>
      <c r="O12" s="164" t="n">
        <f aca="false">52.14*J12</f>
        <v>0</v>
      </c>
      <c r="P12" s="168" t="n">
        <f aca="false">'household calculator'!G9</f>
        <v>23723.7</v>
      </c>
      <c r="Q12" s="169" t="n">
        <f aca="false">'household calculator'!H9</f>
        <v>0</v>
      </c>
      <c r="R12" s="169" t="n">
        <f aca="false">'household calculator'!I9</f>
        <v>0</v>
      </c>
      <c r="S12" s="169" t="n">
        <f aca="false">'household calculator'!J9</f>
        <v>0</v>
      </c>
      <c r="T12" s="169" t="n">
        <f aca="false">'household calculator'!K9</f>
        <v>0</v>
      </c>
      <c r="U12" s="10"/>
      <c r="V12" s="170" t="n">
        <f aca="false">IF(P12&lt;&gt;0,(P12-K12)/P12,"")</f>
        <v>1</v>
      </c>
      <c r="W12" s="171" t="str">
        <f aca="false">IF(Q12&lt;&gt;0,(Q12-L12)/Q12,"")</f>
        <v/>
      </c>
      <c r="X12" s="171" t="str">
        <f aca="false">IF(R12&lt;&gt;0,(R12-M12)/R12,"")</f>
        <v/>
      </c>
      <c r="Y12" s="171" t="str">
        <f aca="false">IF(S12&lt;&gt;0,(S12-N12)/S12,"")</f>
        <v/>
      </c>
      <c r="Z12" s="172" t="str">
        <f aca="false">IF(T12&lt;&gt;0,(T12-O12)/T12,"")</f>
        <v/>
      </c>
      <c r="AA12" s="85"/>
      <c r="AB12" s="173" t="n">
        <f aca="false">(P12-K12)/(P$34-K$34)</f>
        <v>0.323746638015682</v>
      </c>
      <c r="AC12" s="179"/>
      <c r="AD12" s="174" t="e">
        <f aca="false">(R12-M12)/(R$34-M$34)</f>
        <v>#N/A</v>
      </c>
      <c r="AE12" s="179"/>
      <c r="AF12" s="174" t="e">
        <f aca="false">(T12-O12)/(T$34-O$34)</f>
        <v>#N/A</v>
      </c>
      <c r="AG12" s="175" t="n">
        <f aca="false">IF(P12&lt;&gt;0,(P12-K12),"")</f>
        <v>23723.7</v>
      </c>
      <c r="AH12" s="176" t="str">
        <f aca="false">IF(Q12&lt;&gt;0,(Q12-L12),"")</f>
        <v/>
      </c>
      <c r="AI12" s="176" t="str">
        <f aca="false">IF(R12&lt;&gt;0,(R12-M12),"")</f>
        <v/>
      </c>
      <c r="AJ12" s="176" t="str">
        <f aca="false">IF(S12&lt;&gt;0,(S12-N12),"")</f>
        <v/>
      </c>
      <c r="AK12" s="177" t="str">
        <f aca="false">IF(T12&lt;&gt;0,(T12-O12),"")</f>
        <v/>
      </c>
      <c r="AL12" s="85"/>
      <c r="AM12" s="85"/>
    </row>
    <row r="13" customFormat="false" ht="14.5" hidden="false" customHeight="false" outlineLevel="0" collapsed="false">
      <c r="A13" s="162" t="s">
        <v>51</v>
      </c>
      <c r="B13" s="163" t="s">
        <v>52</v>
      </c>
      <c r="C13" s="49" t="n">
        <v>0</v>
      </c>
      <c r="D13" s="164" t="s">
        <v>50</v>
      </c>
      <c r="E13" s="162" t="n">
        <f aca="false">VLOOKUP(B13,'back end data'!A22:B23,2,0)</f>
        <v>3</v>
      </c>
      <c r="F13" s="165" t="n">
        <f aca="false">7*C13*E13</f>
        <v>0</v>
      </c>
      <c r="G13" s="166"/>
      <c r="H13" s="166" t="n">
        <v>0</v>
      </c>
      <c r="I13" s="166"/>
      <c r="J13" s="178" t="n">
        <v>0</v>
      </c>
      <c r="K13" s="163" t="n">
        <f aca="false">52.14*F13</f>
        <v>0</v>
      </c>
      <c r="L13" s="167" t="n">
        <f aca="false">52.14*G13</f>
        <v>0</v>
      </c>
      <c r="M13" s="167" t="n">
        <f aca="false">52.14*H13</f>
        <v>0</v>
      </c>
      <c r="N13" s="167" t="n">
        <f aca="false">52.14*I13</f>
        <v>0</v>
      </c>
      <c r="O13" s="164" t="n">
        <f aca="false">52.14*J13</f>
        <v>0</v>
      </c>
      <c r="P13" s="168" t="n">
        <f aca="false">'household calculator'!G10</f>
        <v>2189.88</v>
      </c>
      <c r="Q13" s="169" t="n">
        <f aca="false">'household calculator'!H10</f>
        <v>0</v>
      </c>
      <c r="R13" s="169" t="n">
        <f aca="false">'household calculator'!I10</f>
        <v>0</v>
      </c>
      <c r="S13" s="169" t="n">
        <f aca="false">'household calculator'!J10</f>
        <v>0</v>
      </c>
      <c r="T13" s="169" t="n">
        <f aca="false">'household calculator'!K10</f>
        <v>0</v>
      </c>
      <c r="U13" s="10"/>
      <c r="V13" s="170" t="n">
        <f aca="false">IF(P13&lt;&gt;0,(P13-K13)/P13,"")</f>
        <v>1</v>
      </c>
      <c r="W13" s="171" t="str">
        <f aca="false">IF(Q13&lt;&gt;0,(Q13-L13)/Q13,"")</f>
        <v/>
      </c>
      <c r="X13" s="171" t="str">
        <f aca="false">IF(R13&lt;&gt;0,(R13-M13)/R13,"")</f>
        <v/>
      </c>
      <c r="Y13" s="171" t="str">
        <f aca="false">IF(S13&lt;&gt;0,(S13-N13)/S13,"")</f>
        <v/>
      </c>
      <c r="Z13" s="172" t="str">
        <f aca="false">IF(T13&lt;&gt;0,(T13-O13)/T13,"")</f>
        <v/>
      </c>
      <c r="AA13" s="85"/>
      <c r="AB13" s="173" t="n">
        <f aca="false">(P13-K13)/(P$34-K$34)</f>
        <v>0.0298843050476014</v>
      </c>
      <c r="AC13" s="179"/>
      <c r="AD13" s="174" t="e">
        <f aca="false">(R13-M13)/(R$34-M$34)</f>
        <v>#N/A</v>
      </c>
      <c r="AE13" s="179"/>
      <c r="AF13" s="174" t="e">
        <f aca="false">(T13-O13)/(T$34-O$34)</f>
        <v>#N/A</v>
      </c>
      <c r="AG13" s="175" t="n">
        <f aca="false">IF(P13&lt;&gt;0,(P13-K13),"")</f>
        <v>2189.88</v>
      </c>
      <c r="AH13" s="176" t="str">
        <f aca="false">IF(Q13&lt;&gt;0,(Q13-L13),"")</f>
        <v/>
      </c>
      <c r="AI13" s="176" t="str">
        <f aca="false">IF(R13&lt;&gt;0,(R13-M13),"")</f>
        <v/>
      </c>
      <c r="AJ13" s="176" t="str">
        <f aca="false">IF(S13&lt;&gt;0,(S13-N13),"")</f>
        <v/>
      </c>
      <c r="AK13" s="177" t="str">
        <f aca="false">IF(T13&lt;&gt;0,(T13-O13),"")</f>
        <v/>
      </c>
      <c r="AL13" s="85"/>
      <c r="AM13" s="85"/>
    </row>
    <row r="14" customFormat="false" ht="14.5" hidden="false" customHeight="false" outlineLevel="0" collapsed="false">
      <c r="A14" s="162" t="s">
        <v>53</v>
      </c>
      <c r="B14" s="180" t="s">
        <v>54</v>
      </c>
      <c r="C14" s="49" t="n">
        <v>0</v>
      </c>
      <c r="D14" s="164" t="s">
        <v>50</v>
      </c>
      <c r="E14" s="162" t="n">
        <f aca="false">'back end data'!B25</f>
        <v>1</v>
      </c>
      <c r="F14" s="165" t="n">
        <f aca="false">7*C14*E14</f>
        <v>0</v>
      </c>
      <c r="G14" s="166"/>
      <c r="H14" s="166" t="n">
        <v>0</v>
      </c>
      <c r="I14" s="166"/>
      <c r="J14" s="178" t="n">
        <v>0</v>
      </c>
      <c r="K14" s="163" t="n">
        <f aca="false">52.14*F14</f>
        <v>0</v>
      </c>
      <c r="L14" s="167" t="n">
        <f aca="false">52.14*G14</f>
        <v>0</v>
      </c>
      <c r="M14" s="167" t="n">
        <f aca="false">52.14*H14</f>
        <v>0</v>
      </c>
      <c r="N14" s="167" t="n">
        <f aca="false">52.14*I14</f>
        <v>0</v>
      </c>
      <c r="O14" s="164" t="n">
        <f aca="false">52.14*J14</f>
        <v>0</v>
      </c>
      <c r="P14" s="168" t="n">
        <f aca="false">'household calculator'!G11</f>
        <v>3649.8</v>
      </c>
      <c r="Q14" s="169" t="n">
        <f aca="false">'household calculator'!H11</f>
        <v>0</v>
      </c>
      <c r="R14" s="169" t="n">
        <f aca="false">'household calculator'!I11</f>
        <v>0</v>
      </c>
      <c r="S14" s="169" t="n">
        <f aca="false">'household calculator'!J11</f>
        <v>0</v>
      </c>
      <c r="T14" s="169" t="n">
        <f aca="false">'household calculator'!K11</f>
        <v>0</v>
      </c>
      <c r="U14" s="10"/>
      <c r="V14" s="170" t="n">
        <f aca="false">IF(P14&lt;&gt;0,(P14-K14)/P14,"")</f>
        <v>1</v>
      </c>
      <c r="W14" s="171" t="str">
        <f aca="false">IF(Q14&lt;&gt;0,(Q14-L14)/Q14,"")</f>
        <v/>
      </c>
      <c r="X14" s="171" t="str">
        <f aca="false">IF(R14&lt;&gt;0,(R14-M14)/R14,"")</f>
        <v/>
      </c>
      <c r="Y14" s="171" t="str">
        <f aca="false">IF(S14&lt;&gt;0,(S14-N14)/S14,"")</f>
        <v/>
      </c>
      <c r="Z14" s="172" t="str">
        <f aca="false">IF(T14&lt;&gt;0,(T14-O14)/T14,"")</f>
        <v/>
      </c>
      <c r="AA14" s="85"/>
      <c r="AB14" s="173" t="n">
        <f aca="false">(P14-K14)/(P$34-K$34)</f>
        <v>0.0498071750793357</v>
      </c>
      <c r="AC14" s="179"/>
      <c r="AD14" s="174" t="e">
        <f aca="false">(R14-M14)/(R$34-M$34)</f>
        <v>#N/A</v>
      </c>
      <c r="AE14" s="179"/>
      <c r="AF14" s="174" t="e">
        <f aca="false">(T14-O14)/(T$34-O$34)</f>
        <v>#N/A</v>
      </c>
      <c r="AG14" s="175" t="n">
        <f aca="false">IF(P14&lt;&gt;0,(P14-K14),"")</f>
        <v>3649.8</v>
      </c>
      <c r="AH14" s="176" t="str">
        <f aca="false">IF(Q14&lt;&gt;0,(Q14-L14),"")</f>
        <v/>
      </c>
      <c r="AI14" s="176" t="str">
        <f aca="false">IF(R14&lt;&gt;0,(R14-M14),"")</f>
        <v/>
      </c>
      <c r="AJ14" s="176" t="str">
        <f aca="false">IF(S14&lt;&gt;0,(S14-N14),"")</f>
        <v/>
      </c>
      <c r="AK14" s="177" t="str">
        <f aca="false">IF(T14&lt;&gt;0,(T14-O14),"")</f>
        <v/>
      </c>
      <c r="AL14" s="85"/>
      <c r="AM14" s="85"/>
    </row>
    <row r="15" customFormat="false" ht="14.5" hidden="false" customHeight="false" outlineLevel="0" collapsed="false">
      <c r="A15" s="162" t="s">
        <v>55</v>
      </c>
      <c r="B15" s="180" t="s">
        <v>54</v>
      </c>
      <c r="C15" s="49" t="n">
        <v>0</v>
      </c>
      <c r="D15" s="164" t="s">
        <v>47</v>
      </c>
      <c r="E15" s="162" t="n">
        <f aca="false">'back end data'!B27</f>
        <v>5</v>
      </c>
      <c r="F15" s="165" t="n">
        <f aca="false">C15*E15</f>
        <v>0</v>
      </c>
      <c r="G15" s="166"/>
      <c r="H15" s="166" t="n">
        <v>0</v>
      </c>
      <c r="I15" s="166"/>
      <c r="J15" s="178" t="n">
        <v>0</v>
      </c>
      <c r="K15" s="163" t="n">
        <f aca="false">52.14*F15</f>
        <v>0</v>
      </c>
      <c r="L15" s="167" t="n">
        <f aca="false">52.14*G15</f>
        <v>0</v>
      </c>
      <c r="M15" s="167" t="n">
        <f aca="false">52.14*H15</f>
        <v>0</v>
      </c>
      <c r="N15" s="167" t="n">
        <f aca="false">52.14*I15</f>
        <v>0</v>
      </c>
      <c r="O15" s="164" t="n">
        <f aca="false">52.14*J15</f>
        <v>0</v>
      </c>
      <c r="P15" s="168" t="n">
        <f aca="false">'household calculator'!G12</f>
        <v>0</v>
      </c>
      <c r="Q15" s="169" t="n">
        <f aca="false">'household calculator'!H12</f>
        <v>0</v>
      </c>
      <c r="R15" s="169" t="n">
        <f aca="false">'household calculator'!I12</f>
        <v>0</v>
      </c>
      <c r="S15" s="169" t="n">
        <f aca="false">'household calculator'!J12</f>
        <v>0</v>
      </c>
      <c r="T15" s="169" t="n">
        <f aca="false">'household calculator'!K12</f>
        <v>0</v>
      </c>
      <c r="U15" s="10"/>
      <c r="V15" s="170" t="str">
        <f aca="false">IF(P15&lt;&gt;0,(P15-K15)/P15,"")</f>
        <v/>
      </c>
      <c r="W15" s="171" t="str">
        <f aca="false">IF(Q15&lt;&gt;0,(Q15-L15)/Q15,"")</f>
        <v/>
      </c>
      <c r="X15" s="171" t="str">
        <f aca="false">IF(R15&lt;&gt;0,(R15-M15)/R15,"")</f>
        <v/>
      </c>
      <c r="Y15" s="171" t="str">
        <f aca="false">IF(S15&lt;&gt;0,(S15-N15)/S15,"")</f>
        <v/>
      </c>
      <c r="Z15" s="172" t="str">
        <f aca="false">IF(T15&lt;&gt;0,(T15-O15)/T15,"")</f>
        <v/>
      </c>
      <c r="AA15" s="85"/>
      <c r="AB15" s="173" t="n">
        <f aca="false">(P15-K15)/(P$34-K$34)</f>
        <v>0</v>
      </c>
      <c r="AC15" s="179"/>
      <c r="AD15" s="174" t="e">
        <f aca="false">(R15-M15)/(R$34-M$34)</f>
        <v>#N/A</v>
      </c>
      <c r="AE15" s="179"/>
      <c r="AF15" s="174" t="e">
        <f aca="false">(T15-O15)/(T$34-O$34)</f>
        <v>#N/A</v>
      </c>
      <c r="AG15" s="175" t="str">
        <f aca="false">IF(P15&lt;&gt;0,(P15-K15),"")</f>
        <v/>
      </c>
      <c r="AH15" s="176" t="str">
        <f aca="false">IF(Q15&lt;&gt;0,(Q15-L15),"")</f>
        <v/>
      </c>
      <c r="AI15" s="176" t="str">
        <f aca="false">IF(R15&lt;&gt;0,(R15-M15),"")</f>
        <v/>
      </c>
      <c r="AJ15" s="176" t="str">
        <f aca="false">IF(S15&lt;&gt;0,(S15-N15),"")</f>
        <v/>
      </c>
      <c r="AK15" s="177" t="str">
        <f aca="false">IF(T15&lt;&gt;0,(T15-O15),"")</f>
        <v/>
      </c>
      <c r="AL15" s="85"/>
      <c r="AM15" s="85"/>
    </row>
    <row r="16" customFormat="false" ht="14.5" hidden="false" customHeight="false" outlineLevel="0" collapsed="false">
      <c r="A16" s="162"/>
      <c r="B16" s="163"/>
      <c r="C16" s="49"/>
      <c r="D16" s="164"/>
      <c r="E16" s="162"/>
      <c r="F16" s="165"/>
      <c r="G16" s="166"/>
      <c r="H16" s="166"/>
      <c r="I16" s="166"/>
      <c r="J16" s="178"/>
      <c r="K16" s="163" t="n">
        <f aca="false">52.14*F16</f>
        <v>0</v>
      </c>
      <c r="L16" s="167" t="n">
        <f aca="false">52.14*G16</f>
        <v>0</v>
      </c>
      <c r="M16" s="167" t="n">
        <f aca="false">52.14*H16</f>
        <v>0</v>
      </c>
      <c r="N16" s="167" t="n">
        <f aca="false">52.14*I16</f>
        <v>0</v>
      </c>
      <c r="O16" s="164" t="n">
        <f aca="false">52.14*J16</f>
        <v>0</v>
      </c>
      <c r="P16" s="168" t="n">
        <f aca="false">'household calculator'!G13</f>
        <v>0</v>
      </c>
      <c r="Q16" s="169" t="n">
        <f aca="false">'household calculator'!H13</f>
        <v>0</v>
      </c>
      <c r="R16" s="169" t="n">
        <f aca="false">'household calculator'!I13</f>
        <v>0</v>
      </c>
      <c r="S16" s="169" t="n">
        <f aca="false">'household calculator'!J13</f>
        <v>0</v>
      </c>
      <c r="T16" s="169" t="n">
        <f aca="false">'household calculator'!K13</f>
        <v>0</v>
      </c>
      <c r="U16" s="10"/>
      <c r="V16" s="170" t="str">
        <f aca="false">IF(P16&lt;&gt;0,(P16-K16)/P16,"")</f>
        <v/>
      </c>
      <c r="W16" s="171" t="str">
        <f aca="false">IF(Q16&lt;&gt;0,(Q16-L16)/Q16,"")</f>
        <v/>
      </c>
      <c r="X16" s="171" t="str">
        <f aca="false">IF(R16&lt;&gt;0,(R16-M16)/R16,"")</f>
        <v/>
      </c>
      <c r="Y16" s="171" t="str">
        <f aca="false">IF(S16&lt;&gt;0,(S16-N16)/S16,"")</f>
        <v/>
      </c>
      <c r="Z16" s="172" t="str">
        <f aca="false">IF(T16&lt;&gt;0,(T16-O16)/T16,"")</f>
        <v/>
      </c>
      <c r="AA16" s="85"/>
      <c r="AB16" s="173" t="n">
        <f aca="false">(P16-K16)/(P$34-K$34)</f>
        <v>0</v>
      </c>
      <c r="AC16" s="179"/>
      <c r="AD16" s="174" t="e">
        <f aca="false">(R16-M16)/(R$34-M$34)</f>
        <v>#N/A</v>
      </c>
      <c r="AE16" s="179"/>
      <c r="AF16" s="174" t="e">
        <f aca="false">(T16-O16)/(T$34-O$34)</f>
        <v>#N/A</v>
      </c>
      <c r="AG16" s="175" t="str">
        <f aca="false">IF(P16&lt;&gt;0,(P16-K16),"")</f>
        <v/>
      </c>
      <c r="AH16" s="176" t="str">
        <f aca="false">IF(Q16&lt;&gt;0,(Q16-L16),"")</f>
        <v/>
      </c>
      <c r="AI16" s="176" t="str">
        <f aca="false">IF(R16&lt;&gt;0,(R16-M16),"")</f>
        <v/>
      </c>
      <c r="AJ16" s="176" t="str">
        <f aca="false">IF(S16&lt;&gt;0,(S16-N16),"")</f>
        <v/>
      </c>
      <c r="AK16" s="177" t="str">
        <f aca="false">IF(T16&lt;&gt;0,(T16-O16),"")</f>
        <v/>
      </c>
      <c r="AL16" s="85"/>
      <c r="AM16" s="85"/>
    </row>
    <row r="17" customFormat="false" ht="14.5" hidden="false" customHeight="false" outlineLevel="0" collapsed="false">
      <c r="A17" s="153" t="s">
        <v>56</v>
      </c>
      <c r="B17" s="154"/>
      <c r="C17" s="52"/>
      <c r="D17" s="156"/>
      <c r="E17" s="157"/>
      <c r="F17" s="158"/>
      <c r="G17" s="159"/>
      <c r="H17" s="159"/>
      <c r="I17" s="159"/>
      <c r="J17" s="160"/>
      <c r="K17" s="154"/>
      <c r="L17" s="161"/>
      <c r="M17" s="161"/>
      <c r="N17" s="161"/>
      <c r="O17" s="156"/>
      <c r="P17" s="154" t="n">
        <f aca="false">'household calculator'!G14</f>
        <v>0</v>
      </c>
      <c r="Q17" s="161" t="n">
        <f aca="false">'household calculator'!H14</f>
        <v>0</v>
      </c>
      <c r="R17" s="161" t="n">
        <f aca="false">'household calculator'!I14</f>
        <v>0</v>
      </c>
      <c r="S17" s="161" t="n">
        <f aca="false">'household calculator'!J14</f>
        <v>0</v>
      </c>
      <c r="T17" s="161" t="n">
        <f aca="false">'household calculator'!K14</f>
        <v>0</v>
      </c>
      <c r="U17" s="10"/>
      <c r="V17" s="181" t="str">
        <f aca="false">IF(P17&lt;&gt;0,(P17-K17)/P17,"")</f>
        <v/>
      </c>
      <c r="W17" s="182" t="str">
        <f aca="false">IF(Q17&lt;&gt;0,(Q17-L17)/Q17,"")</f>
        <v/>
      </c>
      <c r="X17" s="182" t="str">
        <f aca="false">IF(R17&lt;&gt;0,(R17-M17)/R17,"")</f>
        <v/>
      </c>
      <c r="Y17" s="182" t="str">
        <f aca="false">IF(S17&lt;&gt;0,(S17-N17)/S17,"")</f>
        <v/>
      </c>
      <c r="Z17" s="183" t="str">
        <f aca="false">IF(T17&lt;&gt;0,(T17-O17)/T17,"")</f>
        <v/>
      </c>
      <c r="AA17" s="85"/>
      <c r="AB17" s="184"/>
      <c r="AC17" s="185"/>
      <c r="AD17" s="186"/>
      <c r="AE17" s="185"/>
      <c r="AF17" s="186"/>
      <c r="AG17" s="187" t="str">
        <f aca="false">IF(P17&lt;&gt;0,(P17-K17),"")</f>
        <v/>
      </c>
      <c r="AH17" s="188" t="str">
        <f aca="false">IF(Q17&lt;&gt;0,(Q17-L17),"")</f>
        <v/>
      </c>
      <c r="AI17" s="188" t="str">
        <f aca="false">IF(R17&lt;&gt;0,(R17-M17),"")</f>
        <v/>
      </c>
      <c r="AJ17" s="188" t="str">
        <f aca="false">IF(S17&lt;&gt;0,(S17-N17),"")</f>
        <v/>
      </c>
      <c r="AK17" s="189" t="str">
        <f aca="false">IF(T17&lt;&gt;0,(T17-O17),"")</f>
        <v/>
      </c>
      <c r="AL17" s="85"/>
      <c r="AM17" s="85"/>
    </row>
    <row r="18" customFormat="false" ht="14.5" hidden="false" customHeight="false" outlineLevel="0" collapsed="false">
      <c r="A18" s="162" t="s">
        <v>57</v>
      </c>
      <c r="B18" s="163" t="s">
        <v>285</v>
      </c>
      <c r="C18" s="49" t="n">
        <v>0</v>
      </c>
      <c r="D18" s="164" t="s">
        <v>59</v>
      </c>
      <c r="E18" s="162" t="n">
        <f aca="false">VLOOKUP(B18,'back end data'!A30:B32,2,0)</f>
        <v>13.95</v>
      </c>
      <c r="F18" s="165" t="n">
        <f aca="false">C18*E18</f>
        <v>0</v>
      </c>
      <c r="G18" s="166"/>
      <c r="H18" s="166" t="n">
        <f aca="false">C18*VLOOKUP(Start!B15,'back end data'!A80:I81,8,0)</f>
        <v>0</v>
      </c>
      <c r="I18" s="166"/>
      <c r="J18" s="178" t="n">
        <f aca="false">C18*VLOOKUP(Start!B15,'back end data'!A80:I81,6,0)</f>
        <v>0</v>
      </c>
      <c r="K18" s="163" t="n">
        <f aca="false">52.14*F18</f>
        <v>0</v>
      </c>
      <c r="L18" s="167" t="n">
        <f aca="false">52.14*G18</f>
        <v>0</v>
      </c>
      <c r="M18" s="167" t="n">
        <f aca="false">52.14*H18</f>
        <v>0</v>
      </c>
      <c r="N18" s="167" t="n">
        <f aca="false">52.14*I18</f>
        <v>0</v>
      </c>
      <c r="O18" s="164" t="n">
        <f aca="false">52.14*J18</f>
        <v>0</v>
      </c>
      <c r="P18" s="168" t="n">
        <f aca="false">'household calculator'!G15</f>
        <v>1116.8388</v>
      </c>
      <c r="Q18" s="169" t="n">
        <f aca="false">'household calculator'!H15</f>
        <v>0</v>
      </c>
      <c r="R18" s="169" t="n">
        <f aca="false">'household calculator'!I15</f>
        <v>15.1363667884</v>
      </c>
      <c r="S18" s="169" t="n">
        <f aca="false">'household calculator'!J15</f>
        <v>0</v>
      </c>
      <c r="T18" s="169" t="n">
        <f aca="false">'household calculator'!K15</f>
        <v>6.65943666666667</v>
      </c>
      <c r="U18" s="10"/>
      <c r="V18" s="170" t="n">
        <f aca="false">IF(P18&lt;&gt;0,(P18-K18)/P18,"")</f>
        <v>1</v>
      </c>
      <c r="W18" s="171" t="str">
        <f aca="false">IF(Q18&lt;&gt;0,(Q18-L18)/Q18,"")</f>
        <v/>
      </c>
      <c r="X18" s="171" t="n">
        <f aca="false">IF(R18&lt;&gt;0,(R18-M18)/R18,"")</f>
        <v>1</v>
      </c>
      <c r="Y18" s="171" t="str">
        <f aca="false">IF(S18&lt;&gt;0,(S18-N18)/S18,"")</f>
        <v/>
      </c>
      <c r="Z18" s="172" t="n">
        <f aca="false">IF(T18&lt;&gt;0,(T18-O18)/T18,"")</f>
        <v>1</v>
      </c>
      <c r="AA18" s="85"/>
      <c r="AB18" s="173" t="n">
        <f aca="false">(P18-K18)/(P$34-K$34)</f>
        <v>0.0152409955742767</v>
      </c>
      <c r="AC18" s="179"/>
      <c r="AD18" s="174" t="e">
        <f aca="false">(R18-M18)/(R$34-M$34)</f>
        <v>#N/A</v>
      </c>
      <c r="AE18" s="179"/>
      <c r="AF18" s="174" t="e">
        <f aca="false">(T18-O18)/(T$34-O$34)</f>
        <v>#N/A</v>
      </c>
      <c r="AG18" s="175" t="n">
        <f aca="false">IF(P18&lt;&gt;0,(P18-K18),"")</f>
        <v>1116.8388</v>
      </c>
      <c r="AH18" s="176" t="str">
        <f aca="false">IF(Q18&lt;&gt;0,(Q18-L18),"")</f>
        <v/>
      </c>
      <c r="AI18" s="176" t="n">
        <f aca="false">IF(R18&lt;&gt;0,(R18-M18),"")</f>
        <v>15.1363667884</v>
      </c>
      <c r="AJ18" s="176" t="str">
        <f aca="false">IF(S18&lt;&gt;0,(S18-N18),"")</f>
        <v/>
      </c>
      <c r="AK18" s="177" t="n">
        <f aca="false">IF(T18&lt;&gt;0,(T18-O18),"")</f>
        <v>6.65943666666667</v>
      </c>
      <c r="AL18" s="85"/>
      <c r="AM18" s="85"/>
    </row>
    <row r="19" customFormat="false" ht="14.5" hidden="false" customHeight="false" outlineLevel="0" collapsed="false">
      <c r="A19" s="162" t="s">
        <v>60</v>
      </c>
      <c r="B19" s="163" t="s">
        <v>286</v>
      </c>
      <c r="C19" s="49" t="n">
        <v>0</v>
      </c>
      <c r="D19" s="164" t="s">
        <v>59</v>
      </c>
      <c r="E19" s="162" t="e">
        <f aca="false">VLOOKUP(B19,'back end data'!A34:B35,2,0)</f>
        <v>#N/A</v>
      </c>
      <c r="F19" s="165" t="n">
        <v>0</v>
      </c>
      <c r="G19" s="166"/>
      <c r="H19" s="166" t="e">
        <f aca="false">J19*'back end data'!B63</f>
        <v>#N/A</v>
      </c>
      <c r="I19" s="166"/>
      <c r="J19" s="178" t="e">
        <f aca="false">C19*'explore alternative lifestyles'!E19</f>
        <v>#N/A</v>
      </c>
      <c r="K19" s="163" t="n">
        <f aca="false">52.14*F19</f>
        <v>0</v>
      </c>
      <c r="L19" s="167" t="n">
        <f aca="false">52.14*G19</f>
        <v>0</v>
      </c>
      <c r="M19" s="167" t="e">
        <f aca="false">52.14*H19</f>
        <v>#N/A</v>
      </c>
      <c r="N19" s="167" t="n">
        <f aca="false">52.14*I19</f>
        <v>0</v>
      </c>
      <c r="O19" s="164" t="e">
        <f aca="false">52.14*J19</f>
        <v>#N/A</v>
      </c>
      <c r="P19" s="168" t="n">
        <f aca="false">'household calculator'!G16</f>
        <v>0</v>
      </c>
      <c r="Q19" s="169" t="n">
        <f aca="false">'household calculator'!H16</f>
        <v>0</v>
      </c>
      <c r="R19" s="169" t="n">
        <f aca="false">'household calculator'!I16</f>
        <v>15.702581466</v>
      </c>
      <c r="S19" s="169" t="n">
        <f aca="false">'household calculator'!J16</f>
        <v>0</v>
      </c>
      <c r="T19" s="169" t="n">
        <f aca="false">'household calculator'!K16</f>
        <v>82.9026</v>
      </c>
      <c r="U19" s="10"/>
      <c r="V19" s="170" t="str">
        <f aca="false">IF(P19&lt;&gt;0,(P19-K19)/P19,"")</f>
        <v/>
      </c>
      <c r="W19" s="171" t="str">
        <f aca="false">IF(Q19&lt;&gt;0,(Q19-L19)/Q19,"")</f>
        <v/>
      </c>
      <c r="X19" s="171" t="e">
        <f aca="false">IF(R19&lt;&gt;0,(R19-M19)/R19,"")</f>
        <v>#N/A</v>
      </c>
      <c r="Y19" s="171" t="str">
        <f aca="false">IF(S19&lt;&gt;0,(S19-N19)/S19,"")</f>
        <v/>
      </c>
      <c r="Z19" s="172" t="e">
        <f aca="false">IF(T19&lt;&gt;0,(T19-O19)/T19,"")</f>
        <v>#N/A</v>
      </c>
      <c r="AA19" s="85"/>
      <c r="AB19" s="173" t="n">
        <f aca="false">(P19-K19)/(P$34-K$34)</f>
        <v>0</v>
      </c>
      <c r="AC19" s="179"/>
      <c r="AD19" s="174" t="e">
        <f aca="false">(R19-M19)/(R$34-M$34)</f>
        <v>#N/A</v>
      </c>
      <c r="AE19" s="179"/>
      <c r="AF19" s="174" t="e">
        <f aca="false">(T19-O19)/(T$34-O$34)</f>
        <v>#N/A</v>
      </c>
      <c r="AG19" s="175" t="str">
        <f aca="false">IF(P19&lt;&gt;0,(P19-K19),"")</f>
        <v/>
      </c>
      <c r="AH19" s="176" t="str">
        <f aca="false">IF(Q19&lt;&gt;0,(Q19-L19),"")</f>
        <v/>
      </c>
      <c r="AI19" s="176" t="e">
        <f aca="false">IF(R19&lt;&gt;0,(R19-M19),"")</f>
        <v>#N/A</v>
      </c>
      <c r="AJ19" s="176" t="str">
        <f aca="false">IF(S19&lt;&gt;0,(S19-N19),"")</f>
        <v/>
      </c>
      <c r="AK19" s="177" t="e">
        <f aca="false">IF(T19&lt;&gt;0,(T19-O19),"")</f>
        <v>#N/A</v>
      </c>
      <c r="AL19" s="85"/>
      <c r="AM19" s="85"/>
    </row>
    <row r="20" customFormat="false" ht="14.5" hidden="false" customHeight="false" outlineLevel="0" collapsed="false">
      <c r="A20" s="162"/>
      <c r="B20" s="163"/>
      <c r="C20" s="49"/>
      <c r="D20" s="164"/>
      <c r="E20" s="162"/>
      <c r="F20" s="165"/>
      <c r="G20" s="166"/>
      <c r="H20" s="166"/>
      <c r="I20" s="166"/>
      <c r="J20" s="178"/>
      <c r="K20" s="163" t="n">
        <f aca="false">52.14*F20</f>
        <v>0</v>
      </c>
      <c r="L20" s="167" t="n">
        <f aca="false">52.14*G20</f>
        <v>0</v>
      </c>
      <c r="M20" s="167" t="n">
        <f aca="false">52.14*H20</f>
        <v>0</v>
      </c>
      <c r="N20" s="167"/>
      <c r="O20" s="164" t="n">
        <f aca="false">52.14*J20</f>
        <v>0</v>
      </c>
      <c r="P20" s="168" t="n">
        <f aca="false">'household calculator'!G17</f>
        <v>0</v>
      </c>
      <c r="Q20" s="169" t="n">
        <f aca="false">'household calculator'!H17</f>
        <v>0</v>
      </c>
      <c r="R20" s="169" t="n">
        <f aca="false">'household calculator'!I17</f>
        <v>0</v>
      </c>
      <c r="S20" s="169" t="n">
        <f aca="false">'household calculator'!J17</f>
        <v>0</v>
      </c>
      <c r="T20" s="169" t="n">
        <f aca="false">'household calculator'!K17</f>
        <v>0</v>
      </c>
      <c r="U20" s="10"/>
      <c r="V20" s="170" t="str">
        <f aca="false">IF(P20&lt;&gt;0,(P20-K20)/P20,"")</f>
        <v/>
      </c>
      <c r="W20" s="171" t="str">
        <f aca="false">IF(Q20&lt;&gt;0,(Q20-L20)/Q20,"")</f>
        <v/>
      </c>
      <c r="X20" s="171" t="str">
        <f aca="false">IF(R20&lt;&gt;0,(R20-M20)/R20,"")</f>
        <v/>
      </c>
      <c r="Y20" s="171" t="str">
        <f aca="false">IF(S20&lt;&gt;0,(S20-N20)/S20,"")</f>
        <v/>
      </c>
      <c r="Z20" s="172" t="str">
        <f aca="false">IF(T20&lt;&gt;0,(T20-O20)/T20,"")</f>
        <v/>
      </c>
      <c r="AA20" s="85"/>
      <c r="AB20" s="173" t="n">
        <f aca="false">(P20-K20)/(P$34-K$34)</f>
        <v>0</v>
      </c>
      <c r="AC20" s="179"/>
      <c r="AD20" s="174" t="e">
        <f aca="false">(R20-M20)/(R$34-M$34)</f>
        <v>#N/A</v>
      </c>
      <c r="AE20" s="179"/>
      <c r="AF20" s="174" t="e">
        <f aca="false">(T20-O20)/(T$34-O$34)</f>
        <v>#N/A</v>
      </c>
      <c r="AG20" s="175" t="str">
        <f aca="false">IF(P20&lt;&gt;0,(P20-K20),"")</f>
        <v/>
      </c>
      <c r="AH20" s="176" t="str">
        <f aca="false">IF(Q20&lt;&gt;0,(Q20-L20),"")</f>
        <v/>
      </c>
      <c r="AI20" s="176" t="str">
        <f aca="false">IF(R20&lt;&gt;0,(R20-M20),"")</f>
        <v/>
      </c>
      <c r="AJ20" s="176" t="str">
        <f aca="false">IF(S20&lt;&gt;0,(S20-N20),"")</f>
        <v/>
      </c>
      <c r="AK20" s="177" t="str">
        <f aca="false">IF(T20&lt;&gt;0,(T20-O20),"")</f>
        <v/>
      </c>
      <c r="AL20" s="85"/>
      <c r="AM20" s="85"/>
    </row>
    <row r="21" customFormat="false" ht="14.5" hidden="false" customHeight="false" outlineLevel="0" collapsed="false">
      <c r="A21" s="153" t="s">
        <v>62</v>
      </c>
      <c r="B21" s="154"/>
      <c r="C21" s="52"/>
      <c r="D21" s="156"/>
      <c r="E21" s="157"/>
      <c r="F21" s="158"/>
      <c r="G21" s="159"/>
      <c r="H21" s="159"/>
      <c r="I21" s="159"/>
      <c r="J21" s="160"/>
      <c r="K21" s="154"/>
      <c r="L21" s="161"/>
      <c r="M21" s="161"/>
      <c r="N21" s="161"/>
      <c r="O21" s="156"/>
      <c r="P21" s="154" t="n">
        <f aca="false">'household calculator'!G18</f>
        <v>0</v>
      </c>
      <c r="Q21" s="161" t="n">
        <f aca="false">'household calculator'!H18</f>
        <v>0</v>
      </c>
      <c r="R21" s="161" t="n">
        <f aca="false">'household calculator'!I18</f>
        <v>0</v>
      </c>
      <c r="S21" s="161" t="n">
        <f aca="false">'household calculator'!J18</f>
        <v>0</v>
      </c>
      <c r="T21" s="161" t="n">
        <f aca="false">'household calculator'!K18</f>
        <v>0</v>
      </c>
      <c r="U21" s="10"/>
      <c r="V21" s="181" t="str">
        <f aca="false">IF(P21&lt;&gt;0,(P21-K21)/P21,"")</f>
        <v/>
      </c>
      <c r="W21" s="182" t="str">
        <f aca="false">IF(Q21&lt;&gt;0,(Q21-L21)/Q21,"")</f>
        <v/>
      </c>
      <c r="X21" s="182" t="str">
        <f aca="false">IF(R21&lt;&gt;0,(R21-M21)/R21,"")</f>
        <v/>
      </c>
      <c r="Y21" s="182" t="str">
        <f aca="false">IF(S21&lt;&gt;0,(S21-N21)/S21,"")</f>
        <v/>
      </c>
      <c r="Z21" s="183" t="str">
        <f aca="false">IF(T21&lt;&gt;0,(T21-O21)/T21,"")</f>
        <v/>
      </c>
      <c r="AA21" s="85"/>
      <c r="AB21" s="184"/>
      <c r="AC21" s="185"/>
      <c r="AD21" s="186"/>
      <c r="AE21" s="185"/>
      <c r="AF21" s="186"/>
      <c r="AG21" s="187" t="str">
        <f aca="false">IF(P21&lt;&gt;0,(P21-K21),"")</f>
        <v/>
      </c>
      <c r="AH21" s="188" t="str">
        <f aca="false">IF(Q21&lt;&gt;0,(Q21-L21),"")</f>
        <v/>
      </c>
      <c r="AI21" s="188" t="str">
        <f aca="false">IF(R21&lt;&gt;0,(R21-M21),"")</f>
        <v/>
      </c>
      <c r="AJ21" s="188" t="str">
        <f aca="false">IF(S21&lt;&gt;0,(S21-N21),"")</f>
        <v/>
      </c>
      <c r="AK21" s="189" t="str">
        <f aca="false">IF(T21&lt;&gt;0,(T21-O21),"")</f>
        <v/>
      </c>
      <c r="AL21" s="85"/>
      <c r="AM21" s="85"/>
    </row>
    <row r="22" customFormat="false" ht="14.5" hidden="false" customHeight="false" outlineLevel="0" collapsed="false">
      <c r="A22" s="162" t="s">
        <v>63</v>
      </c>
      <c r="B22" s="163" t="s">
        <v>287</v>
      </c>
      <c r="C22" s="49" t="n">
        <v>0</v>
      </c>
      <c r="D22" s="164" t="s">
        <v>65</v>
      </c>
      <c r="E22" s="162" t="n">
        <f aca="false">VLOOKUP(B22,'back end data'!A38:B40,2,0)</f>
        <v>0.12</v>
      </c>
      <c r="F22" s="165" t="n">
        <f aca="false">C22*7</f>
        <v>0</v>
      </c>
      <c r="G22" s="166"/>
      <c r="H22" s="166" t="n">
        <f aca="false">J22*'back end data'!B63</f>
        <v>0</v>
      </c>
      <c r="I22" s="166"/>
      <c r="J22" s="178" t="n">
        <f aca="false">C22*7*E22</f>
        <v>0</v>
      </c>
      <c r="K22" s="163" t="n">
        <f aca="false">52.14*F22</f>
        <v>0</v>
      </c>
      <c r="L22" s="167" t="n">
        <f aca="false">52.14*G22</f>
        <v>0</v>
      </c>
      <c r="M22" s="167" t="n">
        <f aca="false">52.14*H22</f>
        <v>0</v>
      </c>
      <c r="N22" s="167" t="n">
        <f aca="false">52.14*I22</f>
        <v>0</v>
      </c>
      <c r="O22" s="164" t="n">
        <f aca="false">52.14*J22</f>
        <v>0</v>
      </c>
      <c r="P22" s="168" t="n">
        <f aca="false">'household calculator'!G19</f>
        <v>364.98</v>
      </c>
      <c r="Q22" s="169" t="n">
        <f aca="false">'household calculator'!H19</f>
        <v>0</v>
      </c>
      <c r="R22" s="169" t="n">
        <f aca="false">'household calculator'!I19</f>
        <v>24.887110248</v>
      </c>
      <c r="S22" s="169" t="n">
        <f aca="false">'household calculator'!J19</f>
        <v>0</v>
      </c>
      <c r="T22" s="169" t="n">
        <f aca="false">'household calculator'!K19</f>
        <v>131.3928</v>
      </c>
      <c r="U22" s="10"/>
      <c r="V22" s="170" t="n">
        <f aca="false">IF(P22&lt;&gt;0,(P22-K22)/P22,"")</f>
        <v>1</v>
      </c>
      <c r="W22" s="171" t="str">
        <f aca="false">IF(Q22&lt;&gt;0,(Q22-L22)/Q22,"")</f>
        <v/>
      </c>
      <c r="X22" s="171" t="n">
        <f aca="false">IF(R22&lt;&gt;0,(R22-M22)/R22,"")</f>
        <v>1</v>
      </c>
      <c r="Y22" s="171" t="str">
        <f aca="false">IF(S22&lt;&gt;0,(S22-N22)/S22,"")</f>
        <v/>
      </c>
      <c r="Z22" s="172" t="n">
        <f aca="false">IF(T22&lt;&gt;0,(T22-O22)/T22,"")</f>
        <v>1</v>
      </c>
      <c r="AA22" s="85"/>
      <c r="AB22" s="173" t="n">
        <f aca="false">(P22-K22)/(P$34-K$34)</f>
        <v>0.00498071750793357</v>
      </c>
      <c r="AC22" s="179"/>
      <c r="AD22" s="174" t="e">
        <f aca="false">(R22-M22)/(R$34-M$34)</f>
        <v>#N/A</v>
      </c>
      <c r="AE22" s="179"/>
      <c r="AF22" s="174" t="e">
        <f aca="false">(T22-O22)/(T$34-O$34)</f>
        <v>#N/A</v>
      </c>
      <c r="AG22" s="175" t="n">
        <f aca="false">IF(P22&lt;&gt;0,(P22-K22),"")</f>
        <v>364.98</v>
      </c>
      <c r="AH22" s="176" t="str">
        <f aca="false">IF(Q22&lt;&gt;0,(Q22-L22),"")</f>
        <v/>
      </c>
      <c r="AI22" s="176" t="n">
        <f aca="false">IF(R22&lt;&gt;0,(R22-M22),"")</f>
        <v>24.887110248</v>
      </c>
      <c r="AJ22" s="176" t="str">
        <f aca="false">IF(S22&lt;&gt;0,(S22-N22),"")</f>
        <v/>
      </c>
      <c r="AK22" s="177" t="n">
        <f aca="false">IF(T22&lt;&gt;0,(T22-O22),"")</f>
        <v>131.3928</v>
      </c>
      <c r="AL22" s="85"/>
      <c r="AM22" s="85"/>
    </row>
    <row r="23" customFormat="false" ht="14.5" hidden="false" customHeight="false" outlineLevel="0" collapsed="false">
      <c r="A23" s="162" t="s">
        <v>66</v>
      </c>
      <c r="B23" s="163" t="s">
        <v>67</v>
      </c>
      <c r="C23" s="49" t="n">
        <v>0</v>
      </c>
      <c r="D23" s="164" t="s">
        <v>47</v>
      </c>
      <c r="E23" s="162" t="n">
        <f aca="false">VLOOKUP(B23,'back end data'!A42:B43,2,0)</f>
        <v>30</v>
      </c>
      <c r="F23" s="165" t="n">
        <f aca="false">'explore alternative lifestyles'!C23*'explore alternative lifestyles'!E23</f>
        <v>0</v>
      </c>
      <c r="G23" s="166"/>
      <c r="H23" s="166" t="n">
        <f aca="false">F23*0.5*VLOOKUP(Start!B15,'back end data'!A83:G84,4,0)</f>
        <v>0</v>
      </c>
      <c r="I23" s="166"/>
      <c r="J23" s="178" t="n">
        <f aca="false">F23*0.5*VLOOKUP(Start!B15,'back end data'!A83:G84,6,0)</f>
        <v>0</v>
      </c>
      <c r="K23" s="163" t="n">
        <f aca="false">52.14*F23</f>
        <v>0</v>
      </c>
      <c r="L23" s="167" t="n">
        <f aca="false">52.14*G23</f>
        <v>0</v>
      </c>
      <c r="M23" s="167" t="n">
        <f aca="false">52.14*H23</f>
        <v>0</v>
      </c>
      <c r="N23" s="167" t="n">
        <f aca="false">52.14*I23</f>
        <v>0</v>
      </c>
      <c r="O23" s="164" t="n">
        <f aca="false">52.14*J23</f>
        <v>0</v>
      </c>
      <c r="P23" s="168" t="n">
        <f aca="false">'household calculator'!G20</f>
        <v>10949.4</v>
      </c>
      <c r="Q23" s="169" t="n">
        <f aca="false">'household calculator'!H20</f>
        <v>0</v>
      </c>
      <c r="R23" s="169" t="n">
        <f aca="false">'household calculator'!I20</f>
        <v>50.8367874458889</v>
      </c>
      <c r="S23" s="169" t="n">
        <f aca="false">'household calculator'!J20</f>
        <v>0</v>
      </c>
      <c r="T23" s="169" t="n">
        <f aca="false">'household calculator'!K20</f>
        <v>268.395477777778</v>
      </c>
      <c r="U23" s="10"/>
      <c r="V23" s="170" t="n">
        <f aca="false">IF(P23&lt;&gt;0,(P23-K23)/P23,"")</f>
        <v>1</v>
      </c>
      <c r="W23" s="171" t="str">
        <f aca="false">IF(Q23&lt;&gt;0,(Q23-L23)/Q23,"")</f>
        <v/>
      </c>
      <c r="X23" s="171" t="n">
        <f aca="false">IF(R23&lt;&gt;0,(R23-M23)/R23,"")</f>
        <v>1</v>
      </c>
      <c r="Y23" s="171" t="str">
        <f aca="false">IF(S23&lt;&gt;0,(S23-N23)/S23,"")</f>
        <v/>
      </c>
      <c r="Z23" s="172" t="n">
        <f aca="false">IF(T23&lt;&gt;0,(T23-O23)/T23,"")</f>
        <v>1</v>
      </c>
      <c r="AA23" s="85"/>
      <c r="AB23" s="173" t="n">
        <f aca="false">(P23-K23)/(P$34-K$34)</f>
        <v>0.149421525238007</v>
      </c>
      <c r="AC23" s="179"/>
      <c r="AD23" s="174" t="e">
        <f aca="false">(R23-M23)/(R$34-M$34)</f>
        <v>#N/A</v>
      </c>
      <c r="AE23" s="179"/>
      <c r="AF23" s="174" t="e">
        <f aca="false">(T23-O23)/(T$34-O$34)</f>
        <v>#N/A</v>
      </c>
      <c r="AG23" s="175" t="n">
        <f aca="false">IF(P23&lt;&gt;0,(P23-K23),"")</f>
        <v>10949.4</v>
      </c>
      <c r="AH23" s="176" t="str">
        <f aca="false">IF(Q23&lt;&gt;0,(Q23-L23),"")</f>
        <v/>
      </c>
      <c r="AI23" s="176" t="n">
        <f aca="false">IF(R23&lt;&gt;0,(R23-M23),"")</f>
        <v>50.8367874458889</v>
      </c>
      <c r="AJ23" s="176" t="str">
        <f aca="false">IF(S23&lt;&gt;0,(S23-N23),"")</f>
        <v/>
      </c>
      <c r="AK23" s="177" t="n">
        <f aca="false">IF(T23&lt;&gt;0,(T23-O23),"")</f>
        <v>268.395477777778</v>
      </c>
      <c r="AL23" s="85"/>
      <c r="AM23" s="85"/>
    </row>
    <row r="24" customFormat="false" ht="14.5" hidden="false" customHeight="false" outlineLevel="0" collapsed="false">
      <c r="A24" s="162" t="s">
        <v>68</v>
      </c>
      <c r="B24" s="163" t="s">
        <v>288</v>
      </c>
      <c r="C24" s="49" t="n">
        <v>0</v>
      </c>
      <c r="D24" s="164" t="s">
        <v>70</v>
      </c>
      <c r="E24" s="162" t="n">
        <f aca="false">VLOOKUP(B24,'back end data'!A45:B47,2,0)</f>
        <v>13</v>
      </c>
      <c r="F24" s="165" t="n">
        <f aca="false">C24*E24</f>
        <v>0</v>
      </c>
      <c r="G24" s="166"/>
      <c r="H24" s="166" t="n">
        <f aca="false">F24*VLOOKUP(Start!B15,'back end data'!A83:G84,4,0)</f>
        <v>0</v>
      </c>
      <c r="I24" s="166"/>
      <c r="J24" s="178" t="n">
        <f aca="false">F24*VLOOKUP(Start!B15,'back end data'!A83:G84,6,0)</f>
        <v>0</v>
      </c>
      <c r="K24" s="163" t="n">
        <f aca="false">52.14*F24</f>
        <v>0</v>
      </c>
      <c r="L24" s="167" t="n">
        <f aca="false">52.14*G24</f>
        <v>0</v>
      </c>
      <c r="M24" s="167" t="n">
        <f aca="false">52.14*H24</f>
        <v>0</v>
      </c>
      <c r="N24" s="167" t="n">
        <f aca="false">52.14*I24</f>
        <v>0</v>
      </c>
      <c r="O24" s="164" t="n">
        <f aca="false">52.14*J24</f>
        <v>0</v>
      </c>
      <c r="P24" s="168" t="n">
        <f aca="false">'household calculator'!G21</f>
        <v>0</v>
      </c>
      <c r="Q24" s="169" t="n">
        <f aca="false">'household calculator'!H21</f>
        <v>0</v>
      </c>
      <c r="R24" s="169" t="n">
        <f aca="false">'household calculator'!I21</f>
        <v>0</v>
      </c>
      <c r="S24" s="169" t="n">
        <f aca="false">'household calculator'!J21</f>
        <v>0</v>
      </c>
      <c r="T24" s="169" t="n">
        <f aca="false">'household calculator'!K21</f>
        <v>0</v>
      </c>
      <c r="U24" s="10"/>
      <c r="V24" s="170" t="str">
        <f aca="false">IF(P24&lt;&gt;0,(P24-K24)/P24,"")</f>
        <v/>
      </c>
      <c r="W24" s="171" t="str">
        <f aca="false">IF(Q24&lt;&gt;0,(Q24-L24)/Q24,"")</f>
        <v/>
      </c>
      <c r="X24" s="171" t="str">
        <f aca="false">IF(R24&lt;&gt;0,(R24-M24)/R24,"")</f>
        <v/>
      </c>
      <c r="Y24" s="171" t="str">
        <f aca="false">IF(S24&lt;&gt;0,(S24-N24)/S24,"")</f>
        <v/>
      </c>
      <c r="Z24" s="172" t="str">
        <f aca="false">IF(T24&lt;&gt;0,(T24-O24)/T24,"")</f>
        <v/>
      </c>
      <c r="AA24" s="85"/>
      <c r="AB24" s="173" t="n">
        <f aca="false">(P24-K24)/(P$34-K$34)</f>
        <v>0</v>
      </c>
      <c r="AC24" s="179"/>
      <c r="AD24" s="174" t="e">
        <f aca="false">(R24-M24)/(R$34-M$34)</f>
        <v>#N/A</v>
      </c>
      <c r="AE24" s="179"/>
      <c r="AF24" s="174" t="e">
        <f aca="false">(T24-O24)/(T$34-O$34)</f>
        <v>#N/A</v>
      </c>
      <c r="AG24" s="175" t="str">
        <f aca="false">IF(P24&lt;&gt;0,(P24-K24),"")</f>
        <v/>
      </c>
      <c r="AH24" s="176" t="str">
        <f aca="false">IF(Q24&lt;&gt;0,(Q24-L24),"")</f>
        <v/>
      </c>
      <c r="AI24" s="176" t="str">
        <f aca="false">IF(R24&lt;&gt;0,(R24-M24),"")</f>
        <v/>
      </c>
      <c r="AJ24" s="176" t="str">
        <f aca="false">IF(S24&lt;&gt;0,(S24-N24),"")</f>
        <v/>
      </c>
      <c r="AK24" s="177" t="str">
        <f aca="false">IF(T24&lt;&gt;0,(T24-O24),"")</f>
        <v/>
      </c>
      <c r="AL24" s="85"/>
      <c r="AM24" s="85"/>
    </row>
    <row r="25" customFormat="false" ht="14.5" hidden="false" customHeight="false" outlineLevel="0" collapsed="false">
      <c r="A25" s="162"/>
      <c r="B25" s="163"/>
      <c r="C25" s="49"/>
      <c r="D25" s="164"/>
      <c r="E25" s="162"/>
      <c r="F25" s="165"/>
      <c r="G25" s="166"/>
      <c r="H25" s="166"/>
      <c r="I25" s="166"/>
      <c r="J25" s="178"/>
      <c r="K25" s="163" t="n">
        <f aca="false">52.14*F25</f>
        <v>0</v>
      </c>
      <c r="L25" s="167" t="n">
        <f aca="false">52.14*G25</f>
        <v>0</v>
      </c>
      <c r="M25" s="167" t="n">
        <f aca="false">52.14*H25</f>
        <v>0</v>
      </c>
      <c r="N25" s="167" t="n">
        <f aca="false">52.14*I25</f>
        <v>0</v>
      </c>
      <c r="O25" s="164" t="n">
        <f aca="false">52.14*J25</f>
        <v>0</v>
      </c>
      <c r="P25" s="168" t="n">
        <f aca="false">'household calculator'!G22</f>
        <v>0</v>
      </c>
      <c r="Q25" s="169" t="n">
        <f aca="false">'household calculator'!H22</f>
        <v>0</v>
      </c>
      <c r="R25" s="169" t="n">
        <f aca="false">'household calculator'!I22</f>
        <v>0</v>
      </c>
      <c r="S25" s="169" t="n">
        <f aca="false">'household calculator'!J22</f>
        <v>0</v>
      </c>
      <c r="T25" s="169" t="n">
        <f aca="false">'household calculator'!K22</f>
        <v>0</v>
      </c>
      <c r="U25" s="10"/>
      <c r="V25" s="170" t="str">
        <f aca="false">IF(P25&lt;&gt;0,(P25-K25)/P25,"")</f>
        <v/>
      </c>
      <c r="W25" s="171" t="str">
        <f aca="false">IF(Q25&lt;&gt;0,(Q25-L25)/Q25,"")</f>
        <v/>
      </c>
      <c r="X25" s="171" t="str">
        <f aca="false">IF(R25&lt;&gt;0,(R25-M25)/R25,"")</f>
        <v/>
      </c>
      <c r="Y25" s="171" t="str">
        <f aca="false">IF(S25&lt;&gt;0,(S25-N25)/S25,"")</f>
        <v/>
      </c>
      <c r="Z25" s="172" t="str">
        <f aca="false">IF(T25&lt;&gt;0,(T25-O25)/T25,"")</f>
        <v/>
      </c>
      <c r="AA25" s="85"/>
      <c r="AB25" s="173" t="n">
        <f aca="false">(P25-K25)/(P$34-K$34)</f>
        <v>0</v>
      </c>
      <c r="AC25" s="179"/>
      <c r="AD25" s="174" t="e">
        <f aca="false">(R25-M25)/(R$34-M$34)</f>
        <v>#N/A</v>
      </c>
      <c r="AE25" s="179"/>
      <c r="AF25" s="174" t="e">
        <f aca="false">(T25-O25)/(T$34-O$34)</f>
        <v>#N/A</v>
      </c>
      <c r="AG25" s="175" t="str">
        <f aca="false">IF(P25&lt;&gt;0,(P25-K25),"")</f>
        <v/>
      </c>
      <c r="AH25" s="176" t="str">
        <f aca="false">IF(Q25&lt;&gt;0,(Q25-L25),"")</f>
        <v/>
      </c>
      <c r="AI25" s="176" t="str">
        <f aca="false">IF(R25&lt;&gt;0,(R25-M25),"")</f>
        <v/>
      </c>
      <c r="AJ25" s="176" t="str">
        <f aca="false">IF(S25&lt;&gt;0,(S25-N25),"")</f>
        <v/>
      </c>
      <c r="AK25" s="177" t="str">
        <f aca="false">IF(T25&lt;&gt;0,(T25-O25),"")</f>
        <v/>
      </c>
      <c r="AL25" s="85"/>
      <c r="AM25" s="85"/>
    </row>
    <row r="26" customFormat="false" ht="14.5" hidden="false" customHeight="false" outlineLevel="0" collapsed="false">
      <c r="A26" s="153" t="s">
        <v>71</v>
      </c>
      <c r="B26" s="154"/>
      <c r="C26" s="52"/>
      <c r="D26" s="156"/>
      <c r="E26" s="157"/>
      <c r="F26" s="158"/>
      <c r="G26" s="159"/>
      <c r="H26" s="159"/>
      <c r="I26" s="159"/>
      <c r="J26" s="160"/>
      <c r="K26" s="154"/>
      <c r="L26" s="161"/>
      <c r="M26" s="161"/>
      <c r="N26" s="161"/>
      <c r="O26" s="156"/>
      <c r="P26" s="154" t="n">
        <f aca="false">'household calculator'!G23</f>
        <v>0</v>
      </c>
      <c r="Q26" s="161" t="n">
        <f aca="false">'household calculator'!H23</f>
        <v>0</v>
      </c>
      <c r="R26" s="161" t="n">
        <f aca="false">'household calculator'!I23</f>
        <v>0</v>
      </c>
      <c r="S26" s="161" t="n">
        <f aca="false">'household calculator'!J23</f>
        <v>0</v>
      </c>
      <c r="T26" s="161" t="n">
        <f aca="false">'household calculator'!K23</f>
        <v>0</v>
      </c>
      <c r="U26" s="10"/>
      <c r="V26" s="181" t="str">
        <f aca="false">IF(P26&lt;&gt;0,(P26-K26)/P26,"")</f>
        <v/>
      </c>
      <c r="W26" s="182" t="str">
        <f aca="false">IF(Q26&lt;&gt;0,(Q26-L26)/Q26,"")</f>
        <v/>
      </c>
      <c r="X26" s="182" t="str">
        <f aca="false">IF(R26&lt;&gt;0,(R26-M26)/R26,"")</f>
        <v/>
      </c>
      <c r="Y26" s="182" t="str">
        <f aca="false">IF(S26&lt;&gt;0,(S26-N26)/S26,"")</f>
        <v/>
      </c>
      <c r="Z26" s="183" t="str">
        <f aca="false">IF(T26&lt;&gt;0,(T26-O26)/T26,"")</f>
        <v/>
      </c>
      <c r="AA26" s="85"/>
      <c r="AB26" s="184"/>
      <c r="AC26" s="185"/>
      <c r="AD26" s="186"/>
      <c r="AE26" s="185"/>
      <c r="AF26" s="186"/>
      <c r="AG26" s="187" t="str">
        <f aca="false">IF(P26&lt;&gt;0,(P26-K26),"")</f>
        <v/>
      </c>
      <c r="AH26" s="188" t="str">
        <f aca="false">IF(Q26&lt;&gt;0,(Q26-L26),"")</f>
        <v/>
      </c>
      <c r="AI26" s="188" t="str">
        <f aca="false">IF(R26&lt;&gt;0,(R26-M26),"")</f>
        <v/>
      </c>
      <c r="AJ26" s="188" t="str">
        <f aca="false">IF(S26&lt;&gt;0,(S26-N26),"")</f>
        <v/>
      </c>
      <c r="AK26" s="189" t="str">
        <f aca="false">IF(T26&lt;&gt;0,(T26-O26),"")</f>
        <v/>
      </c>
      <c r="AL26" s="85"/>
      <c r="AM26" s="85"/>
    </row>
    <row r="27" customFormat="false" ht="14.5" hidden="false" customHeight="false" outlineLevel="0" collapsed="false">
      <c r="A27" s="162" t="s">
        <v>72</v>
      </c>
      <c r="B27" s="163" t="s">
        <v>73</v>
      </c>
      <c r="C27" s="49" t="n">
        <v>0</v>
      </c>
      <c r="D27" s="164" t="s">
        <v>74</v>
      </c>
      <c r="E27" s="162" t="n">
        <f aca="false">VLOOKUP(B27,'back end data'!A50:B52,2,0)</f>
        <v>0.05</v>
      </c>
      <c r="F27" s="165" t="n">
        <v>0</v>
      </c>
      <c r="G27" s="166"/>
      <c r="H27" s="166" t="n">
        <f aca="false">J27*'back end data'!$B$63</f>
        <v>0</v>
      </c>
      <c r="I27" s="166"/>
      <c r="J27" s="178" t="n">
        <f aca="false">C27*E27</f>
        <v>0</v>
      </c>
      <c r="K27" s="163" t="n">
        <f aca="false">52.14*F27</f>
        <v>0</v>
      </c>
      <c r="L27" s="167" t="n">
        <f aca="false">52.14*G27</f>
        <v>0</v>
      </c>
      <c r="M27" s="167" t="n">
        <f aca="false">52.14*H27</f>
        <v>0</v>
      </c>
      <c r="N27" s="167" t="n">
        <f aca="false">52.14*I27</f>
        <v>0</v>
      </c>
      <c r="O27" s="164" t="n">
        <f aca="false">52.14*J27</f>
        <v>0</v>
      </c>
      <c r="P27" s="168" t="n">
        <f aca="false">'household calculator'!G24</f>
        <v>0</v>
      </c>
      <c r="Q27" s="169" t="n">
        <f aca="false">'household calculator'!H24</f>
        <v>0</v>
      </c>
      <c r="R27" s="169" t="n">
        <f aca="false">'household calculator'!I24</f>
        <v>0</v>
      </c>
      <c r="S27" s="169" t="n">
        <f aca="false">'household calculator'!J24</f>
        <v>0</v>
      </c>
      <c r="T27" s="169" t="n">
        <f aca="false">'household calculator'!K24</f>
        <v>0</v>
      </c>
      <c r="U27" s="10"/>
      <c r="V27" s="170" t="str">
        <f aca="false">IF(P27&lt;&gt;0,(P27-K27)/P27,"")</f>
        <v/>
      </c>
      <c r="W27" s="171" t="str">
        <f aca="false">IF(Q27&lt;&gt;0,(Q27-L27)/Q27,"")</f>
        <v/>
      </c>
      <c r="X27" s="171" t="str">
        <f aca="false">IF(R27&lt;&gt;0,(R27-M27)/R27,"")</f>
        <v/>
      </c>
      <c r="Y27" s="171" t="str">
        <f aca="false">IF(S27&lt;&gt;0,(S27-N27)/S27,"")</f>
        <v/>
      </c>
      <c r="Z27" s="172" t="str">
        <f aca="false">IF(T27&lt;&gt;0,(T27-O27)/T27,"")</f>
        <v/>
      </c>
      <c r="AA27" s="85"/>
      <c r="AB27" s="173" t="n">
        <f aca="false">(P27-K27)/(P$34-K$34)</f>
        <v>0</v>
      </c>
      <c r="AC27" s="179"/>
      <c r="AD27" s="174" t="e">
        <f aca="false">(R27-M27)/(R$34-M$34)</f>
        <v>#N/A</v>
      </c>
      <c r="AE27" s="179"/>
      <c r="AF27" s="174" t="e">
        <f aca="false">(T27-O27)/(T$34-O$34)</f>
        <v>#N/A</v>
      </c>
      <c r="AG27" s="175" t="str">
        <f aca="false">IF(P27&lt;&gt;0,(P27-K27),"")</f>
        <v/>
      </c>
      <c r="AH27" s="176" t="str">
        <f aca="false">IF(Q27&lt;&gt;0,(Q27-L27),"")</f>
        <v/>
      </c>
      <c r="AI27" s="176" t="str">
        <f aca="false">IF(R27&lt;&gt;0,(R27-M27),"")</f>
        <v/>
      </c>
      <c r="AJ27" s="176" t="str">
        <f aca="false">IF(S27&lt;&gt;0,(S27-N27),"")</f>
        <v/>
      </c>
      <c r="AK27" s="177" t="str">
        <f aca="false">IF(T27&lt;&gt;0,(T27-O27),"")</f>
        <v/>
      </c>
      <c r="AL27" s="85"/>
      <c r="AM27" s="85"/>
    </row>
    <row r="28" customFormat="false" ht="14.5" hidden="false" customHeight="false" outlineLevel="0" collapsed="false">
      <c r="A28" s="162" t="s">
        <v>75</v>
      </c>
      <c r="B28" s="163" t="s">
        <v>289</v>
      </c>
      <c r="C28" s="49" t="n">
        <v>0</v>
      </c>
      <c r="D28" s="164" t="s">
        <v>77</v>
      </c>
      <c r="E28" s="162" t="n">
        <f aca="false">VLOOKUP(B28,'back end data'!A54:B55,2,0)</f>
        <v>0.3</v>
      </c>
      <c r="F28" s="165" t="n">
        <v>0</v>
      </c>
      <c r="G28" s="166"/>
      <c r="H28" s="166" t="n">
        <f aca="false">J28*'back end data'!$B$63</f>
        <v>0</v>
      </c>
      <c r="I28" s="166"/>
      <c r="J28" s="178" t="n">
        <f aca="false">7*C28*E28</f>
        <v>0</v>
      </c>
      <c r="K28" s="163" t="n">
        <f aca="false">52.14*F28</f>
        <v>0</v>
      </c>
      <c r="L28" s="167" t="n">
        <f aca="false">52.14*G28</f>
        <v>0</v>
      </c>
      <c r="M28" s="167" t="n">
        <f aca="false">52.14*H28</f>
        <v>0</v>
      </c>
      <c r="N28" s="167" t="n">
        <f aca="false">52.14*I28</f>
        <v>0</v>
      </c>
      <c r="O28" s="164" t="n">
        <f aca="false">52.14*J28</f>
        <v>0</v>
      </c>
      <c r="P28" s="168" t="n">
        <f aca="false">'household calculator'!G25</f>
        <v>0</v>
      </c>
      <c r="Q28" s="169" t="n">
        <f aca="false">'household calculator'!H25</f>
        <v>0</v>
      </c>
      <c r="R28" s="169" t="n">
        <f aca="false">'household calculator'!I25</f>
        <v>34.5654309</v>
      </c>
      <c r="S28" s="169" t="n">
        <f aca="false">'household calculator'!J25</f>
        <v>0</v>
      </c>
      <c r="T28" s="169" t="n">
        <f aca="false">'household calculator'!K25</f>
        <v>182.49</v>
      </c>
      <c r="U28" s="10"/>
      <c r="V28" s="170" t="str">
        <f aca="false">IF(P28&lt;&gt;0,(P28-K28)/P28,"")</f>
        <v/>
      </c>
      <c r="W28" s="171" t="str">
        <f aca="false">IF(Q28&lt;&gt;0,(Q28-L28)/Q28,"")</f>
        <v/>
      </c>
      <c r="X28" s="171" t="n">
        <f aca="false">IF(R28&lt;&gt;0,(R28-M28)/R28,"")</f>
        <v>1</v>
      </c>
      <c r="Y28" s="171" t="str">
        <f aca="false">IF(S28&lt;&gt;0,(S28-N28)/S28,"")</f>
        <v/>
      </c>
      <c r="Z28" s="172" t="n">
        <f aca="false">IF(T28&lt;&gt;0,(T28-O28)/T28,"")</f>
        <v>1</v>
      </c>
      <c r="AA28" s="85"/>
      <c r="AB28" s="173" t="n">
        <f aca="false">(P28-K28)/(P$34-K$34)</f>
        <v>0</v>
      </c>
      <c r="AC28" s="179"/>
      <c r="AD28" s="174" t="e">
        <f aca="false">(R28-M28)/(R$34-M$34)</f>
        <v>#N/A</v>
      </c>
      <c r="AE28" s="179"/>
      <c r="AF28" s="174" t="e">
        <f aca="false">(T28-O28)/(T$34-O$34)</f>
        <v>#N/A</v>
      </c>
      <c r="AG28" s="175" t="str">
        <f aca="false">IF(P28&lt;&gt;0,(P28-K28),"")</f>
        <v/>
      </c>
      <c r="AH28" s="176" t="str">
        <f aca="false">IF(Q28&lt;&gt;0,(Q28-L28),"")</f>
        <v/>
      </c>
      <c r="AI28" s="176" t="n">
        <f aca="false">IF(R28&lt;&gt;0,(R28-M28),"")</f>
        <v>34.5654309</v>
      </c>
      <c r="AJ28" s="176" t="str">
        <f aca="false">IF(S28&lt;&gt;0,(S28-N28),"")</f>
        <v/>
      </c>
      <c r="AK28" s="177" t="n">
        <f aca="false">IF(T28&lt;&gt;0,(T28-O28),"")</f>
        <v>182.49</v>
      </c>
      <c r="AL28" s="85"/>
      <c r="AM28" s="85"/>
    </row>
    <row r="29" customFormat="false" ht="14.5" hidden="false" customHeight="false" outlineLevel="0" collapsed="false">
      <c r="A29" s="162" t="s">
        <v>78</v>
      </c>
      <c r="B29" s="163" t="s">
        <v>79</v>
      </c>
      <c r="C29" s="49" t="n">
        <v>0</v>
      </c>
      <c r="D29" s="164" t="s">
        <v>77</v>
      </c>
      <c r="E29" s="162" t="n">
        <f aca="false">VLOOKUP(B29,'back end data'!A60:B61,2,0)</f>
        <v>0.005</v>
      </c>
      <c r="F29" s="165" t="n">
        <v>0</v>
      </c>
      <c r="G29" s="166"/>
      <c r="H29" s="166" t="n">
        <f aca="false">J29*'back end data'!$B$63</f>
        <v>0</v>
      </c>
      <c r="I29" s="166"/>
      <c r="J29" s="178" t="n">
        <f aca="false">7*C29*E29</f>
        <v>0</v>
      </c>
      <c r="K29" s="163" t="n">
        <f aca="false">52.14*F29</f>
        <v>0</v>
      </c>
      <c r="L29" s="167" t="n">
        <f aca="false">52.14*G29</f>
        <v>0</v>
      </c>
      <c r="M29" s="167" t="n">
        <f aca="false">52.14*H29</f>
        <v>0</v>
      </c>
      <c r="N29" s="167" t="n">
        <f aca="false">52.14*I29</f>
        <v>0</v>
      </c>
      <c r="O29" s="164" t="n">
        <f aca="false">52.14*J29</f>
        <v>0</v>
      </c>
      <c r="P29" s="168" t="n">
        <f aca="false">'household calculator'!G26</f>
        <v>0</v>
      </c>
      <c r="Q29" s="169" t="n">
        <f aca="false">'household calculator'!H26</f>
        <v>0</v>
      </c>
      <c r="R29" s="169" t="n">
        <f aca="false">'household calculator'!I26</f>
        <v>0.345654309</v>
      </c>
      <c r="S29" s="169" t="n">
        <f aca="false">'household calculator'!J26</f>
        <v>0</v>
      </c>
      <c r="T29" s="169" t="n">
        <f aca="false">'household calculator'!K26</f>
        <v>1.8249</v>
      </c>
      <c r="U29" s="10"/>
      <c r="V29" s="170" t="str">
        <f aca="false">IF(P29&lt;&gt;0,(P29-K29)/P29,"")</f>
        <v/>
      </c>
      <c r="W29" s="171" t="str">
        <f aca="false">IF(Q29&lt;&gt;0,(Q29-L29)/Q29,"")</f>
        <v/>
      </c>
      <c r="X29" s="171" t="n">
        <f aca="false">IF(R29&lt;&gt;0,(R29-M29)/R29,"")</f>
        <v>1</v>
      </c>
      <c r="Y29" s="171" t="str">
        <f aca="false">IF(S29&lt;&gt;0,(S29-N29)/S29,"")</f>
        <v/>
      </c>
      <c r="Z29" s="172" t="n">
        <f aca="false">IF(T29&lt;&gt;0,(T29-O29)/T29,"")</f>
        <v>1</v>
      </c>
      <c r="AA29" s="85"/>
      <c r="AB29" s="173" t="n">
        <f aca="false">(P29-K29)/(P$34-K$34)</f>
        <v>0</v>
      </c>
      <c r="AC29" s="179"/>
      <c r="AD29" s="174" t="e">
        <f aca="false">(R29-M29)/(R$34-M$34)</f>
        <v>#N/A</v>
      </c>
      <c r="AE29" s="179"/>
      <c r="AF29" s="174" t="e">
        <f aca="false">(T29-O29)/(T$34-O$34)</f>
        <v>#N/A</v>
      </c>
      <c r="AG29" s="175" t="str">
        <f aca="false">IF(P29&lt;&gt;0,(P29-K29),"")</f>
        <v/>
      </c>
      <c r="AH29" s="176" t="str">
        <f aca="false">IF(Q29&lt;&gt;0,(Q29-L29),"")</f>
        <v/>
      </c>
      <c r="AI29" s="176" t="n">
        <f aca="false">IF(R29&lt;&gt;0,(R29-M29),"")</f>
        <v>0.345654309</v>
      </c>
      <c r="AJ29" s="176" t="str">
        <f aca="false">IF(S29&lt;&gt;0,(S29-N29),"")</f>
        <v/>
      </c>
      <c r="AK29" s="177" t="n">
        <f aca="false">IF(T29&lt;&gt;0,(T29-O29),"")</f>
        <v>1.8249</v>
      </c>
      <c r="AL29" s="85"/>
      <c r="AM29" s="85"/>
    </row>
    <row r="30" customFormat="false" ht="14.5" hidden="false" customHeight="false" outlineLevel="0" collapsed="false">
      <c r="A30" s="162" t="s">
        <v>80</v>
      </c>
      <c r="B30" s="163" t="s">
        <v>80</v>
      </c>
      <c r="C30" s="49" t="n">
        <v>0</v>
      </c>
      <c r="D30" s="164" t="s">
        <v>77</v>
      </c>
      <c r="E30" s="162" t="n">
        <f aca="false">VLOOKUP(B30,'back end data'!A57:B58,2,0)</f>
        <v>0.015</v>
      </c>
      <c r="F30" s="165" t="n">
        <v>0</v>
      </c>
      <c r="G30" s="166"/>
      <c r="H30" s="166" t="n">
        <f aca="false">J30*'back end data'!$B$63</f>
        <v>0</v>
      </c>
      <c r="I30" s="166"/>
      <c r="J30" s="178" t="n">
        <f aca="false">7*C30*E30</f>
        <v>0</v>
      </c>
      <c r="K30" s="163" t="n">
        <f aca="false">52.14*F30</f>
        <v>0</v>
      </c>
      <c r="L30" s="167" t="n">
        <f aca="false">52.14*G30</f>
        <v>0</v>
      </c>
      <c r="M30" s="167" t="n">
        <f aca="false">52.14*H30</f>
        <v>0</v>
      </c>
      <c r="N30" s="167" t="n">
        <f aca="false">52.14*I30</f>
        <v>0</v>
      </c>
      <c r="O30" s="164" t="n">
        <f aca="false">52.14*J30</f>
        <v>0</v>
      </c>
      <c r="P30" s="168" t="n">
        <f aca="false">'household calculator'!G27</f>
        <v>0</v>
      </c>
      <c r="Q30" s="169" t="n">
        <f aca="false">'household calculator'!H27</f>
        <v>0</v>
      </c>
      <c r="R30" s="169" t="n">
        <f aca="false">'household calculator'!I27</f>
        <v>0</v>
      </c>
      <c r="S30" s="169" t="n">
        <f aca="false">'household calculator'!J27</f>
        <v>0</v>
      </c>
      <c r="T30" s="169" t="n">
        <f aca="false">'household calculator'!K27</f>
        <v>0</v>
      </c>
      <c r="U30" s="10"/>
      <c r="V30" s="170" t="str">
        <f aca="false">IF(P30&lt;&gt;0,(P30-K30)/P30,"")</f>
        <v/>
      </c>
      <c r="W30" s="171" t="str">
        <f aca="false">IF(Q30&lt;&gt;0,(Q30-L30)/Q30,"")</f>
        <v/>
      </c>
      <c r="X30" s="171" t="str">
        <f aca="false">IF(R30&lt;&gt;0,(R30-M30)/R30,"")</f>
        <v/>
      </c>
      <c r="Y30" s="171" t="str">
        <f aca="false">IF(S30&lt;&gt;0,(S30-N30)/S30,"")</f>
        <v/>
      </c>
      <c r="Z30" s="172" t="str">
        <f aca="false">IF(T30&lt;&gt;0,(T30-O30)/T30,"")</f>
        <v/>
      </c>
      <c r="AA30" s="85"/>
      <c r="AB30" s="173" t="n">
        <f aca="false">(P30-K30)/(P$34-K$34)</f>
        <v>0</v>
      </c>
      <c r="AC30" s="179"/>
      <c r="AD30" s="174" t="e">
        <f aca="false">(R30-M30)/(R$34-M$34)</f>
        <v>#N/A</v>
      </c>
      <c r="AE30" s="179"/>
      <c r="AF30" s="174" t="e">
        <f aca="false">(T30-O30)/(T$34-O$34)</f>
        <v>#N/A</v>
      </c>
      <c r="AG30" s="175" t="str">
        <f aca="false">IF(P30&lt;&gt;0,(P30-K30),"")</f>
        <v/>
      </c>
      <c r="AH30" s="176" t="str">
        <f aca="false">IF(Q30&lt;&gt;0,(Q30-L30),"")</f>
        <v/>
      </c>
      <c r="AI30" s="176" t="str">
        <f aca="false">IF(R30&lt;&gt;0,(R30-M30),"")</f>
        <v/>
      </c>
      <c r="AJ30" s="176" t="str">
        <f aca="false">IF(S30&lt;&gt;0,(S30-N30),"")</f>
        <v/>
      </c>
      <c r="AK30" s="177" t="str">
        <f aca="false">IF(T30&lt;&gt;0,(T30-O30),"")</f>
        <v/>
      </c>
      <c r="AL30" s="85"/>
      <c r="AM30" s="85"/>
    </row>
    <row r="31" customFormat="false" ht="14.5" hidden="false" customHeight="false" outlineLevel="0" collapsed="false">
      <c r="A31" s="162"/>
      <c r="B31" s="163"/>
      <c r="C31" s="53"/>
      <c r="D31" s="164"/>
      <c r="E31" s="162"/>
      <c r="F31" s="165"/>
      <c r="G31" s="166"/>
      <c r="H31" s="166"/>
      <c r="I31" s="166"/>
      <c r="J31" s="178"/>
      <c r="K31" s="163" t="n">
        <f aca="false">52.14*F31</f>
        <v>0</v>
      </c>
      <c r="L31" s="167" t="n">
        <f aca="false">52.14*G31</f>
        <v>0</v>
      </c>
      <c r="M31" s="167" t="n">
        <f aca="false">52.14*H31</f>
        <v>0</v>
      </c>
      <c r="N31" s="167" t="n">
        <f aca="false">52.14*I31</f>
        <v>0</v>
      </c>
      <c r="O31" s="164" t="n">
        <f aca="false">52.14*J31</f>
        <v>0</v>
      </c>
      <c r="P31" s="168" t="n">
        <f aca="false">'household calculator'!G28</f>
        <v>0</v>
      </c>
      <c r="Q31" s="169" t="n">
        <f aca="false">'household calculator'!H28</f>
        <v>0</v>
      </c>
      <c r="R31" s="169" t="n">
        <f aca="false">'household calculator'!I28</f>
        <v>0</v>
      </c>
      <c r="S31" s="169" t="n">
        <f aca="false">'household calculator'!J28</f>
        <v>0</v>
      </c>
      <c r="T31" s="169" t="n">
        <f aca="false">'household calculator'!K28</f>
        <v>0</v>
      </c>
      <c r="U31" s="10"/>
      <c r="V31" s="170" t="str">
        <f aca="false">IF(P31&lt;&gt;0,(P31-K31)/P31,"")</f>
        <v/>
      </c>
      <c r="W31" s="171" t="str">
        <f aca="false">IF(Q31&lt;&gt;0,(Q31-L31)/Q31,"")</f>
        <v/>
      </c>
      <c r="X31" s="171" t="str">
        <f aca="false">IF(R31&lt;&gt;0,(R31-M31)/R31,"")</f>
        <v/>
      </c>
      <c r="Y31" s="171" t="str">
        <f aca="false">IF(S31&lt;&gt;0,(S31-N31)/S31,"")</f>
        <v/>
      </c>
      <c r="Z31" s="172" t="str">
        <f aca="false">IF(T31&lt;&gt;0,(T31-O31)/T31,"")</f>
        <v/>
      </c>
      <c r="AA31" s="85"/>
      <c r="AB31" s="173" t="n">
        <f aca="false">(P31-K31)/(P$34-K$34)</f>
        <v>0</v>
      </c>
      <c r="AC31" s="179"/>
      <c r="AD31" s="174" t="e">
        <f aca="false">(R31-M31)/(R$34-M$34)</f>
        <v>#N/A</v>
      </c>
      <c r="AE31" s="179"/>
      <c r="AF31" s="174" t="e">
        <f aca="false">(T31-O31)/(T$34-O$34)</f>
        <v>#N/A</v>
      </c>
      <c r="AG31" s="175" t="str">
        <f aca="false">IF(P31&lt;&gt;0,(P31-K31),"")</f>
        <v/>
      </c>
      <c r="AH31" s="176" t="str">
        <f aca="false">IF(Q31&lt;&gt;0,(Q31-L31),"")</f>
        <v/>
      </c>
      <c r="AI31" s="176" t="str">
        <f aca="false">IF(R31&lt;&gt;0,(R31-M31),"")</f>
        <v/>
      </c>
      <c r="AJ31" s="176" t="str">
        <f aca="false">IF(S31&lt;&gt;0,(S31-N31),"")</f>
        <v/>
      </c>
      <c r="AK31" s="177" t="str">
        <f aca="false">IF(T31&lt;&gt;0,(T31-O31),"")</f>
        <v/>
      </c>
      <c r="AL31" s="85"/>
      <c r="AM31" s="85"/>
    </row>
    <row r="32" customFormat="false" ht="14.5" hidden="false" customHeight="false" outlineLevel="0" collapsed="false">
      <c r="A32" s="153" t="s">
        <v>82</v>
      </c>
      <c r="B32" s="154"/>
      <c r="C32" s="54"/>
      <c r="D32" s="156"/>
      <c r="E32" s="157"/>
      <c r="F32" s="158"/>
      <c r="G32" s="159"/>
      <c r="H32" s="159"/>
      <c r="I32" s="159"/>
      <c r="J32" s="160"/>
      <c r="K32" s="154"/>
      <c r="L32" s="161"/>
      <c r="M32" s="161"/>
      <c r="N32" s="161"/>
      <c r="O32" s="156"/>
      <c r="P32" s="154" t="n">
        <f aca="false">'household calculator'!G29</f>
        <v>0</v>
      </c>
      <c r="Q32" s="161" t="n">
        <f aca="false">'household calculator'!H29</f>
        <v>0</v>
      </c>
      <c r="R32" s="161" t="n">
        <f aca="false">'household calculator'!I29</f>
        <v>0</v>
      </c>
      <c r="S32" s="161" t="n">
        <f aca="false">'household calculator'!J29</f>
        <v>0</v>
      </c>
      <c r="T32" s="161" t="n">
        <f aca="false">'household calculator'!K29</f>
        <v>0</v>
      </c>
      <c r="U32" s="10"/>
      <c r="V32" s="181" t="str">
        <f aca="false">IF(P32&lt;&gt;0,(P32-K32)/P32,"")</f>
        <v/>
      </c>
      <c r="W32" s="182" t="str">
        <f aca="false">IF(Q32&lt;&gt;0,(Q32-L32)/Q32,"")</f>
        <v/>
      </c>
      <c r="X32" s="182" t="str">
        <f aca="false">IF(R32&lt;&gt;0,(R32-M32)/R32,"")</f>
        <v/>
      </c>
      <c r="Y32" s="182" t="str">
        <f aca="false">IF(S32&lt;&gt;0,(S32-N32)/S32,"")</f>
        <v/>
      </c>
      <c r="Z32" s="183" t="str">
        <f aca="false">IF(T32&lt;&gt;0,(T32-O32)/T32,"")</f>
        <v/>
      </c>
      <c r="AA32" s="85"/>
      <c r="AB32" s="184"/>
      <c r="AC32" s="185"/>
      <c r="AD32" s="186"/>
      <c r="AE32" s="185"/>
      <c r="AF32" s="186"/>
      <c r="AG32" s="187" t="str">
        <f aca="false">IF(P32&lt;&gt;0,(P32-K32),"")</f>
        <v/>
      </c>
      <c r="AH32" s="188" t="str">
        <f aca="false">IF(Q32&lt;&gt;0,(Q32-L32),"")</f>
        <v/>
      </c>
      <c r="AI32" s="188" t="str">
        <f aca="false">IF(R32&lt;&gt;0,(R32-M32),"")</f>
        <v/>
      </c>
      <c r="AJ32" s="188" t="str">
        <f aca="false">IF(S32&lt;&gt;0,(S32-N32),"")</f>
        <v/>
      </c>
      <c r="AK32" s="189" t="str">
        <f aca="false">IF(T32&lt;&gt;0,(T32-O32),"")</f>
        <v/>
      </c>
      <c r="AL32" s="85"/>
      <c r="AM32" s="85"/>
    </row>
    <row r="33" customFormat="false" ht="15" hidden="false" customHeight="false" outlineLevel="0" collapsed="false">
      <c r="A33" s="190" t="s">
        <v>83</v>
      </c>
      <c r="B33" s="191" t="s">
        <v>84</v>
      </c>
      <c r="C33" s="57" t="n">
        <v>0</v>
      </c>
      <c r="D33" s="192" t="s">
        <v>77</v>
      </c>
      <c r="E33" s="190" t="n">
        <f aca="false">VLOOKUP(B33,'back end data'!A67:B71,2,0)</f>
        <v>0.06</v>
      </c>
      <c r="F33" s="193" t="n">
        <v>0</v>
      </c>
      <c r="G33" s="194"/>
      <c r="H33" s="194" t="n">
        <f aca="false">J33*'back end data'!B63</f>
        <v>0</v>
      </c>
      <c r="I33" s="194"/>
      <c r="J33" s="195" t="n">
        <f aca="false">C33*4*7*E33</f>
        <v>0</v>
      </c>
      <c r="K33" s="191" t="n">
        <f aca="false">52.14*F33</f>
        <v>0</v>
      </c>
      <c r="L33" s="196" t="n">
        <f aca="false">52.14*G33</f>
        <v>0</v>
      </c>
      <c r="M33" s="196" t="n">
        <f aca="false">52.14*H33</f>
        <v>0</v>
      </c>
      <c r="N33" s="196" t="n">
        <f aca="false">52.14*I33</f>
        <v>0</v>
      </c>
      <c r="O33" s="192" t="n">
        <f aca="false">52.14*J33</f>
        <v>0</v>
      </c>
      <c r="P33" s="197" t="n">
        <f aca="false">'household calculator'!G30</f>
        <v>0</v>
      </c>
      <c r="Q33" s="198" t="n">
        <f aca="false">'household calculator'!H30</f>
        <v>0</v>
      </c>
      <c r="R33" s="198" t="n">
        <f aca="false">'household calculator'!I30</f>
        <v>165.91406832</v>
      </c>
      <c r="S33" s="198" t="n">
        <f aca="false">'household calculator'!J30</f>
        <v>0</v>
      </c>
      <c r="T33" s="198" t="n">
        <f aca="false">'household calculator'!K30</f>
        <v>875.952</v>
      </c>
      <c r="U33" s="10"/>
      <c r="V33" s="199" t="str">
        <f aca="false">IF(P33&lt;&gt;0,(P33-K33)/P33,"")</f>
        <v/>
      </c>
      <c r="W33" s="200" t="str">
        <f aca="false">IF(Q33&lt;&gt;0,(Q33-L33)/Q33,"")</f>
        <v/>
      </c>
      <c r="X33" s="200" t="n">
        <f aca="false">IF(R33&lt;&gt;0,(R33-M33)/R33,"")</f>
        <v>1</v>
      </c>
      <c r="Y33" s="200" t="str">
        <f aca="false">IF(S33&lt;&gt;0,(S33-N33)/S33,"")</f>
        <v/>
      </c>
      <c r="Z33" s="201" t="n">
        <f aca="false">IF(T33&lt;&gt;0,(T33-O33)/T33,"")</f>
        <v>1</v>
      </c>
      <c r="AA33" s="85"/>
      <c r="AB33" s="202" t="n">
        <f aca="false">(P33-K33)/(P$34-K$34)</f>
        <v>0</v>
      </c>
      <c r="AC33" s="203"/>
      <c r="AD33" s="204" t="e">
        <f aca="false">(R33-M33)/(R$34-M$34)</f>
        <v>#N/A</v>
      </c>
      <c r="AE33" s="203"/>
      <c r="AF33" s="204" t="e">
        <f aca="false">(T33-O33)/(T$34-O$34)</f>
        <v>#N/A</v>
      </c>
      <c r="AG33" s="205" t="str">
        <f aca="false">IF(P33&lt;&gt;0,(P33-K33),"")</f>
        <v/>
      </c>
      <c r="AH33" s="206" t="str">
        <f aca="false">IF(Q33&lt;&gt;0,(Q33-L33),"")</f>
        <v/>
      </c>
      <c r="AI33" s="206" t="n">
        <f aca="false">IF(R33&lt;&gt;0,(R33-M33),"")</f>
        <v>165.91406832</v>
      </c>
      <c r="AJ33" s="206" t="str">
        <f aca="false">IF(S33&lt;&gt;0,(S33-N33),"")</f>
        <v/>
      </c>
      <c r="AK33" s="207" t="n">
        <f aca="false">IF(T33&lt;&gt;0,(T33-O33),"")</f>
        <v>875.952</v>
      </c>
      <c r="AL33" s="85"/>
      <c r="AM33" s="85"/>
    </row>
    <row r="34" s="221" customFormat="true" ht="24" hidden="false" customHeight="false" outlineLevel="0" collapsed="false">
      <c r="A34" s="208"/>
      <c r="B34" s="208"/>
      <c r="C34" s="208"/>
      <c r="D34" s="208"/>
      <c r="E34" s="208"/>
      <c r="F34" s="209" t="n">
        <f aca="false">SUM(F10:F33)</f>
        <v>0</v>
      </c>
      <c r="G34" s="209" t="n">
        <f aca="false">SUM(G10:G31)</f>
        <v>0</v>
      </c>
      <c r="H34" s="209" t="e">
        <f aca="false">SUM(H10:H33)</f>
        <v>#N/A</v>
      </c>
      <c r="I34" s="209" t="n">
        <f aca="false">SUM(I10:I31)</f>
        <v>0</v>
      </c>
      <c r="J34" s="209" t="e">
        <f aca="false">SUM(J10:J33)</f>
        <v>#N/A</v>
      </c>
      <c r="K34" s="209" t="n">
        <f aca="false">SUM(K10:K33)</f>
        <v>0</v>
      </c>
      <c r="L34" s="209" t="n">
        <f aca="false">SUM(L10:L31)</f>
        <v>0</v>
      </c>
      <c r="M34" s="209" t="e">
        <f aca="false">SUM(M10:M33)</f>
        <v>#N/A</v>
      </c>
      <c r="N34" s="209" t="n">
        <f aca="false">SUM(N10:N33)</f>
        <v>0</v>
      </c>
      <c r="O34" s="209" t="e">
        <f aca="false">SUM(O10:O33)</f>
        <v>#N/A</v>
      </c>
      <c r="P34" s="210" t="n">
        <f aca="false">'household calculator'!G31</f>
        <v>73278.5988</v>
      </c>
      <c r="Q34" s="211" t="n">
        <f aca="false">'household calculator'!H31</f>
        <v>0</v>
      </c>
      <c r="R34" s="211" t="n">
        <f aca="false">'household calculator'!I31</f>
        <v>521.4376308284</v>
      </c>
      <c r="S34" s="211" t="n">
        <f aca="false">'household calculator'!J31</f>
        <v>0</v>
      </c>
      <c r="T34" s="211" t="n">
        <f aca="false">'household calculator'!K31</f>
        <v>2679.70343666667</v>
      </c>
      <c r="U34" s="212"/>
      <c r="V34" s="213" t="n">
        <f aca="false">IF(P34&lt;&gt;0,(P34-K34)/P34,"")</f>
        <v>1</v>
      </c>
      <c r="W34" s="214" t="str">
        <f aca="false">IF(Q34&lt;&gt;0,(Q34-L34)/Q34,"")</f>
        <v/>
      </c>
      <c r="X34" s="214" t="e">
        <f aca="false">IF(R34&lt;&gt;0,(R34-M34)/R34,"")</f>
        <v>#N/A</v>
      </c>
      <c r="Y34" s="214" t="str">
        <f aca="false">IF(S34&lt;&gt;0,(S34-N34)/S34,"")</f>
        <v/>
      </c>
      <c r="Z34" s="215" t="e">
        <f aca="false">IF(T34&lt;&gt;0,(T34-O34)/T34,"")</f>
        <v>#N/A</v>
      </c>
      <c r="AA34" s="216"/>
      <c r="AB34" s="217" t="n">
        <f aca="false">(P34-K34)/(P$34-K$34)</f>
        <v>1</v>
      </c>
      <c r="AC34" s="218"/>
      <c r="AD34" s="217" t="e">
        <f aca="false">(R34-M34)/(R$34-M$34)</f>
        <v>#N/A</v>
      </c>
      <c r="AE34" s="218"/>
      <c r="AF34" s="217" t="e">
        <f aca="false">(T34-O34)/(T$34-O$34)</f>
        <v>#N/A</v>
      </c>
      <c r="AG34" s="219" t="n">
        <f aca="false">IF(P34&lt;&gt;0,(P34-K34),"")</f>
        <v>73278.5988</v>
      </c>
      <c r="AH34" s="219" t="str">
        <f aca="false">IF(Q34&lt;&gt;0,(Q34-L34),"")</f>
        <v/>
      </c>
      <c r="AI34" s="219" t="e">
        <f aca="false">IF(R34&lt;&gt;0,(R34-M34),"")</f>
        <v>#N/A</v>
      </c>
      <c r="AJ34" s="219" t="str">
        <f aca="false">IF(S34&lt;&gt;0,(S34-N34),"")</f>
        <v/>
      </c>
      <c r="AK34" s="220" t="e">
        <f aca="false">IF(T34&lt;&gt;0,(T34-O34),"")</f>
        <v>#N/A</v>
      </c>
      <c r="AL34" s="216"/>
      <c r="AM34" s="216"/>
    </row>
    <row r="35" customFormat="false" ht="14.5" hidden="false" customHeight="false" outlineLevel="0" collapsed="false">
      <c r="A35" s="85"/>
      <c r="B35" s="85"/>
      <c r="C35" s="85"/>
      <c r="D35" s="85"/>
      <c r="E35" s="10"/>
      <c r="F35" s="118"/>
      <c r="G35" s="118"/>
      <c r="H35" s="118"/>
      <c r="I35" s="118"/>
      <c r="J35" s="118"/>
      <c r="K35" s="85"/>
      <c r="L35" s="85"/>
      <c r="M35" s="85"/>
      <c r="N35" s="85"/>
      <c r="O35" s="85"/>
      <c r="P35" s="85"/>
      <c r="Q35" s="85"/>
      <c r="R35" s="85"/>
      <c r="S35" s="85"/>
      <c r="T35" s="85"/>
      <c r="U35" s="85"/>
      <c r="V35" s="85"/>
      <c r="W35" s="85"/>
      <c r="X35" s="85"/>
      <c r="Y35" s="85"/>
      <c r="Z35" s="85"/>
      <c r="AA35" s="85"/>
      <c r="AG35" s="85"/>
      <c r="AH35" s="85"/>
      <c r="AI35" s="85"/>
      <c r="AJ35" s="85"/>
      <c r="AK35" s="85"/>
      <c r="AL35" s="85"/>
      <c r="AM35" s="85"/>
    </row>
    <row r="36" customFormat="false" ht="35" hidden="false" customHeight="true" outlineLevel="0" collapsed="false">
      <c r="A36" s="85"/>
      <c r="B36" s="85"/>
      <c r="C36" s="85"/>
      <c r="D36" s="85"/>
      <c r="E36" s="85"/>
      <c r="F36" s="118"/>
      <c r="G36" s="118"/>
      <c r="H36" s="118"/>
      <c r="I36" s="118"/>
      <c r="J36" s="118"/>
      <c r="K36" s="85"/>
      <c r="L36" s="85"/>
      <c r="M36" s="85"/>
      <c r="N36" s="85"/>
      <c r="O36" s="85"/>
      <c r="P36" s="85"/>
      <c r="Q36" s="85"/>
      <c r="R36" s="85"/>
      <c r="S36" s="85"/>
      <c r="T36" s="85"/>
      <c r="U36" s="85"/>
      <c r="V36" s="222" t="s">
        <v>290</v>
      </c>
      <c r="W36" s="222"/>
      <c r="X36" s="222"/>
      <c r="Y36" s="222"/>
      <c r="Z36" s="222"/>
      <c r="AA36" s="85"/>
      <c r="AG36" s="85"/>
      <c r="AH36" s="85"/>
      <c r="AI36" s="85"/>
      <c r="AJ36" s="85"/>
      <c r="AK36" s="85"/>
      <c r="AL36" s="85"/>
      <c r="AM36" s="85"/>
    </row>
    <row r="37" customFormat="false" ht="14.5" hidden="false" customHeight="false" outlineLevel="0" collapsed="false">
      <c r="F37" s="0"/>
      <c r="G37" s="0"/>
    </row>
    <row r="38" customFormat="false" ht="14.5" hidden="false" customHeight="false" outlineLevel="0" collapsed="false">
      <c r="F38" s="0"/>
      <c r="G38" s="0"/>
    </row>
    <row r="39" customFormat="false" ht="14.5" hidden="false" customHeight="false" outlineLevel="0" collapsed="false">
      <c r="F39" s="0"/>
      <c r="G39" s="0"/>
    </row>
    <row r="40" customFormat="false" ht="14.5" hidden="false" customHeight="false" outlineLevel="0" collapsed="false">
      <c r="F40" s="0"/>
      <c r="G40" s="0"/>
    </row>
    <row r="41" customFormat="false" ht="14.5" hidden="false" customHeight="false" outlineLevel="0" collapsed="false">
      <c r="F41" s="0"/>
      <c r="G41" s="0"/>
    </row>
    <row r="42" customFormat="false" ht="14.5" hidden="false" customHeight="false" outlineLevel="0" collapsed="false">
      <c r="F42" s="0"/>
      <c r="G42" s="0"/>
    </row>
    <row r="43" customFormat="false" ht="14.5" hidden="false" customHeight="false" outlineLevel="0" collapsed="false">
      <c r="F43" s="0"/>
      <c r="G43" s="0"/>
    </row>
    <row r="44" customFormat="false" ht="14.5" hidden="false" customHeight="false" outlineLevel="0" collapsed="false">
      <c r="F44" s="0"/>
      <c r="G44" s="0"/>
    </row>
    <row r="45" customFormat="false" ht="14.5" hidden="false" customHeight="false" outlineLevel="0" collapsed="false">
      <c r="F45" s="0"/>
      <c r="G45" s="0"/>
    </row>
    <row r="46" customFormat="false" ht="14.5" hidden="false" customHeight="false" outlineLevel="0" collapsed="false">
      <c r="F46" s="0"/>
      <c r="G46" s="0"/>
    </row>
    <row r="47" customFormat="false" ht="14.5" hidden="false" customHeight="false" outlineLevel="0" collapsed="false">
      <c r="F47" s="0"/>
      <c r="G47" s="0"/>
    </row>
    <row r="48" customFormat="false" ht="14.5" hidden="false" customHeight="false" outlineLevel="0" collapsed="false">
      <c r="F48" s="0"/>
      <c r="G48" s="0"/>
    </row>
    <row r="49" customFormat="false" ht="14.5" hidden="false" customHeight="false" outlineLevel="0" collapsed="false">
      <c r="F49" s="0"/>
      <c r="G49" s="0"/>
    </row>
    <row r="50" customFormat="false" ht="14.5" hidden="false" customHeight="false" outlineLevel="0" collapsed="false">
      <c r="F50" s="0"/>
      <c r="G50" s="0"/>
    </row>
    <row r="51" customFormat="false" ht="14.5" hidden="false" customHeight="false" outlineLevel="0" collapsed="false">
      <c r="F51" s="0"/>
      <c r="G51" s="0"/>
    </row>
    <row r="52" customFormat="false" ht="14.5" hidden="false" customHeight="false" outlineLevel="0" collapsed="false">
      <c r="F52" s="0"/>
      <c r="G52" s="0"/>
    </row>
    <row r="53" customFormat="false" ht="14.5" hidden="false" customHeight="false" outlineLevel="0" collapsed="false">
      <c r="F53" s="0"/>
      <c r="G53" s="0"/>
    </row>
    <row r="54" customFormat="false" ht="14.5" hidden="false" customHeight="false" outlineLevel="0" collapsed="false">
      <c r="F54" s="0"/>
      <c r="G54" s="0"/>
    </row>
    <row r="55" customFormat="false" ht="14.5" hidden="false" customHeight="false" outlineLevel="0" collapsed="false">
      <c r="F55" s="0"/>
      <c r="G55" s="0"/>
    </row>
    <row r="56" customFormat="false" ht="14.5" hidden="false" customHeight="false" outlineLevel="0" collapsed="false">
      <c r="F56" s="0"/>
      <c r="G56" s="0"/>
    </row>
    <row r="57" customFormat="false" ht="14.5" hidden="false" customHeight="false" outlineLevel="0" collapsed="false">
      <c r="F57" s="0"/>
      <c r="G57" s="0"/>
    </row>
    <row r="58" customFormat="false" ht="14.5" hidden="false" customHeight="false" outlineLevel="0" collapsed="false">
      <c r="F58" s="0"/>
      <c r="G58" s="0"/>
    </row>
    <row r="59" customFormat="false" ht="14.5" hidden="false" customHeight="false" outlineLevel="0" collapsed="false">
      <c r="F59" s="0"/>
      <c r="G59" s="0"/>
    </row>
    <row r="60" customFormat="false" ht="14.5" hidden="false" customHeight="false" outlineLevel="0" collapsed="false">
      <c r="F60" s="0"/>
      <c r="G60" s="0"/>
    </row>
    <row r="61" customFormat="false" ht="14.5" hidden="false" customHeight="false" outlineLevel="0" collapsed="false">
      <c r="F61" s="0"/>
      <c r="G61" s="0"/>
    </row>
    <row r="62" customFormat="false" ht="14.5" hidden="false" customHeight="false" outlineLevel="0" collapsed="false">
      <c r="F62" s="0"/>
      <c r="G62" s="0"/>
    </row>
    <row r="63" customFormat="false" ht="14.5" hidden="false" customHeight="false" outlineLevel="0" collapsed="false">
      <c r="F63" s="0"/>
      <c r="G63" s="0"/>
    </row>
    <row r="64" customFormat="false" ht="14.5" hidden="false" customHeight="false" outlineLevel="0" collapsed="false">
      <c r="F64" s="0"/>
      <c r="G64" s="0"/>
    </row>
    <row r="65" customFormat="false" ht="14.5" hidden="false" customHeight="false" outlineLevel="0" collapsed="false">
      <c r="F65" s="0"/>
      <c r="G65" s="0"/>
    </row>
    <row r="66" customFormat="false" ht="14.5" hidden="false" customHeight="false" outlineLevel="0" collapsed="false">
      <c r="F66" s="133" t="s">
        <v>291</v>
      </c>
      <c r="G66" s="133" t="n">
        <f aca="false">F10</f>
        <v>0</v>
      </c>
      <c r="L66" s="133" t="e">
        <f aca="false">SUM(J18:J19)</f>
        <v>#N/A</v>
      </c>
    </row>
    <row r="67" customFormat="false" ht="14.5" hidden="false" customHeight="false" outlineLevel="0" collapsed="false">
      <c r="F67" s="133" t="s">
        <v>245</v>
      </c>
      <c r="G67" s="133" t="n">
        <f aca="false">F12</f>
        <v>0</v>
      </c>
      <c r="L67" s="133" t="n">
        <f aca="false">J22</f>
        <v>0</v>
      </c>
    </row>
    <row r="68" customFormat="false" ht="14.5" hidden="false" customHeight="false" outlineLevel="0" collapsed="false">
      <c r="F68" s="133" t="s">
        <v>292</v>
      </c>
      <c r="G68" s="133" t="n">
        <f aca="false">SUM(F13:F15)</f>
        <v>0</v>
      </c>
      <c r="L68" s="133" t="n">
        <f aca="false">SUM(J27:J30)</f>
        <v>0</v>
      </c>
    </row>
    <row r="69" customFormat="false" ht="14.5" hidden="false" customHeight="false" outlineLevel="0" collapsed="false">
      <c r="F69" s="133" t="s">
        <v>247</v>
      </c>
      <c r="G69" s="133" t="n">
        <f aca="false">F18</f>
        <v>0</v>
      </c>
      <c r="L69" s="133" t="n">
        <f aca="false">J33</f>
        <v>0</v>
      </c>
    </row>
    <row r="70" customFormat="false" ht="14.5" hidden="false" customHeight="false" outlineLevel="0" collapsed="false">
      <c r="F70" s="133" t="s">
        <v>248</v>
      </c>
      <c r="G70" s="133" t="n">
        <f aca="false">SUM(F23:F24)</f>
        <v>0</v>
      </c>
    </row>
  </sheetData>
  <mergeCells count="8">
    <mergeCell ref="B6:D7"/>
    <mergeCell ref="F6:J7"/>
    <mergeCell ref="K6:O7"/>
    <mergeCell ref="P6:T7"/>
    <mergeCell ref="V6:Z7"/>
    <mergeCell ref="AB6:AF7"/>
    <mergeCell ref="AG6:AK7"/>
    <mergeCell ref="V36:Z36"/>
  </mergeCells>
  <hyperlinks>
    <hyperlink ref="B3" location="Start!A1" display="click he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4F81BD"/>
    <pageSetUpPr fitToPage="false"/>
  </sheetPr>
  <dimension ref="A1:H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4.5"/>
  <cols>
    <col collapsed="false" hidden="false" max="3" min="1" style="0" width="37.3928571428571"/>
    <col collapsed="false" hidden="false" max="1025" min="4" style="0" width="8.50510204081633"/>
  </cols>
  <sheetData>
    <row r="1" customFormat="false" ht="29.5" hidden="false" customHeight="true" outlineLevel="0" collapsed="false">
      <c r="A1" s="223" t="s">
        <v>293</v>
      </c>
      <c r="B1" s="223"/>
      <c r="C1" s="223"/>
      <c r="E1" s="224" t="s">
        <v>294</v>
      </c>
      <c r="F1" s="224"/>
      <c r="G1" s="225" t="n">
        <f aca="false">(GreenStyleUser!M34-GreenStyleUser!R34)/GreenStyleUser!R34</f>
        <v>-0.511812017828508</v>
      </c>
      <c r="H1" s="226"/>
    </row>
    <row r="2" customFormat="false" ht="28" hidden="false" customHeight="true" outlineLevel="0" collapsed="false">
      <c r="A2" s="227" t="s">
        <v>295</v>
      </c>
      <c r="B2" s="227"/>
      <c r="C2" s="227"/>
      <c r="E2" s="228" t="s">
        <v>296</v>
      </c>
      <c r="F2" s="228"/>
      <c r="G2" s="229" t="n">
        <f aca="false">GreenStyleUser!R34-GreenStyleUser!M34</f>
        <v>266.878046006</v>
      </c>
      <c r="H2" s="230" t="s">
        <v>297</v>
      </c>
    </row>
    <row r="3" customFormat="false" ht="14.5" hidden="false" customHeight="false" outlineLevel="0" collapsed="false">
      <c r="A3" s="231" t="s">
        <v>298</v>
      </c>
      <c r="B3" s="231" t="s">
        <v>299</v>
      </c>
      <c r="C3" s="147" t="s">
        <v>300</v>
      </c>
      <c r="E3" s="232" t="s">
        <v>301</v>
      </c>
      <c r="F3" s="232"/>
      <c r="G3" s="232"/>
      <c r="H3" s="232"/>
    </row>
    <row r="4" customFormat="false" ht="14.5" hidden="false" customHeight="true" outlineLevel="0" collapsed="false">
      <c r="A4" s="157" t="str">
        <f aca="false">'Household Input'!B11</f>
        <v>Normal shower head</v>
      </c>
      <c r="B4" s="157" t="s">
        <v>282</v>
      </c>
      <c r="C4" s="233" t="s">
        <v>282</v>
      </c>
      <c r="E4" s="234" t="s">
        <v>302</v>
      </c>
      <c r="F4" s="234"/>
      <c r="G4" s="235" t="str">
        <f aca="false">IF(GreenStyleUser!M34-1000&lt;0, "Achieved!", GreenStyleUser!M34-1000)</f>
        <v>Achieved!</v>
      </c>
      <c r="H4" s="236" t="s">
        <v>297</v>
      </c>
    </row>
    <row r="5" customFormat="false" ht="14.5" hidden="false" customHeight="false" outlineLevel="0" collapsed="false">
      <c r="A5" s="157" t="str">
        <f aca="false">'Household Input'!B12</f>
        <v>I don't take baths</v>
      </c>
      <c r="B5" s="157" t="s">
        <v>46</v>
      </c>
      <c r="C5" s="233" t="s">
        <v>46</v>
      </c>
      <c r="E5" s="237" t="s">
        <v>303</v>
      </c>
      <c r="F5" s="237"/>
      <c r="G5" s="238" t="str">
        <f aca="false">IF(GreenStyleUser!M34-500&lt;0, "Achieved!", GreenStyleUser!M34-500)</f>
        <v>Achieved!</v>
      </c>
      <c r="H5" s="236"/>
    </row>
    <row r="6" customFormat="false" ht="14.5" hidden="false" customHeight="false" outlineLevel="0" collapsed="false">
      <c r="A6" s="157" t="str">
        <f aca="false">'Household Input'!B13</f>
        <v>Standard toilet</v>
      </c>
      <c r="B6" s="157" t="s">
        <v>284</v>
      </c>
      <c r="C6" s="233" t="s">
        <v>284</v>
      </c>
    </row>
    <row r="7" customFormat="false" ht="14.5" hidden="false" customHeight="false" outlineLevel="0" collapsed="false">
      <c r="A7" s="157" t="str">
        <f aca="false">'Household Input'!B14</f>
        <v>Brushing teeth closed tap</v>
      </c>
      <c r="B7" s="157" t="s">
        <v>52</v>
      </c>
      <c r="C7" s="233" t="s">
        <v>52</v>
      </c>
    </row>
    <row r="8" customFormat="false" ht="14.5" hidden="false" customHeight="false" outlineLevel="0" collapsed="false">
      <c r="A8" s="157" t="str">
        <f aca="false">'Household Input'!B19</f>
        <v>Washing machine eco mode</v>
      </c>
      <c r="B8" s="157" t="s">
        <v>58</v>
      </c>
      <c r="C8" s="233" t="s">
        <v>58</v>
      </c>
    </row>
    <row r="9" customFormat="false" ht="14.5" hidden="false" customHeight="false" outlineLevel="0" collapsed="false">
      <c r="A9" s="157" t="str">
        <f aca="false">'Household Input'!B20</f>
        <v>Dry with tumble dryer</v>
      </c>
      <c r="B9" s="157" t="s">
        <v>304</v>
      </c>
      <c r="C9" s="233" t="s">
        <v>304</v>
      </c>
    </row>
    <row r="10" customFormat="false" ht="14.5" hidden="false" customHeight="false" outlineLevel="0" collapsed="false">
      <c r="A10" s="157" t="str">
        <f aca="false">'Household Input'!B23</f>
        <v>Stove</v>
      </c>
      <c r="B10" s="157" t="s">
        <v>287</v>
      </c>
      <c r="C10" s="233" t="s">
        <v>287</v>
      </c>
    </row>
    <row r="11" customFormat="false" ht="14.5" hidden="false" customHeight="false" outlineLevel="0" collapsed="false">
      <c r="A11" s="157" t="str">
        <f aca="false">'Household Input'!B24</f>
        <v>I (sometimes) do the dishes manually</v>
      </c>
      <c r="B11" s="157" t="s">
        <v>67</v>
      </c>
      <c r="C11" s="233" t="s">
        <v>67</v>
      </c>
    </row>
    <row r="12" customFormat="false" ht="14.5" hidden="false" customHeight="false" outlineLevel="0" collapsed="false">
      <c r="A12" s="157" t="str">
        <f aca="false">'Household Input'!B25</f>
        <v>I don't have a dishwasher</v>
      </c>
      <c r="B12" s="157" t="s">
        <v>69</v>
      </c>
      <c r="C12" s="233" t="s">
        <v>69</v>
      </c>
    </row>
    <row r="13" customFormat="false" ht="14.5" hidden="false" customHeight="false" outlineLevel="0" collapsed="false">
      <c r="A13" s="157" t="str">
        <f aca="false">'Household Input'!B28</f>
        <v>LED TV</v>
      </c>
      <c r="B13" s="157" t="s">
        <v>73</v>
      </c>
      <c r="C13" s="233" t="s">
        <v>73</v>
      </c>
    </row>
    <row r="14" customFormat="false" ht="14.5" hidden="false" customHeight="false" outlineLevel="0" collapsed="false">
      <c r="A14" s="157" t="str">
        <f aca="false">'Household Input'!B29</f>
        <v>Laptop</v>
      </c>
      <c r="B14" s="157" t="s">
        <v>76</v>
      </c>
      <c r="C14" s="233" t="s">
        <v>76</v>
      </c>
    </row>
    <row r="15" customFormat="false" ht="14.5" hidden="false" customHeight="false" outlineLevel="0" collapsed="false">
      <c r="A15" s="157" t="str">
        <f aca="false">'Household Input'!B30</f>
        <v>Mobile phone, and I charge it…</v>
      </c>
      <c r="B15" s="157" t="s">
        <v>79</v>
      </c>
      <c r="C15" s="233" t="s">
        <v>79</v>
      </c>
    </row>
    <row r="16" customFormat="false" ht="14.5" hidden="false" customHeight="false" outlineLevel="0" collapsed="false">
      <c r="A16" s="157" t="str">
        <f aca="false">'Household Input'!B31</f>
        <v>I don't have a tablet</v>
      </c>
      <c r="B16" s="157" t="s">
        <v>81</v>
      </c>
      <c r="C16" s="233" t="s">
        <v>81</v>
      </c>
    </row>
    <row r="17" customFormat="false" ht="15" hidden="false" customHeight="false" outlineLevel="0" collapsed="false">
      <c r="A17" s="239" t="str">
        <f aca="false">'Household Input'!B34</f>
        <v>mainly incandescant light bulbs</v>
      </c>
      <c r="B17" s="239" t="s">
        <v>305</v>
      </c>
      <c r="C17" s="240" t="s">
        <v>305</v>
      </c>
    </row>
  </sheetData>
  <mergeCells count="8">
    <mergeCell ref="A1:C1"/>
    <mergeCell ref="E1:F1"/>
    <mergeCell ref="A2:C2"/>
    <mergeCell ref="E2:F2"/>
    <mergeCell ref="E3:H3"/>
    <mergeCell ref="E4:F4"/>
    <mergeCell ref="H4:H5"/>
    <mergeCell ref="E5:F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Company>UPC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2016-09-27T09:58:31Z</dcterms:created>
  <dc:creator>ETSEIB</dc:creator>
  <dc:description/>
  <dc:language>en-US</dc:language>
  <cp:lastModifiedBy/>
  <cp:lastPrinted>2016-11-08T21:04:40Z</cp:lastPrinted>
  <dcterms:modified xsi:type="dcterms:W3CDTF">2017-06-26T14:39:09Z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UPC</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