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3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filterPrivacy="1" defaultThemeVersion="124226"/>
  <xr:revisionPtr revIDLastSave="0" documentId="13_ncr:1_{56D2F188-05AB-4699-9339-4BDAF77BF94C}" xr6:coauthVersionLast="47" xr6:coauthVersionMax="47" xr10:uidLastSave="{00000000-0000-0000-0000-000000000000}"/>
  <bookViews>
    <workbookView xWindow="8628" yWindow="2748" windowWidth="14748" windowHeight="8964" activeTab="1" xr2:uid="{00000000-000D-0000-FFFF-FFFF00000000}"/>
  </bookViews>
  <sheets>
    <sheet name="Adsorption" sheetId="1" r:id="rId1"/>
    <sheet name="Isotherms" sheetId="2" r:id="rId2"/>
    <sheet name="Tables" sheetId="4" r:id="rId3"/>
    <sheet name="Figures" sheetId="6" r:id="rId4"/>
    <sheet name="Calculation" sheetId="7" r:id="rId5"/>
    <sheet name="kinetics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4" i="8" l="1"/>
  <c r="F201" i="2"/>
  <c r="H201" i="2" s="1"/>
  <c r="I201" i="2" s="1"/>
  <c r="J201" i="2" s="1"/>
  <c r="K201" i="2" s="1"/>
  <c r="B201" i="2"/>
  <c r="F200" i="2"/>
  <c r="H200" i="2" s="1"/>
  <c r="I200" i="2" s="1"/>
  <c r="J200" i="2" s="1"/>
  <c r="K200" i="2" s="1"/>
  <c r="B200" i="2"/>
  <c r="H199" i="2"/>
  <c r="I199" i="2" s="1"/>
  <c r="J199" i="2" s="1"/>
  <c r="K199" i="2" s="1"/>
  <c r="F199" i="2"/>
  <c r="B199" i="2"/>
  <c r="F198" i="2"/>
  <c r="H198" i="2" s="1"/>
  <c r="B198" i="2"/>
  <c r="AB28" i="7"/>
  <c r="AC28" i="7"/>
  <c r="AD28" i="7"/>
  <c r="AA28" i="7"/>
  <c r="AD25" i="7"/>
  <c r="AC25" i="7"/>
  <c r="AB25" i="7"/>
  <c r="AA25" i="7"/>
  <c r="AB21" i="7"/>
  <c r="AC21" i="7"/>
  <c r="AD21" i="7"/>
  <c r="AA21" i="7"/>
  <c r="I198" i="2" l="1"/>
  <c r="J198" i="2" s="1"/>
  <c r="K198" i="2" s="1"/>
  <c r="H56" i="1"/>
  <c r="H55" i="1"/>
  <c r="H54" i="1"/>
  <c r="H53" i="1"/>
  <c r="H52" i="1"/>
  <c r="H47" i="1"/>
  <c r="H46" i="1"/>
  <c r="H45" i="1"/>
  <c r="H44" i="1"/>
  <c r="H43" i="1"/>
  <c r="H35" i="1"/>
  <c r="H36" i="1"/>
  <c r="H37" i="1"/>
  <c r="H38" i="1"/>
  <c r="H34" i="1"/>
  <c r="Y28" i="7"/>
  <c r="W28" i="7"/>
  <c r="AH119" i="2"/>
  <c r="AD119" i="2"/>
  <c r="AF119" i="2" s="1"/>
  <c r="AG119" i="2" s="1"/>
  <c r="AI119" i="2" s="1"/>
  <c r="AJ119" i="2" s="1"/>
  <c r="AH118" i="2"/>
  <c r="AD118" i="2"/>
  <c r="AF118" i="2" s="1"/>
  <c r="AG118" i="2" s="1"/>
  <c r="AI118" i="2" s="1"/>
  <c r="AJ118" i="2" s="1"/>
  <c r="AH117" i="2"/>
  <c r="AD117" i="2"/>
  <c r="AF117" i="2" s="1"/>
  <c r="AG117" i="2" s="1"/>
  <c r="AI117" i="2" s="1"/>
  <c r="AJ117" i="2" s="1"/>
  <c r="AH116" i="2"/>
  <c r="AF116" i="2"/>
  <c r="AG116" i="2" s="1"/>
  <c r="AI116" i="2" s="1"/>
  <c r="AJ116" i="2" s="1"/>
  <c r="AD116" i="2"/>
  <c r="Y25" i="7"/>
  <c r="W25" i="7"/>
  <c r="AH64" i="2"/>
  <c r="AD64" i="2"/>
  <c r="AF64" i="2" s="1"/>
  <c r="AG64" i="2" s="1"/>
  <c r="AI64" i="2" s="1"/>
  <c r="AJ64" i="2" s="1"/>
  <c r="AH63" i="2"/>
  <c r="AD63" i="2"/>
  <c r="AF63" i="2" s="1"/>
  <c r="AG63" i="2" s="1"/>
  <c r="AI63" i="2" s="1"/>
  <c r="AJ63" i="2" s="1"/>
  <c r="AH62" i="2"/>
  <c r="AD62" i="2"/>
  <c r="AF62" i="2" s="1"/>
  <c r="AG62" i="2" s="1"/>
  <c r="AI62" i="2" s="1"/>
  <c r="AJ62" i="2" s="1"/>
  <c r="AH61" i="2"/>
  <c r="AD61" i="2"/>
  <c r="AF61" i="2" s="1"/>
  <c r="AG61" i="2" s="1"/>
  <c r="AI61" i="2" s="1"/>
  <c r="AJ61" i="2" s="1"/>
  <c r="W21" i="7"/>
  <c r="Y21" i="7"/>
  <c r="H6" i="7"/>
  <c r="E39" i="8" l="1"/>
  <c r="G39" i="8" s="1"/>
  <c r="E40" i="8"/>
  <c r="G40" i="8" s="1"/>
  <c r="E41" i="8"/>
  <c r="G41" i="8" s="1"/>
  <c r="E42" i="8"/>
  <c r="G42" i="8" s="1"/>
  <c r="E43" i="8"/>
  <c r="E44" i="8"/>
  <c r="G44" i="8" s="1"/>
  <c r="E45" i="8"/>
  <c r="E46" i="8"/>
  <c r="G46" i="8" s="1"/>
  <c r="E47" i="8"/>
  <c r="E48" i="8"/>
  <c r="G48" i="8" s="1"/>
  <c r="E49" i="8"/>
  <c r="E50" i="8"/>
  <c r="G50" i="8" s="1"/>
  <c r="E38" i="8"/>
  <c r="G38" i="8" s="1"/>
  <c r="G43" i="8"/>
  <c r="G45" i="8"/>
  <c r="G47" i="8"/>
  <c r="G49" i="8"/>
  <c r="E4" i="8"/>
  <c r="G4" i="8" s="1"/>
  <c r="E5" i="8"/>
  <c r="E6" i="8"/>
  <c r="E7" i="8"/>
  <c r="G7" i="8" s="1"/>
  <c r="E8" i="8"/>
  <c r="E9" i="8"/>
  <c r="E10" i="8"/>
  <c r="E11" i="8"/>
  <c r="E12" i="8"/>
  <c r="E13" i="8"/>
  <c r="E14" i="8"/>
  <c r="E15" i="8"/>
  <c r="E3" i="8"/>
  <c r="G3" i="8" s="1"/>
  <c r="G5" i="8"/>
  <c r="G6" i="8"/>
  <c r="G9" i="8"/>
  <c r="G12" i="8"/>
  <c r="G13" i="8"/>
  <c r="G14" i="8"/>
  <c r="G15" i="8"/>
  <c r="F210" i="2" l="1"/>
  <c r="H210" i="2" s="1"/>
  <c r="I210" i="2" s="1"/>
  <c r="B210" i="2"/>
  <c r="F209" i="2"/>
  <c r="H209" i="2" s="1"/>
  <c r="I209" i="2" s="1"/>
  <c r="B209" i="2"/>
  <c r="F208" i="2"/>
  <c r="H208" i="2" s="1"/>
  <c r="I208" i="2" s="1"/>
  <c r="B208" i="2"/>
  <c r="F207" i="2"/>
  <c r="H207" i="2" s="1"/>
  <c r="B207" i="2"/>
  <c r="F195" i="2"/>
  <c r="H195" i="2" s="1"/>
  <c r="B195" i="2"/>
  <c r="F194" i="2"/>
  <c r="H194" i="2" s="1"/>
  <c r="B194" i="2"/>
  <c r="H193" i="2"/>
  <c r="F193" i="2"/>
  <c r="B193" i="2"/>
  <c r="F192" i="2"/>
  <c r="H192" i="2" s="1"/>
  <c r="I192" i="2" s="1"/>
  <c r="B192" i="2"/>
  <c r="F178" i="2"/>
  <c r="H178" i="2" s="1"/>
  <c r="F179" i="2"/>
  <c r="H179" i="2" s="1"/>
  <c r="F180" i="2"/>
  <c r="H180" i="2" s="1"/>
  <c r="F177" i="2"/>
  <c r="H177" i="2" s="1"/>
  <c r="B178" i="2"/>
  <c r="B179" i="2"/>
  <c r="B180" i="2"/>
  <c r="B177" i="2"/>
  <c r="AH4" i="2"/>
  <c r="AH5" i="2"/>
  <c r="AH6" i="2"/>
  <c r="AH3" i="2"/>
  <c r="AD6" i="2"/>
  <c r="AF6" i="2" s="1"/>
  <c r="AG6" i="2" s="1"/>
  <c r="AI6" i="2" s="1"/>
  <c r="AJ6" i="2" s="1"/>
  <c r="AD5" i="2"/>
  <c r="AF5" i="2" s="1"/>
  <c r="AG5" i="2" s="1"/>
  <c r="AI5" i="2" s="1"/>
  <c r="AJ5" i="2" s="1"/>
  <c r="AD4" i="2"/>
  <c r="AF4" i="2" s="1"/>
  <c r="AG4" i="2" s="1"/>
  <c r="AI4" i="2" s="1"/>
  <c r="AJ4" i="2" s="1"/>
  <c r="AD3" i="2"/>
  <c r="AF3" i="2" s="1"/>
  <c r="AG3" i="2" s="1"/>
  <c r="AI3" i="2" s="1"/>
  <c r="AJ3" i="2" s="1"/>
  <c r="E163" i="1"/>
  <c r="F163" i="1" s="1"/>
  <c r="E162" i="1"/>
  <c r="F162" i="1" s="1"/>
  <c r="E161" i="1"/>
  <c r="E160" i="1"/>
  <c r="E159" i="1"/>
  <c r="E158" i="1"/>
  <c r="E154" i="1"/>
  <c r="F154" i="1" s="1"/>
  <c r="E153" i="1"/>
  <c r="F153" i="1" s="1"/>
  <c r="E152" i="1"/>
  <c r="E151" i="1"/>
  <c r="E150" i="1"/>
  <c r="E149" i="1"/>
  <c r="E145" i="1"/>
  <c r="F145" i="1" s="1"/>
  <c r="E144" i="1"/>
  <c r="F144" i="1" s="1"/>
  <c r="E143" i="1"/>
  <c r="E142" i="1"/>
  <c r="E141" i="1"/>
  <c r="E140" i="1"/>
  <c r="N85" i="8"/>
  <c r="M85" i="8"/>
  <c r="L85" i="8"/>
  <c r="E85" i="8"/>
  <c r="D85" i="8"/>
  <c r="N84" i="8"/>
  <c r="M84" i="8"/>
  <c r="L84" i="8"/>
  <c r="E84" i="8"/>
  <c r="D84" i="8"/>
  <c r="N83" i="8"/>
  <c r="M83" i="8"/>
  <c r="L83" i="8"/>
  <c r="E83" i="8"/>
  <c r="D83" i="8"/>
  <c r="N82" i="8"/>
  <c r="M82" i="8"/>
  <c r="L82" i="8"/>
  <c r="E82" i="8"/>
  <c r="D82" i="8"/>
  <c r="N81" i="8"/>
  <c r="M81" i="8"/>
  <c r="L81" i="8"/>
  <c r="E81" i="8"/>
  <c r="D81" i="8"/>
  <c r="N80" i="8"/>
  <c r="M80" i="8"/>
  <c r="L80" i="8"/>
  <c r="E80" i="8"/>
  <c r="D80" i="8"/>
  <c r="N79" i="8"/>
  <c r="M79" i="8"/>
  <c r="L79" i="8"/>
  <c r="E79" i="8"/>
  <c r="D79" i="8"/>
  <c r="N78" i="8"/>
  <c r="M78" i="8"/>
  <c r="L78" i="8"/>
  <c r="E78" i="8"/>
  <c r="D78" i="8"/>
  <c r="N77" i="8"/>
  <c r="M77" i="8"/>
  <c r="L77" i="8"/>
  <c r="E77" i="8"/>
  <c r="D77" i="8"/>
  <c r="N76" i="8"/>
  <c r="M76" i="8"/>
  <c r="L76" i="8"/>
  <c r="E76" i="8"/>
  <c r="D76" i="8"/>
  <c r="N75" i="8"/>
  <c r="M75" i="8"/>
  <c r="L75" i="8"/>
  <c r="E75" i="8"/>
  <c r="D75" i="8"/>
  <c r="N74" i="8"/>
  <c r="M74" i="8"/>
  <c r="L74" i="8"/>
  <c r="D74" i="8"/>
  <c r="N73" i="8"/>
  <c r="M73" i="8"/>
  <c r="L73" i="8"/>
  <c r="E73" i="8"/>
  <c r="D73" i="8"/>
  <c r="N50" i="8"/>
  <c r="M50" i="8"/>
  <c r="L50" i="8"/>
  <c r="H50" i="8"/>
  <c r="I50" i="8" s="1"/>
  <c r="D50" i="8"/>
  <c r="N49" i="8"/>
  <c r="M49" i="8"/>
  <c r="L49" i="8"/>
  <c r="H49" i="8"/>
  <c r="I49" i="8" s="1"/>
  <c r="D49" i="8"/>
  <c r="N48" i="8"/>
  <c r="M48" i="8"/>
  <c r="L48" i="8"/>
  <c r="H48" i="8"/>
  <c r="I48" i="8" s="1"/>
  <c r="D48" i="8"/>
  <c r="N47" i="8"/>
  <c r="M47" i="8"/>
  <c r="L47" i="8"/>
  <c r="H47" i="8"/>
  <c r="I47" i="8" s="1"/>
  <c r="D47" i="8"/>
  <c r="N46" i="8"/>
  <c r="M46" i="8"/>
  <c r="L46" i="8"/>
  <c r="H46" i="8"/>
  <c r="I46" i="8" s="1"/>
  <c r="D46" i="8"/>
  <c r="N45" i="8"/>
  <c r="M45" i="8"/>
  <c r="L45" i="8"/>
  <c r="H45" i="8"/>
  <c r="I45" i="8" s="1"/>
  <c r="D45" i="8"/>
  <c r="N44" i="8"/>
  <c r="M44" i="8"/>
  <c r="L44" i="8"/>
  <c r="H44" i="8"/>
  <c r="I44" i="8" s="1"/>
  <c r="D44" i="8"/>
  <c r="N43" i="8"/>
  <c r="M43" i="8"/>
  <c r="L43" i="8"/>
  <c r="H43" i="8"/>
  <c r="I43" i="8" s="1"/>
  <c r="D43" i="8"/>
  <c r="N42" i="8"/>
  <c r="M42" i="8"/>
  <c r="L42" i="8"/>
  <c r="H42" i="8"/>
  <c r="I42" i="8" s="1"/>
  <c r="D42" i="8"/>
  <c r="N41" i="8"/>
  <c r="M41" i="8"/>
  <c r="L41" i="8"/>
  <c r="H41" i="8"/>
  <c r="I41" i="8" s="1"/>
  <c r="D41" i="8"/>
  <c r="N40" i="8"/>
  <c r="M40" i="8"/>
  <c r="L40" i="8"/>
  <c r="H40" i="8"/>
  <c r="I40" i="8" s="1"/>
  <c r="D40" i="8"/>
  <c r="N39" i="8"/>
  <c r="M39" i="8"/>
  <c r="L39" i="8"/>
  <c r="H39" i="8"/>
  <c r="I39" i="8" s="1"/>
  <c r="D39" i="8"/>
  <c r="N38" i="8"/>
  <c r="M38" i="8"/>
  <c r="L38" i="8"/>
  <c r="H38" i="8"/>
  <c r="I38" i="8" s="1"/>
  <c r="D38" i="8"/>
  <c r="N15" i="8"/>
  <c r="M15" i="8"/>
  <c r="L15" i="8"/>
  <c r="H15" i="8"/>
  <c r="I15" i="8" s="1"/>
  <c r="D15" i="8"/>
  <c r="N14" i="8"/>
  <c r="M14" i="8"/>
  <c r="L14" i="8"/>
  <c r="H14" i="8"/>
  <c r="I14" i="8" s="1"/>
  <c r="D14" i="8"/>
  <c r="N13" i="8"/>
  <c r="M13" i="8"/>
  <c r="L13" i="8"/>
  <c r="H13" i="8"/>
  <c r="I13" i="8" s="1"/>
  <c r="D13" i="8"/>
  <c r="N12" i="8"/>
  <c r="M12" i="8"/>
  <c r="L12" i="8"/>
  <c r="H12" i="8"/>
  <c r="I12" i="8" s="1"/>
  <c r="D12" i="8"/>
  <c r="N11" i="8"/>
  <c r="M11" i="8"/>
  <c r="L11" i="8"/>
  <c r="D11" i="8"/>
  <c r="N10" i="8"/>
  <c r="M10" i="8"/>
  <c r="L10" i="8"/>
  <c r="D10" i="8"/>
  <c r="N9" i="8"/>
  <c r="M9" i="8"/>
  <c r="L9" i="8"/>
  <c r="H9" i="8"/>
  <c r="I9" i="8" s="1"/>
  <c r="D9" i="8"/>
  <c r="N8" i="8"/>
  <c r="M8" i="8"/>
  <c r="L8" i="8"/>
  <c r="D8" i="8"/>
  <c r="N7" i="8"/>
  <c r="M7" i="8"/>
  <c r="L7" i="8"/>
  <c r="H7" i="8"/>
  <c r="I7" i="8" s="1"/>
  <c r="D7" i="8"/>
  <c r="N6" i="8"/>
  <c r="M6" i="8"/>
  <c r="L6" i="8"/>
  <c r="H6" i="8"/>
  <c r="I6" i="8" s="1"/>
  <c r="D6" i="8"/>
  <c r="N5" i="8"/>
  <c r="M5" i="8"/>
  <c r="L5" i="8"/>
  <c r="H5" i="8"/>
  <c r="I5" i="8" s="1"/>
  <c r="D5" i="8"/>
  <c r="N4" i="8"/>
  <c r="M4" i="8"/>
  <c r="L4" i="8"/>
  <c r="H4" i="8"/>
  <c r="I4" i="8" s="1"/>
  <c r="D4" i="8"/>
  <c r="N3" i="8"/>
  <c r="M3" i="8"/>
  <c r="L3" i="8"/>
  <c r="H3" i="8"/>
  <c r="I3" i="8" s="1"/>
  <c r="D3" i="8"/>
  <c r="F141" i="1" l="1"/>
  <c r="G141" i="1"/>
  <c r="F143" i="1"/>
  <c r="G143" i="1"/>
  <c r="F150" i="1"/>
  <c r="G150" i="1"/>
  <c r="F152" i="1"/>
  <c r="G152" i="1"/>
  <c r="F159" i="1"/>
  <c r="G159" i="1"/>
  <c r="F161" i="1"/>
  <c r="G161" i="1"/>
  <c r="J180" i="2"/>
  <c r="K180" i="2" s="1"/>
  <c r="I180" i="2"/>
  <c r="I178" i="2"/>
  <c r="J178" i="2" s="1"/>
  <c r="K178" i="2" s="1"/>
  <c r="H73" i="8"/>
  <c r="I73" i="8" s="1"/>
  <c r="G73" i="8"/>
  <c r="F140" i="1"/>
  <c r="G140" i="1"/>
  <c r="F142" i="1"/>
  <c r="G142" i="1"/>
  <c r="F149" i="1"/>
  <c r="G149" i="1"/>
  <c r="F151" i="1"/>
  <c r="G151" i="1"/>
  <c r="F158" i="1"/>
  <c r="G158" i="1"/>
  <c r="F160" i="1"/>
  <c r="G160" i="1"/>
  <c r="I179" i="2"/>
  <c r="J179" i="2" s="1"/>
  <c r="K179" i="2" s="1"/>
  <c r="J193" i="2"/>
  <c r="K193" i="2" s="1"/>
  <c r="I193" i="2"/>
  <c r="I194" i="2"/>
  <c r="J194" i="2" s="1"/>
  <c r="K194" i="2" s="1"/>
  <c r="J195" i="2"/>
  <c r="K195" i="2" s="1"/>
  <c r="I195" i="2"/>
  <c r="I207" i="2"/>
  <c r="J207" i="2" s="1"/>
  <c r="K207" i="2" s="1"/>
  <c r="J192" i="2"/>
  <c r="K192" i="2" s="1"/>
  <c r="I177" i="2"/>
  <c r="J177" i="2" s="1"/>
  <c r="K177" i="2" s="1"/>
  <c r="G8" i="8"/>
  <c r="H8" i="8" s="1"/>
  <c r="I8" i="8" s="1"/>
  <c r="G10" i="8"/>
  <c r="H10" i="8" s="1"/>
  <c r="I10" i="8" s="1"/>
  <c r="G11" i="8"/>
  <c r="H11" i="8" s="1"/>
  <c r="I11" i="8" s="1"/>
  <c r="H76" i="8"/>
  <c r="I76" i="8" s="1"/>
  <c r="G76" i="8"/>
  <c r="G75" i="8"/>
  <c r="H75" i="8" s="1"/>
  <c r="I75" i="8" s="1"/>
  <c r="G74" i="8"/>
  <c r="H74" i="8" s="1"/>
  <c r="I74" i="8" s="1"/>
  <c r="G77" i="8"/>
  <c r="H77" i="8" s="1"/>
  <c r="I77" i="8" s="1"/>
  <c r="G78" i="8"/>
  <c r="H78" i="8" s="1"/>
  <c r="I78" i="8" s="1"/>
  <c r="G79" i="8"/>
  <c r="H79" i="8" s="1"/>
  <c r="I79" i="8" s="1"/>
  <c r="G80" i="8"/>
  <c r="H80" i="8" s="1"/>
  <c r="G81" i="8"/>
  <c r="H81" i="8" s="1"/>
  <c r="G82" i="8"/>
  <c r="H82" i="8" s="1"/>
  <c r="G83" i="8"/>
  <c r="H83" i="8" s="1"/>
  <c r="G84" i="8"/>
  <c r="H84" i="8" s="1"/>
  <c r="G85" i="8"/>
  <c r="H85" i="8" s="1"/>
  <c r="J208" i="2"/>
  <c r="K208" i="2" s="1"/>
  <c r="J210" i="2"/>
  <c r="K210" i="2" s="1"/>
  <c r="J209" i="2"/>
  <c r="K209" i="2" s="1"/>
  <c r="J5" i="8"/>
  <c r="K5" i="8"/>
  <c r="J7" i="8"/>
  <c r="K7" i="8"/>
  <c r="J9" i="8"/>
  <c r="K9" i="8"/>
  <c r="K13" i="8"/>
  <c r="J13" i="8"/>
  <c r="K15" i="8"/>
  <c r="J15" i="8"/>
  <c r="K39" i="8"/>
  <c r="J39" i="8"/>
  <c r="K41" i="8"/>
  <c r="J41" i="8"/>
  <c r="K43" i="8"/>
  <c r="J43" i="8"/>
  <c r="K45" i="8"/>
  <c r="J45" i="8"/>
  <c r="K47" i="8"/>
  <c r="J47" i="8"/>
  <c r="K49" i="8"/>
  <c r="J49" i="8"/>
  <c r="J73" i="8"/>
  <c r="K73" i="8"/>
  <c r="J3" i="8"/>
  <c r="K3" i="8"/>
  <c r="J4" i="8"/>
  <c r="K4" i="8"/>
  <c r="J6" i="8"/>
  <c r="K6" i="8"/>
  <c r="J12" i="8"/>
  <c r="K12" i="8"/>
  <c r="J14" i="8"/>
  <c r="K14" i="8"/>
  <c r="K38" i="8"/>
  <c r="J38" i="8"/>
  <c r="K40" i="8"/>
  <c r="J40" i="8"/>
  <c r="K42" i="8"/>
  <c r="J42" i="8"/>
  <c r="K44" i="8"/>
  <c r="J44" i="8"/>
  <c r="K46" i="8"/>
  <c r="J46" i="8"/>
  <c r="J48" i="8"/>
  <c r="K48" i="8"/>
  <c r="J50" i="8"/>
  <c r="K50" i="8"/>
  <c r="K76" i="8"/>
  <c r="K82" i="8" l="1"/>
  <c r="J82" i="8"/>
  <c r="I80" i="8"/>
  <c r="J80" i="8"/>
  <c r="I81" i="8"/>
  <c r="J81" i="8"/>
  <c r="K84" i="8"/>
  <c r="J84" i="8"/>
  <c r="J8" i="8"/>
  <c r="K8" i="8"/>
  <c r="J10" i="8"/>
  <c r="K10" i="8"/>
  <c r="K11" i="8"/>
  <c r="J11" i="8"/>
  <c r="J85" i="8"/>
  <c r="K85" i="8"/>
  <c r="J77" i="8"/>
  <c r="J76" i="8"/>
  <c r="K74" i="8"/>
  <c r="J74" i="8"/>
  <c r="K75" i="8"/>
  <c r="J75" i="8"/>
  <c r="K77" i="8"/>
  <c r="J78" i="8"/>
  <c r="K78" i="8"/>
  <c r="K79" i="8"/>
  <c r="J79" i="8"/>
  <c r="K80" i="8"/>
  <c r="K81" i="8"/>
  <c r="K83" i="8"/>
  <c r="J83" i="8"/>
  <c r="R29" i="7"/>
  <c r="N29" i="7"/>
  <c r="H29" i="7"/>
  <c r="J29" i="7" s="1"/>
  <c r="E29" i="7"/>
  <c r="C29" i="7"/>
  <c r="R25" i="7"/>
  <c r="N25" i="7"/>
  <c r="H25" i="7"/>
  <c r="J25" i="7" s="1"/>
  <c r="E25" i="7"/>
  <c r="C25" i="7"/>
  <c r="R21" i="7"/>
  <c r="N21" i="7"/>
  <c r="H21" i="7"/>
  <c r="J21" i="7" s="1"/>
  <c r="C21" i="7"/>
  <c r="E21" i="7"/>
  <c r="M14" i="7"/>
  <c r="O14" i="7" s="1"/>
  <c r="P14" i="7" s="1"/>
  <c r="H14" i="7"/>
  <c r="J14" i="7" s="1"/>
  <c r="E14" i="7"/>
  <c r="C14" i="7"/>
  <c r="M10" i="7"/>
  <c r="O10" i="7" s="1"/>
  <c r="P10" i="7" s="1"/>
  <c r="H10" i="7"/>
  <c r="J10" i="7" s="1"/>
  <c r="E10" i="7"/>
  <c r="C10" i="7"/>
  <c r="M6" i="7" l="1"/>
  <c r="O6" i="7" s="1"/>
  <c r="P6" i="7" s="1"/>
  <c r="J6" i="7"/>
  <c r="E6" i="7"/>
  <c r="C6" i="7"/>
  <c r="X120" i="2" l="1"/>
  <c r="X116" i="2"/>
  <c r="Y116" i="2" s="1"/>
  <c r="X65" i="2"/>
  <c r="X61" i="2"/>
  <c r="Y61" i="2" s="1"/>
  <c r="X7" i="2"/>
  <c r="X3" i="2"/>
  <c r="Y3" i="2" s="1"/>
  <c r="O35" i="2"/>
  <c r="O11" i="4"/>
  <c r="O10" i="4"/>
  <c r="O9" i="4"/>
  <c r="O8" i="4"/>
  <c r="O7" i="4"/>
  <c r="O6" i="4"/>
  <c r="T11" i="2"/>
  <c r="R12" i="2"/>
  <c r="R13" i="2"/>
  <c r="R14" i="2"/>
  <c r="R15" i="2"/>
  <c r="R16" i="2"/>
  <c r="R11" i="2"/>
  <c r="E129" i="2"/>
  <c r="N129" i="2" s="1"/>
  <c r="O129" i="2" s="1"/>
  <c r="E128" i="2"/>
  <c r="K128" i="2" s="1"/>
  <c r="F127" i="2"/>
  <c r="E127" i="2"/>
  <c r="N127" i="2" s="1"/>
  <c r="O127" i="2" s="1"/>
  <c r="E126" i="2"/>
  <c r="K126" i="2" s="1"/>
  <c r="E125" i="2"/>
  <c r="N125" i="2" s="1"/>
  <c r="O125" i="2" s="1"/>
  <c r="E124" i="2"/>
  <c r="K124" i="2" s="1"/>
  <c r="U121" i="2"/>
  <c r="S121" i="2"/>
  <c r="Q121" i="2"/>
  <c r="N121" i="2"/>
  <c r="O121" i="2" s="1"/>
  <c r="P121" i="2" s="1"/>
  <c r="E121" i="2"/>
  <c r="U120" i="2"/>
  <c r="S120" i="2"/>
  <c r="Q120" i="2"/>
  <c r="N120" i="2"/>
  <c r="O120" i="2" s="1"/>
  <c r="P120" i="2" s="1"/>
  <c r="E120" i="2"/>
  <c r="U119" i="2"/>
  <c r="S119" i="2"/>
  <c r="Q119" i="2"/>
  <c r="N119" i="2"/>
  <c r="O119" i="2" s="1"/>
  <c r="P119" i="2" s="1"/>
  <c r="E119" i="2"/>
  <c r="U118" i="2"/>
  <c r="S118" i="2"/>
  <c r="Q118" i="2"/>
  <c r="N118" i="2"/>
  <c r="O118" i="2" s="1"/>
  <c r="P118" i="2" s="1"/>
  <c r="E118" i="2"/>
  <c r="U117" i="2"/>
  <c r="S117" i="2"/>
  <c r="Q117" i="2"/>
  <c r="N117" i="2"/>
  <c r="O117" i="2" s="1"/>
  <c r="P117" i="2" s="1"/>
  <c r="E117" i="2"/>
  <c r="U116" i="2"/>
  <c r="S116" i="2"/>
  <c r="Q116" i="2"/>
  <c r="N116" i="2"/>
  <c r="O116" i="2" s="1"/>
  <c r="P116" i="2" s="1"/>
  <c r="E116" i="2"/>
  <c r="E74" i="2"/>
  <c r="N74" i="2" s="1"/>
  <c r="O74" i="2" s="1"/>
  <c r="P74" i="2" s="1"/>
  <c r="E73" i="2"/>
  <c r="K73" i="2" s="1"/>
  <c r="E72" i="2"/>
  <c r="N72" i="2" s="1"/>
  <c r="O72" i="2" s="1"/>
  <c r="P72" i="2" s="1"/>
  <c r="E71" i="2"/>
  <c r="K71" i="2" s="1"/>
  <c r="E70" i="2"/>
  <c r="N70" i="2" s="1"/>
  <c r="O70" i="2" s="1"/>
  <c r="P70" i="2" s="1"/>
  <c r="E69" i="2"/>
  <c r="K69" i="2" s="1"/>
  <c r="U66" i="2"/>
  <c r="S66" i="2"/>
  <c r="Q66" i="2"/>
  <c r="N66" i="2"/>
  <c r="O66" i="2" s="1"/>
  <c r="P66" i="2" s="1"/>
  <c r="E66" i="2"/>
  <c r="U65" i="2"/>
  <c r="S65" i="2"/>
  <c r="Q65" i="2"/>
  <c r="N65" i="2"/>
  <c r="O65" i="2" s="1"/>
  <c r="P65" i="2" s="1"/>
  <c r="E65" i="2"/>
  <c r="U64" i="2"/>
  <c r="S64" i="2"/>
  <c r="Q64" i="2"/>
  <c r="N64" i="2"/>
  <c r="O64" i="2" s="1"/>
  <c r="P64" i="2" s="1"/>
  <c r="E64" i="2"/>
  <c r="U63" i="2"/>
  <c r="S63" i="2"/>
  <c r="Q63" i="2"/>
  <c r="N63" i="2"/>
  <c r="O63" i="2" s="1"/>
  <c r="P63" i="2" s="1"/>
  <c r="E63" i="2"/>
  <c r="U62" i="2"/>
  <c r="S62" i="2"/>
  <c r="Q62" i="2"/>
  <c r="N62" i="2"/>
  <c r="O62" i="2" s="1"/>
  <c r="P62" i="2" s="1"/>
  <c r="E62" i="2"/>
  <c r="U61" i="2"/>
  <c r="S61" i="2"/>
  <c r="Q61" i="2"/>
  <c r="N61" i="2"/>
  <c r="O61" i="2" s="1"/>
  <c r="P61" i="2" s="1"/>
  <c r="E61" i="2"/>
  <c r="D118" i="1"/>
  <c r="D117" i="1"/>
  <c r="D116" i="1"/>
  <c r="D115" i="1"/>
  <c r="D114" i="1"/>
  <c r="D113" i="1"/>
  <c r="D112" i="1"/>
  <c r="D111" i="1"/>
  <c r="D110" i="1"/>
  <c r="D109" i="1"/>
  <c r="D108" i="1"/>
  <c r="D107" i="1"/>
  <c r="D102" i="1"/>
  <c r="D101" i="1"/>
  <c r="D100" i="1"/>
  <c r="D99" i="1"/>
  <c r="D98" i="1"/>
  <c r="D97" i="1"/>
  <c r="D96" i="1"/>
  <c r="D95" i="1"/>
  <c r="D94" i="1"/>
  <c r="D93" i="1"/>
  <c r="D92" i="1"/>
  <c r="D91" i="1"/>
  <c r="D132" i="1"/>
  <c r="D133" i="1"/>
  <c r="D131" i="1"/>
  <c r="D130" i="1"/>
  <c r="D129" i="1"/>
  <c r="D128" i="1"/>
  <c r="D127" i="1"/>
  <c r="D126" i="1"/>
  <c r="D125" i="1"/>
  <c r="D124" i="1"/>
  <c r="D123" i="1"/>
  <c r="D122" i="1"/>
  <c r="F69" i="2" l="1"/>
  <c r="F73" i="2"/>
  <c r="F71" i="2"/>
  <c r="F129" i="2"/>
  <c r="F116" i="2"/>
  <c r="H116" i="2"/>
  <c r="I116" i="2" s="1"/>
  <c r="J116" i="2" s="1"/>
  <c r="F117" i="2"/>
  <c r="H117" i="2"/>
  <c r="I117" i="2" s="1"/>
  <c r="J117" i="2" s="1"/>
  <c r="F118" i="2"/>
  <c r="H118" i="2"/>
  <c r="I118" i="2" s="1"/>
  <c r="J118" i="2" s="1"/>
  <c r="F119" i="2"/>
  <c r="H119" i="2"/>
  <c r="I119" i="2" s="1"/>
  <c r="J119" i="2" s="1"/>
  <c r="F120" i="2"/>
  <c r="H120" i="2"/>
  <c r="I120" i="2" s="1"/>
  <c r="J120" i="2" s="1"/>
  <c r="F121" i="2"/>
  <c r="H121" i="2"/>
  <c r="I121" i="2" s="1"/>
  <c r="J121" i="2" s="1"/>
  <c r="F124" i="2"/>
  <c r="N124" i="2"/>
  <c r="O124" i="2" s="1"/>
  <c r="G125" i="2"/>
  <c r="I125" i="2"/>
  <c r="K125" i="2"/>
  <c r="F126" i="2"/>
  <c r="N126" i="2"/>
  <c r="O126" i="2" s="1"/>
  <c r="G127" i="2"/>
  <c r="L127" i="2" s="1"/>
  <c r="M127" i="2" s="1"/>
  <c r="I127" i="2"/>
  <c r="K127" i="2"/>
  <c r="F128" i="2"/>
  <c r="N128" i="2"/>
  <c r="O128" i="2" s="1"/>
  <c r="G129" i="2"/>
  <c r="I129" i="2"/>
  <c r="K129" i="2"/>
  <c r="G116" i="2"/>
  <c r="K116" i="2"/>
  <c r="G117" i="2"/>
  <c r="G118" i="2"/>
  <c r="G119" i="2"/>
  <c r="G120" i="2"/>
  <c r="G121" i="2"/>
  <c r="G124" i="2"/>
  <c r="I124" i="2"/>
  <c r="F125" i="2"/>
  <c r="L125" i="2"/>
  <c r="M125" i="2" s="1"/>
  <c r="G126" i="2"/>
  <c r="I126" i="2"/>
  <c r="G128" i="2"/>
  <c r="I128" i="2"/>
  <c r="L129" i="2"/>
  <c r="M129" i="2" s="1"/>
  <c r="N69" i="2"/>
  <c r="O69" i="2" s="1"/>
  <c r="P69" i="2" s="1"/>
  <c r="N71" i="2"/>
  <c r="O71" i="2" s="1"/>
  <c r="P71" i="2" s="1"/>
  <c r="N73" i="2"/>
  <c r="O73" i="2" s="1"/>
  <c r="P73" i="2" s="1"/>
  <c r="F61" i="2"/>
  <c r="H61" i="2"/>
  <c r="I61" i="2" s="1"/>
  <c r="J61" i="2" s="1"/>
  <c r="F62" i="2"/>
  <c r="H62" i="2"/>
  <c r="I62" i="2" s="1"/>
  <c r="J62" i="2" s="1"/>
  <c r="F63" i="2"/>
  <c r="H63" i="2"/>
  <c r="I63" i="2" s="1"/>
  <c r="J63" i="2" s="1"/>
  <c r="F64" i="2"/>
  <c r="H64" i="2"/>
  <c r="I64" i="2" s="1"/>
  <c r="J64" i="2" s="1"/>
  <c r="F65" i="2"/>
  <c r="H65" i="2"/>
  <c r="I65" i="2" s="1"/>
  <c r="J65" i="2" s="1"/>
  <c r="F66" i="2"/>
  <c r="H66" i="2"/>
  <c r="I66" i="2" s="1"/>
  <c r="J66" i="2" s="1"/>
  <c r="G70" i="2"/>
  <c r="L70" i="2" s="1"/>
  <c r="M70" i="2" s="1"/>
  <c r="I70" i="2"/>
  <c r="K70" i="2"/>
  <c r="G72" i="2"/>
  <c r="I72" i="2"/>
  <c r="K72" i="2"/>
  <c r="G74" i="2"/>
  <c r="L74" i="2" s="1"/>
  <c r="M74" i="2" s="1"/>
  <c r="I74" i="2"/>
  <c r="K74" i="2"/>
  <c r="G61" i="2"/>
  <c r="K61" i="2"/>
  <c r="G62" i="2"/>
  <c r="K62" i="2"/>
  <c r="G63" i="2"/>
  <c r="G64" i="2"/>
  <c r="G65" i="2"/>
  <c r="K65" i="2"/>
  <c r="G66" i="2"/>
  <c r="G69" i="2"/>
  <c r="I69" i="2"/>
  <c r="F70" i="2"/>
  <c r="G71" i="2"/>
  <c r="I71" i="2"/>
  <c r="F72" i="2"/>
  <c r="L72" i="2"/>
  <c r="M72" i="2" s="1"/>
  <c r="G73" i="2"/>
  <c r="I73" i="2"/>
  <c r="F74" i="2"/>
  <c r="K121" i="2" l="1"/>
  <c r="K120" i="2"/>
  <c r="K119" i="2"/>
  <c r="K118" i="2"/>
  <c r="K117" i="2"/>
  <c r="K64" i="2"/>
  <c r="K66" i="2"/>
  <c r="K63" i="2"/>
  <c r="J126" i="2"/>
  <c r="H126" i="2"/>
  <c r="J124" i="2"/>
  <c r="H124" i="2"/>
  <c r="J128" i="2"/>
  <c r="H128" i="2"/>
  <c r="J129" i="2"/>
  <c r="H129" i="2"/>
  <c r="J127" i="2"/>
  <c r="H127" i="2"/>
  <c r="J125" i="2"/>
  <c r="H125" i="2"/>
  <c r="L128" i="2"/>
  <c r="M128" i="2" s="1"/>
  <c r="L126" i="2"/>
  <c r="M126" i="2" s="1"/>
  <c r="L124" i="2"/>
  <c r="M124" i="2" s="1"/>
  <c r="L73" i="2"/>
  <c r="M73" i="2" s="1"/>
  <c r="J73" i="2"/>
  <c r="H73" i="2"/>
  <c r="J74" i="2"/>
  <c r="H74" i="2"/>
  <c r="J70" i="2"/>
  <c r="H70" i="2"/>
  <c r="L71" i="2"/>
  <c r="M71" i="2" s="1"/>
  <c r="J71" i="2"/>
  <c r="H71" i="2"/>
  <c r="L69" i="2"/>
  <c r="M69" i="2" s="1"/>
  <c r="J69" i="2"/>
  <c r="H69" i="2"/>
  <c r="J72" i="2"/>
  <c r="H72" i="2"/>
  <c r="E16" i="2"/>
  <c r="N16" i="2" s="1"/>
  <c r="O16" i="2" s="1"/>
  <c r="P16" i="2" s="1"/>
  <c r="E15" i="2"/>
  <c r="K15" i="2" s="1"/>
  <c r="E14" i="2"/>
  <c r="N14" i="2" s="1"/>
  <c r="O14" i="2" s="1"/>
  <c r="P14" i="2" s="1"/>
  <c r="E13" i="2"/>
  <c r="K13" i="2" s="1"/>
  <c r="E12" i="2"/>
  <c r="N12" i="2" s="1"/>
  <c r="O12" i="2" s="1"/>
  <c r="P12" i="2" s="1"/>
  <c r="E11" i="2"/>
  <c r="K11" i="2" s="1"/>
  <c r="U8" i="2"/>
  <c r="S8" i="2"/>
  <c r="Q8" i="2"/>
  <c r="N8" i="2"/>
  <c r="O8" i="2" s="1"/>
  <c r="P8" i="2" s="1"/>
  <c r="E8" i="2"/>
  <c r="U7" i="2"/>
  <c r="S7" i="2"/>
  <c r="Q7" i="2"/>
  <c r="N7" i="2"/>
  <c r="O7" i="2" s="1"/>
  <c r="P7" i="2" s="1"/>
  <c r="E7" i="2"/>
  <c r="U6" i="2"/>
  <c r="S6" i="2"/>
  <c r="Q6" i="2"/>
  <c r="N6" i="2"/>
  <c r="O6" i="2" s="1"/>
  <c r="P6" i="2" s="1"/>
  <c r="E6" i="2"/>
  <c r="U5" i="2"/>
  <c r="S5" i="2"/>
  <c r="Q5" i="2"/>
  <c r="N5" i="2"/>
  <c r="O5" i="2" s="1"/>
  <c r="P5" i="2" s="1"/>
  <c r="E5" i="2"/>
  <c r="U4" i="2"/>
  <c r="S4" i="2"/>
  <c r="Q4" i="2"/>
  <c r="N4" i="2"/>
  <c r="O4" i="2" s="1"/>
  <c r="P4" i="2" s="1"/>
  <c r="E4" i="2"/>
  <c r="U3" i="2"/>
  <c r="S3" i="2"/>
  <c r="Q3" i="2"/>
  <c r="N3" i="2"/>
  <c r="O3" i="2" s="1"/>
  <c r="P3" i="2" s="1"/>
  <c r="E3" i="2"/>
  <c r="F11" i="2" l="1"/>
  <c r="F13" i="2"/>
  <c r="F15" i="2"/>
  <c r="N11" i="2"/>
  <c r="O11" i="2" s="1"/>
  <c r="P11" i="2" s="1"/>
  <c r="N13" i="2"/>
  <c r="O13" i="2" s="1"/>
  <c r="P13" i="2" s="1"/>
  <c r="N15" i="2"/>
  <c r="O15" i="2" s="1"/>
  <c r="P15" i="2" s="1"/>
  <c r="G4" i="2"/>
  <c r="G6" i="2"/>
  <c r="F3" i="2"/>
  <c r="H3" i="2"/>
  <c r="I3" i="2" s="1"/>
  <c r="J3" i="2" s="1"/>
  <c r="F4" i="2"/>
  <c r="H4" i="2"/>
  <c r="I4" i="2" s="1"/>
  <c r="J4" i="2" s="1"/>
  <c r="F5" i="2"/>
  <c r="H5" i="2"/>
  <c r="I5" i="2" s="1"/>
  <c r="J5" i="2" s="1"/>
  <c r="F6" i="2"/>
  <c r="H6" i="2"/>
  <c r="I6" i="2" s="1"/>
  <c r="J6" i="2" s="1"/>
  <c r="F7" i="2"/>
  <c r="H7" i="2"/>
  <c r="I7" i="2" s="1"/>
  <c r="J7" i="2" s="1"/>
  <c r="F8" i="2"/>
  <c r="H8" i="2"/>
  <c r="I8" i="2" s="1"/>
  <c r="J8" i="2" s="1"/>
  <c r="G12" i="2"/>
  <c r="I12" i="2"/>
  <c r="K12" i="2"/>
  <c r="G14" i="2"/>
  <c r="L14" i="2" s="1"/>
  <c r="M14" i="2" s="1"/>
  <c r="I14" i="2"/>
  <c r="K14" i="2"/>
  <c r="G16" i="2"/>
  <c r="I16" i="2"/>
  <c r="K16" i="2"/>
  <c r="G3" i="2"/>
  <c r="G5" i="2"/>
  <c r="G7" i="2"/>
  <c r="G8" i="2"/>
  <c r="G11" i="2"/>
  <c r="I11" i="2"/>
  <c r="F12" i="2"/>
  <c r="L12" i="2"/>
  <c r="M12" i="2" s="1"/>
  <c r="G13" i="2"/>
  <c r="I13" i="2"/>
  <c r="F14" i="2"/>
  <c r="G15" i="2"/>
  <c r="I15" i="2"/>
  <c r="F16" i="2"/>
  <c r="L16" i="2"/>
  <c r="M16" i="2" s="1"/>
  <c r="K8" i="2" l="1"/>
  <c r="AM8" i="2" s="1"/>
  <c r="AN8" i="2" s="1"/>
  <c r="AO8" i="2" s="1"/>
  <c r="J16" i="2"/>
  <c r="H16" i="2"/>
  <c r="J12" i="2"/>
  <c r="H12" i="2"/>
  <c r="K7" i="2"/>
  <c r="AM7" i="2" s="1"/>
  <c r="AN7" i="2" s="1"/>
  <c r="AO7" i="2" s="1"/>
  <c r="K5" i="2"/>
  <c r="AM5" i="2" s="1"/>
  <c r="AN5" i="2" s="1"/>
  <c r="AO5" i="2" s="1"/>
  <c r="K3" i="2"/>
  <c r="AM3" i="2" s="1"/>
  <c r="AN3" i="2" s="1"/>
  <c r="AO3" i="2" s="1"/>
  <c r="L15" i="2"/>
  <c r="M15" i="2" s="1"/>
  <c r="J15" i="2"/>
  <c r="H15" i="2"/>
  <c r="L13" i="2"/>
  <c r="M13" i="2" s="1"/>
  <c r="J13" i="2"/>
  <c r="H13" i="2"/>
  <c r="L11" i="2"/>
  <c r="M11" i="2" s="1"/>
  <c r="J11" i="2"/>
  <c r="H11" i="2"/>
  <c r="J14" i="2"/>
  <c r="H14" i="2"/>
  <c r="K6" i="2"/>
  <c r="AM6" i="2" s="1"/>
  <c r="AN6" i="2" s="1"/>
  <c r="AO6" i="2" s="1"/>
  <c r="K4" i="2"/>
  <c r="AM4" i="2" s="1"/>
  <c r="AN4" i="2" s="1"/>
  <c r="AO4" i="2" s="1"/>
  <c r="E85" i="1"/>
  <c r="F85" i="1" s="1"/>
  <c r="E76" i="1"/>
  <c r="F76" i="1" s="1"/>
  <c r="E84" i="1"/>
  <c r="F84" i="1" s="1"/>
  <c r="E83" i="1"/>
  <c r="F83" i="1" s="1"/>
  <c r="E82" i="1"/>
  <c r="F82" i="1" s="1"/>
  <c r="E81" i="1"/>
  <c r="F81" i="1" s="1"/>
  <c r="E80" i="1"/>
  <c r="F80" i="1" s="1"/>
  <c r="E75" i="1"/>
  <c r="F75" i="1" s="1"/>
  <c r="E74" i="1"/>
  <c r="F74" i="1" s="1"/>
  <c r="E73" i="1"/>
  <c r="F73" i="1" s="1"/>
  <c r="E72" i="1"/>
  <c r="F72" i="1" s="1"/>
  <c r="E71" i="1"/>
  <c r="F71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56" i="1"/>
  <c r="E55" i="1"/>
  <c r="E54" i="1"/>
  <c r="E53" i="1"/>
  <c r="E52" i="1"/>
  <c r="E47" i="1"/>
  <c r="E46" i="1"/>
  <c r="E45" i="1"/>
  <c r="E44" i="1"/>
  <c r="E43" i="1"/>
  <c r="E38" i="1"/>
  <c r="E37" i="1"/>
  <c r="E36" i="1"/>
  <c r="E35" i="1"/>
  <c r="E34" i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F35" i="1" l="1"/>
  <c r="G35" i="1"/>
  <c r="I35" i="1" s="1"/>
  <c r="F37" i="1"/>
  <c r="G37" i="1"/>
  <c r="I37" i="1" s="1"/>
  <c r="F43" i="1"/>
  <c r="G43" i="1"/>
  <c r="I43" i="1" s="1"/>
  <c r="F45" i="1"/>
  <c r="G45" i="1"/>
  <c r="I45" i="1" s="1"/>
  <c r="F47" i="1"/>
  <c r="G47" i="1"/>
  <c r="I47" i="1" s="1"/>
  <c r="F53" i="1"/>
  <c r="G53" i="1"/>
  <c r="I53" i="1" s="1"/>
  <c r="F55" i="1"/>
  <c r="G55" i="1"/>
  <c r="I55" i="1" s="1"/>
  <c r="F34" i="1"/>
  <c r="G34" i="1"/>
  <c r="I34" i="1" s="1"/>
  <c r="F36" i="1"/>
  <c r="G36" i="1"/>
  <c r="I36" i="1" s="1"/>
  <c r="F38" i="1"/>
  <c r="G38" i="1"/>
  <c r="I38" i="1" s="1"/>
  <c r="F44" i="1"/>
  <c r="G44" i="1"/>
  <c r="I44" i="1" s="1"/>
  <c r="F46" i="1"/>
  <c r="G46" i="1"/>
  <c r="I46" i="1" s="1"/>
  <c r="F52" i="1"/>
  <c r="G52" i="1"/>
  <c r="I52" i="1" s="1"/>
  <c r="F54" i="1"/>
  <c r="G54" i="1"/>
  <c r="I54" i="1" s="1"/>
  <c r="F56" i="1"/>
  <c r="G56" i="1"/>
  <c r="I5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lagergon first order rate constant, 
</t>
        </r>
        <r>
          <rPr>
            <b/>
            <sz val="9"/>
            <color indexed="81"/>
            <rFont val="Tahoma"/>
            <family val="2"/>
          </rPr>
          <t>k1</t>
        </r>
        <r>
          <rPr>
            <sz val="9"/>
            <color indexed="81"/>
            <rFont val="Tahoma"/>
            <family val="2"/>
          </rPr>
          <t xml:space="preserve">=2.994x10p-2(from solp), </t>
        </r>
        <r>
          <rPr>
            <b/>
            <sz val="9"/>
            <color indexed="81"/>
            <rFont val="Tahoma"/>
            <family val="2"/>
          </rPr>
          <t>Qe</t>
        </r>
        <r>
          <rPr>
            <sz val="9"/>
            <color indexed="81"/>
            <rFont val="Tahoma"/>
            <family val="2"/>
          </rPr>
          <t xml:space="preserve">=0.2032(from 
intercept), </t>
        </r>
        <r>
          <rPr>
            <b/>
            <sz val="9"/>
            <color indexed="81"/>
            <rFont val="Tahoma"/>
            <family val="2"/>
          </rPr>
          <t>R2</t>
        </r>
        <r>
          <rPr>
            <sz val="9"/>
            <color indexed="81"/>
            <rFont val="Tahoma"/>
            <family val="2"/>
          </rPr>
          <t>= 0.923</t>
        </r>
      </text>
    </comment>
    <comment ref="K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Pseudo secon order rate constant k2=0.45 (from intercept), Qe=2.217(from slop)
R2 = 1</t>
        </r>
      </text>
    </comment>
    <comment ref="L1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 = 0.053 (from slop), c=1.482 (from intercept), R2 = 0.571</t>
        </r>
      </text>
    </comment>
    <comment ref="N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Author:
ELOVICH MODEL</t>
        </r>
        <r>
          <rPr>
            <sz val="9"/>
            <color indexed="81"/>
            <rFont val="Tahoma"/>
            <family val="2"/>
          </rPr>
          <t xml:space="preserve">
Beta=3.358
alpha=5.5267
R2 =0.975</t>
        </r>
      </text>
    </comment>
    <comment ref="I36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lagergon first order rate constant, 
</t>
        </r>
        <r>
          <rPr>
            <b/>
            <sz val="9"/>
            <color indexed="81"/>
            <rFont val="Tahoma"/>
            <family val="2"/>
          </rPr>
          <t>k1</t>
        </r>
        <r>
          <rPr>
            <sz val="9"/>
            <color indexed="81"/>
            <rFont val="Tahoma"/>
            <family val="2"/>
          </rPr>
          <t xml:space="preserve">=2.303x10p-2(from solp), </t>
        </r>
        <r>
          <rPr>
            <b/>
            <sz val="9"/>
            <color indexed="81"/>
            <rFont val="Tahoma"/>
            <family val="2"/>
          </rPr>
          <t>Qe</t>
        </r>
        <r>
          <rPr>
            <sz val="9"/>
            <color indexed="81"/>
            <rFont val="Tahoma"/>
            <family val="2"/>
          </rPr>
          <t xml:space="preserve">=0.984(from 
intercept), </t>
        </r>
        <r>
          <rPr>
            <b/>
            <sz val="9"/>
            <color indexed="81"/>
            <rFont val="Tahoma"/>
            <family val="2"/>
          </rPr>
          <t>R2</t>
        </r>
        <r>
          <rPr>
            <sz val="9"/>
            <color indexed="81"/>
            <rFont val="Tahoma"/>
            <family val="2"/>
          </rPr>
          <t>= 0.931</t>
        </r>
      </text>
    </comment>
    <comment ref="K36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Pseudo secon order rate constant k2=5.78x10p-2 (from intercept), Qe=2.433(from slop)
R2 = 0.998</t>
        </r>
      </text>
    </comment>
    <comment ref="L36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 = 0.053 (from slop), c=1.482 (from intercept), R2 = 0.571</t>
        </r>
      </text>
    </comment>
    <comment ref="N36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Author:
ELOVICH MODEL</t>
        </r>
        <r>
          <rPr>
            <sz val="9"/>
            <color indexed="81"/>
            <rFont val="Tahoma"/>
            <family val="2"/>
          </rPr>
          <t xml:space="preserve">
Beta=3.358
alpha=5.5267
R2 =0.975</t>
        </r>
      </text>
    </comment>
    <comment ref="Z36" authorId="0" shapeId="0" xr:uid="{00000000-0006-0000-05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 = 0.053 (from slop), c=1.482 (from intercept), R2 = 0.571</t>
        </r>
      </text>
    </comment>
    <comment ref="L51" authorId="0" shapeId="0" xr:uid="{00000000-0006-0000-05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Pseudo secon order rate constant k2=5.78x10p-2 (from intercept), Qe=2.433(from slop)
R2 = 0.998</t>
        </r>
      </text>
    </comment>
    <comment ref="U52" authorId="0" shapeId="0" xr:uid="{00000000-0006-0000-0500-00000B000000}">
      <text>
        <r>
          <rPr>
            <b/>
            <sz val="9"/>
            <color indexed="81"/>
            <rFont val="Tahoma"/>
            <family val="2"/>
          </rPr>
          <t>Author:
ELOVICH MODEL</t>
        </r>
        <r>
          <rPr>
            <sz val="9"/>
            <color indexed="81"/>
            <rFont val="Tahoma"/>
            <family val="2"/>
          </rPr>
          <t xml:space="preserve">
Beta=3.358
alpha=5.5267
R2 =0.975</t>
        </r>
      </text>
    </comment>
    <comment ref="I71" authorId="0" shapeId="0" xr:uid="{00000000-0006-0000-05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lagergon first order rate constant, 
</t>
        </r>
        <r>
          <rPr>
            <b/>
            <sz val="9"/>
            <color indexed="81"/>
            <rFont val="Tahoma"/>
            <family val="2"/>
          </rPr>
          <t>k1</t>
        </r>
        <r>
          <rPr>
            <sz val="9"/>
            <color indexed="81"/>
            <rFont val="Tahoma"/>
            <family val="2"/>
          </rPr>
          <t xml:space="preserve">=2.303x10p-2(from solp), </t>
        </r>
        <r>
          <rPr>
            <b/>
            <sz val="9"/>
            <color indexed="81"/>
            <rFont val="Tahoma"/>
            <family val="2"/>
          </rPr>
          <t>Qe</t>
        </r>
        <r>
          <rPr>
            <sz val="9"/>
            <color indexed="81"/>
            <rFont val="Tahoma"/>
            <family val="2"/>
          </rPr>
          <t xml:space="preserve">=0.984(from 
intercept), </t>
        </r>
        <r>
          <rPr>
            <b/>
            <sz val="9"/>
            <color indexed="81"/>
            <rFont val="Tahoma"/>
            <family val="2"/>
          </rPr>
          <t>R2</t>
        </r>
        <r>
          <rPr>
            <sz val="9"/>
            <color indexed="81"/>
            <rFont val="Tahoma"/>
            <family val="2"/>
          </rPr>
          <t>= 0.931</t>
        </r>
      </text>
    </comment>
    <comment ref="K71" authorId="0" shapeId="0" xr:uid="{00000000-0006-0000-05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Pseudo secon order rate constant k2=5.78x10p-2 (from intercept), Qe=2.433(from slop)
R2 = 0.998</t>
        </r>
      </text>
    </comment>
    <comment ref="L71" authorId="0" shapeId="0" xr:uid="{00000000-0006-0000-05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 = 0.053 (from slop), c=1.482 (from intercept), R2 = 0.571</t>
        </r>
      </text>
    </comment>
    <comment ref="N71" authorId="0" shapeId="0" xr:uid="{00000000-0006-0000-0500-00000F000000}">
      <text>
        <r>
          <rPr>
            <b/>
            <sz val="9"/>
            <color indexed="81"/>
            <rFont val="Tahoma"/>
            <family val="2"/>
          </rPr>
          <t>Author:
ELOVICH MODEL</t>
        </r>
        <r>
          <rPr>
            <sz val="9"/>
            <color indexed="81"/>
            <rFont val="Tahoma"/>
            <family val="2"/>
          </rPr>
          <t xml:space="preserve">
Beta=3.358
alpha=5.5267
R2 =0.975</t>
        </r>
      </text>
    </comment>
    <comment ref="Z71" authorId="0" shapeId="0" xr:uid="{00000000-0006-0000-0500-00001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 = 0.053 (from slop), c=1.482 (from intercept), R2 = 0.571</t>
        </r>
      </text>
    </comment>
    <comment ref="L87" authorId="0" shapeId="0" xr:uid="{00000000-0006-0000-05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Pseudo secon order rate constant k2=5.78x10p-2 (from intercept), Qe=2.433(from slop)
R2 = 0.998</t>
        </r>
      </text>
    </comment>
    <comment ref="U87" authorId="0" shapeId="0" xr:uid="{00000000-0006-0000-0500-000012000000}">
      <text>
        <r>
          <rPr>
            <b/>
            <sz val="9"/>
            <color indexed="81"/>
            <rFont val="Tahoma"/>
            <family val="2"/>
          </rPr>
          <t>Author:
ELOVICH MODEL</t>
        </r>
        <r>
          <rPr>
            <sz val="9"/>
            <color indexed="81"/>
            <rFont val="Tahoma"/>
            <family val="2"/>
          </rPr>
          <t xml:space="preserve">
Beta=3.358
alpha=5.5267
R2 =0.975</t>
        </r>
      </text>
    </comment>
  </commentList>
</comments>
</file>

<file path=xl/sharedStrings.xml><?xml version="1.0" encoding="utf-8"?>
<sst xmlns="http://schemas.openxmlformats.org/spreadsheetml/2006/main" count="906" uniqueCount="199">
  <si>
    <t>pH</t>
  </si>
  <si>
    <t>Ci(mg/L)</t>
  </si>
  <si>
    <t>λmax(B)</t>
  </si>
  <si>
    <t>λmax(A)</t>
  </si>
  <si>
    <t>Ce(mg/L)</t>
  </si>
  <si>
    <t>%Removal</t>
  </si>
  <si>
    <t>UBATAC</t>
  </si>
  <si>
    <t>BATAC</t>
  </si>
  <si>
    <t>WATAC</t>
  </si>
  <si>
    <t>EFFECT OF pH</t>
  </si>
  <si>
    <t>EFFECT OF DOSE OF ADSORBENT</t>
  </si>
  <si>
    <t>UBATAC, 10ppm/50mL, pH 1.1</t>
  </si>
  <si>
    <t>BATAC, 10ppm/50mL, pH 1.1</t>
  </si>
  <si>
    <t>WATAC, 10ppm/50mL, pH 1.1</t>
  </si>
  <si>
    <t>Dose(g)</t>
  </si>
  <si>
    <t>Dose(g/L)</t>
  </si>
  <si>
    <t>EFFECT OF DYE CONCENTRATION</t>
  </si>
  <si>
    <t>WATAC, 0.1g/50mL, pH 1</t>
  </si>
  <si>
    <t>BATAC, 0.1g/50mL, pH 1</t>
  </si>
  <si>
    <t>UBATAC, 0.1g/50mL, pH 1</t>
  </si>
  <si>
    <t>Langmuir plots and constrants</t>
  </si>
  <si>
    <t>Freundlich plots and constrants</t>
  </si>
  <si>
    <t>m(g)</t>
  </si>
  <si>
    <t>log Ce</t>
  </si>
  <si>
    <t>Ci-Ce</t>
  </si>
  <si>
    <t>Qe(mg/g)</t>
  </si>
  <si>
    <t>log Qe</t>
  </si>
  <si>
    <t>Ce/Qe</t>
  </si>
  <si>
    <t>Slop=(1/Qm)</t>
  </si>
  <si>
    <t>Incpt</t>
  </si>
  <si>
    <t>KL(L/mg)</t>
  </si>
  <si>
    <t>D for RL</t>
  </si>
  <si>
    <t>RL</t>
  </si>
  <si>
    <t>Qm(mg/g)</t>
  </si>
  <si>
    <t>Slop=1/n</t>
  </si>
  <si>
    <t>n</t>
  </si>
  <si>
    <t>logK</t>
  </si>
  <si>
    <t>K</t>
  </si>
  <si>
    <t>log Ce/Qe</t>
  </si>
  <si>
    <t>ln Ce</t>
  </si>
  <si>
    <t>m(g/L)</t>
  </si>
  <si>
    <t>ln Qe</t>
  </si>
  <si>
    <t>1+(1/Ce)</t>
  </si>
  <si>
    <t>ɛ square</t>
  </si>
  <si>
    <t>EFFECT OF CONTACT TIME</t>
  </si>
  <si>
    <t>k1(Lagergren)</t>
  </si>
  <si>
    <t>k2</t>
  </si>
  <si>
    <t>IPD</t>
  </si>
  <si>
    <t>Elovich</t>
  </si>
  <si>
    <t>Time</t>
  </si>
  <si>
    <t>% Removal</t>
  </si>
  <si>
    <t>log(Qe-Qt)</t>
  </si>
  <si>
    <t>log(Qe)</t>
  </si>
  <si>
    <t>t/Qt</t>
  </si>
  <si>
    <t>t half</t>
  </si>
  <si>
    <t>log t</t>
  </si>
  <si>
    <t>ln t</t>
  </si>
  <si>
    <t>WATAC, 0.1 g/50mL, pH 1, 20ppm</t>
  </si>
  <si>
    <t>UBATAC, 0.1g/50mL, 20ppm, pH 1</t>
  </si>
  <si>
    <t>BATAC, 0.1g/50mL, pH 1, 20ppm</t>
  </si>
  <si>
    <t>ɛp2 (10p3)</t>
  </si>
  <si>
    <t>slop</t>
  </si>
  <si>
    <t>ɛ 2/2.303</t>
  </si>
  <si>
    <t>B</t>
  </si>
  <si>
    <t>Intpt</t>
  </si>
  <si>
    <t>QO</t>
  </si>
  <si>
    <t>BATAC(AC2)</t>
  </si>
  <si>
    <t>at 30oC</t>
  </si>
  <si>
    <t>Dye</t>
  </si>
  <si>
    <t>Lagergren's first order model</t>
  </si>
  <si>
    <t>langmuir isotherm</t>
  </si>
  <si>
    <t>The value of RL</t>
  </si>
  <si>
    <t>qe(mg/g)</t>
  </si>
  <si>
    <t>R2</t>
  </si>
  <si>
    <t>qm(mg/g)</t>
  </si>
  <si>
    <t>Kl(l/mg)</t>
  </si>
  <si>
    <t>Pseudo second order model</t>
  </si>
  <si>
    <t xml:space="preserve">            Freundlich isotherm</t>
  </si>
  <si>
    <t>qe</t>
  </si>
  <si>
    <t>1/n</t>
  </si>
  <si>
    <t>Kf (mg/g)</t>
  </si>
  <si>
    <t>step 1</t>
  </si>
  <si>
    <t>Elovich model</t>
  </si>
  <si>
    <t>Redlich-Peterson Isotherm</t>
  </si>
  <si>
    <t>C</t>
  </si>
  <si>
    <t>a</t>
  </si>
  <si>
    <t>b</t>
  </si>
  <si>
    <t>Intra particle diffusion model</t>
  </si>
  <si>
    <t xml:space="preserve">           Tempkin Isotherm</t>
  </si>
  <si>
    <t>k</t>
  </si>
  <si>
    <t>Kt(mg/L)</t>
  </si>
  <si>
    <t>AC1</t>
  </si>
  <si>
    <t>AC2</t>
  </si>
  <si>
    <t>AC3</t>
  </si>
  <si>
    <t>Kinetic parameters for the adsorption of RR141</t>
  </si>
  <si>
    <t>Isotherm parameters for the adsorption of RR141 at 30oC</t>
  </si>
  <si>
    <t>Kr</t>
  </si>
  <si>
    <t>Tempkin constant</t>
  </si>
  <si>
    <t>beta(slop)</t>
  </si>
  <si>
    <t>Kt</t>
  </si>
  <si>
    <t>log Kt</t>
  </si>
  <si>
    <t>Redlich-peterson</t>
  </si>
  <si>
    <t>BATAC, 0.1g/50mL, 20ppm, pH 1</t>
  </si>
  <si>
    <t>WATAC, 0.1g/50mL, 20ppm, pH 1</t>
  </si>
  <si>
    <t>Qt(mg/g)</t>
  </si>
  <si>
    <t>INITIAL DYE CONCENTRATION</t>
  </si>
  <si>
    <t>TIME DEPENDENT</t>
  </si>
  <si>
    <t>pH study</t>
  </si>
  <si>
    <t>KINETIC STUDY</t>
  </si>
  <si>
    <t>Lagergon first order plots</t>
  </si>
  <si>
    <t>k1</t>
  </si>
  <si>
    <t>Pseudo second order plots</t>
  </si>
  <si>
    <t>Elovich plot</t>
  </si>
  <si>
    <t>Intraparticle diffusion model</t>
  </si>
  <si>
    <t>time 1/2</t>
  </si>
  <si>
    <t>ISOTHERM MODELS (GY &amp; RG)</t>
  </si>
  <si>
    <t>Freundlich plot</t>
  </si>
  <si>
    <t>Langmuir plots</t>
  </si>
  <si>
    <t>Tempkin plot</t>
  </si>
  <si>
    <t>Redlich Peterson</t>
  </si>
  <si>
    <t>Freundlich plot(UB)</t>
  </si>
  <si>
    <t>Freundlich plot(B)</t>
  </si>
  <si>
    <t>Freundlich plot(W)</t>
  </si>
  <si>
    <t>Langmuir plots(W)</t>
  </si>
  <si>
    <t>Langmuir plots(B)</t>
  </si>
  <si>
    <t>Langmuir plots(UB)</t>
  </si>
  <si>
    <t>Tempkin plot(UB)</t>
  </si>
  <si>
    <t>Tempkin plot(B)</t>
  </si>
  <si>
    <t>Tempkin plot(W)</t>
  </si>
  <si>
    <t>RedlichPeterson(W)</t>
  </si>
  <si>
    <t>RedlichPeterson(B)</t>
  </si>
  <si>
    <t>RedlichPeterson(UB)</t>
  </si>
  <si>
    <t>UBATAC, 0.2 g/50mL</t>
  </si>
  <si>
    <t>BATAC, 0.2 g/50mL</t>
  </si>
  <si>
    <t>WATAC, 0.2 g/50mL</t>
  </si>
  <si>
    <t xml:space="preserve">             log(Qe-Qt) values</t>
  </si>
  <si>
    <t xml:space="preserve">               t/Qt       values</t>
  </si>
  <si>
    <t xml:space="preserve">             Qt(mg/g) values</t>
  </si>
  <si>
    <t xml:space="preserve">           AC1</t>
  </si>
  <si>
    <t xml:space="preserve">                AC2</t>
  </si>
  <si>
    <t xml:space="preserve">             AC3</t>
  </si>
  <si>
    <t>Slop</t>
  </si>
  <si>
    <t>Intercpt</t>
  </si>
  <si>
    <t>Qe</t>
  </si>
  <si>
    <t>Elovich kinietic model</t>
  </si>
  <si>
    <t>beta</t>
  </si>
  <si>
    <t>ln alpha</t>
  </si>
  <si>
    <t>alpha</t>
  </si>
  <si>
    <t>slop(kid)</t>
  </si>
  <si>
    <t>Intercpt(Ci)</t>
  </si>
  <si>
    <t xml:space="preserve">                  Pseudo second order kinetic model</t>
  </si>
  <si>
    <t xml:space="preserve">                             Legargren first order kinetic model</t>
  </si>
  <si>
    <t>K1</t>
  </si>
  <si>
    <t xml:space="preserve">K2 </t>
  </si>
  <si>
    <t xml:space="preserve">                             Freundlich isotherm  model</t>
  </si>
  <si>
    <t xml:space="preserve">                 Langmuir isotherm model</t>
  </si>
  <si>
    <t>Slop(1/Qm)</t>
  </si>
  <si>
    <t>slop(beta)</t>
  </si>
  <si>
    <t xml:space="preserve">                Tempkin isotherm model</t>
  </si>
  <si>
    <t xml:space="preserve">               Redlich - peterson model</t>
  </si>
  <si>
    <t>KINETIC MODELS</t>
  </si>
  <si>
    <t>ISOTHERM MODELS</t>
  </si>
  <si>
    <t>REFERENCE RR141</t>
  </si>
  <si>
    <t>CON(PPM)</t>
  </si>
  <si>
    <t>EFFECT OF TEMPERATURE</t>
  </si>
  <si>
    <t>UBATAC, 0.1g/50mL, pH 1, 30PPM</t>
  </si>
  <si>
    <t>BATAC, 0.1g/50mL, pH 1, 30PPM</t>
  </si>
  <si>
    <t>WATAC, 0.1g/50mL, pH 1, 30PPM</t>
  </si>
  <si>
    <t>Temp(K)</t>
  </si>
  <si>
    <t>mass (g)</t>
  </si>
  <si>
    <t>1/Temp</t>
  </si>
  <si>
    <t>Thermodynamic study(UBATAC)</t>
  </si>
  <si>
    <t>lnQem/Ce</t>
  </si>
  <si>
    <t>Thermodynamic study(BATAC)</t>
  </si>
  <si>
    <t>k=Qe/Ce</t>
  </si>
  <si>
    <t>ln k</t>
  </si>
  <si>
    <t>TEMPERATURE STUDY</t>
  </si>
  <si>
    <t>Intercept</t>
  </si>
  <si>
    <t>∆S◦</t>
  </si>
  <si>
    <t>∆G◦</t>
  </si>
  <si>
    <t>temp</t>
  </si>
  <si>
    <t>lnk</t>
  </si>
  <si>
    <t>lnK</t>
  </si>
  <si>
    <t>UBATAC(AC1)</t>
  </si>
  <si>
    <t>Thermodynamic study(WATAC)</t>
  </si>
  <si>
    <t>∆G◦(kJ/mol)</t>
  </si>
  <si>
    <t>∆H◦(J/mol)</t>
  </si>
  <si>
    <t>m (g/L)</t>
  </si>
  <si>
    <t xml:space="preserve">        % removal efficiency</t>
  </si>
  <si>
    <t xml:space="preserve">      quantity removal (mg/g)</t>
  </si>
  <si>
    <t>EFFECT OF DOSE (Removal effieiency)</t>
  </si>
  <si>
    <t>EFFECT OF DOSE (Quantity Removal in mg/g)</t>
  </si>
  <si>
    <t>(Quantity Removal in mg/g)</t>
  </si>
  <si>
    <t>Difference in adsorption with dye concentration</t>
  </si>
  <si>
    <t>Conc.</t>
  </si>
  <si>
    <t>T</t>
  </si>
  <si>
    <t>Qem/Ce</t>
  </si>
  <si>
    <t xml:space="preserve">                   % Removal efficiency</t>
  </si>
  <si>
    <t>quantity removal (mg/g)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</si>
</sst>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ill="1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/>
    <xf numFmtId="1" fontId="3" fillId="0" borderId="1" xfId="0" applyNumberFormat="1" applyFont="1" applyBorder="1"/>
    <xf numFmtId="164" fontId="2" fillId="0" borderId="1" xfId="0" applyNumberFormat="1" applyFont="1" applyBorder="1"/>
    <xf numFmtId="0" fontId="3" fillId="0" borderId="1" xfId="0" applyFont="1" applyBorder="1"/>
    <xf numFmtId="2" fontId="3" fillId="0" borderId="1" xfId="0" applyNumberFormat="1" applyFont="1" applyBorder="1"/>
    <xf numFmtId="2" fontId="3" fillId="0" borderId="0" xfId="0" applyNumberFormat="1" applyFont="1" applyBorder="1"/>
    <xf numFmtId="2" fontId="3" fillId="0" borderId="0" xfId="0" applyNumberFormat="1" applyFont="1" applyFill="1" applyBorder="1"/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3" fillId="0" borderId="0" xfId="0" applyFont="1" applyBorder="1"/>
    <xf numFmtId="1" fontId="3" fillId="0" borderId="0" xfId="0" applyNumberFormat="1" applyFont="1" applyBorder="1"/>
    <xf numFmtId="164" fontId="3" fillId="0" borderId="0" xfId="0" applyNumberFormat="1" applyFont="1" applyBorder="1"/>
    <xf numFmtId="2" fontId="3" fillId="0" borderId="1" xfId="0" applyNumberFormat="1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2" fillId="0" borderId="1" xfId="0" applyNumberFormat="1" applyFont="1" applyFill="1" applyBorder="1"/>
    <xf numFmtId="0" fontId="2" fillId="0" borderId="1" xfId="0" applyFont="1" applyBorder="1"/>
    <xf numFmtId="0" fontId="0" fillId="0" borderId="1" xfId="0" applyBorder="1"/>
    <xf numFmtId="164" fontId="3" fillId="0" borderId="1" xfId="0" applyNumberFormat="1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6" xfId="0" applyFont="1" applyBorder="1"/>
    <xf numFmtId="0" fontId="0" fillId="0" borderId="7" xfId="0" applyBorder="1"/>
    <xf numFmtId="0" fontId="4" fillId="0" borderId="5" xfId="0" applyFont="1" applyBorder="1"/>
    <xf numFmtId="0" fontId="4" fillId="0" borderId="8" xfId="0" applyFont="1" applyBorder="1"/>
    <xf numFmtId="0" fontId="5" fillId="0" borderId="8" xfId="0" applyFont="1" applyBorder="1"/>
    <xf numFmtId="0" fontId="4" fillId="0" borderId="8" xfId="0" applyFont="1" applyFill="1" applyBorder="1"/>
    <xf numFmtId="0" fontId="4" fillId="0" borderId="1" xfId="0" applyFont="1" applyFill="1" applyBorder="1"/>
    <xf numFmtId="0" fontId="4" fillId="0" borderId="4" xfId="0" applyFont="1" applyFill="1" applyBorder="1"/>
    <xf numFmtId="164" fontId="0" fillId="0" borderId="1" xfId="0" applyNumberFormat="1" applyBorder="1"/>
    <xf numFmtId="2" fontId="0" fillId="0" borderId="1" xfId="0" applyNumberFormat="1" applyBorder="1"/>
    <xf numFmtId="0" fontId="2" fillId="0" borderId="1" xfId="0" applyFont="1" applyFill="1" applyBorder="1"/>
    <xf numFmtId="0" fontId="2" fillId="0" borderId="5" xfId="0" applyFont="1" applyFill="1" applyBorder="1"/>
    <xf numFmtId="164" fontId="3" fillId="0" borderId="1" xfId="0" applyNumberFormat="1" applyFont="1" applyBorder="1"/>
    <xf numFmtId="2" fontId="3" fillId="0" borderId="5" xfId="0" applyNumberFormat="1" applyFont="1" applyBorder="1"/>
    <xf numFmtId="0" fontId="3" fillId="0" borderId="1" xfId="0" applyFont="1" applyFill="1" applyBorder="1"/>
    <xf numFmtId="0" fontId="2" fillId="0" borderId="8" xfId="0" applyFont="1" applyBorder="1"/>
    <xf numFmtId="164" fontId="2" fillId="0" borderId="9" xfId="0" applyNumberFormat="1" applyFont="1" applyBorder="1"/>
    <xf numFmtId="164" fontId="2" fillId="0" borderId="6" xfId="0" applyNumberFormat="1" applyFont="1" applyBorder="1"/>
    <xf numFmtId="0" fontId="3" fillId="0" borderId="7" xfId="0" applyFont="1" applyBorder="1"/>
    <xf numFmtId="1" fontId="2" fillId="0" borderId="5" xfId="0" applyNumberFormat="1" applyFont="1" applyBorder="1"/>
    <xf numFmtId="0" fontId="2" fillId="0" borderId="6" xfId="0" applyFont="1" applyBorder="1"/>
    <xf numFmtId="2" fontId="2" fillId="0" borderId="6" xfId="0" applyNumberFormat="1" applyFont="1" applyBorder="1"/>
    <xf numFmtId="1" fontId="2" fillId="0" borderId="10" xfId="0" applyNumberFormat="1" applyFont="1" applyBorder="1"/>
    <xf numFmtId="0" fontId="2" fillId="0" borderId="9" xfId="0" applyFont="1" applyBorder="1"/>
    <xf numFmtId="2" fontId="2" fillId="0" borderId="9" xfId="0" applyNumberFormat="1" applyFont="1" applyBorder="1"/>
    <xf numFmtId="0" fontId="2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2" fontId="3" fillId="0" borderId="11" xfId="0" applyNumberFormat="1" applyFont="1" applyBorder="1" applyAlignment="1">
      <alignment horizontal="center"/>
    </xf>
    <xf numFmtId="2" fontId="3" fillId="0" borderId="12" xfId="0" applyNumberFormat="1" applyFont="1" applyBorder="1"/>
    <xf numFmtId="2" fontId="3" fillId="0" borderId="11" xfId="0" applyNumberFormat="1" applyFont="1" applyBorder="1"/>
    <xf numFmtId="0" fontId="2" fillId="0" borderId="11" xfId="0" applyFont="1" applyBorder="1" applyAlignment="1">
      <alignment horizontal="center"/>
    </xf>
    <xf numFmtId="1" fontId="3" fillId="0" borderId="11" xfId="0" applyNumberFormat="1" applyFont="1" applyBorder="1"/>
    <xf numFmtId="0" fontId="0" fillId="0" borderId="11" xfId="0" applyBorder="1"/>
    <xf numFmtId="1" fontId="2" fillId="0" borderId="1" xfId="0" applyNumberFormat="1" applyFont="1" applyBorder="1"/>
    <xf numFmtId="2" fontId="2" fillId="0" borderId="1" xfId="0" applyNumberFormat="1" applyFont="1" applyBorder="1"/>
    <xf numFmtId="0" fontId="2" fillId="0" borderId="5" xfId="0" applyFont="1" applyBorder="1"/>
    <xf numFmtId="0" fontId="3" fillId="0" borderId="5" xfId="0" applyFont="1" applyBorder="1"/>
    <xf numFmtId="0" fontId="4" fillId="0" borderId="1" xfId="0" applyFont="1" applyBorder="1"/>
    <xf numFmtId="0" fontId="5" fillId="0" borderId="1" xfId="0" applyFont="1" applyBorder="1"/>
    <xf numFmtId="11" fontId="0" fillId="0" borderId="0" xfId="0" applyNumberFormat="1"/>
    <xf numFmtId="165" fontId="0" fillId="0" borderId="1" xfId="0" applyNumberFormat="1" applyBorder="1"/>
    <xf numFmtId="0" fontId="3" fillId="0" borderId="6" xfId="0" applyFont="1" applyBorder="1"/>
    <xf numFmtId="0" fontId="3" fillId="0" borderId="8" xfId="0" applyFont="1" applyBorder="1"/>
    <xf numFmtId="165" fontId="3" fillId="0" borderId="1" xfId="0" applyNumberFormat="1" applyFont="1" applyBorder="1"/>
    <xf numFmtId="0" fontId="2" fillId="0" borderId="7" xfId="0" applyFont="1" applyBorder="1"/>
    <xf numFmtId="2" fontId="3" fillId="0" borderId="3" xfId="0" applyNumberFormat="1" applyFont="1" applyBorder="1"/>
    <xf numFmtId="0" fontId="4" fillId="0" borderId="0" xfId="0" applyFont="1"/>
    <xf numFmtId="0" fontId="8" fillId="0" borderId="0" xfId="0" applyFont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164" fontId="3" fillId="0" borderId="0" xfId="0" applyNumberFormat="1" applyFont="1" applyFill="1" applyBorder="1"/>
    <xf numFmtId="0" fontId="9" fillId="0" borderId="1" xfId="0" applyFont="1" applyBorder="1"/>
    <xf numFmtId="164" fontId="0" fillId="0" borderId="0" xfId="0" applyNumberFormat="1"/>
    <xf numFmtId="165" fontId="0" fillId="0" borderId="0" xfId="0" applyNumberFormat="1"/>
    <xf numFmtId="0" fontId="2" fillId="0" borderId="1" xfId="0" applyFont="1" applyFill="1" applyBorder="1" applyAlignment="1">
      <alignment horizontal="center"/>
    </xf>
    <xf numFmtId="2" fontId="0" fillId="0" borderId="0" xfId="0" applyNumberFormat="1"/>
    <xf numFmtId="0" fontId="10" fillId="0" borderId="1" xfId="0" applyFont="1" applyBorder="1"/>
    <xf numFmtId="1" fontId="0" fillId="0" borderId="1" xfId="0" applyNumberFormat="1" applyBorder="1"/>
    <xf numFmtId="0" fontId="4" fillId="0" borderId="11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1" fontId="0" fillId="0" borderId="0" xfId="0" applyNumberFormat="1"/>
    <xf numFmtId="0" fontId="2" fillId="0" borderId="5" xfId="0" applyFont="1" applyFill="1" applyBorder="1" applyAlignment="1">
      <alignment horizontal="center"/>
    </xf>
    <xf numFmtId="164" fontId="0" fillId="0" borderId="5" xfId="0" applyNumberFormat="1" applyBorder="1"/>
    <xf numFmtId="1" fontId="2" fillId="0" borderId="7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1" fillId="0" borderId="0" xfId="0" applyFont="1"/>
    <xf numFmtId="0" fontId="12" fillId="0" borderId="1" xfId="0" applyFont="1" applyBorder="1"/>
    <xf numFmtId="0" fontId="11" fillId="0" borderId="1" xfId="0" applyFont="1" applyBorder="1"/>
    <xf numFmtId="0" fontId="13" fillId="0" borderId="1" xfId="0" applyFont="1" applyBorder="1" applyAlignment="1">
      <alignment horizontal="center"/>
    </xf>
    <xf numFmtId="2" fontId="13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13" fillId="0" borderId="1" xfId="0" applyFont="1" applyBorder="1"/>
    <xf numFmtId="2" fontId="11" fillId="0" borderId="1" xfId="0" applyNumberFormat="1" applyFont="1" applyBorder="1"/>
    <xf numFmtId="1" fontId="11" fillId="0" borderId="2" xfId="0" applyNumberFormat="1" applyFont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12" fillId="0" borderId="0" xfId="0" applyFont="1"/>
    <xf numFmtId="1" fontId="13" fillId="0" borderId="1" xfId="0" applyNumberFormat="1" applyFont="1" applyBorder="1" applyAlignment="1">
      <alignment horizontal="center"/>
    </xf>
    <xf numFmtId="166" fontId="11" fillId="0" borderId="1" xfId="0" applyNumberFormat="1" applyFont="1" applyBorder="1" applyAlignment="1">
      <alignment horizontal="center"/>
    </xf>
    <xf numFmtId="1" fontId="11" fillId="0" borderId="1" xfId="0" applyNumberFormat="1" applyFont="1" applyBorder="1"/>
    <xf numFmtId="166" fontId="11" fillId="0" borderId="1" xfId="0" applyNumberFormat="1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2" fontId="11" fillId="0" borderId="5" xfId="0" applyNumberFormat="1" applyFont="1" applyBorder="1"/>
    <xf numFmtId="0" fontId="11" fillId="0" borderId="1" xfId="0" applyFont="1" applyFill="1" applyBorder="1"/>
    <xf numFmtId="0" fontId="13" fillId="0" borderId="1" xfId="0" applyFont="1" applyFill="1" applyBorder="1"/>
    <xf numFmtId="0" fontId="11" fillId="0" borderId="2" xfId="0" applyFont="1" applyBorder="1"/>
    <xf numFmtId="166" fontId="11" fillId="0" borderId="1" xfId="0" applyNumberFormat="1" applyFont="1" applyBorder="1"/>
    <xf numFmtId="2" fontId="11" fillId="0" borderId="0" xfId="0" applyNumberFormat="1" applyFont="1"/>
    <xf numFmtId="166" fontId="11" fillId="0" borderId="0" xfId="0" applyNumberFormat="1" applyFont="1"/>
    <xf numFmtId="2" fontId="13" fillId="0" borderId="1" xfId="0" applyNumberFormat="1" applyFont="1" applyFill="1" applyBorder="1"/>
    <xf numFmtId="164" fontId="11" fillId="0" borderId="1" xfId="0" applyNumberFormat="1" applyFont="1" applyBorder="1"/>
    <xf numFmtId="0" fontId="14" fillId="0" borderId="0" xfId="0" applyFont="1"/>
    <xf numFmtId="0" fontId="13" fillId="0" borderId="0" xfId="0" applyFont="1"/>
    <xf numFmtId="164" fontId="11" fillId="0" borderId="0" xfId="0" applyNumberFormat="1" applyFont="1" applyBorder="1"/>
    <xf numFmtId="2" fontId="11" fillId="0" borderId="0" xfId="0" applyNumberFormat="1" applyFont="1" applyBorder="1"/>
    <xf numFmtId="0" fontId="11" fillId="0" borderId="0" xfId="0" applyFont="1" applyBorder="1"/>
    <xf numFmtId="164" fontId="13" fillId="0" borderId="0" xfId="0" applyNumberFormat="1" applyFont="1" applyBorder="1"/>
    <xf numFmtId="0" fontId="13" fillId="0" borderId="8" xfId="0" applyFont="1" applyBorder="1"/>
    <xf numFmtId="165" fontId="11" fillId="0" borderId="1" xfId="0" applyNumberFormat="1" applyFont="1" applyBorder="1"/>
    <xf numFmtId="164" fontId="11" fillId="0" borderId="0" xfId="0" applyNumberFormat="1" applyFont="1"/>
    <xf numFmtId="1" fontId="13" fillId="0" borderId="7" xfId="0" applyNumberFormat="1" applyFont="1" applyBorder="1" applyAlignment="1">
      <alignment horizontal="center"/>
    </xf>
    <xf numFmtId="1" fontId="11" fillId="0" borderId="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UBATAC</c:v>
          </c:tx>
          <c:xVal>
            <c:numRef>
              <c:f>Adsorption!$H$5:$H$10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 formatCode="General">
                  <c:v>6</c:v>
                </c:pt>
              </c:numCache>
            </c:numRef>
          </c:xVal>
          <c:yVal>
            <c:numRef>
              <c:f>Adsorption!$I$5:$I$10</c:f>
              <c:numCache>
                <c:formatCode>0.00</c:formatCode>
                <c:ptCount val="6"/>
                <c:pt idx="0">
                  <c:v>100</c:v>
                </c:pt>
                <c:pt idx="1">
                  <c:v>86.394557823129247</c:v>
                </c:pt>
                <c:pt idx="2">
                  <c:v>58.503401360544217</c:v>
                </c:pt>
                <c:pt idx="3">
                  <c:v>37.414965986394563</c:v>
                </c:pt>
                <c:pt idx="4">
                  <c:v>29.251700680272101</c:v>
                </c:pt>
                <c:pt idx="5">
                  <c:v>23.809523809523796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8-49A1-98F8-55A982846D81}"/>
            </c:ext>
          </c:extLst>
        </c:ser>
        <c:ser>
          <c:idx val="1"/>
          <c:order val="1"/>
          <c:tx>
            <c:v>BATAC</c:v>
          </c:tx>
          <c:xVal>
            <c:numRef>
              <c:f>Adsorption!$H$5:$H$10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 formatCode="General">
                  <c:v>6</c:v>
                </c:pt>
              </c:numCache>
            </c:numRef>
          </c:xVal>
          <c:yVal>
            <c:numRef>
              <c:f>Adsorption!$J$5:$J$10</c:f>
              <c:numCache>
                <c:formatCode>0.00</c:formatCode>
                <c:ptCount val="6"/>
                <c:pt idx="0">
                  <c:v>100</c:v>
                </c:pt>
                <c:pt idx="1">
                  <c:v>83.673469387755091</c:v>
                </c:pt>
                <c:pt idx="2">
                  <c:v>53.741496598639444</c:v>
                </c:pt>
                <c:pt idx="3">
                  <c:v>32.653061224489797</c:v>
                </c:pt>
                <c:pt idx="4">
                  <c:v>27.891156462585023</c:v>
                </c:pt>
                <c:pt idx="5">
                  <c:v>25.170068027210871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48-49A1-98F8-55A982846D81}"/>
            </c:ext>
          </c:extLst>
        </c:ser>
        <c:ser>
          <c:idx val="2"/>
          <c:order val="2"/>
          <c:tx>
            <c:v>WATAC</c:v>
          </c:tx>
          <c:xVal>
            <c:numRef>
              <c:f>Adsorption!$H$5:$H$10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 formatCode="General">
                  <c:v>6</c:v>
                </c:pt>
              </c:numCache>
            </c:numRef>
          </c:xVal>
          <c:yVal>
            <c:numRef>
              <c:f>Adsorption!$K$5:$K$10</c:f>
              <c:numCache>
                <c:formatCode>0.00</c:formatCode>
                <c:ptCount val="6"/>
                <c:pt idx="0">
                  <c:v>100</c:v>
                </c:pt>
                <c:pt idx="1">
                  <c:v>80.952380952380949</c:v>
                </c:pt>
                <c:pt idx="2">
                  <c:v>24.489795918367339</c:v>
                </c:pt>
                <c:pt idx="3">
                  <c:v>5.4421768707482876</c:v>
                </c:pt>
                <c:pt idx="4">
                  <c:v>4.761904761904745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48-49A1-98F8-55A982846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47488"/>
        <c:axId val="83249792"/>
      </c:scatterChart>
      <c:valAx>
        <c:axId val="8324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3249792"/>
        <c:crosses val="autoZero"/>
        <c:crossBetween val="midCat"/>
      </c:valAx>
      <c:valAx>
        <c:axId val="83249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Removal efficiency (%)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324748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Isotherms!$B$29</c:f>
              <c:strCache>
                <c:ptCount val="1"/>
                <c:pt idx="0">
                  <c:v>Ce/Qe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Isotherms!$A$30:$A$35</c:f>
              <c:numCache>
                <c:formatCode>0.00</c:formatCode>
                <c:ptCount val="6"/>
                <c:pt idx="0">
                  <c:v>2.1768707482993199</c:v>
                </c:pt>
                <c:pt idx="1">
                  <c:v>6.4175257731958766</c:v>
                </c:pt>
                <c:pt idx="2">
                  <c:v>11.181102362204724</c:v>
                </c:pt>
                <c:pt idx="3">
                  <c:v>15.760869565217391</c:v>
                </c:pt>
                <c:pt idx="4">
                  <c:v>21.2</c:v>
                </c:pt>
                <c:pt idx="5">
                  <c:v>25.938242280285035</c:v>
                </c:pt>
              </c:numCache>
            </c:numRef>
          </c:xVal>
          <c:yVal>
            <c:numRef>
              <c:f>Isotherms!$B$30:$B$35</c:f>
              <c:numCache>
                <c:formatCode>0.00</c:formatCode>
                <c:ptCount val="6"/>
                <c:pt idx="0">
                  <c:v>0.5565217391304349</c:v>
                </c:pt>
                <c:pt idx="1">
                  <c:v>1.4954954954954955</c:v>
                </c:pt>
                <c:pt idx="2">
                  <c:v>2.5357142857142856</c:v>
                </c:pt>
                <c:pt idx="3">
                  <c:v>3.4117647058823524</c:v>
                </c:pt>
                <c:pt idx="4">
                  <c:v>4.8181818181818175</c:v>
                </c:pt>
                <c:pt idx="5">
                  <c:v>5.7247706422018343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B3-4B06-B6B9-31BA9D681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50688"/>
        <c:axId val="84052608"/>
      </c:scatterChart>
      <c:valAx>
        <c:axId val="8405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 (mg/L)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4052608"/>
        <c:crosses val="autoZero"/>
        <c:crossBetween val="midCat"/>
      </c:valAx>
      <c:valAx>
        <c:axId val="84052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Ce/Qe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4050688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0397805212643"/>
          <c:y val="4.1666666666666664E-2"/>
          <c:w val="0.61984230366265969"/>
          <c:h val="0.70847222222222217"/>
        </c:manualLayout>
      </c:layout>
      <c:scatterChart>
        <c:scatterStyle val="lineMarker"/>
        <c:varyColors val="0"/>
        <c:ser>
          <c:idx val="0"/>
          <c:order val="0"/>
          <c:tx>
            <c:strRef>
              <c:f>Isotherms!$B$38</c:f>
              <c:strCache>
                <c:ptCount val="1"/>
                <c:pt idx="0">
                  <c:v>Qe(mg/g)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10880680038452002"/>
                  <c:y val="1.3607465733449987E-2"/>
                </c:manualLayout>
              </c:layout>
              <c:numFmt formatCode="General" sourceLinked="0"/>
            </c:trendlineLbl>
          </c:trendline>
          <c:xVal>
            <c:numRef>
              <c:f>Isotherms!$A$39:$A$44</c:f>
              <c:numCache>
                <c:formatCode>0.00</c:formatCode>
                <c:ptCount val="6"/>
                <c:pt idx="0">
                  <c:v>0.77788840901503598</c:v>
                </c:pt>
                <c:pt idx="1">
                  <c:v>1.8590326498354799</c:v>
                </c:pt>
                <c:pt idx="2">
                  <c:v>2.4142250641367151</c:v>
                </c:pt>
                <c:pt idx="3">
                  <c:v>2.7575302583655796</c:v>
                </c:pt>
                <c:pt idx="4">
                  <c:v>3.0540011816779669</c:v>
                </c:pt>
                <c:pt idx="5">
                  <c:v>3.2557184156165144</c:v>
                </c:pt>
              </c:numCache>
            </c:numRef>
          </c:xVal>
          <c:yVal>
            <c:numRef>
              <c:f>Isotherms!$B$39:$B$44</c:f>
              <c:numCache>
                <c:formatCode>0.00</c:formatCode>
                <c:ptCount val="6"/>
                <c:pt idx="0">
                  <c:v>3.9115646258503398</c:v>
                </c:pt>
                <c:pt idx="1">
                  <c:v>4.2912371134020617</c:v>
                </c:pt>
                <c:pt idx="2">
                  <c:v>4.409448818897638</c:v>
                </c:pt>
                <c:pt idx="3">
                  <c:v>4.6195652173913047</c:v>
                </c:pt>
                <c:pt idx="4">
                  <c:v>4.4000000000000004</c:v>
                </c:pt>
                <c:pt idx="5">
                  <c:v>4.5308788598574825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7F-4E54-AB4E-C3563FCDF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76096"/>
        <c:axId val="85478016"/>
      </c:scatterChart>
      <c:valAx>
        <c:axId val="8547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 Ce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5478016"/>
        <c:crosses val="autoZero"/>
        <c:crossBetween val="midCat"/>
      </c:valAx>
      <c:valAx>
        <c:axId val="85478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Qe (mg/g)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5476096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Isotherms!$B$47</c:f>
              <c:strCache>
                <c:ptCount val="1"/>
                <c:pt idx="0">
                  <c:v>log Ce/Qe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Isotherms!$A$48:$A$53</c:f>
              <c:numCache>
                <c:formatCode>0.00</c:formatCode>
                <c:ptCount val="6"/>
                <c:pt idx="0">
                  <c:v>0.33783264357172993</c:v>
                </c:pt>
                <c:pt idx="1">
                  <c:v>0.80736762150152908</c:v>
                </c:pt>
                <c:pt idx="2">
                  <c:v>1.0484846234270997</c:v>
                </c:pt>
                <c:pt idx="3">
                  <c:v>1.1975801748894197</c:v>
                </c:pt>
                <c:pt idx="4">
                  <c:v>1.3263358609287514</c:v>
                </c:pt>
                <c:pt idx="5">
                  <c:v>1.41394054253305</c:v>
                </c:pt>
              </c:numCache>
            </c:numRef>
          </c:xVal>
          <c:yVal>
            <c:numRef>
              <c:f>Isotherms!$B$48:$B$53</c:f>
              <c:numCache>
                <c:formatCode>0.000</c:formatCode>
                <c:ptCount val="6"/>
                <c:pt idx="0">
                  <c:v>-0.2545178663697244</c:v>
                </c:pt>
                <c:pt idx="1">
                  <c:v>0.17478510925339769</c:v>
                </c:pt>
                <c:pt idx="2">
                  <c:v>0.40410031737685603</c:v>
                </c:pt>
                <c:pt idx="3">
                  <c:v>0.53297907218466323</c:v>
                </c:pt>
                <c:pt idx="4">
                  <c:v>0.68288318444256391</c:v>
                </c:pt>
                <c:pt idx="5">
                  <c:v>0.75775809174180031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0C-45FF-9801-C1546FDEC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17056"/>
        <c:axId val="85518976"/>
      </c:scatterChart>
      <c:valAx>
        <c:axId val="8551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Ce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5518976"/>
        <c:crosses val="autoZero"/>
        <c:crossBetween val="midCat"/>
      </c:valAx>
      <c:valAx>
        <c:axId val="85518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Ce/Qe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85517056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Isotherms!$B$77</c:f>
              <c:strCache>
                <c:ptCount val="1"/>
                <c:pt idx="0">
                  <c:v>log Qe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Isotherms!$A$78:$A$83</c:f>
              <c:numCache>
                <c:formatCode>0.000</c:formatCode>
                <c:ptCount val="6"/>
                <c:pt idx="0">
                  <c:v>0.45593195564972444</c:v>
                </c:pt>
                <c:pt idx="1">
                  <c:v>0.82780878174407369</c:v>
                </c:pt>
                <c:pt idx="2">
                  <c:v>1.0722875380997243</c:v>
                </c:pt>
                <c:pt idx="3">
                  <c:v>1.2164199979049581</c:v>
                </c:pt>
                <c:pt idx="4">
                  <c:v>1.3376588910261422</c:v>
                </c:pt>
                <c:pt idx="5">
                  <c:v>1.4235766315717884</c:v>
                </c:pt>
              </c:numCache>
            </c:numRef>
          </c:xVal>
          <c:yVal>
            <c:numRef>
              <c:f>Isotherms!$B$78:$B$83</c:f>
              <c:numCache>
                <c:formatCode>0.00</c:formatCode>
                <c:ptCount val="6"/>
                <c:pt idx="0">
                  <c:v>0.55284196865778079</c:v>
                </c:pt>
                <c:pt idx="1">
                  <c:v>0.61664331114668369</c:v>
                </c:pt>
                <c:pt idx="2">
                  <c:v>0.61219962267884231</c:v>
                </c:pt>
                <c:pt idx="3">
                  <c:v>0.63044682647045058</c:v>
                </c:pt>
                <c:pt idx="4">
                  <c:v>0.61489721603313452</c:v>
                </c:pt>
                <c:pt idx="5">
                  <c:v>0.62735612461254364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C9-4BF1-8AD9-2D818AC35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27648"/>
        <c:axId val="85629568"/>
      </c:scatterChart>
      <c:valAx>
        <c:axId val="8562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Ce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85629568"/>
        <c:crosses val="autoZero"/>
        <c:crossBetween val="midCat"/>
      </c:valAx>
      <c:valAx>
        <c:axId val="85629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Qe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5627648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Isotherms!$B$87</c:f>
              <c:strCache>
                <c:ptCount val="1"/>
                <c:pt idx="0">
                  <c:v>Ce/Qe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Isotherms!$A$88:$A$93</c:f>
              <c:numCache>
                <c:formatCode>0.00</c:formatCode>
                <c:ptCount val="6"/>
                <c:pt idx="0">
                  <c:v>2.8571428571428577</c:v>
                </c:pt>
                <c:pt idx="1">
                  <c:v>6.7268041237113394</c:v>
                </c:pt>
                <c:pt idx="2">
                  <c:v>11.81</c:v>
                </c:pt>
                <c:pt idx="3">
                  <c:v>16.46</c:v>
                </c:pt>
                <c:pt idx="4">
                  <c:v>21.76</c:v>
                </c:pt>
                <c:pt idx="5">
                  <c:v>26.52</c:v>
                </c:pt>
              </c:numCache>
            </c:numRef>
          </c:xVal>
          <c:yVal>
            <c:numRef>
              <c:f>Isotherms!$B$88:$B$93</c:f>
              <c:numCache>
                <c:formatCode>0.00</c:formatCode>
                <c:ptCount val="6"/>
                <c:pt idx="0">
                  <c:v>0.80000000000000016</c:v>
                </c:pt>
                <c:pt idx="1">
                  <c:v>1.6261682242990652</c:v>
                </c:pt>
                <c:pt idx="2">
                  <c:v>2.88</c:v>
                </c:pt>
                <c:pt idx="3">
                  <c:v>3.85</c:v>
                </c:pt>
                <c:pt idx="4">
                  <c:v>5.28</c:v>
                </c:pt>
                <c:pt idx="5">
                  <c:v>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D5-49D2-B47F-C8369C323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92896"/>
        <c:axId val="86194816"/>
      </c:scatterChart>
      <c:valAx>
        <c:axId val="8619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 (mg/L)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6194816"/>
        <c:crosses val="autoZero"/>
        <c:crossBetween val="midCat"/>
      </c:valAx>
      <c:valAx>
        <c:axId val="86194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Ce/Qe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6192896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Isotherms!$B$96</c:f>
              <c:strCache>
                <c:ptCount val="1"/>
                <c:pt idx="0">
                  <c:v>Qe(mg/g)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4.4852143482064705E-2"/>
                  <c:y val="0.26388597258676166"/>
                </c:manualLayout>
              </c:layout>
              <c:numFmt formatCode="General" sourceLinked="0"/>
            </c:trendlineLbl>
          </c:trendline>
          <c:xVal>
            <c:numRef>
              <c:f>Isotherms!$A$97:$A$102</c:f>
              <c:numCache>
                <c:formatCode>0.00</c:formatCode>
                <c:ptCount val="6"/>
                <c:pt idx="0">
                  <c:v>1.0498221244986778</c:v>
                </c:pt>
                <c:pt idx="1">
                  <c:v>1.9061001606934656</c:v>
                </c:pt>
                <c:pt idx="2">
                  <c:v>2.4690333006317102</c:v>
                </c:pt>
                <c:pt idx="3">
                  <c:v>2.8009105539958048</c:v>
                </c:pt>
                <c:pt idx="4">
                  <c:v>3.0800734219877421</c:v>
                </c:pt>
                <c:pt idx="5">
                  <c:v>3.2779063305918767</c:v>
                </c:pt>
              </c:numCache>
            </c:numRef>
          </c:xVal>
          <c:yVal>
            <c:numRef>
              <c:f>Isotherms!$B$97:$B$102</c:f>
              <c:numCache>
                <c:formatCode>0.00</c:formatCode>
                <c:ptCount val="6"/>
                <c:pt idx="0">
                  <c:v>3.5714285714285712</c:v>
                </c:pt>
                <c:pt idx="1">
                  <c:v>4.1365979381443303</c:v>
                </c:pt>
                <c:pt idx="2">
                  <c:v>4.0944881889763778</c:v>
                </c:pt>
                <c:pt idx="3">
                  <c:v>4.2701863354037268</c:v>
                </c:pt>
                <c:pt idx="4">
                  <c:v>4.1199999999999992</c:v>
                </c:pt>
                <c:pt idx="5">
                  <c:v>4.2399049881235147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2C-4FD6-BD29-D3CB8BA63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62528"/>
        <c:axId val="86264448"/>
      </c:scatterChart>
      <c:valAx>
        <c:axId val="8626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 Ce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6264448"/>
        <c:crosses val="autoZero"/>
        <c:crossBetween val="midCat"/>
      </c:valAx>
      <c:valAx>
        <c:axId val="86264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Qe(mg/g)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6262528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Isotherms!$B$105</c:f>
              <c:strCache>
                <c:ptCount val="1"/>
                <c:pt idx="0">
                  <c:v>log Ce/Qe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Isotherms!$A$106:$A$111</c:f>
              <c:numCache>
                <c:formatCode>0.00</c:formatCode>
                <c:ptCount val="6"/>
                <c:pt idx="0">
                  <c:v>0.45593195564972444</c:v>
                </c:pt>
                <c:pt idx="1">
                  <c:v>0.82780878174407369</c:v>
                </c:pt>
                <c:pt idx="2">
                  <c:v>1.0722875380997243</c:v>
                </c:pt>
                <c:pt idx="3">
                  <c:v>1.2164199979049581</c:v>
                </c:pt>
                <c:pt idx="4">
                  <c:v>1.3376588910261422</c:v>
                </c:pt>
                <c:pt idx="5">
                  <c:v>1.4235766315717884</c:v>
                </c:pt>
              </c:numCache>
            </c:numRef>
          </c:xVal>
          <c:yVal>
            <c:numRef>
              <c:f>Isotherms!$B$106:$B$111</c:f>
              <c:numCache>
                <c:formatCode>0.000</c:formatCode>
                <c:ptCount val="6"/>
                <c:pt idx="0">
                  <c:v>-9.6910013008056337E-2</c:v>
                </c:pt>
                <c:pt idx="1">
                  <c:v>0.21116547059739002</c:v>
                </c:pt>
                <c:pt idx="2">
                  <c:v>0.46008791542088212</c:v>
                </c:pt>
                <c:pt idx="3">
                  <c:v>0.58597317143450756</c:v>
                </c:pt>
                <c:pt idx="4">
                  <c:v>0.72276167499300781</c:v>
                </c:pt>
                <c:pt idx="5">
                  <c:v>0.79622050695924484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FA-443C-9146-AD32E9F4C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95296"/>
        <c:axId val="86297216"/>
      </c:scatterChart>
      <c:valAx>
        <c:axId val="8629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Ce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6297216"/>
        <c:crosses val="autoZero"/>
        <c:crossBetween val="midCat"/>
      </c:valAx>
      <c:valAx>
        <c:axId val="86297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Ce/Qe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86295296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Isotherms!$B$151</c:f>
              <c:strCache>
                <c:ptCount val="1"/>
                <c:pt idx="0">
                  <c:v>Qe(mg/g)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8276509186351706"/>
                  <c:y val="-1.7201808107319923E-2"/>
                </c:manualLayout>
              </c:layout>
              <c:numFmt formatCode="General" sourceLinked="0"/>
            </c:trendlineLbl>
          </c:trendline>
          <c:xVal>
            <c:numRef>
              <c:f>Isotherms!$A$152:$A$157</c:f>
              <c:numCache>
                <c:formatCode>0.00</c:formatCode>
                <c:ptCount val="6"/>
                <c:pt idx="0" formatCode="0.000">
                  <c:v>-2.6878474937846906</c:v>
                </c:pt>
                <c:pt idx="1">
                  <c:v>0.33056379993504642</c:v>
                </c:pt>
                <c:pt idx="2">
                  <c:v>1.0419169449915644</c:v>
                </c:pt>
                <c:pt idx="3">
                  <c:v>1.6339790213502181</c:v>
                </c:pt>
                <c:pt idx="4">
                  <c:v>2.0893918725330041</c:v>
                </c:pt>
                <c:pt idx="5">
                  <c:v>2.5365957486533088</c:v>
                </c:pt>
              </c:numCache>
            </c:numRef>
          </c:xVal>
          <c:yVal>
            <c:numRef>
              <c:f>Isotherms!$B$152:$B$157</c:f>
              <c:numCache>
                <c:formatCode>0.00</c:formatCode>
                <c:ptCount val="6"/>
                <c:pt idx="0">
                  <c:v>4.9659863945578229</c:v>
                </c:pt>
                <c:pt idx="1">
                  <c:v>6.804123711340206</c:v>
                </c:pt>
                <c:pt idx="2">
                  <c:v>8.5826771653543314</c:v>
                </c:pt>
                <c:pt idx="3">
                  <c:v>9.9378881987577632</c:v>
                </c:pt>
                <c:pt idx="4">
                  <c:v>10.96</c:v>
                </c:pt>
                <c:pt idx="5">
                  <c:v>11.181710213776721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88-40E5-A710-244856255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44448"/>
        <c:axId val="86346368"/>
      </c:scatterChart>
      <c:valAx>
        <c:axId val="8634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</a:t>
                </a:r>
                <a:r>
                  <a:rPr lang="en-US" baseline="0"/>
                  <a:t> </a:t>
                </a:r>
                <a:r>
                  <a:rPr lang="en-US"/>
                  <a:t>Ce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86346368"/>
        <c:crosses val="autoZero"/>
        <c:crossBetween val="midCat"/>
      </c:valAx>
      <c:valAx>
        <c:axId val="86346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Qe(mg/g)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6344448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Isotherms!$B$160</c:f>
              <c:strCache>
                <c:ptCount val="1"/>
                <c:pt idx="0">
                  <c:v>log Ce/Qe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13650634295713107"/>
                  <c:y val="0.44605424321959752"/>
                </c:manualLayout>
              </c:layout>
              <c:numFmt formatCode="General" sourceLinked="0"/>
            </c:trendlineLbl>
          </c:trendline>
          <c:xVal>
            <c:numRef>
              <c:f>Isotherms!$A$161:$A$166</c:f>
              <c:numCache>
                <c:formatCode>0.000</c:formatCode>
                <c:ptCount val="6"/>
                <c:pt idx="0">
                  <c:v>-1.167317334748176</c:v>
                </c:pt>
                <c:pt idx="1">
                  <c:v>0.14356203422876118</c:v>
                </c:pt>
                <c:pt idx="2">
                  <c:v>0.45249877981133035</c:v>
                </c:pt>
                <c:pt idx="3">
                  <c:v>0.70962807251807547</c:v>
                </c:pt>
                <c:pt idx="4">
                  <c:v>0.90741136077458617</c:v>
                </c:pt>
                <c:pt idx="5">
                  <c:v>1.10162953645938</c:v>
                </c:pt>
              </c:numCache>
            </c:numRef>
          </c:xVal>
          <c:yVal>
            <c:numRef>
              <c:f>Isotherms!$B$161:$B$166</c:f>
              <c:numCache>
                <c:formatCode>0.000</c:formatCode>
                <c:ptCount val="6"/>
                <c:pt idx="0">
                  <c:v>-1.8633228601204559</c:v>
                </c:pt>
                <c:pt idx="1">
                  <c:v>-0.68921016704686267</c:v>
                </c:pt>
                <c:pt idx="2">
                  <c:v>-0.48112399717333643</c:v>
                </c:pt>
                <c:pt idx="3">
                  <c:v>-0.28766603410599961</c:v>
                </c:pt>
                <c:pt idx="4">
                  <c:v>-0.13239919337376421</c:v>
                </c:pt>
                <c:pt idx="5">
                  <c:v>5.3121303606345795E-2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95-4820-9E88-D32F6B6DC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3600"/>
        <c:axId val="86395520"/>
      </c:scatterChart>
      <c:valAx>
        <c:axId val="8639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Ce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86395520"/>
        <c:crosses val="autoZero"/>
        <c:crossBetween val="midCat"/>
      </c:valAx>
      <c:valAx>
        <c:axId val="86395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Ce/Qe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86393600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Isotherms!$S$78</c:f>
              <c:strCache>
                <c:ptCount val="1"/>
                <c:pt idx="0">
                  <c:v>log Qe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Isotherms!$R$79:$R$84</c:f>
              <c:numCache>
                <c:formatCode>0.00</c:formatCode>
                <c:ptCount val="6"/>
                <c:pt idx="0">
                  <c:v>571.54519788761411</c:v>
                </c:pt>
                <c:pt idx="1">
                  <c:v>121.89939233095589</c:v>
                </c:pt>
                <c:pt idx="2">
                  <c:v>41.917453213840489</c:v>
                </c:pt>
                <c:pt idx="3">
                  <c:v>22.076205826484316</c:v>
                </c:pt>
                <c:pt idx="4">
                  <c:v>12.811532616973937</c:v>
                </c:pt>
                <c:pt idx="5">
                  <c:v>8.6941605512385536</c:v>
                </c:pt>
              </c:numCache>
            </c:numRef>
          </c:xVal>
          <c:yVal>
            <c:numRef>
              <c:f>Isotherms!$S$79:$S$84</c:f>
              <c:numCache>
                <c:formatCode>0.000</c:formatCode>
                <c:ptCount val="6"/>
                <c:pt idx="0">
                  <c:v>0.55284196865778079</c:v>
                </c:pt>
                <c:pt idx="1">
                  <c:v>0.61664331114668369</c:v>
                </c:pt>
                <c:pt idx="2">
                  <c:v>0.61219962267884231</c:v>
                </c:pt>
                <c:pt idx="3">
                  <c:v>0.63044682647045058</c:v>
                </c:pt>
                <c:pt idx="4">
                  <c:v>0.61489721603313452</c:v>
                </c:pt>
                <c:pt idx="5">
                  <c:v>0.62735612461254364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F6-4641-A316-FFB0D0323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29056"/>
        <c:axId val="86435328"/>
      </c:scatterChart>
      <c:valAx>
        <c:axId val="86429056"/>
        <c:scaling>
          <c:orientation val="minMax"/>
        </c:scaling>
        <c:delete val="0"/>
        <c:axPos val="b"/>
        <c:title>
          <c:overlay val="0"/>
        </c:title>
        <c:numFmt formatCode="0.00" sourceLinked="1"/>
        <c:majorTickMark val="out"/>
        <c:minorTickMark val="none"/>
        <c:tickLblPos val="nextTo"/>
        <c:crossAx val="86435328"/>
        <c:crosses val="autoZero"/>
        <c:crossBetween val="midCat"/>
      </c:valAx>
      <c:valAx>
        <c:axId val="86435328"/>
        <c:scaling>
          <c:orientation val="minMax"/>
        </c:scaling>
        <c:delete val="0"/>
        <c:axPos val="l"/>
        <c:title>
          <c:overlay val="0"/>
        </c:title>
        <c:numFmt formatCode="0.000" sourceLinked="1"/>
        <c:majorTickMark val="out"/>
        <c:minorTickMark val="none"/>
        <c:tickLblPos val="nextTo"/>
        <c:crossAx val="86429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Adsorption!$L$33</c:f>
              <c:strCache>
                <c:ptCount val="1"/>
                <c:pt idx="0">
                  <c:v>UBATAC</c:v>
                </c:pt>
              </c:strCache>
            </c:strRef>
          </c:tx>
          <c:xVal>
            <c:numRef>
              <c:f>Adsorption!$K$34:$K$38</c:f>
              <c:numCache>
                <c:formatCode>0.00</c:formatCode>
                <c:ptCount val="5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</c:numCache>
            </c:numRef>
          </c:xVal>
          <c:yVal>
            <c:numRef>
              <c:f>(Adsorption!$L$34:$L$38,Adsorption!$Q$34:$Q$38)</c:f>
              <c:numCache>
                <c:formatCode>0.00</c:formatCode>
                <c:ptCount val="10"/>
                <c:pt idx="0">
                  <c:v>40.136054421768712</c:v>
                </c:pt>
                <c:pt idx="1">
                  <c:v>52.38</c:v>
                </c:pt>
                <c:pt idx="2">
                  <c:v>59.863945578231302</c:v>
                </c:pt>
                <c:pt idx="3">
                  <c:v>65.986394557823132</c:v>
                </c:pt>
                <c:pt idx="4">
                  <c:v>76.870748299319729</c:v>
                </c:pt>
                <c:pt idx="5">
                  <c:v>10.034013605442178</c:v>
                </c:pt>
                <c:pt idx="6">
                  <c:v>6.5476190476190466</c:v>
                </c:pt>
                <c:pt idx="7">
                  <c:v>4.9886621315192752</c:v>
                </c:pt>
                <c:pt idx="8">
                  <c:v>4.1241496598639449</c:v>
                </c:pt>
                <c:pt idx="9">
                  <c:v>3.8435374149659864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72-4DF5-A43B-484017B7A70B}"/>
            </c:ext>
          </c:extLst>
        </c:ser>
        <c:ser>
          <c:idx val="1"/>
          <c:order val="1"/>
          <c:tx>
            <c:strRef>
              <c:f>Adsorption!$M$33</c:f>
              <c:strCache>
                <c:ptCount val="1"/>
                <c:pt idx="0">
                  <c:v>BATAC</c:v>
                </c:pt>
              </c:strCache>
            </c:strRef>
          </c:tx>
          <c:xVal>
            <c:numRef>
              <c:f>Adsorption!$K$34:$K$38</c:f>
              <c:numCache>
                <c:formatCode>0.00</c:formatCode>
                <c:ptCount val="5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</c:numCache>
            </c:numRef>
          </c:xVal>
          <c:yVal>
            <c:numRef>
              <c:f>(Adsorption!$M$34:$M$38,Adsorption!$R$34:$R$38)</c:f>
              <c:numCache>
                <c:formatCode>0.00</c:formatCode>
                <c:ptCount val="10"/>
                <c:pt idx="0">
                  <c:v>38.775510204081641</c:v>
                </c:pt>
                <c:pt idx="1">
                  <c:v>48.299319727891152</c:v>
                </c:pt>
                <c:pt idx="2">
                  <c:v>55.782312925170075</c:v>
                </c:pt>
                <c:pt idx="3">
                  <c:v>65.306122448979593</c:v>
                </c:pt>
                <c:pt idx="4">
                  <c:v>76.870748299319729</c:v>
                </c:pt>
                <c:pt idx="5">
                  <c:v>9.6938775510204085</c:v>
                </c:pt>
                <c:pt idx="6">
                  <c:v>6.037414965986394</c:v>
                </c:pt>
                <c:pt idx="7">
                  <c:v>4.6485260770975056</c:v>
                </c:pt>
                <c:pt idx="8">
                  <c:v>4.0816326530612246</c:v>
                </c:pt>
                <c:pt idx="9">
                  <c:v>3.8435374149659864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72-4DF5-A43B-484017B7A70B}"/>
            </c:ext>
          </c:extLst>
        </c:ser>
        <c:ser>
          <c:idx val="2"/>
          <c:order val="2"/>
          <c:tx>
            <c:strRef>
              <c:f>Adsorption!$N$33</c:f>
              <c:strCache>
                <c:ptCount val="1"/>
                <c:pt idx="0">
                  <c:v>WATAC</c:v>
                </c:pt>
              </c:strCache>
            </c:strRef>
          </c:tx>
          <c:xVal>
            <c:numRef>
              <c:f>Adsorption!$K$34:$K$38</c:f>
              <c:numCache>
                <c:formatCode>0.00</c:formatCode>
                <c:ptCount val="5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</c:numCache>
            </c:numRef>
          </c:xVal>
          <c:yVal>
            <c:numRef>
              <c:f>(Adsorption!$N$34:$N$38,Adsorption!$S$34:$S$38)</c:f>
              <c:numCache>
                <c:formatCode>0.00</c:formatCode>
                <c:ptCount val="10"/>
                <c:pt idx="0">
                  <c:v>54.42176870748299</c:v>
                </c:pt>
                <c:pt idx="1">
                  <c:v>76.190476190476176</c:v>
                </c:pt>
                <c:pt idx="2">
                  <c:v>94.557823129251702</c:v>
                </c:pt>
                <c:pt idx="3">
                  <c:v>100</c:v>
                </c:pt>
                <c:pt idx="4">
                  <c:v>100</c:v>
                </c:pt>
                <c:pt idx="5">
                  <c:v>13.605442176870747</c:v>
                </c:pt>
                <c:pt idx="6">
                  <c:v>9.5238095238095219</c:v>
                </c:pt>
                <c:pt idx="7">
                  <c:v>7.8798185941043082</c:v>
                </c:pt>
                <c:pt idx="8">
                  <c:v>6.25</c:v>
                </c:pt>
                <c:pt idx="9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72-4DF5-A43B-484017B7A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79872"/>
        <c:axId val="83281792"/>
      </c:scatterChart>
      <c:valAx>
        <c:axId val="8327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Adsorbent dose (g/L)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3281792"/>
        <c:crosses val="autoZero"/>
        <c:crossBetween val="midCat"/>
      </c:valAx>
      <c:valAx>
        <c:axId val="83281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Removal efficiency (%)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3279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Isotherms!$T$19</c:f>
              <c:strCache>
                <c:ptCount val="1"/>
                <c:pt idx="0">
                  <c:v>log Qe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Isotherms!$S$20:$S$25</c:f>
              <c:numCache>
                <c:formatCode>0.00</c:formatCode>
                <c:ptCount val="6"/>
                <c:pt idx="0">
                  <c:v>906.79242053146015</c:v>
                </c:pt>
                <c:pt idx="1">
                  <c:v>133.0821433459347</c:v>
                </c:pt>
                <c:pt idx="2">
                  <c:v>46.565957257363017</c:v>
                </c:pt>
                <c:pt idx="3">
                  <c:v>24.015499377793585</c:v>
                </c:pt>
                <c:pt idx="4">
                  <c:v>13.481542311805658</c:v>
                </c:pt>
                <c:pt idx="5">
                  <c:v>9.0812098461478641</c:v>
                </c:pt>
              </c:numCache>
            </c:numRef>
          </c:xVal>
          <c:yVal>
            <c:numRef>
              <c:f>Isotherms!$T$20:$T$25</c:f>
              <c:numCache>
                <c:formatCode>0.000</c:formatCode>
                <c:ptCount val="6"/>
                <c:pt idx="0">
                  <c:v>0.59235050994145433</c:v>
                </c:pt>
                <c:pt idx="1">
                  <c:v>0.63258251224813145</c:v>
                </c:pt>
                <c:pt idx="2">
                  <c:v>0.64438430605024355</c:v>
                </c:pt>
                <c:pt idx="3">
                  <c:v>0.66460110270475625</c:v>
                </c:pt>
                <c:pt idx="4">
                  <c:v>0.64345267648618742</c:v>
                </c:pt>
                <c:pt idx="5">
                  <c:v>0.65618245079124982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AA-418B-8084-9A51DA6B6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72576"/>
        <c:axId val="86478848"/>
      </c:scatterChart>
      <c:valAx>
        <c:axId val="86472576"/>
        <c:scaling>
          <c:orientation val="minMax"/>
        </c:scaling>
        <c:delete val="0"/>
        <c:axPos val="b"/>
        <c:title>
          <c:overlay val="0"/>
        </c:title>
        <c:numFmt formatCode="0.00" sourceLinked="1"/>
        <c:majorTickMark val="out"/>
        <c:minorTickMark val="none"/>
        <c:tickLblPos val="nextTo"/>
        <c:crossAx val="86478848"/>
        <c:crosses val="autoZero"/>
        <c:crossBetween val="midCat"/>
      </c:valAx>
      <c:valAx>
        <c:axId val="86478848"/>
        <c:scaling>
          <c:orientation val="minMax"/>
        </c:scaling>
        <c:delete val="0"/>
        <c:axPos val="l"/>
        <c:title>
          <c:overlay val="0"/>
        </c:title>
        <c:numFmt formatCode="0.000" sourceLinked="1"/>
        <c:majorTickMark val="out"/>
        <c:minorTickMark val="none"/>
        <c:tickLblPos val="nextTo"/>
        <c:crossAx val="86472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Isotherms!$R$169</c:f>
              <c:strCache>
                <c:ptCount val="1"/>
                <c:pt idx="0">
                  <c:v>lnQem/Ce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Isotherms!$Q$170:$Q$173</c:f>
              <c:numCache>
                <c:formatCode>0.0000</c:formatCode>
                <c:ptCount val="4"/>
                <c:pt idx="0">
                  <c:v>3.3003300330033004E-3</c:v>
                </c:pt>
                <c:pt idx="1">
                  <c:v>3.1948881789137379E-3</c:v>
                </c:pt>
                <c:pt idx="2">
                  <c:v>3.0959752321981426E-3</c:v>
                </c:pt>
                <c:pt idx="3">
                  <c:v>3.003003003003003E-3</c:v>
                </c:pt>
              </c:numCache>
            </c:numRef>
          </c:xVal>
          <c:yVal>
            <c:numRef>
              <c:f>Isotherms!$R$170:$R$173</c:f>
              <c:numCache>
                <c:formatCode>0.000</c:formatCode>
                <c:ptCount val="4"/>
                <c:pt idx="0">
                  <c:v>-1.6642202586263073</c:v>
                </c:pt>
                <c:pt idx="1">
                  <c:v>-1.831261912204301</c:v>
                </c:pt>
                <c:pt idx="2">
                  <c:v>-1.9052265724188699</c:v>
                </c:pt>
                <c:pt idx="3">
                  <c:v>-2.0140587824169836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1F-473D-B74E-843F215E6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65056"/>
        <c:axId val="87566976"/>
      </c:scatterChart>
      <c:valAx>
        <c:axId val="87565056"/>
        <c:scaling>
          <c:orientation val="minMax"/>
        </c:scaling>
        <c:delete val="0"/>
        <c:axPos val="b"/>
        <c:title>
          <c:overlay val="0"/>
        </c:title>
        <c:numFmt formatCode="0.0000" sourceLinked="1"/>
        <c:majorTickMark val="out"/>
        <c:minorTickMark val="none"/>
        <c:tickLblPos val="nextTo"/>
        <c:crossAx val="87566976"/>
        <c:crosses val="autoZero"/>
        <c:crossBetween val="midCat"/>
      </c:valAx>
      <c:valAx>
        <c:axId val="87566976"/>
        <c:scaling>
          <c:orientation val="minMax"/>
        </c:scaling>
        <c:delete val="0"/>
        <c:axPos val="l"/>
        <c:title>
          <c:overlay val="0"/>
        </c:title>
        <c:numFmt formatCode="0.000" sourceLinked="1"/>
        <c:majorTickMark val="out"/>
        <c:minorTickMark val="none"/>
        <c:tickLblPos val="nextTo"/>
        <c:crossAx val="87565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Isotherms!$Q$186:$Q$189</c:f>
              <c:numCache>
                <c:formatCode>0.0000</c:formatCode>
                <c:ptCount val="4"/>
                <c:pt idx="0">
                  <c:v>3.3003300330033004E-3</c:v>
                </c:pt>
                <c:pt idx="1">
                  <c:v>3.1948881789137379E-3</c:v>
                </c:pt>
                <c:pt idx="2">
                  <c:v>3.0959752321981426E-3</c:v>
                </c:pt>
                <c:pt idx="3">
                  <c:v>3.003003003003003E-3</c:v>
                </c:pt>
              </c:numCache>
            </c:numRef>
          </c:xVal>
          <c:yVal>
            <c:numRef>
              <c:f>Isotherms!$R$186:$R$189</c:f>
              <c:numCache>
                <c:formatCode>0.000</c:formatCode>
                <c:ptCount val="4"/>
                <c:pt idx="0">
                  <c:v>-1.7184281961425056</c:v>
                </c:pt>
                <c:pt idx="1">
                  <c:v>-1.9356536488881237</c:v>
                </c:pt>
                <c:pt idx="2">
                  <c:v>-1.9980959022258831</c:v>
                </c:pt>
                <c:pt idx="3">
                  <c:v>-2.0628574136643003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AA-4077-920D-866F5CD3F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88224"/>
        <c:axId val="87598592"/>
      </c:scatterChart>
      <c:valAx>
        <c:axId val="87588224"/>
        <c:scaling>
          <c:orientation val="minMax"/>
        </c:scaling>
        <c:delete val="0"/>
        <c:axPos val="b"/>
        <c:title>
          <c:overlay val="0"/>
        </c:title>
        <c:numFmt formatCode="0.0000" sourceLinked="1"/>
        <c:majorTickMark val="out"/>
        <c:minorTickMark val="none"/>
        <c:tickLblPos val="nextTo"/>
        <c:crossAx val="87598592"/>
        <c:crosses val="autoZero"/>
        <c:crossBetween val="midCat"/>
      </c:valAx>
      <c:valAx>
        <c:axId val="87598592"/>
        <c:scaling>
          <c:orientation val="minMax"/>
        </c:scaling>
        <c:delete val="0"/>
        <c:axPos val="l"/>
        <c:title>
          <c:overlay val="0"/>
        </c:title>
        <c:numFmt formatCode="0.000" sourceLinked="1"/>
        <c:majorTickMark val="out"/>
        <c:minorTickMark val="none"/>
        <c:tickLblPos val="nextTo"/>
        <c:crossAx val="87588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Isotherms!$Q$200:$Q$203</c:f>
              <c:numCache>
                <c:formatCode>General</c:formatCode>
                <c:ptCount val="4"/>
                <c:pt idx="0">
                  <c:v>3.3003300330033004E-3</c:v>
                </c:pt>
                <c:pt idx="1">
                  <c:v>3.1948881789137379E-3</c:v>
                </c:pt>
                <c:pt idx="2">
                  <c:v>3.0959752321981426E-3</c:v>
                </c:pt>
                <c:pt idx="3">
                  <c:v>3.003003003003003E-3</c:v>
                </c:pt>
              </c:numCache>
            </c:numRef>
          </c:xVal>
          <c:yVal>
            <c:numRef>
              <c:f>Isotherms!$R$200:$R$203</c:f>
              <c:numCache>
                <c:formatCode>0.000</c:formatCode>
                <c:ptCount val="4"/>
                <c:pt idx="0">
                  <c:v>0.30486040898686556</c:v>
                </c:pt>
                <c:pt idx="1">
                  <c:v>0.13353139262452257</c:v>
                </c:pt>
                <c:pt idx="2">
                  <c:v>-0.26283607386524971</c:v>
                </c:pt>
                <c:pt idx="3">
                  <c:v>-0.65735807270836022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0C-46C1-ADF8-5C60FD601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93568"/>
        <c:axId val="87695744"/>
      </c:scatterChart>
      <c:valAx>
        <c:axId val="87693568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out"/>
        <c:minorTickMark val="none"/>
        <c:tickLblPos val="nextTo"/>
        <c:crossAx val="87695744"/>
        <c:crosses val="autoZero"/>
        <c:crossBetween val="midCat"/>
      </c:valAx>
      <c:valAx>
        <c:axId val="87695744"/>
        <c:scaling>
          <c:orientation val="minMax"/>
        </c:scaling>
        <c:delete val="0"/>
        <c:axPos val="l"/>
        <c:title>
          <c:overlay val="0"/>
        </c:title>
        <c:numFmt formatCode="0.000" sourceLinked="1"/>
        <c:majorTickMark val="out"/>
        <c:minorTickMark val="none"/>
        <c:tickLblPos val="nextTo"/>
        <c:crossAx val="87693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UBATAC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Isotherms!$D$215:$D$218</c:f>
              <c:numCache>
                <c:formatCode>0.0000</c:formatCode>
                <c:ptCount val="4"/>
                <c:pt idx="0">
                  <c:v>3.3003300330033004E-3</c:v>
                </c:pt>
                <c:pt idx="1">
                  <c:v>3.1948881789137379E-3</c:v>
                </c:pt>
                <c:pt idx="2">
                  <c:v>3.0959752321981426E-3</c:v>
                </c:pt>
                <c:pt idx="3">
                  <c:v>3.003003003003003E-3</c:v>
                </c:pt>
              </c:numCache>
            </c:numRef>
          </c:xVal>
          <c:yVal>
            <c:numRef>
              <c:f>Isotherms!$E$215:$E$218</c:f>
              <c:numCache>
                <c:formatCode>0.000</c:formatCode>
                <c:ptCount val="4"/>
                <c:pt idx="0">
                  <c:v>-1.6642202586263073</c:v>
                </c:pt>
                <c:pt idx="1">
                  <c:v>-1.831261912204301</c:v>
                </c:pt>
                <c:pt idx="2">
                  <c:v>-1.9052265724188699</c:v>
                </c:pt>
                <c:pt idx="3">
                  <c:v>-2.0140587824169836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20-4183-92C9-062896677A48}"/>
            </c:ext>
          </c:extLst>
        </c:ser>
        <c:ser>
          <c:idx val="1"/>
          <c:order val="1"/>
          <c:tx>
            <c:v>BATAC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Isotherms!$D$215:$D$218</c:f>
              <c:numCache>
                <c:formatCode>0.0000</c:formatCode>
                <c:ptCount val="4"/>
                <c:pt idx="0">
                  <c:v>3.3003300330033004E-3</c:v>
                </c:pt>
                <c:pt idx="1">
                  <c:v>3.1948881789137379E-3</c:v>
                </c:pt>
                <c:pt idx="2">
                  <c:v>3.0959752321981426E-3</c:v>
                </c:pt>
                <c:pt idx="3">
                  <c:v>3.003003003003003E-3</c:v>
                </c:pt>
              </c:numCache>
            </c:numRef>
          </c:xVal>
          <c:yVal>
            <c:numRef>
              <c:f>Isotherms!$F$215:$F$218</c:f>
              <c:numCache>
                <c:formatCode>0.000</c:formatCode>
                <c:ptCount val="4"/>
                <c:pt idx="0">
                  <c:v>-1.7184281961425056</c:v>
                </c:pt>
                <c:pt idx="1">
                  <c:v>-1.9356536488881237</c:v>
                </c:pt>
                <c:pt idx="2">
                  <c:v>-1.9980959022258831</c:v>
                </c:pt>
                <c:pt idx="3">
                  <c:v>-2.0628574136643003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20-4183-92C9-062896677A48}"/>
            </c:ext>
          </c:extLst>
        </c:ser>
        <c:ser>
          <c:idx val="2"/>
          <c:order val="2"/>
          <c:tx>
            <c:v>WATAC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Isotherms!$D$215:$D$218</c:f>
              <c:numCache>
                <c:formatCode>0.0000</c:formatCode>
                <c:ptCount val="4"/>
                <c:pt idx="0">
                  <c:v>3.3003300330033004E-3</c:v>
                </c:pt>
                <c:pt idx="1">
                  <c:v>3.1948881789137379E-3</c:v>
                </c:pt>
                <c:pt idx="2">
                  <c:v>3.0959752321981426E-3</c:v>
                </c:pt>
                <c:pt idx="3">
                  <c:v>3.003003003003003E-3</c:v>
                </c:pt>
              </c:numCache>
            </c:numRef>
          </c:xVal>
          <c:yVal>
            <c:numRef>
              <c:f>Isotherms!$G$215:$G$218</c:f>
              <c:numCache>
                <c:formatCode>0.000</c:formatCode>
                <c:ptCount val="4"/>
                <c:pt idx="0">
                  <c:v>0.30486040898686556</c:v>
                </c:pt>
                <c:pt idx="1">
                  <c:v>0.13353139262452257</c:v>
                </c:pt>
                <c:pt idx="2">
                  <c:v>-0.26283607386524971</c:v>
                </c:pt>
                <c:pt idx="3">
                  <c:v>-0.65735807270836022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20-4183-92C9-062896677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30208"/>
        <c:axId val="87632128"/>
      </c:scatterChart>
      <c:valAx>
        <c:axId val="87630208"/>
        <c:scaling>
          <c:orientation val="minMax"/>
        </c:scaling>
        <c:delete val="0"/>
        <c:axPos val="b"/>
        <c:title>
          <c:overlay val="0"/>
        </c:title>
        <c:numFmt formatCode="0.0000" sourceLinked="1"/>
        <c:majorTickMark val="out"/>
        <c:minorTickMark val="none"/>
        <c:tickLblPos val="nextTo"/>
        <c:crossAx val="87632128"/>
        <c:crosses val="autoZero"/>
        <c:crossBetween val="midCat"/>
      </c:valAx>
      <c:valAx>
        <c:axId val="87632128"/>
        <c:scaling>
          <c:orientation val="minMax"/>
        </c:scaling>
        <c:delete val="0"/>
        <c:axPos val="l"/>
        <c:title>
          <c:overlay val="0"/>
        </c:title>
        <c:numFmt formatCode="0.000" sourceLinked="1"/>
        <c:majorTickMark val="out"/>
        <c:minorTickMark val="none"/>
        <c:tickLblPos val="nextTo"/>
        <c:crossAx val="87630208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2078083989501506E-2"/>
                  <c:y val="0.15241870807815691"/>
                </c:manualLayout>
              </c:layout>
              <c:numFmt formatCode="General" sourceLinked="0"/>
            </c:trendlineLbl>
          </c:trendline>
          <c:xVal>
            <c:numRef>
              <c:f>Isotherms!$A$133:$A$138</c:f>
              <c:numCache>
                <c:formatCode>0.000</c:formatCode>
                <c:ptCount val="6"/>
                <c:pt idx="0">
                  <c:v>-1.167317334748176</c:v>
                </c:pt>
                <c:pt idx="1">
                  <c:v>0.14356203422876118</c:v>
                </c:pt>
                <c:pt idx="2">
                  <c:v>0.45249877981133035</c:v>
                </c:pt>
                <c:pt idx="3">
                  <c:v>0.70962807251807547</c:v>
                </c:pt>
                <c:pt idx="4">
                  <c:v>0.90741136077458617</c:v>
                </c:pt>
                <c:pt idx="5">
                  <c:v>1.10162953645938</c:v>
                </c:pt>
              </c:numCache>
            </c:numRef>
          </c:xVal>
          <c:yVal>
            <c:numRef>
              <c:f>Isotherms!$B$133:$B$138</c:f>
              <c:numCache>
                <c:formatCode>0.00</c:formatCode>
                <c:ptCount val="6"/>
                <c:pt idx="0">
                  <c:v>0.69600552537227978</c:v>
                </c:pt>
                <c:pt idx="1">
                  <c:v>0.83277220127562379</c:v>
                </c:pt>
                <c:pt idx="2">
                  <c:v>0.93362277698466678</c:v>
                </c:pt>
                <c:pt idx="3">
                  <c:v>0.99729410662407503</c:v>
                </c:pt>
                <c:pt idx="4">
                  <c:v>1.0398105541483504</c:v>
                </c:pt>
                <c:pt idx="5">
                  <c:v>1.0485082328530342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09-4038-BEA2-61E402269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78976"/>
        <c:axId val="87680896"/>
      </c:scatterChart>
      <c:valAx>
        <c:axId val="8767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Ce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87680896"/>
        <c:crosses val="autoZero"/>
        <c:crossBetween val="midCat"/>
      </c:valAx>
      <c:valAx>
        <c:axId val="87680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Qe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7678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Isotherms!$A$143:$A$148</c:f>
              <c:numCache>
                <c:formatCode>0.00</c:formatCode>
                <c:ptCount val="6"/>
                <c:pt idx="0">
                  <c:v>6.8027210884353748E-2</c:v>
                </c:pt>
                <c:pt idx="1">
                  <c:v>1.3917525773195873</c:v>
                </c:pt>
                <c:pt idx="2">
                  <c:v>2.8346456692913384</c:v>
                </c:pt>
                <c:pt idx="3">
                  <c:v>5.1242236024844727</c:v>
                </c:pt>
                <c:pt idx="4">
                  <c:v>8.08</c:v>
                </c:pt>
                <c:pt idx="5">
                  <c:v>12.636579572446557</c:v>
                </c:pt>
              </c:numCache>
            </c:numRef>
          </c:xVal>
          <c:yVal>
            <c:numRef>
              <c:f>Isotherms!$B$143:$B$148</c:f>
              <c:numCache>
                <c:formatCode>0.00</c:formatCode>
                <c:ptCount val="6"/>
                <c:pt idx="0">
                  <c:v>1.3698630136986304E-2</c:v>
                </c:pt>
                <c:pt idx="1">
                  <c:v>0.2045454545454545</c:v>
                </c:pt>
                <c:pt idx="2">
                  <c:v>0.33027522935779813</c:v>
                </c:pt>
                <c:pt idx="3">
                  <c:v>0.51562500000000011</c:v>
                </c:pt>
                <c:pt idx="4">
                  <c:v>0.73722627737226276</c:v>
                </c:pt>
                <c:pt idx="5">
                  <c:v>1.1301115241635689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FE-4C70-8F0B-F02DC7A4A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76640"/>
        <c:axId val="87787008"/>
      </c:scatterChart>
      <c:valAx>
        <c:axId val="8777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 (mg/L)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7787008"/>
        <c:crosses val="autoZero"/>
        <c:crossBetween val="midCat"/>
      </c:valAx>
      <c:valAx>
        <c:axId val="87787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Ce/Qe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7776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Isotherms!$AC$11:$AC$14</c:f>
              <c:numCache>
                <c:formatCode>0.0000</c:formatCode>
                <c:ptCount val="4"/>
                <c:pt idx="0">
                  <c:v>3.3003300330033004E-3</c:v>
                </c:pt>
                <c:pt idx="1">
                  <c:v>3.1948881789137379E-3</c:v>
                </c:pt>
                <c:pt idx="2">
                  <c:v>3.0959752321981426E-3</c:v>
                </c:pt>
                <c:pt idx="3">
                  <c:v>3.003003003003003E-3</c:v>
                </c:pt>
              </c:numCache>
            </c:numRef>
          </c:xVal>
          <c:yVal>
            <c:numRef>
              <c:f>Isotherms!$AD$11:$AD$14</c:f>
              <c:numCache>
                <c:formatCode>0.00</c:formatCode>
                <c:ptCount val="4"/>
                <c:pt idx="0">
                  <c:v>-1.5723966407537511</c:v>
                </c:pt>
                <c:pt idx="1">
                  <c:v>-1.8901995420413067</c:v>
                </c:pt>
                <c:pt idx="2">
                  <c:v>-2.2004872229710353</c:v>
                </c:pt>
                <c:pt idx="3">
                  <c:v>-1.9510603750316291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55-4E59-A8AE-2AECD033C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20160"/>
        <c:axId val="87830528"/>
      </c:scatterChart>
      <c:valAx>
        <c:axId val="87820160"/>
        <c:scaling>
          <c:orientation val="minMax"/>
        </c:scaling>
        <c:delete val="0"/>
        <c:axPos val="b"/>
        <c:title>
          <c:overlay val="0"/>
        </c:title>
        <c:numFmt formatCode="0.0000" sourceLinked="1"/>
        <c:majorTickMark val="out"/>
        <c:minorTickMark val="none"/>
        <c:tickLblPos val="nextTo"/>
        <c:crossAx val="87830528"/>
        <c:crosses val="autoZero"/>
        <c:crossBetween val="midCat"/>
      </c:valAx>
      <c:valAx>
        <c:axId val="87830528"/>
        <c:scaling>
          <c:orientation val="minMax"/>
        </c:scaling>
        <c:delete val="0"/>
        <c:axPos val="l"/>
        <c:majorGridlines/>
        <c:minorGridlines/>
        <c:title>
          <c:overlay val="0"/>
        </c:title>
        <c:numFmt formatCode="0.00" sourceLinked="1"/>
        <c:majorTickMark val="out"/>
        <c:minorTickMark val="none"/>
        <c:tickLblPos val="nextTo"/>
        <c:crossAx val="87820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1.7153105861767326E-2"/>
                  <c:y val="-0.11731590842811319"/>
                </c:manualLayout>
              </c:layout>
              <c:numFmt formatCode="General" sourceLinked="0"/>
            </c:trendlineLbl>
          </c:trendline>
          <c:xVal>
            <c:numRef>
              <c:f>Isotherms!$AA$68:$AA$71</c:f>
              <c:numCache>
                <c:formatCode>0.0000</c:formatCode>
                <c:ptCount val="4"/>
                <c:pt idx="0">
                  <c:v>3.3003300330033004E-3</c:v>
                </c:pt>
                <c:pt idx="1">
                  <c:v>3.1948881789137379E-3</c:v>
                </c:pt>
                <c:pt idx="2">
                  <c:v>3.0959752321981426E-3</c:v>
                </c:pt>
                <c:pt idx="3">
                  <c:v>3.003003003003003E-3</c:v>
                </c:pt>
              </c:numCache>
            </c:numRef>
          </c:xVal>
          <c:yVal>
            <c:numRef>
              <c:f>Isotherms!$AB$68:$AB$71</c:f>
              <c:numCache>
                <c:formatCode>0.00</c:formatCode>
                <c:ptCount val="4"/>
                <c:pt idx="0">
                  <c:v>-1.7184281961425056</c:v>
                </c:pt>
                <c:pt idx="1">
                  <c:v>-1.9356536488881237</c:v>
                </c:pt>
                <c:pt idx="2">
                  <c:v>-1.9980959022258831</c:v>
                </c:pt>
                <c:pt idx="3">
                  <c:v>-2.0628574136643003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AF-4DA3-8E59-BE50682CB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55872"/>
        <c:axId val="87857792"/>
      </c:scatterChart>
      <c:valAx>
        <c:axId val="87855872"/>
        <c:scaling>
          <c:orientation val="minMax"/>
        </c:scaling>
        <c:delete val="0"/>
        <c:axPos val="b"/>
        <c:title>
          <c:overlay val="0"/>
        </c:title>
        <c:numFmt formatCode="0.0000" sourceLinked="1"/>
        <c:majorTickMark val="out"/>
        <c:minorTickMark val="none"/>
        <c:tickLblPos val="nextTo"/>
        <c:crossAx val="87857792"/>
        <c:crosses val="autoZero"/>
        <c:crossBetween val="midCat"/>
      </c:valAx>
      <c:valAx>
        <c:axId val="87857792"/>
        <c:scaling>
          <c:orientation val="minMax"/>
        </c:scaling>
        <c:delete val="0"/>
        <c:axPos val="l"/>
        <c:title>
          <c:overlay val="0"/>
        </c:title>
        <c:numFmt formatCode="0.00" sourceLinked="1"/>
        <c:majorTickMark val="out"/>
        <c:minorTickMark val="none"/>
        <c:tickLblPos val="nextTo"/>
        <c:crossAx val="87855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Isotherms!$AA$124:$AA$127</c:f>
              <c:numCache>
                <c:formatCode>0.0000</c:formatCode>
                <c:ptCount val="4"/>
                <c:pt idx="0">
                  <c:v>3.3003300330033004E-3</c:v>
                </c:pt>
                <c:pt idx="1">
                  <c:v>3.1948881789137379E-3</c:v>
                </c:pt>
                <c:pt idx="2">
                  <c:v>3.0959752321981426E-3</c:v>
                </c:pt>
                <c:pt idx="3">
                  <c:v>3.003003003003003E-3</c:v>
                </c:pt>
              </c:numCache>
            </c:numRef>
          </c:xVal>
          <c:yVal>
            <c:numRef>
              <c:f>Isotherms!$AB$124:$AB$127</c:f>
              <c:numCache>
                <c:formatCode>0.000</c:formatCode>
                <c:ptCount val="4"/>
                <c:pt idx="0">
                  <c:v>0.30486040898686556</c:v>
                </c:pt>
                <c:pt idx="1">
                  <c:v>-0.41945135008290441</c:v>
                </c:pt>
                <c:pt idx="2">
                  <c:v>-0.94513888621181319</c:v>
                </c:pt>
                <c:pt idx="3">
                  <c:v>-1.0653866410397894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59-4305-BE07-4AAE5E153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13952"/>
        <c:axId val="92415872"/>
      </c:scatterChart>
      <c:valAx>
        <c:axId val="92413952"/>
        <c:scaling>
          <c:orientation val="minMax"/>
        </c:scaling>
        <c:delete val="0"/>
        <c:axPos val="b"/>
        <c:title>
          <c:overlay val="0"/>
        </c:title>
        <c:numFmt formatCode="0.0000" sourceLinked="1"/>
        <c:majorTickMark val="out"/>
        <c:minorTickMark val="none"/>
        <c:tickLblPos val="nextTo"/>
        <c:crossAx val="92415872"/>
        <c:crosses val="autoZero"/>
        <c:crossBetween val="midCat"/>
      </c:valAx>
      <c:valAx>
        <c:axId val="92415872"/>
        <c:scaling>
          <c:orientation val="minMax"/>
        </c:scaling>
        <c:delete val="0"/>
        <c:axPos val="l"/>
        <c:title>
          <c:overlay val="0"/>
        </c:title>
        <c:numFmt formatCode="0.000" sourceLinked="1"/>
        <c:majorTickMark val="out"/>
        <c:minorTickMark val="none"/>
        <c:tickLblPos val="nextTo"/>
        <c:crossAx val="92413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Adsorption!$I$60</c:f>
              <c:strCache>
                <c:ptCount val="1"/>
                <c:pt idx="0">
                  <c:v>UBATAC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Adsorption!$H$61:$H$66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xVal>
          <c:yVal>
            <c:numRef>
              <c:f>Adsorption!$I$61:$I$66</c:f>
              <c:numCache>
                <c:formatCode>0.00</c:formatCode>
                <c:ptCount val="6"/>
                <c:pt idx="0">
                  <c:v>78.231292517006793</c:v>
                </c:pt>
                <c:pt idx="1">
                  <c:v>57.21649484536082</c:v>
                </c:pt>
                <c:pt idx="2">
                  <c:v>44.094488188976378</c:v>
                </c:pt>
                <c:pt idx="3">
                  <c:v>36.956521739130437</c:v>
                </c:pt>
                <c:pt idx="4">
                  <c:v>29.333333333333336</c:v>
                </c:pt>
                <c:pt idx="5">
                  <c:v>25.890736342042757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4-4B50-8BAA-AD9754A0BDB7}"/>
            </c:ext>
          </c:extLst>
        </c:ser>
        <c:ser>
          <c:idx val="1"/>
          <c:order val="1"/>
          <c:tx>
            <c:strRef>
              <c:f>Adsorption!$J$60</c:f>
              <c:strCache>
                <c:ptCount val="1"/>
                <c:pt idx="0">
                  <c:v>BATAC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Adsorption!$H$61:$H$66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xVal>
          <c:yVal>
            <c:numRef>
              <c:f>Adsorption!$J$61:$J$66</c:f>
              <c:numCache>
                <c:formatCode>0.00</c:formatCode>
                <c:ptCount val="6"/>
                <c:pt idx="0">
                  <c:v>71.428571428571416</c:v>
                </c:pt>
                <c:pt idx="1">
                  <c:v>55.154639175257742</c:v>
                </c:pt>
                <c:pt idx="2">
                  <c:v>40.944881889763778</c:v>
                </c:pt>
                <c:pt idx="3">
                  <c:v>34.161490683229815</c:v>
                </c:pt>
                <c:pt idx="4">
                  <c:v>27.466666666666661</c:v>
                </c:pt>
                <c:pt idx="5">
                  <c:v>24.228028503562939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A4-4B50-8BAA-AD9754A0BDB7}"/>
            </c:ext>
          </c:extLst>
        </c:ser>
        <c:ser>
          <c:idx val="2"/>
          <c:order val="2"/>
          <c:tx>
            <c:strRef>
              <c:f>Adsorption!$K$60</c:f>
              <c:strCache>
                <c:ptCount val="1"/>
                <c:pt idx="0">
                  <c:v>WATAC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Adsorption!$H$61:$H$66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xVal>
          <c:yVal>
            <c:numRef>
              <c:f>Adsorption!$K$61:$K$66</c:f>
              <c:numCache>
                <c:formatCode>0.00</c:formatCode>
                <c:ptCount val="6"/>
                <c:pt idx="0">
                  <c:v>99.319727891156461</c:v>
                </c:pt>
                <c:pt idx="1">
                  <c:v>90.721649484536087</c:v>
                </c:pt>
                <c:pt idx="2">
                  <c:v>85.826771653543318</c:v>
                </c:pt>
                <c:pt idx="3">
                  <c:v>79.503105590062106</c:v>
                </c:pt>
                <c:pt idx="4">
                  <c:v>73.066666666666663</c:v>
                </c:pt>
                <c:pt idx="5">
                  <c:v>63.895486935866977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A4-4B50-8BAA-AD9754A0B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44832"/>
        <c:axId val="82755584"/>
      </c:scatterChart>
      <c:valAx>
        <c:axId val="8274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Dye</a:t>
                </a:r>
                <a:r>
                  <a:rPr lang="en-US" baseline="0">
                    <a:latin typeface="Times New Roman" pitchFamily="18" charset="0"/>
                    <a:cs typeface="Times New Roman" pitchFamily="18" charset="0"/>
                  </a:rPr>
                  <a:t> concentration (mg/L)</a:t>
                </a:r>
                <a:endParaRPr lang="en-US">
                  <a:latin typeface="Times New Roman" pitchFamily="18" charset="0"/>
                  <a:cs typeface="Times New Roman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755584"/>
        <c:crosses val="autoZero"/>
        <c:crossBetween val="midCat"/>
      </c:valAx>
      <c:valAx>
        <c:axId val="82755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Removal efficiency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274483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Figures!$B$3</c:f>
              <c:strCache>
                <c:ptCount val="1"/>
                <c:pt idx="0">
                  <c:v>AC1</c:v>
                </c:pt>
              </c:strCache>
            </c:strRef>
          </c:tx>
          <c:spPr>
            <a:ln w="9525"/>
          </c:spPr>
          <c:marker>
            <c:spPr>
              <a:ln w="9525"/>
            </c:spPr>
          </c:marker>
          <c:xVal>
            <c:numRef>
              <c:f>Figures!$A$4:$A$9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xVal>
          <c:yVal>
            <c:numRef>
              <c:f>Figures!$B$4:$B$9</c:f>
              <c:numCache>
                <c:formatCode>0</c:formatCode>
                <c:ptCount val="6"/>
                <c:pt idx="0">
                  <c:v>78.231292517006793</c:v>
                </c:pt>
                <c:pt idx="1">
                  <c:v>57.21649484536082</c:v>
                </c:pt>
                <c:pt idx="2">
                  <c:v>44.094488188976378</c:v>
                </c:pt>
                <c:pt idx="3">
                  <c:v>36.956521739130437</c:v>
                </c:pt>
                <c:pt idx="4">
                  <c:v>29.333333333333336</c:v>
                </c:pt>
                <c:pt idx="5">
                  <c:v>25.890736342042757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00-48C9-975A-6652DBA1284B}"/>
            </c:ext>
          </c:extLst>
        </c:ser>
        <c:ser>
          <c:idx val="1"/>
          <c:order val="1"/>
          <c:tx>
            <c:strRef>
              <c:f>Figures!$C$3</c:f>
              <c:strCache>
                <c:ptCount val="1"/>
                <c:pt idx="0">
                  <c:v>AC2</c:v>
                </c:pt>
              </c:strCache>
            </c:strRef>
          </c:tx>
          <c:spPr>
            <a:ln w="9525"/>
          </c:spPr>
          <c:marker>
            <c:spPr>
              <a:ln w="9525"/>
            </c:spPr>
          </c:marker>
          <c:xVal>
            <c:numRef>
              <c:f>Figures!$A$4:$A$9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xVal>
          <c:yVal>
            <c:numRef>
              <c:f>Figures!$C$4:$C$9</c:f>
              <c:numCache>
                <c:formatCode>0</c:formatCode>
                <c:ptCount val="6"/>
                <c:pt idx="0">
                  <c:v>71.428571428571416</c:v>
                </c:pt>
                <c:pt idx="1">
                  <c:v>55.154639175257742</c:v>
                </c:pt>
                <c:pt idx="2">
                  <c:v>40.944881889763778</c:v>
                </c:pt>
                <c:pt idx="3">
                  <c:v>34.161490683229815</c:v>
                </c:pt>
                <c:pt idx="4">
                  <c:v>27.466666666666661</c:v>
                </c:pt>
                <c:pt idx="5">
                  <c:v>24.228028503562939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00-48C9-975A-6652DBA1284B}"/>
            </c:ext>
          </c:extLst>
        </c:ser>
        <c:ser>
          <c:idx val="2"/>
          <c:order val="2"/>
          <c:tx>
            <c:strRef>
              <c:f>Figures!$D$3</c:f>
              <c:strCache>
                <c:ptCount val="1"/>
                <c:pt idx="0">
                  <c:v>AC3</c:v>
                </c:pt>
              </c:strCache>
            </c:strRef>
          </c:tx>
          <c:spPr>
            <a:ln w="9525"/>
          </c:spPr>
          <c:marker>
            <c:spPr>
              <a:ln w="9525"/>
            </c:spPr>
          </c:marker>
          <c:xVal>
            <c:numRef>
              <c:f>Figures!$A$4:$A$9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xVal>
          <c:yVal>
            <c:numRef>
              <c:f>Figures!$D$4:$D$9</c:f>
              <c:numCache>
                <c:formatCode>0</c:formatCode>
                <c:ptCount val="6"/>
                <c:pt idx="0">
                  <c:v>100</c:v>
                </c:pt>
                <c:pt idx="1">
                  <c:v>99.484536082474236</c:v>
                </c:pt>
                <c:pt idx="2">
                  <c:v>94.094488188976371</c:v>
                </c:pt>
                <c:pt idx="3">
                  <c:v>90.372670807453417</c:v>
                </c:pt>
                <c:pt idx="4">
                  <c:v>89.066666666666663</c:v>
                </c:pt>
                <c:pt idx="5">
                  <c:v>87.648456057007124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00-48C9-975A-6652DBA12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72064"/>
        <c:axId val="92474368"/>
      </c:scatterChart>
      <c:valAx>
        <c:axId val="9247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Dye concentration (mg/L)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2474368"/>
        <c:crosses val="autoZero"/>
        <c:crossBetween val="midCat"/>
      </c:valAx>
      <c:valAx>
        <c:axId val="92474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Removal efficiency (%)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92472064"/>
        <c:crosses val="autoZero"/>
        <c:crossBetween val="midCat"/>
      </c:valAx>
      <c:spPr>
        <a:ln w="38100"/>
      </c:spPr>
    </c:plotArea>
    <c:legend>
      <c:legendPos val="r"/>
      <c:overlay val="0"/>
    </c:legend>
    <c:plotVisOnly val="1"/>
    <c:dispBlanksAs val="gap"/>
    <c:showDLblsOverMax val="0"/>
  </c:chart>
  <c:spPr>
    <a:ln w="6350"/>
  </c:spPr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Figures!$B$16</c:f>
              <c:strCache>
                <c:ptCount val="1"/>
                <c:pt idx="0">
                  <c:v>AC1</c:v>
                </c:pt>
              </c:strCache>
            </c:strRef>
          </c:tx>
          <c:spPr>
            <a:ln w="9525"/>
          </c:spPr>
          <c:marker>
            <c:spPr>
              <a:ln w="9525"/>
            </c:spPr>
          </c:marker>
          <c:xVal>
            <c:numRef>
              <c:f>Figures!$A$17:$A$21</c:f>
              <c:numCache>
                <c:formatCode>0.0</c:formatCode>
                <c:ptCount val="5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</c:numCache>
            </c:numRef>
          </c:xVal>
          <c:yVal>
            <c:numRef>
              <c:f>Figures!$B$17:$B$21</c:f>
              <c:numCache>
                <c:formatCode>0</c:formatCode>
                <c:ptCount val="5"/>
                <c:pt idx="0">
                  <c:v>40.136054421768712</c:v>
                </c:pt>
                <c:pt idx="1">
                  <c:v>52.38</c:v>
                </c:pt>
                <c:pt idx="2">
                  <c:v>59.863945578231302</c:v>
                </c:pt>
                <c:pt idx="3">
                  <c:v>65.986394557823132</c:v>
                </c:pt>
                <c:pt idx="4">
                  <c:v>76.870748299319729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B-4843-9CDD-54C47B3931FA}"/>
            </c:ext>
          </c:extLst>
        </c:ser>
        <c:ser>
          <c:idx val="1"/>
          <c:order val="1"/>
          <c:tx>
            <c:strRef>
              <c:f>Figures!$C$16</c:f>
              <c:strCache>
                <c:ptCount val="1"/>
                <c:pt idx="0">
                  <c:v>AC2</c:v>
                </c:pt>
              </c:strCache>
            </c:strRef>
          </c:tx>
          <c:spPr>
            <a:ln w="9525"/>
          </c:spPr>
          <c:marker>
            <c:spPr>
              <a:ln w="9525"/>
            </c:spPr>
          </c:marker>
          <c:xVal>
            <c:numRef>
              <c:f>Figures!$A$17:$A$21</c:f>
              <c:numCache>
                <c:formatCode>0.0</c:formatCode>
                <c:ptCount val="5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</c:numCache>
            </c:numRef>
          </c:xVal>
          <c:yVal>
            <c:numRef>
              <c:f>Figures!$C$17:$C$21</c:f>
              <c:numCache>
                <c:formatCode>0</c:formatCode>
                <c:ptCount val="5"/>
                <c:pt idx="0">
                  <c:v>38.775510204081641</c:v>
                </c:pt>
                <c:pt idx="1">
                  <c:v>48.299319727891152</c:v>
                </c:pt>
                <c:pt idx="2">
                  <c:v>55.782312925170075</c:v>
                </c:pt>
                <c:pt idx="3">
                  <c:v>65.306122448979593</c:v>
                </c:pt>
                <c:pt idx="4">
                  <c:v>76.870748299319729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0B-4843-9CDD-54C47B3931FA}"/>
            </c:ext>
          </c:extLst>
        </c:ser>
        <c:ser>
          <c:idx val="2"/>
          <c:order val="2"/>
          <c:tx>
            <c:strRef>
              <c:f>Figures!$D$16</c:f>
              <c:strCache>
                <c:ptCount val="1"/>
                <c:pt idx="0">
                  <c:v>AC3</c:v>
                </c:pt>
              </c:strCache>
            </c:strRef>
          </c:tx>
          <c:spPr>
            <a:ln w="9525"/>
          </c:spPr>
          <c:marker>
            <c:spPr>
              <a:ln w="9525"/>
            </c:spPr>
          </c:marker>
          <c:xVal>
            <c:numRef>
              <c:f>Figures!$A$17:$A$21</c:f>
              <c:numCache>
                <c:formatCode>0.0</c:formatCode>
                <c:ptCount val="5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</c:numCache>
            </c:numRef>
          </c:xVal>
          <c:yVal>
            <c:numRef>
              <c:f>Figures!$D$17:$D$21</c:f>
              <c:numCache>
                <c:formatCode>0</c:formatCode>
                <c:ptCount val="5"/>
                <c:pt idx="0">
                  <c:v>54.42176870748299</c:v>
                </c:pt>
                <c:pt idx="1">
                  <c:v>76.190476190476176</c:v>
                </c:pt>
                <c:pt idx="2">
                  <c:v>94.557823129251702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0B-4843-9CDD-54C47B393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16352"/>
        <c:axId val="92518656"/>
      </c:scatterChart>
      <c:valAx>
        <c:axId val="9251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Adsorbent dose (g/L)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92518656"/>
        <c:crosses val="autoZero"/>
        <c:crossBetween val="midCat"/>
      </c:valAx>
      <c:valAx>
        <c:axId val="92518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Removal efficiency (%)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92516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Figures!$B$52</c:f>
              <c:strCache>
                <c:ptCount val="1"/>
                <c:pt idx="0">
                  <c:v>AC1</c:v>
                </c:pt>
              </c:strCache>
            </c:strRef>
          </c:tx>
          <c:spPr>
            <a:ln w="9525"/>
          </c:spPr>
          <c:marker>
            <c:spPr>
              <a:ln w="9525"/>
            </c:spPr>
          </c:marker>
          <c:xVal>
            <c:numRef>
              <c:f>Figures!$A$53:$A$58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 formatCode="General">
                  <c:v>6</c:v>
                </c:pt>
              </c:numCache>
            </c:numRef>
          </c:xVal>
          <c:yVal>
            <c:numRef>
              <c:f>Figures!$B$53:$B$58</c:f>
              <c:numCache>
                <c:formatCode>0</c:formatCode>
                <c:ptCount val="6"/>
                <c:pt idx="0">
                  <c:v>100</c:v>
                </c:pt>
                <c:pt idx="1">
                  <c:v>86.394557823129247</c:v>
                </c:pt>
                <c:pt idx="2">
                  <c:v>58.503401360544217</c:v>
                </c:pt>
                <c:pt idx="3">
                  <c:v>37.414965986394563</c:v>
                </c:pt>
                <c:pt idx="4">
                  <c:v>29.251700680272101</c:v>
                </c:pt>
                <c:pt idx="5">
                  <c:v>23.809523809523796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1-4F13-B64C-7D1482864B2B}"/>
            </c:ext>
          </c:extLst>
        </c:ser>
        <c:ser>
          <c:idx val="1"/>
          <c:order val="1"/>
          <c:tx>
            <c:strRef>
              <c:f>Figures!$C$52</c:f>
              <c:strCache>
                <c:ptCount val="1"/>
                <c:pt idx="0">
                  <c:v>AC2</c:v>
                </c:pt>
              </c:strCache>
            </c:strRef>
          </c:tx>
          <c:spPr>
            <a:ln w="9525"/>
          </c:spPr>
          <c:marker>
            <c:spPr>
              <a:ln w="9525"/>
            </c:spPr>
          </c:marker>
          <c:xVal>
            <c:numRef>
              <c:f>Figures!$A$53:$A$58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 formatCode="General">
                  <c:v>6</c:v>
                </c:pt>
              </c:numCache>
            </c:numRef>
          </c:xVal>
          <c:yVal>
            <c:numRef>
              <c:f>Figures!$C$53:$C$58</c:f>
              <c:numCache>
                <c:formatCode>0</c:formatCode>
                <c:ptCount val="6"/>
                <c:pt idx="0">
                  <c:v>100</c:v>
                </c:pt>
                <c:pt idx="1">
                  <c:v>83.673469387755091</c:v>
                </c:pt>
                <c:pt idx="2">
                  <c:v>53.741496598639444</c:v>
                </c:pt>
                <c:pt idx="3">
                  <c:v>32.653061224489797</c:v>
                </c:pt>
                <c:pt idx="4">
                  <c:v>27.891156462585023</c:v>
                </c:pt>
                <c:pt idx="5">
                  <c:v>25.170068027210871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E1-4F13-B64C-7D1482864B2B}"/>
            </c:ext>
          </c:extLst>
        </c:ser>
        <c:ser>
          <c:idx val="2"/>
          <c:order val="2"/>
          <c:tx>
            <c:strRef>
              <c:f>Figures!$D$52</c:f>
              <c:strCache>
                <c:ptCount val="1"/>
                <c:pt idx="0">
                  <c:v>AC3</c:v>
                </c:pt>
              </c:strCache>
            </c:strRef>
          </c:tx>
          <c:spPr>
            <a:ln w="9525"/>
          </c:spPr>
          <c:marker>
            <c:spPr>
              <a:ln w="9525"/>
            </c:spPr>
          </c:marker>
          <c:xVal>
            <c:numRef>
              <c:f>Figures!$A$53:$A$58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 formatCode="General">
                  <c:v>6</c:v>
                </c:pt>
              </c:numCache>
            </c:numRef>
          </c:xVal>
          <c:yVal>
            <c:numRef>
              <c:f>Figures!$D$53:$D$58</c:f>
              <c:numCache>
                <c:formatCode>0</c:formatCode>
                <c:ptCount val="6"/>
                <c:pt idx="0">
                  <c:v>100</c:v>
                </c:pt>
                <c:pt idx="1">
                  <c:v>80.952380952380949</c:v>
                </c:pt>
                <c:pt idx="2">
                  <c:v>24.489795918367339</c:v>
                </c:pt>
                <c:pt idx="3">
                  <c:v>5.4421768707482876</c:v>
                </c:pt>
                <c:pt idx="4">
                  <c:v>4.761904761904745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E1-4F13-B64C-7D148286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60384"/>
        <c:axId val="92579328"/>
      </c:scatterChart>
      <c:valAx>
        <c:axId val="9256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92579328"/>
        <c:crosses val="autoZero"/>
        <c:crossBetween val="midCat"/>
      </c:valAx>
      <c:valAx>
        <c:axId val="92579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Removal efficiency (%)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92560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Figures!$B$35</c:f>
              <c:strCache>
                <c:ptCount val="1"/>
                <c:pt idx="0">
                  <c:v>AC1</c:v>
                </c:pt>
              </c:strCache>
            </c:strRef>
          </c:tx>
          <c:spPr>
            <a:ln w="9525"/>
          </c:spPr>
          <c:marker>
            <c:spPr>
              <a:ln w="9525"/>
            </c:spPr>
          </c:marker>
          <c:xVal>
            <c:numRef>
              <c:f>Figures!$A$36:$A$48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90</c:v>
                </c:pt>
                <c:pt idx="10">
                  <c:v>120</c:v>
                </c:pt>
                <c:pt idx="11">
                  <c:v>180</c:v>
                </c:pt>
                <c:pt idx="12">
                  <c:v>240</c:v>
                </c:pt>
              </c:numCache>
            </c:numRef>
          </c:xVal>
          <c:yVal>
            <c:numRef>
              <c:f>Figures!$B$36:$B$48</c:f>
              <c:numCache>
                <c:formatCode>0.00</c:formatCode>
                <c:ptCount val="13"/>
                <c:pt idx="0" formatCode="0">
                  <c:v>0</c:v>
                </c:pt>
                <c:pt idx="1">
                  <c:v>26.771653543307089</c:v>
                </c:pt>
                <c:pt idx="2">
                  <c:v>33.85826771653543</c:v>
                </c:pt>
                <c:pt idx="3">
                  <c:v>38.582677165354333</c:v>
                </c:pt>
                <c:pt idx="4">
                  <c:v>40.551181102362207</c:v>
                </c:pt>
                <c:pt idx="5">
                  <c:v>41.732283464566933</c:v>
                </c:pt>
                <c:pt idx="6">
                  <c:v>42.519685039370081</c:v>
                </c:pt>
                <c:pt idx="7">
                  <c:v>42.913385826771659</c:v>
                </c:pt>
                <c:pt idx="8">
                  <c:v>43.307086614173237</c:v>
                </c:pt>
                <c:pt idx="9">
                  <c:v>43.700787401574807</c:v>
                </c:pt>
                <c:pt idx="10">
                  <c:v>44.094488188976385</c:v>
                </c:pt>
                <c:pt idx="11">
                  <c:v>44.094488188976385</c:v>
                </c:pt>
                <c:pt idx="12">
                  <c:v>44.094488188976385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7-4EE4-AE76-2B21AF9BAAD2}"/>
            </c:ext>
          </c:extLst>
        </c:ser>
        <c:ser>
          <c:idx val="1"/>
          <c:order val="1"/>
          <c:tx>
            <c:strRef>
              <c:f>Figures!$C$35</c:f>
              <c:strCache>
                <c:ptCount val="1"/>
                <c:pt idx="0">
                  <c:v>AC2</c:v>
                </c:pt>
              </c:strCache>
            </c:strRef>
          </c:tx>
          <c:spPr>
            <a:ln w="9525"/>
          </c:spPr>
          <c:marker>
            <c:spPr>
              <a:ln w="9525"/>
            </c:spPr>
          </c:marker>
          <c:xVal>
            <c:numRef>
              <c:f>Figures!$A$36:$A$48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90</c:v>
                </c:pt>
                <c:pt idx="10">
                  <c:v>120</c:v>
                </c:pt>
                <c:pt idx="11">
                  <c:v>180</c:v>
                </c:pt>
                <c:pt idx="12">
                  <c:v>240</c:v>
                </c:pt>
              </c:numCache>
            </c:numRef>
          </c:xVal>
          <c:yVal>
            <c:numRef>
              <c:f>Figures!$C$36:$C$48</c:f>
              <c:numCache>
                <c:formatCode>0.00</c:formatCode>
                <c:ptCount val="13"/>
                <c:pt idx="0" formatCode="0">
                  <c:v>0</c:v>
                </c:pt>
                <c:pt idx="1">
                  <c:v>26.377952755905511</c:v>
                </c:pt>
                <c:pt idx="2">
                  <c:v>31.102362204724415</c:v>
                </c:pt>
                <c:pt idx="3">
                  <c:v>36.220472440944881</c:v>
                </c:pt>
                <c:pt idx="4">
                  <c:v>38.188976377952763</c:v>
                </c:pt>
                <c:pt idx="5">
                  <c:v>38.582677165354333</c:v>
                </c:pt>
                <c:pt idx="6">
                  <c:v>38.976377952755904</c:v>
                </c:pt>
                <c:pt idx="7">
                  <c:v>39.370078740157481</c:v>
                </c:pt>
                <c:pt idx="8">
                  <c:v>39.763779527559059</c:v>
                </c:pt>
                <c:pt idx="9">
                  <c:v>40.157480314960637</c:v>
                </c:pt>
                <c:pt idx="10">
                  <c:v>40.551181102362207</c:v>
                </c:pt>
                <c:pt idx="11">
                  <c:v>40.551181102362207</c:v>
                </c:pt>
                <c:pt idx="12">
                  <c:v>40.551181102362207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37-4EE4-AE76-2B21AF9BAAD2}"/>
            </c:ext>
          </c:extLst>
        </c:ser>
        <c:ser>
          <c:idx val="2"/>
          <c:order val="2"/>
          <c:tx>
            <c:strRef>
              <c:f>Figures!$D$35</c:f>
              <c:strCache>
                <c:ptCount val="1"/>
                <c:pt idx="0">
                  <c:v>AC3</c:v>
                </c:pt>
              </c:strCache>
            </c:strRef>
          </c:tx>
          <c:spPr>
            <a:ln w="9525"/>
          </c:spPr>
          <c:marker>
            <c:spPr>
              <a:ln w="9525"/>
            </c:spPr>
          </c:marker>
          <c:xVal>
            <c:numRef>
              <c:f>Figures!$A$36:$A$48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90</c:v>
                </c:pt>
                <c:pt idx="10">
                  <c:v>120</c:v>
                </c:pt>
                <c:pt idx="11">
                  <c:v>180</c:v>
                </c:pt>
                <c:pt idx="12">
                  <c:v>240</c:v>
                </c:pt>
              </c:numCache>
            </c:numRef>
          </c:xVal>
          <c:yVal>
            <c:numRef>
              <c:f>Figures!$D$36:$D$48</c:f>
              <c:numCache>
                <c:formatCode>0.00</c:formatCode>
                <c:ptCount val="13"/>
                <c:pt idx="0" formatCode="General">
                  <c:v>0</c:v>
                </c:pt>
                <c:pt idx="1">
                  <c:v>29.921259842519689</c:v>
                </c:pt>
                <c:pt idx="2">
                  <c:v>50.787401574803148</c:v>
                </c:pt>
                <c:pt idx="3">
                  <c:v>70.078740157480311</c:v>
                </c:pt>
                <c:pt idx="4">
                  <c:v>79.921259842519689</c:v>
                </c:pt>
                <c:pt idx="5">
                  <c:v>82.28346456692914</c:v>
                </c:pt>
                <c:pt idx="6">
                  <c:v>83.858267716535437</c:v>
                </c:pt>
                <c:pt idx="7">
                  <c:v>85.039370078740163</c:v>
                </c:pt>
                <c:pt idx="8">
                  <c:v>85.433070866141733</c:v>
                </c:pt>
                <c:pt idx="9">
                  <c:v>85.826771653543304</c:v>
                </c:pt>
                <c:pt idx="10">
                  <c:v>85.826771653543304</c:v>
                </c:pt>
                <c:pt idx="11">
                  <c:v>85.826771653543304</c:v>
                </c:pt>
                <c:pt idx="12">
                  <c:v>85.826771653543304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37-4EE4-AE76-2B21AF9BA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82496"/>
        <c:axId val="92697344"/>
      </c:scatterChart>
      <c:valAx>
        <c:axId val="9268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2697344"/>
        <c:crosses val="autoZero"/>
        <c:crossBetween val="midCat"/>
      </c:valAx>
      <c:valAx>
        <c:axId val="92697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US"/>
                  <a:t>Removal efficiency (%)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92682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Figures!$B$82</c:f>
              <c:strCache>
                <c:ptCount val="1"/>
                <c:pt idx="0">
                  <c:v>AC1</c:v>
                </c:pt>
              </c:strCache>
            </c:strRef>
          </c:tx>
          <c:spPr>
            <a:ln w="12700">
              <a:noFill/>
            </a:ln>
          </c:spPr>
          <c:marker>
            <c:spPr>
              <a:ln w="12700"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Figures!$A$83:$A$94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90</c:v>
                </c:pt>
                <c:pt idx="9">
                  <c:v>120</c:v>
                </c:pt>
                <c:pt idx="10">
                  <c:v>180</c:v>
                </c:pt>
                <c:pt idx="11">
                  <c:v>240</c:v>
                </c:pt>
              </c:numCache>
            </c:numRef>
          </c:xVal>
          <c:yVal>
            <c:numRef>
              <c:f>Figures!$B$83:$B$94</c:f>
              <c:numCache>
                <c:formatCode>0.00</c:formatCode>
                <c:ptCount val="12"/>
                <c:pt idx="0">
                  <c:v>1.867647058823529</c:v>
                </c:pt>
                <c:pt idx="1">
                  <c:v>2.9534883720930241</c:v>
                </c:pt>
                <c:pt idx="2">
                  <c:v>3.8877551020408161</c:v>
                </c:pt>
                <c:pt idx="3">
                  <c:v>4.9320388349514568</c:v>
                </c:pt>
                <c:pt idx="4">
                  <c:v>7.1886792452830175</c:v>
                </c:pt>
                <c:pt idx="5">
                  <c:v>9.4074074074074066</c:v>
                </c:pt>
                <c:pt idx="6">
                  <c:v>11.651376146788991</c:v>
                </c:pt>
                <c:pt idx="7">
                  <c:v>13.854545454545454</c:v>
                </c:pt>
                <c:pt idx="8">
                  <c:v>20.594594594594593</c:v>
                </c:pt>
                <c:pt idx="9">
                  <c:v>27.214285714285712</c:v>
                </c:pt>
                <c:pt idx="10">
                  <c:v>40.821428571428569</c:v>
                </c:pt>
                <c:pt idx="11">
                  <c:v>54.428571428571423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98-4140-8272-1394DB3F79A6}"/>
            </c:ext>
          </c:extLst>
        </c:ser>
        <c:ser>
          <c:idx val="1"/>
          <c:order val="1"/>
          <c:tx>
            <c:strRef>
              <c:f>Figures!$C$82</c:f>
              <c:strCache>
                <c:ptCount val="1"/>
                <c:pt idx="0">
                  <c:v>AC2</c:v>
                </c:pt>
              </c:strCache>
            </c:strRef>
          </c:tx>
          <c:spPr>
            <a:ln w="12700">
              <a:noFill/>
            </a:ln>
          </c:spPr>
          <c:marker>
            <c:spPr>
              <a:ln w="12700">
                <a:noFill/>
              </a:ln>
            </c:spPr>
          </c:marker>
          <c:trendline>
            <c:spPr>
              <a:ln w="12700"/>
            </c:spPr>
            <c:trendlineType val="linear"/>
            <c:dispRSqr val="0"/>
            <c:dispEq val="0"/>
          </c:trendline>
          <c:xVal>
            <c:numRef>
              <c:f>Figures!$A$83:$A$94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90</c:v>
                </c:pt>
                <c:pt idx="9">
                  <c:v>120</c:v>
                </c:pt>
                <c:pt idx="10">
                  <c:v>180</c:v>
                </c:pt>
                <c:pt idx="11">
                  <c:v>240</c:v>
                </c:pt>
              </c:numCache>
            </c:numRef>
          </c:xVal>
          <c:yVal>
            <c:numRef>
              <c:f>Figures!$C$83:$C$94</c:f>
              <c:numCache>
                <c:formatCode>0.00</c:formatCode>
                <c:ptCount val="12"/>
                <c:pt idx="0">
                  <c:v>1.8955223880597016</c:v>
                </c:pt>
                <c:pt idx="1">
                  <c:v>3.2151898734177218</c:v>
                </c:pt>
                <c:pt idx="2">
                  <c:v>4.1413043478260869</c:v>
                </c:pt>
                <c:pt idx="3">
                  <c:v>5.2371134020618566</c:v>
                </c:pt>
                <c:pt idx="4">
                  <c:v>7.7755102040816322</c:v>
                </c:pt>
                <c:pt idx="5">
                  <c:v>10.262626262626263</c:v>
                </c:pt>
                <c:pt idx="6">
                  <c:v>12.7</c:v>
                </c:pt>
                <c:pt idx="7">
                  <c:v>15.089108910891088</c:v>
                </c:pt>
                <c:pt idx="8">
                  <c:v>22.411764705882351</c:v>
                </c:pt>
                <c:pt idx="9">
                  <c:v>29.592233009708739</c:v>
                </c:pt>
                <c:pt idx="10">
                  <c:v>44.38834951456311</c:v>
                </c:pt>
                <c:pt idx="11">
                  <c:v>59.184466019417478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98-4140-8272-1394DB3F79A6}"/>
            </c:ext>
          </c:extLst>
        </c:ser>
        <c:ser>
          <c:idx val="2"/>
          <c:order val="2"/>
          <c:tx>
            <c:strRef>
              <c:f>Figures!$D$82</c:f>
              <c:strCache>
                <c:ptCount val="1"/>
                <c:pt idx="0">
                  <c:v>AC3</c:v>
                </c:pt>
              </c:strCache>
            </c:strRef>
          </c:tx>
          <c:spPr>
            <a:ln w="12700">
              <a:noFill/>
            </a:ln>
          </c:spPr>
          <c:marker>
            <c:spPr>
              <a:ln w="12700"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Figures!$A$83:$A$94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90</c:v>
                </c:pt>
                <c:pt idx="9">
                  <c:v>120</c:v>
                </c:pt>
                <c:pt idx="10">
                  <c:v>180</c:v>
                </c:pt>
                <c:pt idx="11">
                  <c:v>240</c:v>
                </c:pt>
              </c:numCache>
            </c:numRef>
          </c:xVal>
          <c:yVal>
            <c:numRef>
              <c:f>Figures!$D$83:$D$94</c:f>
              <c:numCache>
                <c:formatCode>0.00</c:formatCode>
                <c:ptCount val="12"/>
                <c:pt idx="0">
                  <c:v>0.76969696969696955</c:v>
                </c:pt>
                <c:pt idx="1">
                  <c:v>1.3263707571801566</c:v>
                </c:pt>
                <c:pt idx="2">
                  <c:v>1.7638888888888891</c:v>
                </c:pt>
                <c:pt idx="3">
                  <c:v>2.2231947483588619</c:v>
                </c:pt>
                <c:pt idx="4">
                  <c:v>3.2915766738660905</c:v>
                </c:pt>
                <c:pt idx="5">
                  <c:v>4.3511777301927195</c:v>
                </c:pt>
                <c:pt idx="6">
                  <c:v>5.4042553191489366</c:v>
                </c:pt>
                <c:pt idx="7">
                  <c:v>6.4713375796178338</c:v>
                </c:pt>
                <c:pt idx="8">
                  <c:v>9.6864406779661021</c:v>
                </c:pt>
                <c:pt idx="9">
                  <c:v>12.915254237288137</c:v>
                </c:pt>
                <c:pt idx="10">
                  <c:v>19.372881355932204</c:v>
                </c:pt>
                <c:pt idx="11">
                  <c:v>25.830508474576273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98-4140-8272-1394DB3F7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2800"/>
        <c:axId val="92608768"/>
      </c:scatterChart>
      <c:valAx>
        <c:axId val="9273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608768"/>
        <c:crosses val="autoZero"/>
        <c:crossBetween val="midCat"/>
      </c:valAx>
      <c:valAx>
        <c:axId val="92608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t/Qt (min/mg/g)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92732800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Figures!$B$98</c:f>
              <c:strCache>
                <c:ptCount val="1"/>
                <c:pt idx="0">
                  <c:v>AC1</c:v>
                </c:pt>
              </c:strCache>
            </c:strRef>
          </c:tx>
          <c:spPr>
            <a:ln w="12700">
              <a:noFill/>
            </a:ln>
          </c:spPr>
          <c:marker>
            <c:spPr>
              <a:ln w="12700"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Figures!$A$99:$A$110</c:f>
              <c:numCache>
                <c:formatCode>0.0</c:formatCode>
                <c:ptCount val="12"/>
                <c:pt idx="0">
                  <c:v>1.6094379124341003</c:v>
                </c:pt>
                <c:pt idx="1">
                  <c:v>2.3025850929940459</c:v>
                </c:pt>
                <c:pt idx="2">
                  <c:v>2.7080502011022101</c:v>
                </c:pt>
                <c:pt idx="3">
                  <c:v>2.9957322735539909</c:v>
                </c:pt>
                <c:pt idx="4">
                  <c:v>3.4011973816621555</c:v>
                </c:pt>
                <c:pt idx="5">
                  <c:v>3.6888794541139363</c:v>
                </c:pt>
                <c:pt idx="6">
                  <c:v>3.912023005428146</c:v>
                </c:pt>
                <c:pt idx="7">
                  <c:v>4.0943445622221004</c:v>
                </c:pt>
                <c:pt idx="8">
                  <c:v>4.499809670330265</c:v>
                </c:pt>
                <c:pt idx="9">
                  <c:v>4.7874917427820458</c:v>
                </c:pt>
                <c:pt idx="10">
                  <c:v>5.1929568508902104</c:v>
                </c:pt>
                <c:pt idx="11">
                  <c:v>5.4806389233419912</c:v>
                </c:pt>
              </c:numCache>
            </c:numRef>
          </c:xVal>
          <c:yVal>
            <c:numRef>
              <c:f>Figures!$B$99:$B$110</c:f>
              <c:numCache>
                <c:formatCode>0.000</c:formatCode>
                <c:ptCount val="12"/>
                <c:pt idx="0">
                  <c:v>2.6771653543307092</c:v>
                </c:pt>
                <c:pt idx="1">
                  <c:v>3.3858267716535426</c:v>
                </c:pt>
                <c:pt idx="2">
                  <c:v>3.8582677165354333</c:v>
                </c:pt>
                <c:pt idx="3">
                  <c:v>4.0551181102362204</c:v>
                </c:pt>
                <c:pt idx="4">
                  <c:v>4.1732283464566935</c:v>
                </c:pt>
                <c:pt idx="5">
                  <c:v>4.2519685039370083</c:v>
                </c:pt>
                <c:pt idx="6">
                  <c:v>4.2913385826771657</c:v>
                </c:pt>
                <c:pt idx="7">
                  <c:v>4.3307086614173231</c:v>
                </c:pt>
                <c:pt idx="8">
                  <c:v>4.3700787401574805</c:v>
                </c:pt>
                <c:pt idx="9">
                  <c:v>4.409448818897638</c:v>
                </c:pt>
                <c:pt idx="10">
                  <c:v>4.409448818897638</c:v>
                </c:pt>
                <c:pt idx="11">
                  <c:v>4.409448818897638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1-49B8-8800-85DBEE43A2A8}"/>
            </c:ext>
          </c:extLst>
        </c:ser>
        <c:ser>
          <c:idx val="1"/>
          <c:order val="1"/>
          <c:tx>
            <c:strRef>
              <c:f>Figures!$C$98</c:f>
              <c:strCache>
                <c:ptCount val="1"/>
                <c:pt idx="0">
                  <c:v>AC2</c:v>
                </c:pt>
              </c:strCache>
            </c:strRef>
          </c:tx>
          <c:spPr>
            <a:ln w="19050">
              <a:noFill/>
            </a:ln>
          </c:spPr>
          <c:marker>
            <c:spPr>
              <a:ln w="19050"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Figures!$A$99:$A$110</c:f>
              <c:numCache>
                <c:formatCode>0.0</c:formatCode>
                <c:ptCount val="12"/>
                <c:pt idx="0">
                  <c:v>1.6094379124341003</c:v>
                </c:pt>
                <c:pt idx="1">
                  <c:v>2.3025850929940459</c:v>
                </c:pt>
                <c:pt idx="2">
                  <c:v>2.7080502011022101</c:v>
                </c:pt>
                <c:pt idx="3">
                  <c:v>2.9957322735539909</c:v>
                </c:pt>
                <c:pt idx="4">
                  <c:v>3.4011973816621555</c:v>
                </c:pt>
                <c:pt idx="5">
                  <c:v>3.6888794541139363</c:v>
                </c:pt>
                <c:pt idx="6">
                  <c:v>3.912023005428146</c:v>
                </c:pt>
                <c:pt idx="7">
                  <c:v>4.0943445622221004</c:v>
                </c:pt>
                <c:pt idx="8">
                  <c:v>4.499809670330265</c:v>
                </c:pt>
                <c:pt idx="9">
                  <c:v>4.7874917427820458</c:v>
                </c:pt>
                <c:pt idx="10">
                  <c:v>5.1929568508902104</c:v>
                </c:pt>
                <c:pt idx="11">
                  <c:v>5.4806389233419912</c:v>
                </c:pt>
              </c:numCache>
            </c:numRef>
          </c:xVal>
          <c:yVal>
            <c:numRef>
              <c:f>Figures!$C$99:$C$110</c:f>
              <c:numCache>
                <c:formatCode>0.000</c:formatCode>
                <c:ptCount val="12"/>
                <c:pt idx="0">
                  <c:v>2.6377952755905509</c:v>
                </c:pt>
                <c:pt idx="1">
                  <c:v>3.1102362204724407</c:v>
                </c:pt>
                <c:pt idx="2">
                  <c:v>3.622047244094488</c:v>
                </c:pt>
                <c:pt idx="3">
                  <c:v>3.818897637795275</c:v>
                </c:pt>
                <c:pt idx="4">
                  <c:v>3.8582677165354333</c:v>
                </c:pt>
                <c:pt idx="5">
                  <c:v>3.8976377952755907</c:v>
                </c:pt>
                <c:pt idx="6">
                  <c:v>3.9370078740157481</c:v>
                </c:pt>
                <c:pt idx="7">
                  <c:v>3.9763779527559056</c:v>
                </c:pt>
                <c:pt idx="8">
                  <c:v>4.015748031496063</c:v>
                </c:pt>
                <c:pt idx="9">
                  <c:v>4.0551181102362204</c:v>
                </c:pt>
                <c:pt idx="10">
                  <c:v>4.0551181102362204</c:v>
                </c:pt>
                <c:pt idx="11">
                  <c:v>4.0551181102362204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B1-49B8-8800-85DBEE43A2A8}"/>
            </c:ext>
          </c:extLst>
        </c:ser>
        <c:ser>
          <c:idx val="2"/>
          <c:order val="2"/>
          <c:tx>
            <c:strRef>
              <c:f>Figures!$D$98</c:f>
              <c:strCache>
                <c:ptCount val="1"/>
                <c:pt idx="0">
                  <c:v>AC3</c:v>
                </c:pt>
              </c:strCache>
            </c:strRef>
          </c:tx>
          <c:spPr>
            <a:ln w="12700">
              <a:noFill/>
            </a:ln>
          </c:spPr>
          <c:marker>
            <c:spPr>
              <a:ln w="12700"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Figures!$A$99:$A$110</c:f>
              <c:numCache>
                <c:formatCode>0.0</c:formatCode>
                <c:ptCount val="12"/>
                <c:pt idx="0">
                  <c:v>1.6094379124341003</c:v>
                </c:pt>
                <c:pt idx="1">
                  <c:v>2.3025850929940459</c:v>
                </c:pt>
                <c:pt idx="2">
                  <c:v>2.7080502011022101</c:v>
                </c:pt>
                <c:pt idx="3">
                  <c:v>2.9957322735539909</c:v>
                </c:pt>
                <c:pt idx="4">
                  <c:v>3.4011973816621555</c:v>
                </c:pt>
                <c:pt idx="5">
                  <c:v>3.6888794541139363</c:v>
                </c:pt>
                <c:pt idx="6">
                  <c:v>3.912023005428146</c:v>
                </c:pt>
                <c:pt idx="7">
                  <c:v>4.0943445622221004</c:v>
                </c:pt>
                <c:pt idx="8">
                  <c:v>4.499809670330265</c:v>
                </c:pt>
                <c:pt idx="9">
                  <c:v>4.7874917427820458</c:v>
                </c:pt>
                <c:pt idx="10">
                  <c:v>5.1929568508902104</c:v>
                </c:pt>
                <c:pt idx="11">
                  <c:v>5.4806389233419912</c:v>
                </c:pt>
              </c:numCache>
            </c:numRef>
          </c:xVal>
          <c:yVal>
            <c:numRef>
              <c:f>Figures!$D$99:$D$110</c:f>
              <c:numCache>
                <c:formatCode>0.000</c:formatCode>
                <c:ptCount val="12"/>
                <c:pt idx="0">
                  <c:v>6.4960629921259851</c:v>
                </c:pt>
                <c:pt idx="1">
                  <c:v>7.5393700787401574</c:v>
                </c:pt>
                <c:pt idx="2">
                  <c:v>8.5039370078740149</c:v>
                </c:pt>
                <c:pt idx="3">
                  <c:v>8.9960629921259851</c:v>
                </c:pt>
                <c:pt idx="4">
                  <c:v>9.1141732283464574</c:v>
                </c:pt>
                <c:pt idx="5">
                  <c:v>9.1929133858267722</c:v>
                </c:pt>
                <c:pt idx="6">
                  <c:v>9.2519685039370074</c:v>
                </c:pt>
                <c:pt idx="7">
                  <c:v>9.271653543307087</c:v>
                </c:pt>
                <c:pt idx="8">
                  <c:v>9.2913385826771648</c:v>
                </c:pt>
                <c:pt idx="9">
                  <c:v>9.2913385826771648</c:v>
                </c:pt>
                <c:pt idx="10">
                  <c:v>9.2913385826771648</c:v>
                </c:pt>
                <c:pt idx="11">
                  <c:v>9.2913385826771648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B1-49B8-8800-85DBEE43A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62784"/>
        <c:axId val="93004928"/>
      </c:scatterChart>
      <c:valAx>
        <c:axId val="9266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 t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93004928"/>
        <c:crosses val="autoZero"/>
        <c:crossBetween val="midCat"/>
      </c:valAx>
      <c:valAx>
        <c:axId val="93004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Qt (mg/g)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2662784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Figures!$B$113</c:f>
              <c:strCache>
                <c:ptCount val="1"/>
                <c:pt idx="0">
                  <c:v>AC1</c:v>
                </c:pt>
              </c:strCache>
            </c:strRef>
          </c:tx>
          <c:spPr>
            <a:ln w="12700">
              <a:noFill/>
            </a:ln>
          </c:spPr>
          <c:marker>
            <c:spPr>
              <a:ln w="12700">
                <a:noFill/>
              </a:ln>
            </c:spPr>
          </c:marker>
          <c:xVal>
            <c:numRef>
              <c:f>Figures!$A$114:$A$125</c:f>
              <c:numCache>
                <c:formatCode>0.0</c:formatCode>
                <c:ptCount val="12"/>
                <c:pt idx="0">
                  <c:v>2.2360679774997898</c:v>
                </c:pt>
                <c:pt idx="1">
                  <c:v>3.1622776601683795</c:v>
                </c:pt>
                <c:pt idx="2">
                  <c:v>3.872983346207417</c:v>
                </c:pt>
                <c:pt idx="3">
                  <c:v>4.4721359549995796</c:v>
                </c:pt>
                <c:pt idx="4">
                  <c:v>5.4772255750516612</c:v>
                </c:pt>
                <c:pt idx="5">
                  <c:v>6.324555320336759</c:v>
                </c:pt>
                <c:pt idx="6">
                  <c:v>7.0710678118654755</c:v>
                </c:pt>
                <c:pt idx="7">
                  <c:v>7.745966692414834</c:v>
                </c:pt>
                <c:pt idx="8">
                  <c:v>9.4868329805051381</c:v>
                </c:pt>
                <c:pt idx="9">
                  <c:v>10.954451150103322</c:v>
                </c:pt>
                <c:pt idx="10">
                  <c:v>13.416407864998739</c:v>
                </c:pt>
                <c:pt idx="11">
                  <c:v>15.491933384829668</c:v>
                </c:pt>
              </c:numCache>
            </c:numRef>
          </c:xVal>
          <c:yVal>
            <c:numRef>
              <c:f>Figures!$B$114:$B$125</c:f>
              <c:numCache>
                <c:formatCode>0.000</c:formatCode>
                <c:ptCount val="12"/>
                <c:pt idx="0">
                  <c:v>2.6771653543307092</c:v>
                </c:pt>
                <c:pt idx="1">
                  <c:v>3.3858267716535426</c:v>
                </c:pt>
                <c:pt idx="2">
                  <c:v>3.8582677165354333</c:v>
                </c:pt>
                <c:pt idx="3">
                  <c:v>4.0551181102362204</c:v>
                </c:pt>
                <c:pt idx="4">
                  <c:v>4.1732283464566935</c:v>
                </c:pt>
                <c:pt idx="5">
                  <c:v>4.2519685039370083</c:v>
                </c:pt>
                <c:pt idx="6">
                  <c:v>4.2913385826771657</c:v>
                </c:pt>
                <c:pt idx="7">
                  <c:v>4.3307086614173231</c:v>
                </c:pt>
                <c:pt idx="8">
                  <c:v>4.3700787401574805</c:v>
                </c:pt>
                <c:pt idx="9">
                  <c:v>4.409448818897638</c:v>
                </c:pt>
                <c:pt idx="10">
                  <c:v>4.409448818897638</c:v>
                </c:pt>
                <c:pt idx="11">
                  <c:v>4.409448818897638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3-415B-9E85-FD93B6C517B3}"/>
            </c:ext>
          </c:extLst>
        </c:ser>
        <c:ser>
          <c:idx val="1"/>
          <c:order val="1"/>
          <c:tx>
            <c:strRef>
              <c:f>Figures!$C$113</c:f>
              <c:strCache>
                <c:ptCount val="1"/>
                <c:pt idx="0">
                  <c:v>AC2</c:v>
                </c:pt>
              </c:strCache>
            </c:strRef>
          </c:tx>
          <c:spPr>
            <a:ln w="12700">
              <a:noFill/>
            </a:ln>
          </c:spPr>
          <c:marker>
            <c:spPr>
              <a:ln w="12700">
                <a:noFill/>
              </a:ln>
            </c:spPr>
          </c:marker>
          <c:xVal>
            <c:numRef>
              <c:f>Figures!$A$114:$A$125</c:f>
              <c:numCache>
                <c:formatCode>0.0</c:formatCode>
                <c:ptCount val="12"/>
                <c:pt idx="0">
                  <c:v>2.2360679774997898</c:v>
                </c:pt>
                <c:pt idx="1">
                  <c:v>3.1622776601683795</c:v>
                </c:pt>
                <c:pt idx="2">
                  <c:v>3.872983346207417</c:v>
                </c:pt>
                <c:pt idx="3">
                  <c:v>4.4721359549995796</c:v>
                </c:pt>
                <c:pt idx="4">
                  <c:v>5.4772255750516612</c:v>
                </c:pt>
                <c:pt idx="5">
                  <c:v>6.324555320336759</c:v>
                </c:pt>
                <c:pt idx="6">
                  <c:v>7.0710678118654755</c:v>
                </c:pt>
                <c:pt idx="7">
                  <c:v>7.745966692414834</c:v>
                </c:pt>
                <c:pt idx="8">
                  <c:v>9.4868329805051381</c:v>
                </c:pt>
                <c:pt idx="9">
                  <c:v>10.954451150103322</c:v>
                </c:pt>
                <c:pt idx="10">
                  <c:v>13.416407864998739</c:v>
                </c:pt>
                <c:pt idx="11">
                  <c:v>15.491933384829668</c:v>
                </c:pt>
              </c:numCache>
            </c:numRef>
          </c:xVal>
          <c:yVal>
            <c:numRef>
              <c:f>Figures!$C$114:$C$125</c:f>
              <c:numCache>
                <c:formatCode>0.000</c:formatCode>
                <c:ptCount val="12"/>
                <c:pt idx="0">
                  <c:v>2.6377952755905509</c:v>
                </c:pt>
                <c:pt idx="1">
                  <c:v>3.1102362204724407</c:v>
                </c:pt>
                <c:pt idx="2">
                  <c:v>3.622047244094488</c:v>
                </c:pt>
                <c:pt idx="3">
                  <c:v>3.818897637795275</c:v>
                </c:pt>
                <c:pt idx="4">
                  <c:v>3.8582677165354333</c:v>
                </c:pt>
                <c:pt idx="5">
                  <c:v>3.8976377952755907</c:v>
                </c:pt>
                <c:pt idx="6">
                  <c:v>3.9370078740157481</c:v>
                </c:pt>
                <c:pt idx="7">
                  <c:v>3.9763779527559056</c:v>
                </c:pt>
                <c:pt idx="8">
                  <c:v>4.015748031496063</c:v>
                </c:pt>
                <c:pt idx="9">
                  <c:v>4.0551181102362204</c:v>
                </c:pt>
                <c:pt idx="10">
                  <c:v>4.0551181102362204</c:v>
                </c:pt>
                <c:pt idx="11">
                  <c:v>4.0551181102362204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03-415B-9E85-FD93B6C517B3}"/>
            </c:ext>
          </c:extLst>
        </c:ser>
        <c:ser>
          <c:idx val="2"/>
          <c:order val="2"/>
          <c:tx>
            <c:strRef>
              <c:f>Figures!$D$113</c:f>
              <c:strCache>
                <c:ptCount val="1"/>
                <c:pt idx="0">
                  <c:v>AC3</c:v>
                </c:pt>
              </c:strCache>
            </c:strRef>
          </c:tx>
          <c:spPr>
            <a:ln w="12700">
              <a:noFill/>
            </a:ln>
          </c:spPr>
          <c:marker>
            <c:spPr>
              <a:ln w="12700">
                <a:noFill/>
              </a:ln>
            </c:spPr>
          </c:marker>
          <c:xVal>
            <c:numRef>
              <c:f>Figures!$A$114:$A$125</c:f>
              <c:numCache>
                <c:formatCode>0.0</c:formatCode>
                <c:ptCount val="12"/>
                <c:pt idx="0">
                  <c:v>2.2360679774997898</c:v>
                </c:pt>
                <c:pt idx="1">
                  <c:v>3.1622776601683795</c:v>
                </c:pt>
                <c:pt idx="2">
                  <c:v>3.872983346207417</c:v>
                </c:pt>
                <c:pt idx="3">
                  <c:v>4.4721359549995796</c:v>
                </c:pt>
                <c:pt idx="4">
                  <c:v>5.4772255750516612</c:v>
                </c:pt>
                <c:pt idx="5">
                  <c:v>6.324555320336759</c:v>
                </c:pt>
                <c:pt idx="6">
                  <c:v>7.0710678118654755</c:v>
                </c:pt>
                <c:pt idx="7">
                  <c:v>7.745966692414834</c:v>
                </c:pt>
                <c:pt idx="8">
                  <c:v>9.4868329805051381</c:v>
                </c:pt>
                <c:pt idx="9">
                  <c:v>10.954451150103322</c:v>
                </c:pt>
                <c:pt idx="10">
                  <c:v>13.416407864998739</c:v>
                </c:pt>
                <c:pt idx="11">
                  <c:v>15.491933384829668</c:v>
                </c:pt>
              </c:numCache>
            </c:numRef>
          </c:xVal>
          <c:yVal>
            <c:numRef>
              <c:f>Figures!$D$114:$D$125</c:f>
              <c:numCache>
                <c:formatCode>0.000</c:formatCode>
                <c:ptCount val="12"/>
                <c:pt idx="0">
                  <c:v>6.4960629921259851</c:v>
                </c:pt>
                <c:pt idx="1">
                  <c:v>7.5393700787401574</c:v>
                </c:pt>
                <c:pt idx="2">
                  <c:v>8.5039370078740149</c:v>
                </c:pt>
                <c:pt idx="3">
                  <c:v>8.9960629921259851</c:v>
                </c:pt>
                <c:pt idx="4">
                  <c:v>9.1141732283464574</c:v>
                </c:pt>
                <c:pt idx="5">
                  <c:v>9.1929133858267722</c:v>
                </c:pt>
                <c:pt idx="6">
                  <c:v>9.2519685039370074</c:v>
                </c:pt>
                <c:pt idx="7">
                  <c:v>9.271653543307087</c:v>
                </c:pt>
                <c:pt idx="8">
                  <c:v>9.2913385826771648</c:v>
                </c:pt>
                <c:pt idx="9">
                  <c:v>9.2913385826771648</c:v>
                </c:pt>
                <c:pt idx="10">
                  <c:v>9.2913385826771648</c:v>
                </c:pt>
                <c:pt idx="11">
                  <c:v>9.2913385826771648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03-415B-9E85-FD93B6C51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48192"/>
        <c:axId val="93050752"/>
      </c:scatterChart>
      <c:valAx>
        <c:axId val="9304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30000"/>
                  <a:t>1/2</a:t>
                </a:r>
                <a:r>
                  <a:rPr lang="en-US"/>
                  <a:t> (min</a:t>
                </a:r>
                <a:r>
                  <a:rPr lang="en-US" baseline="30000"/>
                  <a:t>1/2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93050752"/>
        <c:crosses val="autoZero"/>
        <c:crossBetween val="midCat"/>
      </c:valAx>
      <c:valAx>
        <c:axId val="93050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Qt (mg/g)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93048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AC1</c:v>
          </c:tx>
          <c:spPr>
            <a:ln w="12700">
              <a:noFill/>
            </a:ln>
          </c:spPr>
          <c:marker>
            <c:spPr>
              <a:ln w="12700"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Figures!$A$145:$A$150</c:f>
              <c:numCache>
                <c:formatCode>0.0</c:formatCode>
                <c:ptCount val="6"/>
                <c:pt idx="0">
                  <c:v>2.1768707482993199</c:v>
                </c:pt>
                <c:pt idx="1">
                  <c:v>6.4175257731958766</c:v>
                </c:pt>
                <c:pt idx="2">
                  <c:v>11.181102362204724</c:v>
                </c:pt>
                <c:pt idx="3">
                  <c:v>15.760869565217391</c:v>
                </c:pt>
                <c:pt idx="4">
                  <c:v>21.2</c:v>
                </c:pt>
                <c:pt idx="5">
                  <c:v>25.938242280285035</c:v>
                </c:pt>
              </c:numCache>
            </c:numRef>
          </c:xVal>
          <c:yVal>
            <c:numRef>
              <c:f>Figures!$B$145:$B$150</c:f>
              <c:numCache>
                <c:formatCode>0.0</c:formatCode>
                <c:ptCount val="6"/>
                <c:pt idx="0">
                  <c:v>0.5565217391304349</c:v>
                </c:pt>
                <c:pt idx="1">
                  <c:v>1.4954954954954955</c:v>
                </c:pt>
                <c:pt idx="2">
                  <c:v>2.5357142857142856</c:v>
                </c:pt>
                <c:pt idx="3">
                  <c:v>3.4117647058823524</c:v>
                </c:pt>
                <c:pt idx="4">
                  <c:v>4.8181818181818175</c:v>
                </c:pt>
                <c:pt idx="5">
                  <c:v>5.7247706422018343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3E-4F12-B3B4-F2EB777F9252}"/>
            </c:ext>
          </c:extLst>
        </c:ser>
        <c:ser>
          <c:idx val="1"/>
          <c:order val="1"/>
          <c:tx>
            <c:v>AC2</c:v>
          </c:tx>
          <c:spPr>
            <a:ln w="12700">
              <a:noFill/>
            </a:ln>
          </c:spPr>
          <c:marker>
            <c:spPr>
              <a:ln w="12700"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Figures!$C$145:$C$150</c:f>
              <c:numCache>
                <c:formatCode>0.0</c:formatCode>
                <c:ptCount val="6"/>
                <c:pt idx="0">
                  <c:v>2.8571428571428577</c:v>
                </c:pt>
                <c:pt idx="1">
                  <c:v>6.7268041237113394</c:v>
                </c:pt>
                <c:pt idx="2">
                  <c:v>11.81</c:v>
                </c:pt>
                <c:pt idx="3">
                  <c:v>16.46</c:v>
                </c:pt>
                <c:pt idx="4">
                  <c:v>21.76</c:v>
                </c:pt>
                <c:pt idx="5">
                  <c:v>26.52</c:v>
                </c:pt>
              </c:numCache>
            </c:numRef>
          </c:xVal>
          <c:yVal>
            <c:numRef>
              <c:f>Figures!$D$145:$D$150</c:f>
              <c:numCache>
                <c:formatCode>0.0</c:formatCode>
                <c:ptCount val="6"/>
                <c:pt idx="0">
                  <c:v>0.80000000000000016</c:v>
                </c:pt>
                <c:pt idx="1">
                  <c:v>1.6261682242990652</c:v>
                </c:pt>
                <c:pt idx="2">
                  <c:v>2.88</c:v>
                </c:pt>
                <c:pt idx="3">
                  <c:v>3.85</c:v>
                </c:pt>
                <c:pt idx="4">
                  <c:v>5.28</c:v>
                </c:pt>
                <c:pt idx="5">
                  <c:v>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3E-4F12-B3B4-F2EB777F9252}"/>
            </c:ext>
          </c:extLst>
        </c:ser>
        <c:ser>
          <c:idx val="2"/>
          <c:order val="2"/>
          <c:tx>
            <c:v>AC3</c:v>
          </c:tx>
          <c:spPr>
            <a:ln w="12700">
              <a:noFill/>
            </a:ln>
          </c:spPr>
          <c:marker>
            <c:spPr>
              <a:ln w="12700"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Figures!$E$145:$E$150</c:f>
              <c:numCache>
                <c:formatCode>0.0</c:formatCode>
                <c:ptCount val="6"/>
                <c:pt idx="1">
                  <c:v>7.7319587628865968E-2</c:v>
                </c:pt>
                <c:pt idx="2">
                  <c:v>1.1811023622047243</c:v>
                </c:pt>
                <c:pt idx="3">
                  <c:v>2.4068322981366461</c:v>
                </c:pt>
                <c:pt idx="4">
                  <c:v>3.28</c:v>
                </c:pt>
                <c:pt idx="5">
                  <c:v>4.3230403800475061</c:v>
                </c:pt>
              </c:numCache>
            </c:numRef>
          </c:xVal>
          <c:yVal>
            <c:numRef>
              <c:f>Figures!$F$145:$F$150</c:f>
              <c:numCache>
                <c:formatCode>0.0</c:formatCode>
                <c:ptCount val="6"/>
                <c:pt idx="1">
                  <c:v>1.0362694300518133E-2</c:v>
                </c:pt>
                <c:pt idx="2">
                  <c:v>0.12552301255230125</c:v>
                </c:pt>
                <c:pt idx="3">
                  <c:v>0.21305841924398627</c:v>
                </c:pt>
                <c:pt idx="4">
                  <c:v>0.24550898203592814</c:v>
                </c:pt>
                <c:pt idx="5">
                  <c:v>0.28184281842818426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3E-4F12-B3B4-F2EB777F9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03616"/>
        <c:axId val="93105536"/>
      </c:scatterChart>
      <c:valAx>
        <c:axId val="9310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 (mg/L)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93105536"/>
        <c:crosses val="autoZero"/>
        <c:crossBetween val="midCat"/>
      </c:valAx>
      <c:valAx>
        <c:axId val="93105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Ce/Qe (g/L)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93103616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AC1</c:v>
          </c:tx>
          <c:spPr>
            <a:ln w="12700">
              <a:noFill/>
            </a:ln>
          </c:spPr>
          <c:marker>
            <c:spPr>
              <a:ln w="12700"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Figures!$A$159:$A$164</c:f>
              <c:numCache>
                <c:formatCode>0.0</c:formatCode>
                <c:ptCount val="6"/>
                <c:pt idx="0">
                  <c:v>0.77788840901503598</c:v>
                </c:pt>
                <c:pt idx="1">
                  <c:v>1.8590326498354799</c:v>
                </c:pt>
                <c:pt idx="2">
                  <c:v>2.4142250641367151</c:v>
                </c:pt>
                <c:pt idx="3">
                  <c:v>2.7575302583655796</c:v>
                </c:pt>
                <c:pt idx="4">
                  <c:v>3.0540011816779669</c:v>
                </c:pt>
                <c:pt idx="5">
                  <c:v>3.2557184156165144</c:v>
                </c:pt>
              </c:numCache>
            </c:numRef>
          </c:xVal>
          <c:yVal>
            <c:numRef>
              <c:f>Figures!$B$159:$B$164</c:f>
              <c:numCache>
                <c:formatCode>0.0</c:formatCode>
                <c:ptCount val="6"/>
                <c:pt idx="0">
                  <c:v>3.9115646258503398</c:v>
                </c:pt>
                <c:pt idx="1">
                  <c:v>4.2912371134020617</c:v>
                </c:pt>
                <c:pt idx="2">
                  <c:v>4.409448818897638</c:v>
                </c:pt>
                <c:pt idx="3">
                  <c:v>4.6195652173913047</c:v>
                </c:pt>
                <c:pt idx="4">
                  <c:v>4.4000000000000004</c:v>
                </c:pt>
                <c:pt idx="5">
                  <c:v>4.5308788598574825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B1-4B75-BAF1-AD163D4548DC}"/>
            </c:ext>
          </c:extLst>
        </c:ser>
        <c:ser>
          <c:idx val="1"/>
          <c:order val="1"/>
          <c:tx>
            <c:v>AC2</c:v>
          </c:tx>
          <c:spPr>
            <a:ln w="12700">
              <a:noFill/>
            </a:ln>
          </c:spPr>
          <c:marker>
            <c:spPr>
              <a:ln w="12700"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Figures!$C$159:$C$164</c:f>
              <c:numCache>
                <c:formatCode>0.0</c:formatCode>
                <c:ptCount val="6"/>
                <c:pt idx="0">
                  <c:v>1.0498221244986778</c:v>
                </c:pt>
                <c:pt idx="1">
                  <c:v>1.9061001606934656</c:v>
                </c:pt>
                <c:pt idx="2">
                  <c:v>2.4690333006317102</c:v>
                </c:pt>
                <c:pt idx="3">
                  <c:v>2.8009105539958048</c:v>
                </c:pt>
                <c:pt idx="4">
                  <c:v>3.0800734219877421</c:v>
                </c:pt>
                <c:pt idx="5">
                  <c:v>3.2779063305918767</c:v>
                </c:pt>
              </c:numCache>
            </c:numRef>
          </c:xVal>
          <c:yVal>
            <c:numRef>
              <c:f>Figures!$D$159:$D$164</c:f>
              <c:numCache>
                <c:formatCode>0.0</c:formatCode>
                <c:ptCount val="6"/>
                <c:pt idx="0">
                  <c:v>3.5714285714285712</c:v>
                </c:pt>
                <c:pt idx="1">
                  <c:v>4.1365979381443303</c:v>
                </c:pt>
                <c:pt idx="2">
                  <c:v>4.0944881889763778</c:v>
                </c:pt>
                <c:pt idx="3">
                  <c:v>4.2701863354037268</c:v>
                </c:pt>
                <c:pt idx="4">
                  <c:v>4.1199999999999992</c:v>
                </c:pt>
                <c:pt idx="5">
                  <c:v>4.2399049881235147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B1-4B75-BAF1-AD163D4548DC}"/>
            </c:ext>
          </c:extLst>
        </c:ser>
        <c:ser>
          <c:idx val="2"/>
          <c:order val="2"/>
          <c:tx>
            <c:v>AC3</c:v>
          </c:tx>
          <c:spPr>
            <a:ln w="12700">
              <a:noFill/>
            </a:ln>
          </c:spPr>
          <c:marker>
            <c:spPr>
              <a:ln w="12700"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Figures!$E$159:$E$164</c:f>
              <c:numCache>
                <c:formatCode>0.0</c:formatCode>
                <c:ptCount val="6"/>
                <c:pt idx="1">
                  <c:v>-2.5598079579611182</c:v>
                </c:pt>
                <c:pt idx="2">
                  <c:v>0.16644820763766438</c:v>
                </c:pt>
                <c:pt idx="3">
                  <c:v>0.87831148380893875</c:v>
                </c:pt>
                <c:pt idx="4">
                  <c:v>1.1878434223960523</c:v>
                </c:pt>
                <c:pt idx="5">
                  <c:v>1.4639589463884597</c:v>
                </c:pt>
              </c:numCache>
            </c:numRef>
          </c:xVal>
          <c:yVal>
            <c:numRef>
              <c:f>Figures!$F$159:$F$164</c:f>
              <c:numCache>
                <c:formatCode>0.0</c:formatCode>
                <c:ptCount val="6"/>
                <c:pt idx="1">
                  <c:v>7.4613402061855671</c:v>
                </c:pt>
                <c:pt idx="2">
                  <c:v>9.4094488188976371</c:v>
                </c:pt>
                <c:pt idx="3">
                  <c:v>11.296583850931677</c:v>
                </c:pt>
                <c:pt idx="4">
                  <c:v>13.36</c:v>
                </c:pt>
                <c:pt idx="5">
                  <c:v>15.338479809976247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B1-4B75-BAF1-AD163D454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72096"/>
        <c:axId val="93174016"/>
      </c:scatterChart>
      <c:valAx>
        <c:axId val="9317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 Ce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93174016"/>
        <c:crosses val="autoZero"/>
        <c:crossBetween val="midCat"/>
      </c:valAx>
      <c:valAx>
        <c:axId val="93174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Qe(mg/g)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93172096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AC1</c:v>
          </c:tx>
          <c:spPr>
            <a:ln w="12700">
              <a:noFill/>
            </a:ln>
          </c:spPr>
          <c:marker>
            <c:spPr>
              <a:ln w="12700"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Figures!$A$176:$A$181</c:f>
              <c:numCache>
                <c:formatCode>0.0</c:formatCode>
                <c:ptCount val="6"/>
                <c:pt idx="0">
                  <c:v>0.33783264357172993</c:v>
                </c:pt>
                <c:pt idx="1">
                  <c:v>0.80736762150152908</c:v>
                </c:pt>
                <c:pt idx="2">
                  <c:v>1.0484846234270997</c:v>
                </c:pt>
                <c:pt idx="3">
                  <c:v>1.1975801748894197</c:v>
                </c:pt>
                <c:pt idx="4">
                  <c:v>1.3263358609287514</c:v>
                </c:pt>
                <c:pt idx="5">
                  <c:v>1.41394054253305</c:v>
                </c:pt>
              </c:numCache>
            </c:numRef>
          </c:xVal>
          <c:yVal>
            <c:numRef>
              <c:f>Figures!$B$176:$B$181</c:f>
              <c:numCache>
                <c:formatCode>0.0</c:formatCode>
                <c:ptCount val="6"/>
                <c:pt idx="0">
                  <c:v>-0.2545178663697244</c:v>
                </c:pt>
                <c:pt idx="1">
                  <c:v>0.17478510925339769</c:v>
                </c:pt>
                <c:pt idx="2">
                  <c:v>0.40410031737685603</c:v>
                </c:pt>
                <c:pt idx="3">
                  <c:v>0.53297907218466323</c:v>
                </c:pt>
                <c:pt idx="4">
                  <c:v>0.68288318444256391</c:v>
                </c:pt>
                <c:pt idx="5">
                  <c:v>0.75775809174180031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84-4ED5-A3C0-DC9C6BE11F3A}"/>
            </c:ext>
          </c:extLst>
        </c:ser>
        <c:ser>
          <c:idx val="1"/>
          <c:order val="1"/>
          <c:tx>
            <c:v>AC2</c:v>
          </c:tx>
          <c:spPr>
            <a:ln w="19050">
              <a:noFill/>
            </a:ln>
          </c:spPr>
          <c:marker>
            <c:spPr>
              <a:ln w="19050"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Figures!$C$176:$C$181</c:f>
              <c:numCache>
                <c:formatCode>0.0</c:formatCode>
                <c:ptCount val="6"/>
                <c:pt idx="0">
                  <c:v>0.45593195564972444</c:v>
                </c:pt>
                <c:pt idx="1">
                  <c:v>0.82780878174407369</c:v>
                </c:pt>
                <c:pt idx="2">
                  <c:v>1.0722875380997243</c:v>
                </c:pt>
                <c:pt idx="3">
                  <c:v>1.2164199979049581</c:v>
                </c:pt>
                <c:pt idx="4">
                  <c:v>1.3376588910261422</c:v>
                </c:pt>
                <c:pt idx="5">
                  <c:v>1.4235766315717884</c:v>
                </c:pt>
              </c:numCache>
            </c:numRef>
          </c:xVal>
          <c:yVal>
            <c:numRef>
              <c:f>Figures!$D$176:$D$181</c:f>
              <c:numCache>
                <c:formatCode>0.0</c:formatCode>
                <c:ptCount val="6"/>
                <c:pt idx="0">
                  <c:v>-9.6910013008056337E-2</c:v>
                </c:pt>
                <c:pt idx="1">
                  <c:v>0.21116547059739002</c:v>
                </c:pt>
                <c:pt idx="2">
                  <c:v>0.46008791542088212</c:v>
                </c:pt>
                <c:pt idx="3">
                  <c:v>0.58597317143450756</c:v>
                </c:pt>
                <c:pt idx="4">
                  <c:v>0.72276167499300781</c:v>
                </c:pt>
                <c:pt idx="5">
                  <c:v>0.79622050695924484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84-4ED5-A3C0-DC9C6BE11F3A}"/>
            </c:ext>
          </c:extLst>
        </c:ser>
        <c:ser>
          <c:idx val="2"/>
          <c:order val="2"/>
          <c:tx>
            <c:v>AC3</c:v>
          </c:tx>
          <c:spPr>
            <a:ln w="12700">
              <a:noFill/>
            </a:ln>
          </c:spPr>
          <c:marker>
            <c:spPr>
              <a:ln w="12700"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Figures!$E$176:$E$181</c:f>
              <c:numCache>
                <c:formatCode>0.0</c:formatCode>
                <c:ptCount val="6"/>
                <c:pt idx="1">
                  <c:v>-1.1117104708745449</c:v>
                </c:pt>
                <c:pt idx="2">
                  <c:v>7.2287538099724338E-2</c:v>
                </c:pt>
                <c:pt idx="3">
                  <c:v>0.38144583081047939</c:v>
                </c:pt>
                <c:pt idx="4">
                  <c:v>0.5158738437116791</c:v>
                </c:pt>
                <c:pt idx="5">
                  <c:v>0.63578929214940649</c:v>
                </c:pt>
              </c:numCache>
            </c:numRef>
          </c:xVal>
          <c:yVal>
            <c:numRef>
              <c:f>Figures!$F$176:$F$181</c:f>
              <c:numCache>
                <c:formatCode>0.0</c:formatCode>
                <c:ptCount val="6"/>
                <c:pt idx="1">
                  <c:v>-1.9845273133437926</c:v>
                </c:pt>
                <c:pt idx="2">
                  <c:v>-0.90127664622847525</c:v>
                </c:pt>
                <c:pt idx="3">
                  <c:v>-0.67150129948765336</c:v>
                </c:pt>
                <c:pt idx="4">
                  <c:v>-0.60993261442784785</c:v>
                </c:pt>
                <c:pt idx="5">
                  <c:v>-0.54999302686028007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84-4ED5-A3C0-DC9C6BE11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81280"/>
        <c:axId val="93295744"/>
      </c:scatterChart>
      <c:valAx>
        <c:axId val="9328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Ce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93295744"/>
        <c:crosses val="autoZero"/>
        <c:crossBetween val="midCat"/>
      </c:valAx>
      <c:valAx>
        <c:axId val="93295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Ce/Qe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93281280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Adsorption!$I$90</c:f>
              <c:strCache>
                <c:ptCount val="1"/>
                <c:pt idx="0">
                  <c:v>UBATAC</c:v>
                </c:pt>
              </c:strCache>
            </c:strRef>
          </c:tx>
          <c:spPr>
            <a:ln w="9525"/>
          </c:spPr>
          <c:marker>
            <c:spPr>
              <a:ln w="9525"/>
            </c:spPr>
          </c:marker>
          <c:xVal>
            <c:numRef>
              <c:f>Adsorption!$H$91:$H$103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90</c:v>
                </c:pt>
                <c:pt idx="10">
                  <c:v>120</c:v>
                </c:pt>
                <c:pt idx="11">
                  <c:v>180</c:v>
                </c:pt>
                <c:pt idx="12">
                  <c:v>240</c:v>
                </c:pt>
              </c:numCache>
            </c:numRef>
          </c:xVal>
          <c:yVal>
            <c:numRef>
              <c:f>Adsorption!$I$91:$I$103</c:f>
              <c:numCache>
                <c:formatCode>0.00</c:formatCode>
                <c:ptCount val="13"/>
                <c:pt idx="0" formatCode="General">
                  <c:v>0</c:v>
                </c:pt>
                <c:pt idx="1">
                  <c:v>26.771653543307089</c:v>
                </c:pt>
                <c:pt idx="2">
                  <c:v>33.85826771653543</c:v>
                </c:pt>
                <c:pt idx="3">
                  <c:v>38.582677165354333</c:v>
                </c:pt>
                <c:pt idx="4">
                  <c:v>40.551181102362207</c:v>
                </c:pt>
                <c:pt idx="5">
                  <c:v>41.732283464566933</c:v>
                </c:pt>
                <c:pt idx="6">
                  <c:v>42.519685039370081</c:v>
                </c:pt>
                <c:pt idx="7">
                  <c:v>42.913385826771659</c:v>
                </c:pt>
                <c:pt idx="8">
                  <c:v>43.307086614173237</c:v>
                </c:pt>
                <c:pt idx="9">
                  <c:v>43.700787401574807</c:v>
                </c:pt>
                <c:pt idx="10">
                  <c:v>44.094488188976385</c:v>
                </c:pt>
                <c:pt idx="11">
                  <c:v>44.094488188976385</c:v>
                </c:pt>
                <c:pt idx="12">
                  <c:v>44.094488188976385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35-4452-A3C7-E57D8BCCDF16}"/>
            </c:ext>
          </c:extLst>
        </c:ser>
        <c:ser>
          <c:idx val="1"/>
          <c:order val="1"/>
          <c:tx>
            <c:strRef>
              <c:f>Adsorption!$J$90</c:f>
              <c:strCache>
                <c:ptCount val="1"/>
                <c:pt idx="0">
                  <c:v>BATAC</c:v>
                </c:pt>
              </c:strCache>
            </c:strRef>
          </c:tx>
          <c:spPr>
            <a:ln w="9525"/>
          </c:spPr>
          <c:marker>
            <c:spPr>
              <a:ln w="9525"/>
            </c:spPr>
          </c:marker>
          <c:xVal>
            <c:numRef>
              <c:f>Adsorption!$H$91:$H$103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90</c:v>
                </c:pt>
                <c:pt idx="10">
                  <c:v>120</c:v>
                </c:pt>
                <c:pt idx="11">
                  <c:v>180</c:v>
                </c:pt>
                <c:pt idx="12">
                  <c:v>240</c:v>
                </c:pt>
              </c:numCache>
            </c:numRef>
          </c:xVal>
          <c:yVal>
            <c:numRef>
              <c:f>Adsorption!$J$91:$J$103</c:f>
              <c:numCache>
                <c:formatCode>0.00</c:formatCode>
                <c:ptCount val="13"/>
                <c:pt idx="0" formatCode="General">
                  <c:v>0</c:v>
                </c:pt>
                <c:pt idx="1">
                  <c:v>26.377952755905511</c:v>
                </c:pt>
                <c:pt idx="2">
                  <c:v>31.102362204724415</c:v>
                </c:pt>
                <c:pt idx="3">
                  <c:v>36.220472440944881</c:v>
                </c:pt>
                <c:pt idx="4">
                  <c:v>38.188976377952763</c:v>
                </c:pt>
                <c:pt idx="5">
                  <c:v>38.582677165354333</c:v>
                </c:pt>
                <c:pt idx="6">
                  <c:v>38.976377952755904</c:v>
                </c:pt>
                <c:pt idx="7">
                  <c:v>39.370078740157481</c:v>
                </c:pt>
                <c:pt idx="8">
                  <c:v>39.763779527559059</c:v>
                </c:pt>
                <c:pt idx="9">
                  <c:v>40.157480314960637</c:v>
                </c:pt>
                <c:pt idx="10">
                  <c:v>40.551181102362207</c:v>
                </c:pt>
                <c:pt idx="11">
                  <c:v>40.551181102362207</c:v>
                </c:pt>
                <c:pt idx="12">
                  <c:v>40.551181102362207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35-4452-A3C7-E57D8BCCDF16}"/>
            </c:ext>
          </c:extLst>
        </c:ser>
        <c:ser>
          <c:idx val="2"/>
          <c:order val="2"/>
          <c:tx>
            <c:strRef>
              <c:f>Adsorption!$K$90</c:f>
              <c:strCache>
                <c:ptCount val="1"/>
                <c:pt idx="0">
                  <c:v>WATAC</c:v>
                </c:pt>
              </c:strCache>
            </c:strRef>
          </c:tx>
          <c:spPr>
            <a:ln w="9525"/>
          </c:spPr>
          <c:marker>
            <c:spPr>
              <a:ln w="9525"/>
            </c:spPr>
          </c:marker>
          <c:xVal>
            <c:numRef>
              <c:f>Adsorption!$H$91:$H$103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90</c:v>
                </c:pt>
                <c:pt idx="10">
                  <c:v>120</c:v>
                </c:pt>
                <c:pt idx="11">
                  <c:v>180</c:v>
                </c:pt>
                <c:pt idx="12">
                  <c:v>240</c:v>
                </c:pt>
              </c:numCache>
            </c:numRef>
          </c:xVal>
          <c:yVal>
            <c:numRef>
              <c:f>Adsorption!$K$91:$K$103</c:f>
              <c:numCache>
                <c:formatCode>0.00</c:formatCode>
                <c:ptCount val="13"/>
                <c:pt idx="0" formatCode="General">
                  <c:v>0</c:v>
                </c:pt>
                <c:pt idx="1">
                  <c:v>29.921259842519689</c:v>
                </c:pt>
                <c:pt idx="2">
                  <c:v>50.787401574803148</c:v>
                </c:pt>
                <c:pt idx="3">
                  <c:v>70.078740157480311</c:v>
                </c:pt>
                <c:pt idx="4">
                  <c:v>79.921259842519689</c:v>
                </c:pt>
                <c:pt idx="5">
                  <c:v>82.28346456692914</c:v>
                </c:pt>
                <c:pt idx="6">
                  <c:v>83.858267716535437</c:v>
                </c:pt>
                <c:pt idx="7">
                  <c:v>85.039370078740163</c:v>
                </c:pt>
                <c:pt idx="8">
                  <c:v>85.433070866141733</c:v>
                </c:pt>
                <c:pt idx="9">
                  <c:v>85.826771653543304</c:v>
                </c:pt>
                <c:pt idx="10">
                  <c:v>85.826771653543304</c:v>
                </c:pt>
                <c:pt idx="11">
                  <c:v>85.826771653543304</c:v>
                </c:pt>
                <c:pt idx="12">
                  <c:v>85.826771653543304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35-4452-A3C7-E57D8BCC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13408"/>
        <c:axId val="83315712"/>
      </c:scatterChart>
      <c:valAx>
        <c:axId val="8331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3315712"/>
        <c:crosses val="autoZero"/>
        <c:crossBetween val="midCat"/>
      </c:valAx>
      <c:valAx>
        <c:axId val="83315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Removal effficiency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3313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 w="9525"/>
  </c:sp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Figures!$B$66</c:f>
              <c:strCache>
                <c:ptCount val="1"/>
                <c:pt idx="0">
                  <c:v>AC1</c:v>
                </c:pt>
              </c:strCache>
            </c:strRef>
          </c:tx>
          <c:spPr>
            <a:ln w="12700">
              <a:noFill/>
            </a:ln>
          </c:spPr>
          <c:marker>
            <c:spPr>
              <a:ln w="12700"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Figures!$A$67:$A$79</c:f>
              <c:numCache>
                <c:formatCode>General</c:formatCode>
                <c:ptCount val="13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90</c:v>
                </c:pt>
                <c:pt idx="10">
                  <c:v>120</c:v>
                </c:pt>
                <c:pt idx="11">
                  <c:v>180</c:v>
                </c:pt>
                <c:pt idx="12">
                  <c:v>240</c:v>
                </c:pt>
              </c:numCache>
            </c:numRef>
          </c:xVal>
          <c:yVal>
            <c:numRef>
              <c:f>Figures!$B$67:$B$79</c:f>
              <c:numCache>
                <c:formatCode>0.00</c:formatCode>
                <c:ptCount val="13"/>
                <c:pt idx="1">
                  <c:v>0.23850642353491991</c:v>
                </c:pt>
                <c:pt idx="2">
                  <c:v>9.9491681657568488E-3</c:v>
                </c:pt>
                <c:pt idx="3">
                  <c:v>-0.2590594647942322</c:v>
                </c:pt>
                <c:pt idx="4">
                  <c:v>-0.45114166221952662</c:v>
                </c:pt>
                <c:pt idx="5">
                  <c:v>-0.62750841064781093</c:v>
                </c:pt>
                <c:pt idx="6">
                  <c:v>-0.80401323170222494</c:v>
                </c:pt>
                <c:pt idx="7">
                  <c:v>-0.92936592450391309</c:v>
                </c:pt>
                <c:pt idx="8">
                  <c:v>-1.1062862815412347</c:v>
                </c:pt>
                <c:pt idx="9">
                  <c:v>-1.4098131104951848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75-40F6-AA2F-3CCD93936A25}"/>
            </c:ext>
          </c:extLst>
        </c:ser>
        <c:ser>
          <c:idx val="1"/>
          <c:order val="1"/>
          <c:tx>
            <c:strRef>
              <c:f>Figures!$C$66</c:f>
              <c:strCache>
                <c:ptCount val="1"/>
                <c:pt idx="0">
                  <c:v>AC2</c:v>
                </c:pt>
              </c:strCache>
            </c:strRef>
          </c:tx>
          <c:spPr>
            <a:ln w="12700">
              <a:noFill/>
            </a:ln>
          </c:spPr>
          <c:marker>
            <c:spPr>
              <a:ln w="12700"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Figures!$A$67:$A$79</c:f>
              <c:numCache>
                <c:formatCode>General</c:formatCode>
                <c:ptCount val="13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90</c:v>
                </c:pt>
                <c:pt idx="10">
                  <c:v>120</c:v>
                </c:pt>
                <c:pt idx="11">
                  <c:v>180</c:v>
                </c:pt>
                <c:pt idx="12">
                  <c:v>240</c:v>
                </c:pt>
              </c:numCache>
            </c:numRef>
          </c:xVal>
          <c:yVal>
            <c:numRef>
              <c:f>Figures!$C$67:$C$79</c:f>
              <c:numCache>
                <c:formatCode>0.00</c:formatCode>
                <c:ptCount val="13"/>
                <c:pt idx="1">
                  <c:v>0.1514325914324732</c:v>
                </c:pt>
                <c:pt idx="2">
                  <c:v>-2.4676765111778395E-2</c:v>
                </c:pt>
                <c:pt idx="3">
                  <c:v>-0.36355949156570799</c:v>
                </c:pt>
                <c:pt idx="4">
                  <c:v>-0.62689966778215811</c:v>
                </c:pt>
                <c:pt idx="5">
                  <c:v>-0.70612436717735239</c:v>
                </c:pt>
                <c:pt idx="6">
                  <c:v>-0.80309956835983443</c:v>
                </c:pt>
                <c:pt idx="7">
                  <c:v>-0.92814697367429477</c:v>
                </c:pt>
                <c:pt idx="8">
                  <c:v>-1.1044556517492372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75-40F6-AA2F-3CCD93936A25}"/>
            </c:ext>
          </c:extLst>
        </c:ser>
        <c:ser>
          <c:idx val="2"/>
          <c:order val="2"/>
          <c:tx>
            <c:strRef>
              <c:f>Figures!$D$66</c:f>
              <c:strCache>
                <c:ptCount val="1"/>
                <c:pt idx="0">
                  <c:v>AC3</c:v>
                </c:pt>
              </c:strCache>
            </c:strRef>
          </c:tx>
          <c:spPr>
            <a:ln w="12700">
              <a:noFill/>
            </a:ln>
          </c:spPr>
          <c:marker>
            <c:spPr>
              <a:ln w="12700"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Figures!$A$67:$A$79</c:f>
              <c:numCache>
                <c:formatCode>General</c:formatCode>
                <c:ptCount val="13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90</c:v>
                </c:pt>
                <c:pt idx="10">
                  <c:v>120</c:v>
                </c:pt>
                <c:pt idx="11">
                  <c:v>180</c:v>
                </c:pt>
                <c:pt idx="12">
                  <c:v>240</c:v>
                </c:pt>
              </c:numCache>
            </c:numRef>
          </c:xVal>
          <c:yVal>
            <c:numRef>
              <c:f>Figures!$D$67:$D$79</c:f>
              <c:numCache>
                <c:formatCode>0.00</c:formatCode>
                <c:ptCount val="13"/>
                <c:pt idx="1">
                  <c:v>0.44637202422923888</c:v>
                </c:pt>
                <c:pt idx="2">
                  <c:v>0.24344235518134269</c:v>
                </c:pt>
                <c:pt idx="3">
                  <c:v>-0.10399050774521294</c:v>
                </c:pt>
                <c:pt idx="4">
                  <c:v>-0.53027072996744606</c:v>
                </c:pt>
                <c:pt idx="5">
                  <c:v>-0.75245198196315655</c:v>
                </c:pt>
                <c:pt idx="6">
                  <c:v>-1.0083902565075114</c:v>
                </c:pt>
                <c:pt idx="7">
                  <c:v>-1.4085848020507969</c:v>
                </c:pt>
                <c:pt idx="8">
                  <c:v>-1.7133985644758767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75-40F6-AA2F-3CCD93936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11584"/>
        <c:axId val="93434240"/>
      </c:scatterChart>
      <c:valAx>
        <c:axId val="9341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434240"/>
        <c:crosses val="autoZero"/>
        <c:crossBetween val="midCat"/>
      </c:valAx>
      <c:valAx>
        <c:axId val="93434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log(Qe-Qt) 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93411584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AC1</c:v>
          </c:tx>
          <c:spPr>
            <a:ln w="12700">
              <a:noFill/>
            </a:ln>
          </c:spPr>
          <c:marker>
            <c:spPr>
              <a:ln w="12700"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Figures!$A$133:$A$138</c:f>
              <c:numCache>
                <c:formatCode>0.0</c:formatCode>
                <c:ptCount val="6"/>
                <c:pt idx="0">
                  <c:v>0.33783264357172993</c:v>
                </c:pt>
                <c:pt idx="1">
                  <c:v>0.80736762150152908</c:v>
                </c:pt>
                <c:pt idx="2">
                  <c:v>1.0484846234270997</c:v>
                </c:pt>
                <c:pt idx="3">
                  <c:v>1.1975801748894197</c:v>
                </c:pt>
                <c:pt idx="4">
                  <c:v>1.3263358609287514</c:v>
                </c:pt>
                <c:pt idx="5">
                  <c:v>1.41394054253305</c:v>
                </c:pt>
              </c:numCache>
            </c:numRef>
          </c:xVal>
          <c:yVal>
            <c:numRef>
              <c:f>Figures!$B$133:$B$138</c:f>
              <c:numCache>
                <c:formatCode>0.0</c:formatCode>
                <c:ptCount val="6"/>
                <c:pt idx="0">
                  <c:v>0.59235050994145433</c:v>
                </c:pt>
                <c:pt idx="1">
                  <c:v>0.63258251224813145</c:v>
                </c:pt>
                <c:pt idx="2">
                  <c:v>0.64438430605024355</c:v>
                </c:pt>
                <c:pt idx="3">
                  <c:v>0.66460110270475625</c:v>
                </c:pt>
                <c:pt idx="4">
                  <c:v>0.64345267648618742</c:v>
                </c:pt>
                <c:pt idx="5">
                  <c:v>0.65618245079124982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9F-4DA9-AD14-354BC6E27DC5}"/>
            </c:ext>
          </c:extLst>
        </c:ser>
        <c:ser>
          <c:idx val="1"/>
          <c:order val="1"/>
          <c:tx>
            <c:v>AC2</c:v>
          </c:tx>
          <c:spPr>
            <a:ln w="12700">
              <a:noFill/>
            </a:ln>
          </c:spPr>
          <c:marker>
            <c:spPr>
              <a:ln w="12700"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Figures!$C$133:$C$138</c:f>
              <c:numCache>
                <c:formatCode>0.0</c:formatCode>
                <c:ptCount val="6"/>
                <c:pt idx="0">
                  <c:v>0.45593195564972444</c:v>
                </c:pt>
                <c:pt idx="1">
                  <c:v>0.82780878174407369</c:v>
                </c:pt>
                <c:pt idx="2">
                  <c:v>1.0722875380997243</c:v>
                </c:pt>
                <c:pt idx="3">
                  <c:v>1.2164199979049581</c:v>
                </c:pt>
                <c:pt idx="4">
                  <c:v>1.3376588910261422</c:v>
                </c:pt>
                <c:pt idx="5">
                  <c:v>1.4235766315717884</c:v>
                </c:pt>
              </c:numCache>
            </c:numRef>
          </c:xVal>
          <c:yVal>
            <c:numRef>
              <c:f>Figures!$D$133:$D$138</c:f>
              <c:numCache>
                <c:formatCode>0.0</c:formatCode>
                <c:ptCount val="6"/>
                <c:pt idx="0">
                  <c:v>0.55284196865778079</c:v>
                </c:pt>
                <c:pt idx="1">
                  <c:v>0.61664331114668369</c:v>
                </c:pt>
                <c:pt idx="2">
                  <c:v>0.61219962267884231</c:v>
                </c:pt>
                <c:pt idx="3">
                  <c:v>0.63044682647045058</c:v>
                </c:pt>
                <c:pt idx="4">
                  <c:v>0.61489721603313452</c:v>
                </c:pt>
                <c:pt idx="5">
                  <c:v>0.62735612461254364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9F-4DA9-AD14-354BC6E27DC5}"/>
            </c:ext>
          </c:extLst>
        </c:ser>
        <c:ser>
          <c:idx val="2"/>
          <c:order val="2"/>
          <c:tx>
            <c:v>AC3</c:v>
          </c:tx>
          <c:spPr>
            <a:ln w="12700">
              <a:noFill/>
            </a:ln>
          </c:spPr>
          <c:marker>
            <c:spPr>
              <a:ln w="12700"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Figures!$E$133:$E$138</c:f>
              <c:numCache>
                <c:formatCode>0.0</c:formatCode>
                <c:ptCount val="6"/>
                <c:pt idx="1">
                  <c:v>-1.1117104708745449</c:v>
                </c:pt>
                <c:pt idx="2">
                  <c:v>7.2287538099724338E-2</c:v>
                </c:pt>
                <c:pt idx="3">
                  <c:v>0.38144583081047939</c:v>
                </c:pt>
                <c:pt idx="4">
                  <c:v>0.5158738437116791</c:v>
                </c:pt>
                <c:pt idx="5">
                  <c:v>0.63578929214940649</c:v>
                </c:pt>
              </c:numCache>
            </c:numRef>
          </c:xVal>
          <c:yVal>
            <c:numRef>
              <c:f>Figures!$F$133:$F$138</c:f>
              <c:numCache>
                <c:formatCode>0.0</c:formatCode>
                <c:ptCount val="6"/>
                <c:pt idx="1">
                  <c:v>0.87281684246924773</c:v>
                </c:pt>
                <c:pt idx="2">
                  <c:v>0.97356418432819958</c:v>
                </c:pt>
                <c:pt idx="3">
                  <c:v>1.0529471302981328</c:v>
                </c:pt>
                <c:pt idx="4">
                  <c:v>1.1258064581395268</c:v>
                </c:pt>
                <c:pt idx="5">
                  <c:v>1.1857823190096866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9F-4DA9-AD14-354BC6E27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96448"/>
        <c:axId val="93498368"/>
      </c:scatterChart>
      <c:valAx>
        <c:axId val="9349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Ce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93498368"/>
        <c:crosses val="autoZero"/>
        <c:crossBetween val="midCat"/>
      </c:valAx>
      <c:valAx>
        <c:axId val="93498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Qe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93496448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AC1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Figures!$A$191:$A$194</c:f>
              <c:numCache>
                <c:formatCode>0.0000</c:formatCode>
                <c:ptCount val="4"/>
                <c:pt idx="0">
                  <c:v>3.3003300330033004E-3</c:v>
                </c:pt>
                <c:pt idx="1">
                  <c:v>3.1948881789137379E-3</c:v>
                </c:pt>
                <c:pt idx="2">
                  <c:v>3.0959752321981426E-3</c:v>
                </c:pt>
                <c:pt idx="3">
                  <c:v>3.003003003003003E-3</c:v>
                </c:pt>
              </c:numCache>
            </c:numRef>
          </c:xVal>
          <c:yVal>
            <c:numRef>
              <c:f>Figures!$B$191:$B$194</c:f>
              <c:numCache>
                <c:formatCode>0.000</c:formatCode>
                <c:ptCount val="4"/>
                <c:pt idx="0">
                  <c:v>-1.6642202586263073</c:v>
                </c:pt>
                <c:pt idx="1">
                  <c:v>-1.831261912204301</c:v>
                </c:pt>
                <c:pt idx="2">
                  <c:v>-1.9052265724188699</c:v>
                </c:pt>
                <c:pt idx="3">
                  <c:v>-2.0140587824169836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F2-4CC3-A549-4B560B4BD934}"/>
            </c:ext>
          </c:extLst>
        </c:ser>
        <c:ser>
          <c:idx val="1"/>
          <c:order val="1"/>
          <c:tx>
            <c:v>AC2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Figures!$A$191:$A$194</c:f>
              <c:numCache>
                <c:formatCode>0.0000</c:formatCode>
                <c:ptCount val="4"/>
                <c:pt idx="0">
                  <c:v>3.3003300330033004E-3</c:v>
                </c:pt>
                <c:pt idx="1">
                  <c:v>3.1948881789137379E-3</c:v>
                </c:pt>
                <c:pt idx="2">
                  <c:v>3.0959752321981426E-3</c:v>
                </c:pt>
                <c:pt idx="3">
                  <c:v>3.003003003003003E-3</c:v>
                </c:pt>
              </c:numCache>
            </c:numRef>
          </c:xVal>
          <c:yVal>
            <c:numRef>
              <c:f>Figures!$C$191:$C$194</c:f>
              <c:numCache>
                <c:formatCode>0.00</c:formatCode>
                <c:ptCount val="4"/>
                <c:pt idx="0">
                  <c:v>-1.7184281961425056</c:v>
                </c:pt>
                <c:pt idx="1">
                  <c:v>-1.9356536488881237</c:v>
                </c:pt>
                <c:pt idx="2">
                  <c:v>-1.9980959022258831</c:v>
                </c:pt>
                <c:pt idx="3">
                  <c:v>-2.0628574136643003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F2-4CC3-A549-4B560B4BD934}"/>
            </c:ext>
          </c:extLst>
        </c:ser>
        <c:ser>
          <c:idx val="2"/>
          <c:order val="2"/>
          <c:tx>
            <c:v>AC3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Figures!$A$191:$A$194</c:f>
              <c:numCache>
                <c:formatCode>0.0000</c:formatCode>
                <c:ptCount val="4"/>
                <c:pt idx="0">
                  <c:v>3.3003300330033004E-3</c:v>
                </c:pt>
                <c:pt idx="1">
                  <c:v>3.1948881789137379E-3</c:v>
                </c:pt>
                <c:pt idx="2">
                  <c:v>3.0959752321981426E-3</c:v>
                </c:pt>
                <c:pt idx="3">
                  <c:v>3.003003003003003E-3</c:v>
                </c:pt>
              </c:numCache>
            </c:numRef>
          </c:xVal>
          <c:yVal>
            <c:numRef>
              <c:f>Figures!$D$191:$D$194</c:f>
              <c:numCache>
                <c:formatCode>0.000</c:formatCode>
                <c:ptCount val="4"/>
                <c:pt idx="0">
                  <c:v>0.30486040898686556</c:v>
                </c:pt>
                <c:pt idx="1">
                  <c:v>0.13353139262452257</c:v>
                </c:pt>
                <c:pt idx="2">
                  <c:v>-0.26283607386524971</c:v>
                </c:pt>
                <c:pt idx="3">
                  <c:v>-0.65735807270836022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F2-4CC3-A549-4B560B4BD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2640"/>
        <c:axId val="93554560"/>
      </c:scatterChart>
      <c:valAx>
        <c:axId val="9355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1/T (K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93554560"/>
        <c:crosses val="autoZero"/>
        <c:crossBetween val="midCat"/>
      </c:valAx>
      <c:valAx>
        <c:axId val="93554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 k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3552640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AC1</c:v>
          </c:tx>
          <c:spPr>
            <a:ln w="19050"/>
          </c:spPr>
          <c:marker>
            <c:symbol val="diamond"/>
            <c:size val="4"/>
            <c:spPr>
              <a:ln w="19050"/>
            </c:spPr>
          </c:marker>
          <c:xVal>
            <c:numRef>
              <c:f>Figures!$O$20:$O$24</c:f>
              <c:numCache>
                <c:formatCode>0.0</c:formatCode>
                <c:ptCount val="5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</c:numCache>
            </c:numRef>
          </c:xVal>
          <c:yVal>
            <c:numRef>
              <c:f>Figures!$P$20:$P$24</c:f>
              <c:numCache>
                <c:formatCode>0</c:formatCode>
                <c:ptCount val="5"/>
                <c:pt idx="0">
                  <c:v>40.136054421768712</c:v>
                </c:pt>
                <c:pt idx="1">
                  <c:v>52.38</c:v>
                </c:pt>
                <c:pt idx="2">
                  <c:v>59.863945578231302</c:v>
                </c:pt>
                <c:pt idx="3">
                  <c:v>65.986394557823132</c:v>
                </c:pt>
                <c:pt idx="4">
                  <c:v>76.870748299319729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48-4ACC-BA54-D3B7E230015F}"/>
            </c:ext>
          </c:extLst>
        </c:ser>
        <c:ser>
          <c:idx val="1"/>
          <c:order val="1"/>
          <c:tx>
            <c:v>AC2</c:v>
          </c:tx>
          <c:spPr>
            <a:ln w="19050"/>
          </c:spPr>
          <c:marker>
            <c:symbol val="square"/>
            <c:size val="4"/>
            <c:spPr>
              <a:ln w="19050"/>
            </c:spPr>
          </c:marker>
          <c:xVal>
            <c:numRef>
              <c:f>Figures!$O$20:$O$24</c:f>
              <c:numCache>
                <c:formatCode>0.0</c:formatCode>
                <c:ptCount val="5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</c:numCache>
            </c:numRef>
          </c:xVal>
          <c:yVal>
            <c:numRef>
              <c:f>Figures!$Q$20:$Q$24</c:f>
              <c:numCache>
                <c:formatCode>0</c:formatCode>
                <c:ptCount val="5"/>
                <c:pt idx="0">
                  <c:v>38.775510204081641</c:v>
                </c:pt>
                <c:pt idx="1">
                  <c:v>48.299319727891152</c:v>
                </c:pt>
                <c:pt idx="2">
                  <c:v>55.782312925170075</c:v>
                </c:pt>
                <c:pt idx="3">
                  <c:v>65.306122448979593</c:v>
                </c:pt>
                <c:pt idx="4">
                  <c:v>76.870748299319729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48-4ACC-BA54-D3B7E230015F}"/>
            </c:ext>
          </c:extLst>
        </c:ser>
        <c:ser>
          <c:idx val="2"/>
          <c:order val="2"/>
          <c:tx>
            <c:v>AC3</c:v>
          </c:tx>
          <c:spPr>
            <a:ln w="19050"/>
          </c:spPr>
          <c:marker>
            <c:symbol val="triangle"/>
            <c:size val="4"/>
            <c:spPr>
              <a:ln w="19050"/>
            </c:spPr>
          </c:marker>
          <c:xVal>
            <c:numRef>
              <c:f>Figures!$O$20:$O$24</c:f>
              <c:numCache>
                <c:formatCode>0.0</c:formatCode>
                <c:ptCount val="5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</c:numCache>
            </c:numRef>
          </c:xVal>
          <c:yVal>
            <c:numRef>
              <c:f>Figures!$R$20:$R$24</c:f>
              <c:numCache>
                <c:formatCode>0</c:formatCode>
                <c:ptCount val="5"/>
                <c:pt idx="0">
                  <c:v>54.42176870748299</c:v>
                </c:pt>
                <c:pt idx="1">
                  <c:v>76.190476190476176</c:v>
                </c:pt>
                <c:pt idx="2">
                  <c:v>94.557823129251702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48-4ACC-BA54-D3B7E2300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03552"/>
        <c:axId val="93710208"/>
      </c:scatterChart>
      <c:scatterChart>
        <c:scatterStyle val="smoothMarker"/>
        <c:varyColors val="0"/>
        <c:ser>
          <c:idx val="3"/>
          <c:order val="3"/>
          <c:tx>
            <c:v>AC1</c:v>
          </c:tx>
          <c:spPr>
            <a:ln w="19050"/>
          </c:spPr>
          <c:marker>
            <c:symbol val="diamond"/>
            <c:size val="4"/>
            <c:spPr>
              <a:ln w="19050"/>
            </c:spPr>
          </c:marker>
          <c:xVal>
            <c:numRef>
              <c:f>Figures!$O$20:$O$24</c:f>
              <c:numCache>
                <c:formatCode>0.0</c:formatCode>
                <c:ptCount val="5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</c:numCache>
            </c:numRef>
          </c:xVal>
          <c:yVal>
            <c:numRef>
              <c:f>Figures!$S$20:$S$24</c:f>
              <c:numCache>
                <c:formatCode>0</c:formatCode>
                <c:ptCount val="5"/>
                <c:pt idx="0">
                  <c:v>10.034013605442178</c:v>
                </c:pt>
                <c:pt idx="1">
                  <c:v>6.5476190476190466</c:v>
                </c:pt>
                <c:pt idx="2">
                  <c:v>4.9886621315192752</c:v>
                </c:pt>
                <c:pt idx="3">
                  <c:v>4.1241496598639449</c:v>
                </c:pt>
                <c:pt idx="4">
                  <c:v>3.8435374149659864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48-4ACC-BA54-D3B7E230015F}"/>
            </c:ext>
          </c:extLst>
        </c:ser>
        <c:ser>
          <c:idx val="4"/>
          <c:order val="4"/>
          <c:tx>
            <c:v>AC2</c:v>
          </c:tx>
          <c:spPr>
            <a:ln w="19050"/>
          </c:spPr>
          <c:marker>
            <c:symbol val="square"/>
            <c:size val="3"/>
            <c:spPr>
              <a:ln w="19050"/>
            </c:spPr>
          </c:marker>
          <c:xVal>
            <c:numRef>
              <c:f>Figures!$O$20:$O$24</c:f>
              <c:numCache>
                <c:formatCode>0.0</c:formatCode>
                <c:ptCount val="5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</c:numCache>
            </c:numRef>
          </c:xVal>
          <c:yVal>
            <c:numRef>
              <c:f>Figures!$T$20:$T$24</c:f>
              <c:numCache>
                <c:formatCode>0</c:formatCode>
                <c:ptCount val="5"/>
                <c:pt idx="0">
                  <c:v>9.6938775510204085</c:v>
                </c:pt>
                <c:pt idx="1">
                  <c:v>6.037414965986394</c:v>
                </c:pt>
                <c:pt idx="2">
                  <c:v>4.6485260770975056</c:v>
                </c:pt>
                <c:pt idx="3">
                  <c:v>4.0816326530612246</c:v>
                </c:pt>
                <c:pt idx="4">
                  <c:v>3.8435374149659864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48-4ACC-BA54-D3B7E230015F}"/>
            </c:ext>
          </c:extLst>
        </c:ser>
        <c:ser>
          <c:idx val="5"/>
          <c:order val="5"/>
          <c:tx>
            <c:v>AC3</c:v>
          </c:tx>
          <c:spPr>
            <a:ln w="19050"/>
          </c:spPr>
          <c:marker>
            <c:symbol val="triangle"/>
            <c:size val="4"/>
            <c:spPr>
              <a:ln w="19050"/>
            </c:spPr>
          </c:marker>
          <c:xVal>
            <c:numRef>
              <c:f>Figures!$O$20:$O$24</c:f>
              <c:numCache>
                <c:formatCode>0.0</c:formatCode>
                <c:ptCount val="5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</c:numCache>
            </c:numRef>
          </c:xVal>
          <c:yVal>
            <c:numRef>
              <c:f>Figures!$U$20:$U$24</c:f>
              <c:numCache>
                <c:formatCode>0</c:formatCode>
                <c:ptCount val="5"/>
                <c:pt idx="0">
                  <c:v>13.605442176870747</c:v>
                </c:pt>
                <c:pt idx="1">
                  <c:v>9.5238095238095219</c:v>
                </c:pt>
                <c:pt idx="2">
                  <c:v>7.8798185941043082</c:v>
                </c:pt>
                <c:pt idx="3">
                  <c:v>6.25</c:v>
                </c:pt>
                <c:pt idx="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C48-4ACC-BA54-D3B7E2300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30688"/>
        <c:axId val="93728768"/>
      </c:scatterChart>
      <c:valAx>
        <c:axId val="9370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Adsorbent dose (mg/L)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93710208"/>
        <c:crosses val="autoZero"/>
        <c:crossBetween val="midCat"/>
      </c:valAx>
      <c:valAx>
        <c:axId val="93710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Removal efficiency (%)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3703552"/>
        <c:crosses val="autoZero"/>
        <c:crossBetween val="midCat"/>
      </c:valAx>
      <c:valAx>
        <c:axId val="937287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Quantity adsorbed (mg/g)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3730688"/>
        <c:crosses val="max"/>
        <c:crossBetween val="midCat"/>
        <c:majorUnit val="4"/>
      </c:valAx>
      <c:valAx>
        <c:axId val="9373068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93728768"/>
        <c:crosses val="autoZero"/>
        <c:crossBetween val="midCat"/>
      </c:valAx>
      <c:spPr>
        <a:ln w="12700"/>
      </c:spPr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Figures!$B$24</c:f>
              <c:strCache>
                <c:ptCount val="1"/>
                <c:pt idx="0">
                  <c:v>AC1</c:v>
                </c:pt>
              </c:strCache>
            </c:strRef>
          </c:tx>
          <c:xVal>
            <c:numRef>
              <c:f>Figures!$A$25:$A$29</c:f>
              <c:numCache>
                <c:formatCode>0.00</c:formatCode>
                <c:ptCount val="5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</c:numCache>
            </c:numRef>
          </c:xVal>
          <c:yVal>
            <c:numRef>
              <c:f>Figures!$B$25:$B$29</c:f>
              <c:numCache>
                <c:formatCode>0.00</c:formatCode>
                <c:ptCount val="5"/>
                <c:pt idx="0">
                  <c:v>10.034013605442178</c:v>
                </c:pt>
                <c:pt idx="1">
                  <c:v>6.5476190476190466</c:v>
                </c:pt>
                <c:pt idx="2">
                  <c:v>4.9886621315192752</c:v>
                </c:pt>
                <c:pt idx="3">
                  <c:v>4.1241496598639449</c:v>
                </c:pt>
                <c:pt idx="4">
                  <c:v>3.8435374149659864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FA-4008-9005-2C6211501698}"/>
            </c:ext>
          </c:extLst>
        </c:ser>
        <c:ser>
          <c:idx val="1"/>
          <c:order val="1"/>
          <c:tx>
            <c:strRef>
              <c:f>Figures!$C$24</c:f>
              <c:strCache>
                <c:ptCount val="1"/>
                <c:pt idx="0">
                  <c:v>AC2</c:v>
                </c:pt>
              </c:strCache>
            </c:strRef>
          </c:tx>
          <c:xVal>
            <c:numRef>
              <c:f>Figures!$A$25:$A$29</c:f>
              <c:numCache>
                <c:formatCode>0.00</c:formatCode>
                <c:ptCount val="5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</c:numCache>
            </c:numRef>
          </c:xVal>
          <c:yVal>
            <c:numRef>
              <c:f>Figures!$C$25:$C$29</c:f>
              <c:numCache>
                <c:formatCode>0.00</c:formatCode>
                <c:ptCount val="5"/>
                <c:pt idx="0">
                  <c:v>9.6938775510204085</c:v>
                </c:pt>
                <c:pt idx="1">
                  <c:v>6.037414965986394</c:v>
                </c:pt>
                <c:pt idx="2">
                  <c:v>4.6485260770975056</c:v>
                </c:pt>
                <c:pt idx="3">
                  <c:v>4.0816326530612246</c:v>
                </c:pt>
                <c:pt idx="4">
                  <c:v>3.8435374149659864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FA-4008-9005-2C6211501698}"/>
            </c:ext>
          </c:extLst>
        </c:ser>
        <c:ser>
          <c:idx val="2"/>
          <c:order val="2"/>
          <c:tx>
            <c:strRef>
              <c:f>Figures!$D$24</c:f>
              <c:strCache>
                <c:ptCount val="1"/>
                <c:pt idx="0">
                  <c:v>AC3</c:v>
                </c:pt>
              </c:strCache>
            </c:strRef>
          </c:tx>
          <c:xVal>
            <c:numRef>
              <c:f>Figures!$A$25:$A$29</c:f>
              <c:numCache>
                <c:formatCode>0.00</c:formatCode>
                <c:ptCount val="5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</c:numCache>
            </c:numRef>
          </c:xVal>
          <c:yVal>
            <c:numRef>
              <c:f>Figures!$D$25:$D$29</c:f>
              <c:numCache>
                <c:formatCode>0.00</c:formatCode>
                <c:ptCount val="5"/>
                <c:pt idx="0">
                  <c:v>13.605442176870747</c:v>
                </c:pt>
                <c:pt idx="1">
                  <c:v>9.5238095238095219</c:v>
                </c:pt>
                <c:pt idx="2">
                  <c:v>7.8798185941043082</c:v>
                </c:pt>
                <c:pt idx="3">
                  <c:v>6.25</c:v>
                </c:pt>
                <c:pt idx="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FA-4008-9005-2C6211501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60128"/>
        <c:axId val="93766400"/>
      </c:scatterChart>
      <c:valAx>
        <c:axId val="9376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Adsorbent dose (g/L)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93766400"/>
        <c:crosses val="autoZero"/>
        <c:crossBetween val="midCat"/>
      </c:valAx>
      <c:valAx>
        <c:axId val="93766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Quantity adsorbed (mg/g)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93760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Figures!$P$6</c:f>
              <c:strCache>
                <c:ptCount val="1"/>
                <c:pt idx="0">
                  <c:v>AC1</c:v>
                </c:pt>
              </c:strCache>
            </c:strRef>
          </c:tx>
          <c:xVal>
            <c:numRef>
              <c:f>Figures!$O$7:$O$12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xVal>
          <c:yVal>
            <c:numRef>
              <c:f>Figures!$P$7:$P$12</c:f>
              <c:numCache>
                <c:formatCode>0.00</c:formatCode>
                <c:ptCount val="6"/>
                <c:pt idx="0">
                  <c:v>0</c:v>
                </c:pt>
                <c:pt idx="1">
                  <c:v>21.014795154639181</c:v>
                </c:pt>
                <c:pt idx="2">
                  <c:v>34.136801811023624</c:v>
                </c:pt>
                <c:pt idx="3">
                  <c:v>41.274768260869564</c:v>
                </c:pt>
                <c:pt idx="4">
                  <c:v>48.897956666666666</c:v>
                </c:pt>
                <c:pt idx="5">
                  <c:v>52.340553657957244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F7-45C9-9CA3-03289A7534B1}"/>
            </c:ext>
          </c:extLst>
        </c:ser>
        <c:ser>
          <c:idx val="1"/>
          <c:order val="1"/>
          <c:tx>
            <c:strRef>
              <c:f>Figures!$Q$6</c:f>
              <c:strCache>
                <c:ptCount val="1"/>
                <c:pt idx="0">
                  <c:v>AC2</c:v>
                </c:pt>
              </c:strCache>
            </c:strRef>
          </c:tx>
          <c:xVal>
            <c:numRef>
              <c:f>Figures!$O$7:$O$12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xVal>
          <c:yVal>
            <c:numRef>
              <c:f>Figures!$Q$7:$Q$12</c:f>
              <c:numCache>
                <c:formatCode>0.00</c:formatCode>
                <c:ptCount val="6"/>
                <c:pt idx="0">
                  <c:v>0</c:v>
                </c:pt>
                <c:pt idx="1">
                  <c:v>16.273860824742258</c:v>
                </c:pt>
                <c:pt idx="2">
                  <c:v>30.483618110236222</c:v>
                </c:pt>
                <c:pt idx="3">
                  <c:v>37.267009316770185</c:v>
                </c:pt>
                <c:pt idx="4">
                  <c:v>43.961833333333338</c:v>
                </c:pt>
                <c:pt idx="5">
                  <c:v>47.200471496437061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F7-45C9-9CA3-03289A7534B1}"/>
            </c:ext>
          </c:extLst>
        </c:ser>
        <c:ser>
          <c:idx val="2"/>
          <c:order val="2"/>
          <c:tx>
            <c:strRef>
              <c:f>Figures!$R$6</c:f>
              <c:strCache>
                <c:ptCount val="1"/>
                <c:pt idx="0">
                  <c:v>AC3</c:v>
                </c:pt>
              </c:strCache>
            </c:strRef>
          </c:tx>
          <c:xVal>
            <c:numRef>
              <c:f>Figures!$O$7:$O$12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xVal>
          <c:yVal>
            <c:numRef>
              <c:f>Figures!$R$7:$R$12</c:f>
              <c:numCache>
                <c:formatCode>0.00</c:formatCode>
                <c:ptCount val="6"/>
                <c:pt idx="0">
                  <c:v>0</c:v>
                </c:pt>
                <c:pt idx="1">
                  <c:v>8.5980505154639104</c:v>
                </c:pt>
                <c:pt idx="2">
                  <c:v>13.492928346456679</c:v>
                </c:pt>
                <c:pt idx="3">
                  <c:v>19.816594409937892</c:v>
                </c:pt>
                <c:pt idx="4">
                  <c:v>26.253033333333335</c:v>
                </c:pt>
                <c:pt idx="5">
                  <c:v>35.424213064133021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F7-45C9-9CA3-03289A753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84064"/>
        <c:axId val="95002624"/>
      </c:scatterChart>
      <c:valAx>
        <c:axId val="9498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Initial concentration of dye (mg/L)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002624"/>
        <c:crosses val="autoZero"/>
        <c:crossBetween val="midCat"/>
      </c:valAx>
      <c:valAx>
        <c:axId val="95002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Difference in adsorption (%)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94984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AC1</c:v>
          </c:tx>
          <c:spPr>
            <a:ln w="19050"/>
          </c:spPr>
          <c:marker>
            <c:spPr>
              <a:ln w="19050"/>
            </c:spPr>
          </c:marker>
          <c:xVal>
            <c:numRef>
              <c:f>Figures!$A$208:$A$211</c:f>
              <c:numCache>
                <c:formatCode>0</c:formatCode>
                <c:ptCount val="4"/>
                <c:pt idx="0">
                  <c:v>303</c:v>
                </c:pt>
                <c:pt idx="1">
                  <c:v>313</c:v>
                </c:pt>
                <c:pt idx="2">
                  <c:v>323</c:v>
                </c:pt>
                <c:pt idx="3">
                  <c:v>333</c:v>
                </c:pt>
              </c:numCache>
            </c:numRef>
          </c:xVal>
          <c:yVal>
            <c:numRef>
              <c:f>Figures!$B$208:$B$211</c:f>
              <c:numCache>
                <c:formatCode>0.00</c:formatCode>
                <c:ptCount val="4"/>
                <c:pt idx="0">
                  <c:v>4.4000000000000004</c:v>
                </c:pt>
                <c:pt idx="1">
                  <c:v>3.6400000000000006</c:v>
                </c:pt>
                <c:pt idx="2">
                  <c:v>3.4800000000000022</c:v>
                </c:pt>
                <c:pt idx="3">
                  <c:v>3.3200000000000003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D-4607-A15B-FB1C6EF20013}"/>
            </c:ext>
          </c:extLst>
        </c:ser>
        <c:ser>
          <c:idx val="1"/>
          <c:order val="1"/>
          <c:tx>
            <c:v>AC2</c:v>
          </c:tx>
          <c:spPr>
            <a:ln w="19050"/>
          </c:spPr>
          <c:marker>
            <c:spPr>
              <a:ln w="19050"/>
            </c:spPr>
          </c:marker>
          <c:xVal>
            <c:numRef>
              <c:f>Figures!$A$208:$A$211</c:f>
              <c:numCache>
                <c:formatCode>0</c:formatCode>
                <c:ptCount val="4"/>
                <c:pt idx="0">
                  <c:v>303</c:v>
                </c:pt>
                <c:pt idx="1">
                  <c:v>313</c:v>
                </c:pt>
                <c:pt idx="2">
                  <c:v>323</c:v>
                </c:pt>
                <c:pt idx="3">
                  <c:v>333</c:v>
                </c:pt>
              </c:numCache>
            </c:numRef>
          </c:xVal>
          <c:yVal>
            <c:numRef>
              <c:f>Figures!$C$208:$C$211</c:f>
              <c:numCache>
                <c:formatCode>0.00</c:formatCode>
                <c:ptCount val="4"/>
                <c:pt idx="0">
                  <c:v>3.9599999999999991</c:v>
                </c:pt>
                <c:pt idx="1">
                  <c:v>3.3600000000000012</c:v>
                </c:pt>
                <c:pt idx="2">
                  <c:v>3.2000000000000011</c:v>
                </c:pt>
                <c:pt idx="3">
                  <c:v>3.0400000000000009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7D-4607-A15B-FB1C6EF20013}"/>
            </c:ext>
          </c:extLst>
        </c:ser>
        <c:ser>
          <c:idx val="2"/>
          <c:order val="2"/>
          <c:tx>
            <c:v>AC3</c:v>
          </c:tx>
          <c:spPr>
            <a:ln w="19050"/>
          </c:spPr>
          <c:marker>
            <c:spPr>
              <a:ln w="19050"/>
            </c:spPr>
          </c:marker>
          <c:xVal>
            <c:numRef>
              <c:f>Figures!$A$208:$A$211</c:f>
              <c:numCache>
                <c:formatCode>0</c:formatCode>
                <c:ptCount val="4"/>
                <c:pt idx="0">
                  <c:v>303</c:v>
                </c:pt>
                <c:pt idx="1">
                  <c:v>313</c:v>
                </c:pt>
                <c:pt idx="2">
                  <c:v>323</c:v>
                </c:pt>
                <c:pt idx="3">
                  <c:v>333</c:v>
                </c:pt>
              </c:numCache>
            </c:numRef>
          </c:xVal>
          <c:yVal>
            <c:numRef>
              <c:f>Figures!$D$208:$D$211</c:f>
              <c:numCache>
                <c:formatCode>0.00</c:formatCode>
                <c:ptCount val="4"/>
                <c:pt idx="0">
                  <c:v>10.96</c:v>
                </c:pt>
                <c:pt idx="1">
                  <c:v>8.52</c:v>
                </c:pt>
                <c:pt idx="2">
                  <c:v>6.5600000000000005</c:v>
                </c:pt>
                <c:pt idx="3">
                  <c:v>6.1199999999999992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7D-4607-A15B-FB1C6EF20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36160"/>
        <c:axId val="95038464"/>
      </c:scatterChart>
      <c:valAx>
        <c:axId val="9503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(K)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5038464"/>
        <c:crosses val="autoZero"/>
        <c:crossBetween val="midCat"/>
      </c:valAx>
      <c:valAx>
        <c:axId val="95038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Qe (mg/g)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95036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</c:spPr>
          <c:invertIfNegative val="0"/>
          <c:cat>
            <c:strLit>
              <c:ptCount val="3"/>
              <c:pt idx="0">
                <c:v>AC1</c:v>
              </c:pt>
              <c:pt idx="1">
                <c:v> AC2</c:v>
              </c:pt>
              <c:pt idx="2">
                <c:v> AC3</c:v>
              </c:pt>
            </c:strLit>
          </c:cat>
          <c:val>
            <c:numRef>
              <c:f>Figures!$B$48:$D$48</c:f>
              <c:numCache>
                <c:formatCode>0.00</c:formatCode>
                <c:ptCount val="3"/>
                <c:pt idx="0">
                  <c:v>44.094488188976385</c:v>
                </c:pt>
                <c:pt idx="1">
                  <c:v>40.551181102362207</c:v>
                </c:pt>
                <c:pt idx="2">
                  <c:v>85.826771653543304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E-4572-B5CF-6B6C99855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057792"/>
        <c:axId val="95059328"/>
      </c:barChart>
      <c:catAx>
        <c:axId val="95057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95059328"/>
        <c:crosses val="autoZero"/>
        <c:auto val="1"/>
        <c:lblAlgn val="ctr"/>
        <c:lblOffset val="100"/>
        <c:noMultiLvlLbl val="0"/>
      </c:catAx>
      <c:valAx>
        <c:axId val="95059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Removal efficiency</a:t>
                </a:r>
                <a:r>
                  <a:rPr lang="en-US" baseline="0"/>
                  <a:t> </a:t>
                </a:r>
                <a:r>
                  <a:rPr lang="en-US"/>
                  <a:t>(%)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95057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kinetics!$Q$1</c:f>
              <c:strCache>
                <c:ptCount val="1"/>
                <c:pt idx="0">
                  <c:v>% Removal</c:v>
                </c:pt>
              </c:strCache>
            </c:strRef>
          </c:tx>
          <c:xVal>
            <c:numRef>
              <c:f>kinetics!$P$2:$P$14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90</c:v>
                </c:pt>
                <c:pt idx="10">
                  <c:v>120</c:v>
                </c:pt>
                <c:pt idx="11">
                  <c:v>180</c:v>
                </c:pt>
                <c:pt idx="12">
                  <c:v>240</c:v>
                </c:pt>
              </c:numCache>
            </c:numRef>
          </c:xVal>
          <c:yVal>
            <c:numRef>
              <c:f>kinetics!$Q$2:$Q$14</c:f>
              <c:numCache>
                <c:formatCode>0.00</c:formatCode>
                <c:ptCount val="13"/>
                <c:pt idx="0">
                  <c:v>0</c:v>
                </c:pt>
                <c:pt idx="1">
                  <c:v>26.77</c:v>
                </c:pt>
                <c:pt idx="2">
                  <c:v>33.86</c:v>
                </c:pt>
                <c:pt idx="3">
                  <c:v>38.58</c:v>
                </c:pt>
                <c:pt idx="4">
                  <c:v>40.549999999999997</c:v>
                </c:pt>
                <c:pt idx="5">
                  <c:v>41.732283464566933</c:v>
                </c:pt>
                <c:pt idx="6">
                  <c:v>42.519685039370081</c:v>
                </c:pt>
                <c:pt idx="7">
                  <c:v>42.913385826771659</c:v>
                </c:pt>
                <c:pt idx="8">
                  <c:v>43.307086614173237</c:v>
                </c:pt>
                <c:pt idx="9">
                  <c:v>43.700787401574807</c:v>
                </c:pt>
                <c:pt idx="10">
                  <c:v>44.094488188976385</c:v>
                </c:pt>
                <c:pt idx="11">
                  <c:v>44.094488188976385</c:v>
                </c:pt>
                <c:pt idx="12">
                  <c:v>44.094488188976385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22-44F8-8A84-1C27B38B2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60480"/>
        <c:axId val="96539392"/>
      </c:scatterChart>
      <c:valAx>
        <c:axId val="9666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539392"/>
        <c:crosses val="autoZero"/>
        <c:crossBetween val="midCat"/>
      </c:valAx>
      <c:valAx>
        <c:axId val="965393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6660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kinetics!$L$18</c:f>
              <c:strCache>
                <c:ptCount val="1"/>
                <c:pt idx="0">
                  <c:v>t/Qt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kinetics!$K$19:$K$31</c:f>
              <c:numCache>
                <c:formatCode>General</c:formatCode>
                <c:ptCount val="13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90</c:v>
                </c:pt>
                <c:pt idx="10">
                  <c:v>120</c:v>
                </c:pt>
                <c:pt idx="11">
                  <c:v>180</c:v>
                </c:pt>
                <c:pt idx="12">
                  <c:v>240</c:v>
                </c:pt>
              </c:numCache>
            </c:numRef>
          </c:xVal>
          <c:yVal>
            <c:numRef>
              <c:f>kinetics!$L$19:$L$31</c:f>
              <c:numCache>
                <c:formatCode>0.00</c:formatCode>
                <c:ptCount val="13"/>
                <c:pt idx="1">
                  <c:v>1.867647058823529</c:v>
                </c:pt>
                <c:pt idx="2">
                  <c:v>2.9534883720930241</c:v>
                </c:pt>
                <c:pt idx="3">
                  <c:v>3.8877551020408161</c:v>
                </c:pt>
                <c:pt idx="4">
                  <c:v>4.9320388349514568</c:v>
                </c:pt>
                <c:pt idx="5">
                  <c:v>7.1886792452830175</c:v>
                </c:pt>
                <c:pt idx="6">
                  <c:v>9.4074074074074066</c:v>
                </c:pt>
                <c:pt idx="7">
                  <c:v>11.651376146788991</c:v>
                </c:pt>
                <c:pt idx="8">
                  <c:v>13.854545454545454</c:v>
                </c:pt>
                <c:pt idx="9">
                  <c:v>20.594594594594593</c:v>
                </c:pt>
                <c:pt idx="10">
                  <c:v>27.214285714285712</c:v>
                </c:pt>
                <c:pt idx="11">
                  <c:v>40.821428571428569</c:v>
                </c:pt>
                <c:pt idx="12">
                  <c:v>54.428571428571423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83-434B-9866-4D02E2C9D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68448"/>
        <c:axId val="96570368"/>
      </c:scatterChart>
      <c:valAx>
        <c:axId val="96568448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out"/>
        <c:minorTickMark val="none"/>
        <c:tickLblPos val="nextTo"/>
        <c:crossAx val="96570368"/>
        <c:crosses val="autoZero"/>
        <c:crossBetween val="midCat"/>
      </c:valAx>
      <c:valAx>
        <c:axId val="96570368"/>
        <c:scaling>
          <c:orientation val="minMax"/>
        </c:scaling>
        <c:delete val="0"/>
        <c:axPos val="l"/>
        <c:majorGridlines/>
        <c:minorGridlines/>
        <c:title>
          <c:overlay val="0"/>
        </c:title>
        <c:numFmt formatCode="0.00" sourceLinked="1"/>
        <c:majorTickMark val="out"/>
        <c:minorTickMark val="none"/>
        <c:tickLblPos val="nextTo"/>
        <c:crossAx val="96568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UBATAC</c:v>
          </c:tx>
          <c:xVal>
            <c:numRef>
              <c:f>Adsorption!$I$139:$I$142</c:f>
              <c:numCache>
                <c:formatCode>0</c:formatCode>
                <c:ptCount val="4"/>
                <c:pt idx="0">
                  <c:v>303</c:v>
                </c:pt>
                <c:pt idx="1">
                  <c:v>313</c:v>
                </c:pt>
                <c:pt idx="2">
                  <c:v>323</c:v>
                </c:pt>
                <c:pt idx="3">
                  <c:v>333</c:v>
                </c:pt>
              </c:numCache>
            </c:numRef>
          </c:xVal>
          <c:yVal>
            <c:numRef>
              <c:f>Adsorption!$J$139:$J$142</c:f>
              <c:numCache>
                <c:formatCode>0.00</c:formatCode>
                <c:ptCount val="4"/>
                <c:pt idx="0">
                  <c:v>29.333333333333336</c:v>
                </c:pt>
                <c:pt idx="1">
                  <c:v>24.266666666666669</c:v>
                </c:pt>
                <c:pt idx="2">
                  <c:v>23.200000000000014</c:v>
                </c:pt>
                <c:pt idx="3">
                  <c:v>22.133333333333333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29-4B60-BD35-D78BBCC8FD44}"/>
            </c:ext>
          </c:extLst>
        </c:ser>
        <c:ser>
          <c:idx val="1"/>
          <c:order val="1"/>
          <c:tx>
            <c:v>BATAC</c:v>
          </c:tx>
          <c:xVal>
            <c:numRef>
              <c:f>Adsorption!$I$139:$I$142</c:f>
              <c:numCache>
                <c:formatCode>0</c:formatCode>
                <c:ptCount val="4"/>
                <c:pt idx="0">
                  <c:v>303</c:v>
                </c:pt>
                <c:pt idx="1">
                  <c:v>313</c:v>
                </c:pt>
                <c:pt idx="2">
                  <c:v>323</c:v>
                </c:pt>
                <c:pt idx="3">
                  <c:v>333</c:v>
                </c:pt>
              </c:numCache>
            </c:numRef>
          </c:xVal>
          <c:yVal>
            <c:numRef>
              <c:f>Adsorption!$K$139:$K$142</c:f>
              <c:numCache>
                <c:formatCode>0.00</c:formatCode>
                <c:ptCount val="4"/>
                <c:pt idx="0">
                  <c:v>26.399999999999991</c:v>
                </c:pt>
                <c:pt idx="1">
                  <c:v>22.400000000000009</c:v>
                </c:pt>
                <c:pt idx="2">
                  <c:v>21.333333333333339</c:v>
                </c:pt>
                <c:pt idx="3">
                  <c:v>20.266666666666673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29-4B60-BD35-D78BBCC8FD44}"/>
            </c:ext>
          </c:extLst>
        </c:ser>
        <c:ser>
          <c:idx val="2"/>
          <c:order val="2"/>
          <c:tx>
            <c:v>WATAC</c:v>
          </c:tx>
          <c:xVal>
            <c:numRef>
              <c:f>Adsorption!$I$139:$I$142</c:f>
              <c:numCache>
                <c:formatCode>0</c:formatCode>
                <c:ptCount val="4"/>
                <c:pt idx="0">
                  <c:v>303</c:v>
                </c:pt>
                <c:pt idx="1">
                  <c:v>313</c:v>
                </c:pt>
                <c:pt idx="2">
                  <c:v>323</c:v>
                </c:pt>
                <c:pt idx="3">
                  <c:v>333</c:v>
                </c:pt>
              </c:numCache>
            </c:numRef>
          </c:xVal>
          <c:yVal>
            <c:numRef>
              <c:f>Adsorption!$L$139:$L$142</c:f>
              <c:numCache>
                <c:formatCode>0.00</c:formatCode>
                <c:ptCount val="4"/>
                <c:pt idx="0">
                  <c:v>73.066666666666663</c:v>
                </c:pt>
                <c:pt idx="1">
                  <c:v>56.8</c:v>
                </c:pt>
                <c:pt idx="2">
                  <c:v>43.733333333333334</c:v>
                </c:pt>
                <c:pt idx="3">
                  <c:v>40.79999999999999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29-4B60-BD35-D78BBCC8F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63328"/>
        <c:axId val="83365248"/>
      </c:scatterChart>
      <c:valAx>
        <c:axId val="8336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 (K)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83365248"/>
        <c:crosses val="autoZero"/>
        <c:crossBetween val="midCat"/>
      </c:valAx>
      <c:valAx>
        <c:axId val="83365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Removal efficiency (%)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83363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kinetics!$B$18</c:f>
              <c:strCache>
                <c:ptCount val="1"/>
                <c:pt idx="0">
                  <c:v>log(Qe-Qt)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kinetics!$A$19:$A$31</c:f>
              <c:numCache>
                <c:formatCode>General</c:formatCode>
                <c:ptCount val="13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90</c:v>
                </c:pt>
                <c:pt idx="10">
                  <c:v>120</c:v>
                </c:pt>
                <c:pt idx="11">
                  <c:v>180</c:v>
                </c:pt>
                <c:pt idx="12">
                  <c:v>240</c:v>
                </c:pt>
              </c:numCache>
            </c:numRef>
          </c:xVal>
          <c:yVal>
            <c:numRef>
              <c:f>kinetics!$B$19:$B$31</c:f>
              <c:numCache>
                <c:formatCode>0.00</c:formatCode>
                <c:ptCount val="13"/>
                <c:pt idx="1">
                  <c:v>0.23850642353491991</c:v>
                </c:pt>
                <c:pt idx="2">
                  <c:v>9.9491681657568488E-3</c:v>
                </c:pt>
                <c:pt idx="3">
                  <c:v>-0.2590594647942322</c:v>
                </c:pt>
                <c:pt idx="4">
                  <c:v>-0.45114166221952662</c:v>
                </c:pt>
                <c:pt idx="5">
                  <c:v>-0.62750841064781093</c:v>
                </c:pt>
                <c:pt idx="6">
                  <c:v>-0.80401323170222494</c:v>
                </c:pt>
                <c:pt idx="7">
                  <c:v>-0.92936592450391309</c:v>
                </c:pt>
                <c:pt idx="8">
                  <c:v>-1.1062862815412347</c:v>
                </c:pt>
                <c:pt idx="9">
                  <c:v>-1.4098131104951848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7-4323-9E3D-1B9F39C65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88768"/>
        <c:axId val="96290688"/>
      </c:scatterChart>
      <c:valAx>
        <c:axId val="96288768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out"/>
        <c:minorTickMark val="none"/>
        <c:tickLblPos val="nextTo"/>
        <c:crossAx val="96290688"/>
        <c:crosses val="autoZero"/>
        <c:crossBetween val="midCat"/>
      </c:valAx>
      <c:valAx>
        <c:axId val="96290688"/>
        <c:scaling>
          <c:orientation val="minMax"/>
        </c:scaling>
        <c:delete val="0"/>
        <c:axPos val="l"/>
        <c:title>
          <c:overlay val="0"/>
        </c:title>
        <c:numFmt formatCode="0.00" sourceLinked="1"/>
        <c:majorTickMark val="out"/>
        <c:minorTickMark val="none"/>
        <c:tickLblPos val="nextTo"/>
        <c:crossAx val="96288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kinetics!$K$90:$K$101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90</c:v>
                </c:pt>
                <c:pt idx="9">
                  <c:v>120</c:v>
                </c:pt>
                <c:pt idx="10">
                  <c:v>180</c:v>
                </c:pt>
                <c:pt idx="11">
                  <c:v>240</c:v>
                </c:pt>
              </c:numCache>
            </c:numRef>
          </c:xVal>
          <c:yVal>
            <c:numRef>
              <c:f>kinetics!$L$90:$L$101</c:f>
              <c:numCache>
                <c:formatCode>0.00</c:formatCode>
                <c:ptCount val="12"/>
                <c:pt idx="0">
                  <c:v>0.76969696969696955</c:v>
                </c:pt>
                <c:pt idx="1">
                  <c:v>1.3263707571801566</c:v>
                </c:pt>
                <c:pt idx="2">
                  <c:v>1.7638888888888891</c:v>
                </c:pt>
                <c:pt idx="3">
                  <c:v>2.2231947483588619</c:v>
                </c:pt>
                <c:pt idx="4">
                  <c:v>3.2915766738660905</c:v>
                </c:pt>
                <c:pt idx="5">
                  <c:v>4.3511777301927195</c:v>
                </c:pt>
                <c:pt idx="6">
                  <c:v>5.4042553191489366</c:v>
                </c:pt>
                <c:pt idx="7">
                  <c:v>6.4713375796178338</c:v>
                </c:pt>
                <c:pt idx="8">
                  <c:v>9.6864406779661021</c:v>
                </c:pt>
                <c:pt idx="9">
                  <c:v>12.915254237288137</c:v>
                </c:pt>
                <c:pt idx="10">
                  <c:v>19.372881355932204</c:v>
                </c:pt>
                <c:pt idx="11">
                  <c:v>25.830508474576273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BC-4178-BDE2-B56E250ED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12704"/>
        <c:axId val="96323072"/>
      </c:scatterChart>
      <c:valAx>
        <c:axId val="96312704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out"/>
        <c:minorTickMark val="none"/>
        <c:tickLblPos val="nextTo"/>
        <c:crossAx val="96323072"/>
        <c:crosses val="autoZero"/>
        <c:crossBetween val="midCat"/>
      </c:valAx>
      <c:valAx>
        <c:axId val="96323072"/>
        <c:scaling>
          <c:orientation val="minMax"/>
        </c:scaling>
        <c:delete val="0"/>
        <c:axPos val="l"/>
        <c:title>
          <c:overlay val="0"/>
        </c:title>
        <c:numFmt formatCode="0.00" sourceLinked="1"/>
        <c:majorTickMark val="out"/>
        <c:minorTickMark val="none"/>
        <c:tickLblPos val="nextTo"/>
        <c:crossAx val="96312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kinetics!$A$89:$A$101</c:f>
              <c:numCache>
                <c:formatCode>General</c:formatCode>
                <c:ptCount val="13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90</c:v>
                </c:pt>
                <c:pt idx="10">
                  <c:v>120</c:v>
                </c:pt>
                <c:pt idx="11">
                  <c:v>180</c:v>
                </c:pt>
                <c:pt idx="12">
                  <c:v>240</c:v>
                </c:pt>
              </c:numCache>
            </c:numRef>
          </c:xVal>
          <c:yVal>
            <c:numRef>
              <c:f>kinetics!$B$89:$B$101</c:f>
              <c:numCache>
                <c:formatCode>0.00</c:formatCode>
                <c:ptCount val="13"/>
                <c:pt idx="1">
                  <c:v>0.44637202422923888</c:v>
                </c:pt>
                <c:pt idx="2">
                  <c:v>0.24344235518134269</c:v>
                </c:pt>
                <c:pt idx="3">
                  <c:v>-0.10399050774521294</c:v>
                </c:pt>
                <c:pt idx="4">
                  <c:v>-0.53027072996744606</c:v>
                </c:pt>
                <c:pt idx="5">
                  <c:v>-0.75245198196315655</c:v>
                </c:pt>
                <c:pt idx="6">
                  <c:v>-1.0083902565075114</c:v>
                </c:pt>
                <c:pt idx="7">
                  <c:v>-1.4085848020507969</c:v>
                </c:pt>
                <c:pt idx="8">
                  <c:v>-1.7133985644758767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AF-41EA-A977-288C9C907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48032"/>
        <c:axId val="96362496"/>
      </c:scatterChart>
      <c:valAx>
        <c:axId val="96348032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out"/>
        <c:minorTickMark val="none"/>
        <c:tickLblPos val="nextTo"/>
        <c:crossAx val="96362496"/>
        <c:crosses val="autoZero"/>
        <c:crossBetween val="midCat"/>
      </c:valAx>
      <c:valAx>
        <c:axId val="96362496"/>
        <c:scaling>
          <c:orientation val="minMax"/>
        </c:scaling>
        <c:delete val="0"/>
        <c:axPos val="l"/>
        <c:title>
          <c:overlay val="0"/>
        </c:title>
        <c:numFmt formatCode="0.00" sourceLinked="1"/>
        <c:majorTickMark val="out"/>
        <c:minorTickMark val="none"/>
        <c:tickLblPos val="nextTo"/>
        <c:crossAx val="96348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kinetics!$P$73:$P$85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90</c:v>
                </c:pt>
                <c:pt idx="10">
                  <c:v>120</c:v>
                </c:pt>
                <c:pt idx="11">
                  <c:v>180</c:v>
                </c:pt>
                <c:pt idx="12">
                  <c:v>240</c:v>
                </c:pt>
              </c:numCache>
            </c:numRef>
          </c:xVal>
          <c:yVal>
            <c:numRef>
              <c:f>kinetics!$Q$73:$Q$85</c:f>
              <c:numCache>
                <c:formatCode>0.00</c:formatCode>
                <c:ptCount val="13"/>
                <c:pt idx="0">
                  <c:v>0</c:v>
                </c:pt>
                <c:pt idx="1">
                  <c:v>29.921259842519689</c:v>
                </c:pt>
                <c:pt idx="2">
                  <c:v>50.787401574803148</c:v>
                </c:pt>
                <c:pt idx="3">
                  <c:v>70.078740157480311</c:v>
                </c:pt>
                <c:pt idx="4">
                  <c:v>79.921259842519689</c:v>
                </c:pt>
                <c:pt idx="5">
                  <c:v>82.28346456692914</c:v>
                </c:pt>
                <c:pt idx="6">
                  <c:v>83.858267716535437</c:v>
                </c:pt>
                <c:pt idx="7">
                  <c:v>85.039370078740163</c:v>
                </c:pt>
                <c:pt idx="8">
                  <c:v>85.433070866141733</c:v>
                </c:pt>
                <c:pt idx="9">
                  <c:v>85.826771653543304</c:v>
                </c:pt>
                <c:pt idx="10">
                  <c:v>85.826771653543304</c:v>
                </c:pt>
                <c:pt idx="11">
                  <c:v>85.826771653543304</c:v>
                </c:pt>
                <c:pt idx="12">
                  <c:v>85.826771653543304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D3-4FDF-81C2-3867D2364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99360"/>
        <c:axId val="96400896"/>
      </c:scatterChart>
      <c:valAx>
        <c:axId val="9639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400896"/>
        <c:crosses val="autoZero"/>
        <c:crossBetween val="midCat"/>
      </c:valAx>
      <c:valAx>
        <c:axId val="964008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6399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3.1633858267716666E-3"/>
                  <c:y val="0.22400517643627879"/>
                </c:manualLayout>
              </c:layout>
              <c:numFmt formatCode="General" sourceLinked="0"/>
            </c:trendlineLbl>
          </c:trendline>
          <c:xVal>
            <c:numRef>
              <c:f>kinetics!$U$90:$U$101</c:f>
              <c:numCache>
                <c:formatCode>0.00</c:formatCode>
                <c:ptCount val="12"/>
                <c:pt idx="0">
                  <c:v>1.6094379124341003</c:v>
                </c:pt>
                <c:pt idx="1">
                  <c:v>2.3025850929940459</c:v>
                </c:pt>
                <c:pt idx="2">
                  <c:v>2.7080502011022101</c:v>
                </c:pt>
                <c:pt idx="3">
                  <c:v>2.9957322735539909</c:v>
                </c:pt>
                <c:pt idx="4">
                  <c:v>3.4011973816621555</c:v>
                </c:pt>
                <c:pt idx="5">
                  <c:v>3.6888794541139363</c:v>
                </c:pt>
                <c:pt idx="6">
                  <c:v>3.912023005428146</c:v>
                </c:pt>
                <c:pt idx="7">
                  <c:v>4.0943445622221004</c:v>
                </c:pt>
                <c:pt idx="8">
                  <c:v>4.499809670330265</c:v>
                </c:pt>
                <c:pt idx="9">
                  <c:v>4.7874917427820458</c:v>
                </c:pt>
                <c:pt idx="10">
                  <c:v>5.1929568508902104</c:v>
                </c:pt>
                <c:pt idx="11">
                  <c:v>5.4806389233419912</c:v>
                </c:pt>
              </c:numCache>
            </c:numRef>
          </c:xVal>
          <c:yVal>
            <c:numRef>
              <c:f>kinetics!$V$90:$V$101</c:f>
              <c:numCache>
                <c:formatCode>0.000</c:formatCode>
                <c:ptCount val="12"/>
                <c:pt idx="0">
                  <c:v>6.4960629921259851</c:v>
                </c:pt>
                <c:pt idx="1">
                  <c:v>7.5393700787401574</c:v>
                </c:pt>
                <c:pt idx="2">
                  <c:v>8.5039370078740149</c:v>
                </c:pt>
                <c:pt idx="3">
                  <c:v>8.9960629921259851</c:v>
                </c:pt>
                <c:pt idx="4">
                  <c:v>9.1141732283464574</c:v>
                </c:pt>
                <c:pt idx="5">
                  <c:v>9.1929133858267722</c:v>
                </c:pt>
                <c:pt idx="6">
                  <c:v>9.2519685039370074</c:v>
                </c:pt>
                <c:pt idx="7">
                  <c:v>9.271653543307087</c:v>
                </c:pt>
                <c:pt idx="8">
                  <c:v>9.2913385826771648</c:v>
                </c:pt>
                <c:pt idx="9">
                  <c:v>9.2913385826771648</c:v>
                </c:pt>
                <c:pt idx="10">
                  <c:v>9.2913385826771648</c:v>
                </c:pt>
                <c:pt idx="11">
                  <c:v>9.2913385826771648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D8-46DC-BE2B-E33EF5E2D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30496"/>
        <c:axId val="101932416"/>
      </c:scatterChart>
      <c:valAx>
        <c:axId val="101930496"/>
        <c:scaling>
          <c:orientation val="minMax"/>
        </c:scaling>
        <c:delete val="0"/>
        <c:axPos val="b"/>
        <c:title>
          <c:overlay val="0"/>
        </c:title>
        <c:numFmt formatCode="0.00" sourceLinked="1"/>
        <c:majorTickMark val="out"/>
        <c:minorTickMark val="none"/>
        <c:tickLblPos val="nextTo"/>
        <c:crossAx val="101932416"/>
        <c:crosses val="autoZero"/>
        <c:crossBetween val="midCat"/>
      </c:valAx>
      <c:valAx>
        <c:axId val="101932416"/>
        <c:scaling>
          <c:orientation val="minMax"/>
        </c:scaling>
        <c:delete val="0"/>
        <c:axPos val="l"/>
        <c:title>
          <c:overlay val="0"/>
        </c:title>
        <c:numFmt formatCode="0.000" sourceLinked="1"/>
        <c:majorTickMark val="out"/>
        <c:minorTickMark val="none"/>
        <c:tickLblPos val="nextTo"/>
        <c:crossAx val="101930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9706911636045954E-3"/>
                  <c:y val="0.20895377661125689"/>
                </c:manualLayout>
              </c:layout>
              <c:numFmt formatCode="General" sourceLinked="0"/>
            </c:trendlineLbl>
          </c:trendline>
          <c:xVal>
            <c:numRef>
              <c:f>kinetics!$Z$3:$Z$14</c:f>
              <c:numCache>
                <c:formatCode>0.00</c:formatCode>
                <c:ptCount val="12"/>
                <c:pt idx="0">
                  <c:v>2.2360679774997898</c:v>
                </c:pt>
                <c:pt idx="1">
                  <c:v>3.1622776601683795</c:v>
                </c:pt>
                <c:pt idx="2">
                  <c:v>3.872983346207417</c:v>
                </c:pt>
                <c:pt idx="3">
                  <c:v>4.4721359549995796</c:v>
                </c:pt>
                <c:pt idx="4">
                  <c:v>5.4772255750516612</c:v>
                </c:pt>
                <c:pt idx="5">
                  <c:v>6.324555320336759</c:v>
                </c:pt>
                <c:pt idx="6">
                  <c:v>7.0710678118654755</c:v>
                </c:pt>
                <c:pt idx="7">
                  <c:v>7.745966692414834</c:v>
                </c:pt>
                <c:pt idx="8">
                  <c:v>9.4868329805051381</c:v>
                </c:pt>
                <c:pt idx="9">
                  <c:v>10.954451150103322</c:v>
                </c:pt>
                <c:pt idx="10">
                  <c:v>13.416407864998739</c:v>
                </c:pt>
                <c:pt idx="11">
                  <c:v>15.491933384829668</c:v>
                </c:pt>
              </c:numCache>
            </c:numRef>
          </c:xVal>
          <c:yVal>
            <c:numRef>
              <c:f>kinetics!$AA$3:$AA$14</c:f>
              <c:numCache>
                <c:formatCode>0.000</c:formatCode>
                <c:ptCount val="12"/>
                <c:pt idx="0">
                  <c:v>2.6771653543307092</c:v>
                </c:pt>
                <c:pt idx="1">
                  <c:v>3.3858267716535426</c:v>
                </c:pt>
                <c:pt idx="2">
                  <c:v>3.8582677165354333</c:v>
                </c:pt>
                <c:pt idx="3">
                  <c:v>4.0551181102362204</c:v>
                </c:pt>
                <c:pt idx="4">
                  <c:v>4.1732283464566935</c:v>
                </c:pt>
                <c:pt idx="5">
                  <c:v>4.2519685039370083</c:v>
                </c:pt>
                <c:pt idx="6">
                  <c:v>4.2913385826771657</c:v>
                </c:pt>
                <c:pt idx="7">
                  <c:v>4.3307086614173231</c:v>
                </c:pt>
                <c:pt idx="8">
                  <c:v>4.3700787401574805</c:v>
                </c:pt>
                <c:pt idx="9">
                  <c:v>4.409448818897638</c:v>
                </c:pt>
                <c:pt idx="10">
                  <c:v>4.409448818897638</c:v>
                </c:pt>
                <c:pt idx="11">
                  <c:v>4.409448818897638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DA-4D35-9189-FB084155B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58016"/>
        <c:axId val="101959936"/>
      </c:scatterChart>
      <c:valAx>
        <c:axId val="101958016"/>
        <c:scaling>
          <c:orientation val="minMax"/>
        </c:scaling>
        <c:delete val="0"/>
        <c:axPos val="b"/>
        <c:title>
          <c:overlay val="0"/>
        </c:title>
        <c:numFmt formatCode="0.00" sourceLinked="1"/>
        <c:majorTickMark val="out"/>
        <c:minorTickMark val="none"/>
        <c:tickLblPos val="nextTo"/>
        <c:crossAx val="101959936"/>
        <c:crosses val="autoZero"/>
        <c:crossBetween val="midCat"/>
      </c:valAx>
      <c:valAx>
        <c:axId val="101959936"/>
        <c:scaling>
          <c:orientation val="minMax"/>
        </c:scaling>
        <c:delete val="0"/>
        <c:axPos val="l"/>
        <c:title>
          <c:overlay val="0"/>
        </c:title>
        <c:numFmt formatCode="0.000" sourceLinked="1"/>
        <c:majorTickMark val="out"/>
        <c:minorTickMark val="none"/>
        <c:tickLblPos val="nextTo"/>
        <c:crossAx val="101958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4.0833114610673724E-2"/>
                  <c:y val="0.22186315252260141"/>
                </c:manualLayout>
              </c:layout>
              <c:numFmt formatCode="General" sourceLinked="0"/>
            </c:trendlineLbl>
          </c:trendline>
          <c:xVal>
            <c:numRef>
              <c:f>kinetics!$U$20:$U$31</c:f>
              <c:numCache>
                <c:formatCode>0.00</c:formatCode>
                <c:ptCount val="12"/>
                <c:pt idx="0">
                  <c:v>1.6094379124341003</c:v>
                </c:pt>
                <c:pt idx="1">
                  <c:v>2.3025850929940459</c:v>
                </c:pt>
                <c:pt idx="2">
                  <c:v>2.7080502011022101</c:v>
                </c:pt>
                <c:pt idx="3">
                  <c:v>2.9957322735539909</c:v>
                </c:pt>
                <c:pt idx="4">
                  <c:v>3.4011973816621555</c:v>
                </c:pt>
                <c:pt idx="5">
                  <c:v>3.6888794541139363</c:v>
                </c:pt>
                <c:pt idx="6">
                  <c:v>3.912023005428146</c:v>
                </c:pt>
                <c:pt idx="7">
                  <c:v>4.0943445622221004</c:v>
                </c:pt>
                <c:pt idx="8">
                  <c:v>4.499809670330265</c:v>
                </c:pt>
                <c:pt idx="9">
                  <c:v>4.7874917427820458</c:v>
                </c:pt>
                <c:pt idx="10">
                  <c:v>5.1929568508902104</c:v>
                </c:pt>
                <c:pt idx="11">
                  <c:v>5.4806389233419912</c:v>
                </c:pt>
              </c:numCache>
            </c:numRef>
          </c:xVal>
          <c:yVal>
            <c:numRef>
              <c:f>kinetics!$V$20:$V$31</c:f>
              <c:numCache>
                <c:formatCode>0.000</c:formatCode>
                <c:ptCount val="12"/>
                <c:pt idx="0">
                  <c:v>2.6771653543307092</c:v>
                </c:pt>
                <c:pt idx="1">
                  <c:v>3.3858267716535426</c:v>
                </c:pt>
                <c:pt idx="2">
                  <c:v>3.8582677165354333</c:v>
                </c:pt>
                <c:pt idx="3">
                  <c:v>4.0551181102362204</c:v>
                </c:pt>
                <c:pt idx="4">
                  <c:v>4.1732283464566935</c:v>
                </c:pt>
                <c:pt idx="5">
                  <c:v>4.2519685039370083</c:v>
                </c:pt>
                <c:pt idx="6">
                  <c:v>4.2913385826771657</c:v>
                </c:pt>
                <c:pt idx="7">
                  <c:v>4.3307086614173231</c:v>
                </c:pt>
                <c:pt idx="8">
                  <c:v>4.3700787401574805</c:v>
                </c:pt>
                <c:pt idx="9">
                  <c:v>4.409448818897638</c:v>
                </c:pt>
                <c:pt idx="10">
                  <c:v>4.409448818897638</c:v>
                </c:pt>
                <c:pt idx="11">
                  <c:v>4.409448818897638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96-40EB-9416-73946FEF2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93472"/>
        <c:axId val="102003840"/>
      </c:scatterChart>
      <c:valAx>
        <c:axId val="101993472"/>
        <c:scaling>
          <c:orientation val="minMax"/>
        </c:scaling>
        <c:delete val="0"/>
        <c:axPos val="b"/>
        <c:title>
          <c:overlay val="0"/>
        </c:title>
        <c:numFmt formatCode="0.00" sourceLinked="1"/>
        <c:majorTickMark val="out"/>
        <c:minorTickMark val="none"/>
        <c:tickLblPos val="nextTo"/>
        <c:crossAx val="102003840"/>
        <c:crosses val="autoZero"/>
        <c:crossBetween val="midCat"/>
      </c:valAx>
      <c:valAx>
        <c:axId val="102003840"/>
        <c:scaling>
          <c:orientation val="minMax"/>
        </c:scaling>
        <c:delete val="0"/>
        <c:axPos val="l"/>
        <c:title>
          <c:overlay val="0"/>
        </c:title>
        <c:numFmt formatCode="0.000" sourceLinked="1"/>
        <c:majorTickMark val="out"/>
        <c:minorTickMark val="none"/>
        <c:tickLblPos val="nextTo"/>
        <c:crossAx val="101993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kinetics!$K$53:$K$65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90</c:v>
                </c:pt>
                <c:pt idx="10">
                  <c:v>120</c:v>
                </c:pt>
                <c:pt idx="11">
                  <c:v>180</c:v>
                </c:pt>
                <c:pt idx="12">
                  <c:v>240</c:v>
                </c:pt>
              </c:numCache>
            </c:numRef>
          </c:xVal>
          <c:yVal>
            <c:numRef>
              <c:f>kinetics!$L$53:$L$65</c:f>
              <c:numCache>
                <c:formatCode>0.00</c:formatCode>
                <c:ptCount val="13"/>
                <c:pt idx="0">
                  <c:v>0</c:v>
                </c:pt>
                <c:pt idx="1">
                  <c:v>1.8955223880597016</c:v>
                </c:pt>
                <c:pt idx="2">
                  <c:v>3.2151898734177218</c:v>
                </c:pt>
                <c:pt idx="3">
                  <c:v>4.1413043478260869</c:v>
                </c:pt>
                <c:pt idx="4">
                  <c:v>5.2371134020618566</c:v>
                </c:pt>
                <c:pt idx="5">
                  <c:v>7.7755102040816322</c:v>
                </c:pt>
                <c:pt idx="6">
                  <c:v>10.262626262626263</c:v>
                </c:pt>
                <c:pt idx="7">
                  <c:v>12.7</c:v>
                </c:pt>
                <c:pt idx="8">
                  <c:v>15.089108910891088</c:v>
                </c:pt>
                <c:pt idx="9">
                  <c:v>22.411764705882351</c:v>
                </c:pt>
                <c:pt idx="10">
                  <c:v>29.592233009708739</c:v>
                </c:pt>
                <c:pt idx="11">
                  <c:v>44.38834951456311</c:v>
                </c:pt>
                <c:pt idx="12">
                  <c:v>59.184466019417478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49-4459-97F4-7F79281D7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53760"/>
        <c:axId val="102055936"/>
      </c:scatterChart>
      <c:valAx>
        <c:axId val="102053760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out"/>
        <c:minorTickMark val="none"/>
        <c:tickLblPos val="nextTo"/>
        <c:crossAx val="102055936"/>
        <c:crosses val="autoZero"/>
        <c:crossBetween val="midCat"/>
      </c:valAx>
      <c:valAx>
        <c:axId val="102055936"/>
        <c:scaling>
          <c:orientation val="minMax"/>
        </c:scaling>
        <c:delete val="0"/>
        <c:axPos val="l"/>
        <c:title>
          <c:overlay val="0"/>
        </c:title>
        <c:numFmt formatCode="0.00" sourceLinked="1"/>
        <c:majorTickMark val="out"/>
        <c:minorTickMark val="none"/>
        <c:tickLblPos val="nextTo"/>
        <c:crossAx val="102053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kinetics!$A$54:$A$65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90</c:v>
                </c:pt>
                <c:pt idx="9">
                  <c:v>120</c:v>
                </c:pt>
                <c:pt idx="10">
                  <c:v>180</c:v>
                </c:pt>
                <c:pt idx="11">
                  <c:v>240</c:v>
                </c:pt>
              </c:numCache>
            </c:numRef>
          </c:xVal>
          <c:yVal>
            <c:numRef>
              <c:f>kinetics!$B$54:$B$65</c:f>
              <c:numCache>
                <c:formatCode>0.00</c:formatCode>
                <c:ptCount val="12"/>
                <c:pt idx="0">
                  <c:v>0.1514325914324732</c:v>
                </c:pt>
                <c:pt idx="1">
                  <c:v>-2.4676765111778395E-2</c:v>
                </c:pt>
                <c:pt idx="2">
                  <c:v>-0.36355949156570799</c:v>
                </c:pt>
                <c:pt idx="3">
                  <c:v>-0.62689966778215811</c:v>
                </c:pt>
                <c:pt idx="4">
                  <c:v>-0.70612436717735239</c:v>
                </c:pt>
                <c:pt idx="5">
                  <c:v>-0.80309956835983443</c:v>
                </c:pt>
                <c:pt idx="6">
                  <c:v>-0.92814697367429477</c:v>
                </c:pt>
                <c:pt idx="7">
                  <c:v>-1.1044556517492372</c:v>
                </c:pt>
                <c:pt idx="8">
                  <c:v>-1.4061385583082853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DB-4B8D-91C0-E95879EBF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68992"/>
        <c:axId val="102070912"/>
      </c:scatterChart>
      <c:valAx>
        <c:axId val="102068992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out"/>
        <c:minorTickMark val="none"/>
        <c:tickLblPos val="nextTo"/>
        <c:crossAx val="102070912"/>
        <c:crosses val="autoZero"/>
        <c:crossBetween val="midCat"/>
      </c:valAx>
      <c:valAx>
        <c:axId val="102070912"/>
        <c:scaling>
          <c:orientation val="minMax"/>
        </c:scaling>
        <c:delete val="0"/>
        <c:axPos val="l"/>
        <c:title>
          <c:overlay val="0"/>
        </c:title>
        <c:numFmt formatCode="0.00" sourceLinked="1"/>
        <c:majorTickMark val="out"/>
        <c:minorTickMark val="none"/>
        <c:tickLblPos val="nextTo"/>
        <c:crossAx val="102068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1.5833114610673667E-2"/>
                  <c:y val="0.20797426363371238"/>
                </c:manualLayout>
              </c:layout>
              <c:numFmt formatCode="General" sourceLinked="0"/>
            </c:trendlineLbl>
          </c:trendline>
          <c:xVal>
            <c:numRef>
              <c:f>kinetics!$U$55:$U$66</c:f>
              <c:numCache>
                <c:formatCode>0.00</c:formatCode>
                <c:ptCount val="12"/>
                <c:pt idx="0">
                  <c:v>1.6094379124341003</c:v>
                </c:pt>
                <c:pt idx="1">
                  <c:v>2.3025850929940459</c:v>
                </c:pt>
                <c:pt idx="2">
                  <c:v>2.7080502011022101</c:v>
                </c:pt>
                <c:pt idx="3">
                  <c:v>2.9957322735539909</c:v>
                </c:pt>
                <c:pt idx="4">
                  <c:v>3.4011973816621555</c:v>
                </c:pt>
                <c:pt idx="5">
                  <c:v>3.6888794541139363</c:v>
                </c:pt>
                <c:pt idx="6">
                  <c:v>3.912023005428146</c:v>
                </c:pt>
                <c:pt idx="7">
                  <c:v>4.0943445622221004</c:v>
                </c:pt>
                <c:pt idx="8">
                  <c:v>4.499809670330265</c:v>
                </c:pt>
                <c:pt idx="9">
                  <c:v>4.7874917427820458</c:v>
                </c:pt>
                <c:pt idx="10">
                  <c:v>5.1929568508902104</c:v>
                </c:pt>
                <c:pt idx="11">
                  <c:v>5.4806389233419912</c:v>
                </c:pt>
              </c:numCache>
            </c:numRef>
          </c:xVal>
          <c:yVal>
            <c:numRef>
              <c:f>kinetics!$V$55:$V$66</c:f>
              <c:numCache>
                <c:formatCode>0.000</c:formatCode>
                <c:ptCount val="12"/>
                <c:pt idx="0">
                  <c:v>2.6377952755905509</c:v>
                </c:pt>
                <c:pt idx="1">
                  <c:v>3.1102362204724407</c:v>
                </c:pt>
                <c:pt idx="2">
                  <c:v>3.622047244094488</c:v>
                </c:pt>
                <c:pt idx="3">
                  <c:v>3.818897637795275</c:v>
                </c:pt>
                <c:pt idx="4">
                  <c:v>3.8582677165354333</c:v>
                </c:pt>
                <c:pt idx="5">
                  <c:v>3.8976377952755907</c:v>
                </c:pt>
                <c:pt idx="6">
                  <c:v>3.9370078740157481</c:v>
                </c:pt>
                <c:pt idx="7">
                  <c:v>3.9763779527559056</c:v>
                </c:pt>
                <c:pt idx="8">
                  <c:v>4.015748031496063</c:v>
                </c:pt>
                <c:pt idx="9">
                  <c:v>4.0551181102362204</c:v>
                </c:pt>
                <c:pt idx="10">
                  <c:v>4.0551181102362204</c:v>
                </c:pt>
                <c:pt idx="11">
                  <c:v>4.0551181102362204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A5-4AD5-A740-77492C9EE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92160"/>
        <c:axId val="102094336"/>
      </c:scatterChart>
      <c:valAx>
        <c:axId val="102092160"/>
        <c:scaling>
          <c:orientation val="minMax"/>
        </c:scaling>
        <c:delete val="0"/>
        <c:axPos val="b"/>
        <c:title>
          <c:overlay val="0"/>
        </c:title>
        <c:numFmt formatCode="0.00" sourceLinked="1"/>
        <c:majorTickMark val="out"/>
        <c:minorTickMark val="none"/>
        <c:tickLblPos val="nextTo"/>
        <c:crossAx val="102094336"/>
        <c:crosses val="autoZero"/>
        <c:crossBetween val="midCat"/>
      </c:valAx>
      <c:valAx>
        <c:axId val="102094336"/>
        <c:scaling>
          <c:orientation val="minMax"/>
        </c:scaling>
        <c:delete val="0"/>
        <c:axPos val="l"/>
        <c:title>
          <c:overlay val="0"/>
        </c:title>
        <c:numFmt formatCode="0.000" sourceLinked="1"/>
        <c:majorTickMark val="out"/>
        <c:minorTickMark val="none"/>
        <c:tickLblPos val="nextTo"/>
        <c:crossAx val="102092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REFERENCE(RR141)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Adsorption!$P$61:$P$70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Adsorption!$Q$61:$Q$70</c:f>
              <c:numCache>
                <c:formatCode>0.000</c:formatCode>
                <c:ptCount val="10"/>
                <c:pt idx="0">
                  <c:v>5.6000000000000001E-2</c:v>
                </c:pt>
                <c:pt idx="1">
                  <c:v>0.125</c:v>
                </c:pt>
                <c:pt idx="2">
                  <c:v>0.17</c:v>
                </c:pt>
                <c:pt idx="3">
                  <c:v>0.23200000000000001</c:v>
                </c:pt>
                <c:pt idx="4">
                  <c:v>0.3</c:v>
                </c:pt>
                <c:pt idx="5">
                  <c:v>0.36199999999999999</c:v>
                </c:pt>
                <c:pt idx="6">
                  <c:v>0.40200000000000002</c:v>
                </c:pt>
                <c:pt idx="7">
                  <c:v>0.47099999999999997</c:v>
                </c:pt>
                <c:pt idx="8">
                  <c:v>0.52600000000000002</c:v>
                </c:pt>
                <c:pt idx="9">
                  <c:v>0.60899999999999999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5-4B9A-AA2E-AFD379509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93152"/>
        <c:axId val="83399424"/>
      </c:scatterChart>
      <c:valAx>
        <c:axId val="8339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CON(PPM)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99424"/>
        <c:crosses val="autoZero"/>
        <c:crossBetween val="midCat"/>
      </c:valAx>
      <c:valAx>
        <c:axId val="83399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 sz="1000" b="1" i="0" u="none" strike="noStrike" baseline="0"/>
                  <a:t>λ</a:t>
                </a:r>
                <a:r>
                  <a:rPr lang="en-US" sz="1000" b="1" i="0" u="none" strike="noStrike" baseline="0"/>
                  <a:t>max </a:t>
                </a:r>
                <a:endParaRPr lang="en-US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83393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2.4151356080490002E-3"/>
                  <c:y val="0.1894557451151947"/>
                </c:manualLayout>
              </c:layout>
              <c:numFmt formatCode="General" sourceLinked="0"/>
            </c:trendlineLbl>
          </c:trendline>
          <c:xVal>
            <c:numRef>
              <c:f>kinetics!$Z$39:$Z$50</c:f>
              <c:numCache>
                <c:formatCode>0.00</c:formatCode>
                <c:ptCount val="12"/>
                <c:pt idx="0">
                  <c:v>2.2360679774997898</c:v>
                </c:pt>
                <c:pt idx="1">
                  <c:v>3.1622776601683795</c:v>
                </c:pt>
                <c:pt idx="2">
                  <c:v>3.872983346207417</c:v>
                </c:pt>
                <c:pt idx="3">
                  <c:v>4.4721359549995796</c:v>
                </c:pt>
                <c:pt idx="4">
                  <c:v>5.4772255750516612</c:v>
                </c:pt>
                <c:pt idx="5">
                  <c:v>6.324555320336759</c:v>
                </c:pt>
                <c:pt idx="6">
                  <c:v>7.0710678118654755</c:v>
                </c:pt>
                <c:pt idx="7">
                  <c:v>7.745966692414834</c:v>
                </c:pt>
                <c:pt idx="8">
                  <c:v>9.4868329805051381</c:v>
                </c:pt>
                <c:pt idx="9">
                  <c:v>10.954451150103322</c:v>
                </c:pt>
                <c:pt idx="10">
                  <c:v>13.416407864998739</c:v>
                </c:pt>
                <c:pt idx="11">
                  <c:v>15.491933384829668</c:v>
                </c:pt>
              </c:numCache>
            </c:numRef>
          </c:xVal>
          <c:yVal>
            <c:numRef>
              <c:f>kinetics!$AA$39:$AA$50</c:f>
              <c:numCache>
                <c:formatCode>0.000</c:formatCode>
                <c:ptCount val="12"/>
                <c:pt idx="0">
                  <c:v>2.6377952755905509</c:v>
                </c:pt>
                <c:pt idx="1">
                  <c:v>3.1102362204724407</c:v>
                </c:pt>
                <c:pt idx="2">
                  <c:v>3.622047244094488</c:v>
                </c:pt>
                <c:pt idx="3">
                  <c:v>3.818897637795275</c:v>
                </c:pt>
                <c:pt idx="4">
                  <c:v>3.8582677165354333</c:v>
                </c:pt>
                <c:pt idx="5">
                  <c:v>3.8976377952755907</c:v>
                </c:pt>
                <c:pt idx="6">
                  <c:v>3.9370078740157481</c:v>
                </c:pt>
                <c:pt idx="7">
                  <c:v>3.9763779527559056</c:v>
                </c:pt>
                <c:pt idx="8">
                  <c:v>4.015748031496063</c:v>
                </c:pt>
                <c:pt idx="9">
                  <c:v>4.0551181102362204</c:v>
                </c:pt>
                <c:pt idx="10">
                  <c:v>4.0551181102362204</c:v>
                </c:pt>
                <c:pt idx="11">
                  <c:v>4.0551181102362204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25-4ADE-AA7E-7C3D96C87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56544"/>
        <c:axId val="102162816"/>
      </c:scatterChart>
      <c:valAx>
        <c:axId val="102156544"/>
        <c:scaling>
          <c:orientation val="minMax"/>
        </c:scaling>
        <c:delete val="0"/>
        <c:axPos val="b"/>
        <c:title>
          <c:overlay val="0"/>
        </c:title>
        <c:numFmt formatCode="0.00" sourceLinked="1"/>
        <c:majorTickMark val="out"/>
        <c:minorTickMark val="none"/>
        <c:tickLblPos val="nextTo"/>
        <c:crossAx val="102162816"/>
        <c:crosses val="autoZero"/>
        <c:crossBetween val="midCat"/>
      </c:valAx>
      <c:valAx>
        <c:axId val="102162816"/>
        <c:scaling>
          <c:orientation val="minMax"/>
        </c:scaling>
        <c:delete val="0"/>
        <c:axPos val="l"/>
        <c:title>
          <c:overlay val="0"/>
        </c:title>
        <c:numFmt formatCode="0.000" sourceLinked="1"/>
        <c:majorTickMark val="out"/>
        <c:minorTickMark val="none"/>
        <c:tickLblPos val="nextTo"/>
        <c:crossAx val="102156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kinetics!$P$38:$P$50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90</c:v>
                </c:pt>
                <c:pt idx="10">
                  <c:v>120</c:v>
                </c:pt>
                <c:pt idx="11">
                  <c:v>180</c:v>
                </c:pt>
                <c:pt idx="12">
                  <c:v>240</c:v>
                </c:pt>
              </c:numCache>
            </c:numRef>
          </c:xVal>
          <c:yVal>
            <c:numRef>
              <c:f>kinetics!$Q$38:$Q$50</c:f>
              <c:numCache>
                <c:formatCode>0.00</c:formatCode>
                <c:ptCount val="13"/>
                <c:pt idx="0">
                  <c:v>0</c:v>
                </c:pt>
                <c:pt idx="1">
                  <c:v>26.38</c:v>
                </c:pt>
                <c:pt idx="2">
                  <c:v>31.1</c:v>
                </c:pt>
                <c:pt idx="3">
                  <c:v>36.22</c:v>
                </c:pt>
                <c:pt idx="4">
                  <c:v>38.188976377952763</c:v>
                </c:pt>
                <c:pt idx="5">
                  <c:v>38.582677165354333</c:v>
                </c:pt>
                <c:pt idx="6">
                  <c:v>38.976377952755904</c:v>
                </c:pt>
                <c:pt idx="7">
                  <c:v>39.370078740157481</c:v>
                </c:pt>
                <c:pt idx="8">
                  <c:v>39.763779527559059</c:v>
                </c:pt>
                <c:pt idx="9">
                  <c:v>40.157480314960637</c:v>
                </c:pt>
                <c:pt idx="10">
                  <c:v>40.551181102362207</c:v>
                </c:pt>
                <c:pt idx="11">
                  <c:v>40.551181102362207</c:v>
                </c:pt>
                <c:pt idx="12">
                  <c:v>40.551181102362207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BB-45F5-B5D7-43CF814CC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87392"/>
        <c:axId val="102188928"/>
      </c:scatterChart>
      <c:valAx>
        <c:axId val="10218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88928"/>
        <c:crosses val="autoZero"/>
        <c:crossBetween val="midCat"/>
      </c:valAx>
      <c:valAx>
        <c:axId val="1021889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2187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7.5962379702537426E-4"/>
                  <c:y val="0.17921405657626238"/>
                </c:manualLayout>
              </c:layout>
              <c:numFmt formatCode="General" sourceLinked="0"/>
            </c:trendlineLbl>
          </c:trendline>
          <c:xVal>
            <c:numRef>
              <c:f>kinetics!$Z$74:$Z$85</c:f>
              <c:numCache>
                <c:formatCode>0.00</c:formatCode>
                <c:ptCount val="12"/>
                <c:pt idx="0">
                  <c:v>2.2360679774997898</c:v>
                </c:pt>
                <c:pt idx="1">
                  <c:v>3.1622776601683795</c:v>
                </c:pt>
                <c:pt idx="2">
                  <c:v>3.872983346207417</c:v>
                </c:pt>
                <c:pt idx="3">
                  <c:v>4.4721359549995796</c:v>
                </c:pt>
                <c:pt idx="4">
                  <c:v>5.4772255750516612</c:v>
                </c:pt>
                <c:pt idx="5">
                  <c:v>6.324555320336759</c:v>
                </c:pt>
                <c:pt idx="6">
                  <c:v>7.0710678118654755</c:v>
                </c:pt>
                <c:pt idx="7">
                  <c:v>7.745966692414834</c:v>
                </c:pt>
                <c:pt idx="8">
                  <c:v>9.4868329805051381</c:v>
                </c:pt>
                <c:pt idx="9">
                  <c:v>10.954451150103322</c:v>
                </c:pt>
                <c:pt idx="10">
                  <c:v>13.416407864998739</c:v>
                </c:pt>
                <c:pt idx="11">
                  <c:v>15.491933384829668</c:v>
                </c:pt>
              </c:numCache>
            </c:numRef>
          </c:xVal>
          <c:yVal>
            <c:numRef>
              <c:f>kinetics!$AA$74:$AA$85</c:f>
              <c:numCache>
                <c:formatCode>0.000</c:formatCode>
                <c:ptCount val="12"/>
                <c:pt idx="0">
                  <c:v>6.4960629921259851</c:v>
                </c:pt>
                <c:pt idx="1">
                  <c:v>7.5393700787401574</c:v>
                </c:pt>
                <c:pt idx="2">
                  <c:v>8.5039370078740149</c:v>
                </c:pt>
                <c:pt idx="3">
                  <c:v>8.9960629921259851</c:v>
                </c:pt>
                <c:pt idx="4">
                  <c:v>9.1141732283464574</c:v>
                </c:pt>
                <c:pt idx="5">
                  <c:v>9.1929133858267722</c:v>
                </c:pt>
                <c:pt idx="6">
                  <c:v>9.2519685039370074</c:v>
                </c:pt>
                <c:pt idx="7">
                  <c:v>9.271653543307087</c:v>
                </c:pt>
                <c:pt idx="8">
                  <c:v>9.2913385826771648</c:v>
                </c:pt>
                <c:pt idx="9">
                  <c:v>9.2913385826771648</c:v>
                </c:pt>
                <c:pt idx="10">
                  <c:v>9.2913385826771648</c:v>
                </c:pt>
                <c:pt idx="11">
                  <c:v>9.2913385826771648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5-46A3-8060-B0AA806D6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21696"/>
        <c:axId val="102236160"/>
      </c:scatterChart>
      <c:valAx>
        <c:axId val="102221696"/>
        <c:scaling>
          <c:orientation val="minMax"/>
        </c:scaling>
        <c:delete val="0"/>
        <c:axPos val="b"/>
        <c:title>
          <c:overlay val="0"/>
        </c:title>
        <c:numFmt formatCode="0.00" sourceLinked="1"/>
        <c:majorTickMark val="out"/>
        <c:minorTickMark val="none"/>
        <c:tickLblPos val="nextTo"/>
        <c:crossAx val="102236160"/>
        <c:crosses val="autoZero"/>
        <c:crossBetween val="midCat"/>
      </c:valAx>
      <c:valAx>
        <c:axId val="102236160"/>
        <c:scaling>
          <c:orientation val="minMax"/>
        </c:scaling>
        <c:delete val="0"/>
        <c:axPos val="l"/>
        <c:majorGridlines/>
        <c:minorGridlines/>
        <c:title>
          <c:overlay val="0"/>
        </c:title>
        <c:numFmt formatCode="0.000" sourceLinked="1"/>
        <c:majorTickMark val="out"/>
        <c:minorTickMark val="none"/>
        <c:tickLblPos val="nextTo"/>
        <c:crossAx val="102221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kinetics!$AJ$5:$AJ$10</c:f>
              <c:numCache>
                <c:formatCode>0.00</c:formatCode>
                <c:ptCount val="6"/>
                <c:pt idx="0">
                  <c:v>5.4772255750516612</c:v>
                </c:pt>
                <c:pt idx="1">
                  <c:v>6.324555320336759</c:v>
                </c:pt>
                <c:pt idx="2">
                  <c:v>7.0710678118654755</c:v>
                </c:pt>
                <c:pt idx="3">
                  <c:v>7.745966692414834</c:v>
                </c:pt>
                <c:pt idx="4">
                  <c:v>9.4868329805051381</c:v>
                </c:pt>
                <c:pt idx="5">
                  <c:v>10.954451150103322</c:v>
                </c:pt>
              </c:numCache>
            </c:numRef>
          </c:xVal>
          <c:yVal>
            <c:numRef>
              <c:f>kinetics!$AK$5:$AK$10</c:f>
              <c:numCache>
                <c:formatCode>0.000</c:formatCode>
                <c:ptCount val="6"/>
                <c:pt idx="0">
                  <c:v>4.1732283464566935</c:v>
                </c:pt>
                <c:pt idx="1">
                  <c:v>4.2519685039370083</c:v>
                </c:pt>
                <c:pt idx="2">
                  <c:v>4.2913385826771657</c:v>
                </c:pt>
                <c:pt idx="3">
                  <c:v>4.3307086614173231</c:v>
                </c:pt>
                <c:pt idx="4">
                  <c:v>4.3700787401574805</c:v>
                </c:pt>
                <c:pt idx="5">
                  <c:v>4.409448818897638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83-4FEC-A684-99DDC9261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3632"/>
        <c:axId val="62932096"/>
      </c:scatterChart>
      <c:valAx>
        <c:axId val="62933632"/>
        <c:scaling>
          <c:orientation val="minMax"/>
        </c:scaling>
        <c:delete val="0"/>
        <c:axPos val="b"/>
        <c:title>
          <c:overlay val="0"/>
        </c:title>
        <c:numFmt formatCode="0.00" sourceLinked="1"/>
        <c:majorTickMark val="out"/>
        <c:minorTickMark val="none"/>
        <c:tickLblPos val="nextTo"/>
        <c:crossAx val="62932096"/>
        <c:crosses val="autoZero"/>
        <c:crossBetween val="midCat"/>
      </c:valAx>
      <c:valAx>
        <c:axId val="62932096"/>
        <c:scaling>
          <c:orientation val="minMax"/>
        </c:scaling>
        <c:delete val="0"/>
        <c:axPos val="l"/>
        <c:title>
          <c:overlay val="0"/>
        </c:title>
        <c:numFmt formatCode="0.000" sourceLinked="1"/>
        <c:majorTickMark val="out"/>
        <c:minorTickMark val="none"/>
        <c:tickLblPos val="nextTo"/>
        <c:crossAx val="62933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kinetics!$AK$41:$AK$46</c:f>
              <c:numCache>
                <c:formatCode>0.00</c:formatCode>
                <c:ptCount val="6"/>
                <c:pt idx="0">
                  <c:v>5.4772255750516612</c:v>
                </c:pt>
                <c:pt idx="1">
                  <c:v>6.324555320336759</c:v>
                </c:pt>
                <c:pt idx="2">
                  <c:v>7.0710678118654755</c:v>
                </c:pt>
                <c:pt idx="3">
                  <c:v>7.745966692414834</c:v>
                </c:pt>
                <c:pt idx="4">
                  <c:v>9.4868329805051381</c:v>
                </c:pt>
                <c:pt idx="5">
                  <c:v>10.954451150103322</c:v>
                </c:pt>
              </c:numCache>
            </c:numRef>
          </c:xVal>
          <c:yVal>
            <c:numRef>
              <c:f>kinetics!$AL$41:$AL$46</c:f>
              <c:numCache>
                <c:formatCode>0.000</c:formatCode>
                <c:ptCount val="6"/>
                <c:pt idx="0">
                  <c:v>3.8582677165354333</c:v>
                </c:pt>
                <c:pt idx="1">
                  <c:v>3.8976377952755907</c:v>
                </c:pt>
                <c:pt idx="2">
                  <c:v>3.9370078740157481</c:v>
                </c:pt>
                <c:pt idx="3">
                  <c:v>3.9763779527559056</c:v>
                </c:pt>
                <c:pt idx="4">
                  <c:v>4.015748031496063</c:v>
                </c:pt>
                <c:pt idx="5">
                  <c:v>4.0551181102362204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25-458C-92AB-CE09DAD68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6768"/>
        <c:axId val="79374976"/>
      </c:scatterChart>
      <c:valAx>
        <c:axId val="79376768"/>
        <c:scaling>
          <c:orientation val="minMax"/>
        </c:scaling>
        <c:delete val="0"/>
        <c:axPos val="b"/>
        <c:title>
          <c:overlay val="0"/>
        </c:title>
        <c:numFmt formatCode="0.00" sourceLinked="1"/>
        <c:majorTickMark val="out"/>
        <c:minorTickMark val="none"/>
        <c:tickLblPos val="nextTo"/>
        <c:crossAx val="79374976"/>
        <c:crosses val="autoZero"/>
        <c:crossBetween val="midCat"/>
      </c:valAx>
      <c:valAx>
        <c:axId val="79374976"/>
        <c:scaling>
          <c:orientation val="minMax"/>
        </c:scaling>
        <c:delete val="0"/>
        <c:axPos val="l"/>
        <c:title>
          <c:overlay val="0"/>
        </c:title>
        <c:numFmt formatCode="0.000" sourceLinked="1"/>
        <c:majorTickMark val="out"/>
        <c:minorTickMark val="none"/>
        <c:tickLblPos val="nextTo"/>
        <c:crossAx val="79376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kinetics!$AJ$76:$AJ$81</c:f>
              <c:numCache>
                <c:formatCode>0.00</c:formatCode>
                <c:ptCount val="6"/>
                <c:pt idx="0">
                  <c:v>4.4721359549995796</c:v>
                </c:pt>
                <c:pt idx="1">
                  <c:v>5.4772255750516612</c:v>
                </c:pt>
                <c:pt idx="2">
                  <c:v>6.324555320336759</c:v>
                </c:pt>
                <c:pt idx="3">
                  <c:v>7.0710678118654755</c:v>
                </c:pt>
                <c:pt idx="4">
                  <c:v>7.745966692414834</c:v>
                </c:pt>
              </c:numCache>
            </c:numRef>
          </c:xVal>
          <c:yVal>
            <c:numRef>
              <c:f>kinetics!$AK$76:$AK$81</c:f>
              <c:numCache>
                <c:formatCode>0.000</c:formatCode>
                <c:ptCount val="6"/>
                <c:pt idx="0">
                  <c:v>8.9960629921259851</c:v>
                </c:pt>
                <c:pt idx="1">
                  <c:v>9.1141732283464574</c:v>
                </c:pt>
                <c:pt idx="2">
                  <c:v>9.1929133858267722</c:v>
                </c:pt>
                <c:pt idx="3">
                  <c:v>9.2519685039370074</c:v>
                </c:pt>
                <c:pt idx="4">
                  <c:v>9.271653543307087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27-43A2-B7B1-179BCF0C1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94752"/>
        <c:axId val="108361984"/>
      </c:scatterChart>
      <c:valAx>
        <c:axId val="108394752"/>
        <c:scaling>
          <c:orientation val="minMax"/>
        </c:scaling>
        <c:delete val="0"/>
        <c:axPos val="b"/>
        <c:title>
          <c:overlay val="0"/>
        </c:title>
        <c:numFmt formatCode="0.00" sourceLinked="1"/>
        <c:majorTickMark val="out"/>
        <c:minorTickMark val="none"/>
        <c:tickLblPos val="nextTo"/>
        <c:crossAx val="108361984"/>
        <c:crosses val="autoZero"/>
        <c:crossBetween val="midCat"/>
      </c:valAx>
      <c:valAx>
        <c:axId val="108361984"/>
        <c:scaling>
          <c:orientation val="minMax"/>
        </c:scaling>
        <c:delete val="0"/>
        <c:axPos val="l"/>
        <c:majorGridlines/>
        <c:minorGridlines/>
        <c:title>
          <c:overlay val="0"/>
        </c:title>
        <c:numFmt formatCode="0.000" sourceLinked="1"/>
        <c:majorTickMark val="out"/>
        <c:minorTickMark val="none"/>
        <c:tickLblPos val="nextTo"/>
        <c:crossAx val="108394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3"/>
          <c:tx>
            <c:v>AC1</c:v>
          </c:tx>
          <c:xVal>
            <c:numRef>
              <c:f>Adsorption!$K$34:$K$38</c:f>
              <c:numCache>
                <c:formatCode>0.00</c:formatCode>
                <c:ptCount val="5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</c:numCache>
            </c:numRef>
          </c:xVal>
          <c:yVal>
            <c:numRef>
              <c:f>Adsorption!$L$34:$L$38</c:f>
              <c:numCache>
                <c:formatCode>0.00</c:formatCode>
                <c:ptCount val="5"/>
                <c:pt idx="0">
                  <c:v>40.136054421768712</c:v>
                </c:pt>
                <c:pt idx="1">
                  <c:v>52.38</c:v>
                </c:pt>
                <c:pt idx="2">
                  <c:v>59.863945578231302</c:v>
                </c:pt>
                <c:pt idx="3">
                  <c:v>65.986394557823132</c:v>
                </c:pt>
                <c:pt idx="4">
                  <c:v>76.870748299319729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51-4623-84F8-142327BBC10E}"/>
            </c:ext>
          </c:extLst>
        </c:ser>
        <c:ser>
          <c:idx val="4"/>
          <c:order val="4"/>
          <c:tx>
            <c:v>AC2</c:v>
          </c:tx>
          <c:xVal>
            <c:numRef>
              <c:f>Adsorption!$K$34:$K$38</c:f>
              <c:numCache>
                <c:formatCode>0.00</c:formatCode>
                <c:ptCount val="5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</c:numCache>
            </c:numRef>
          </c:xVal>
          <c:yVal>
            <c:numRef>
              <c:f>Adsorption!$M$34:$M$38</c:f>
              <c:numCache>
                <c:formatCode>0.00</c:formatCode>
                <c:ptCount val="5"/>
                <c:pt idx="0">
                  <c:v>38.775510204081641</c:v>
                </c:pt>
                <c:pt idx="1">
                  <c:v>48.299319727891152</c:v>
                </c:pt>
                <c:pt idx="2">
                  <c:v>55.782312925170075</c:v>
                </c:pt>
                <c:pt idx="3">
                  <c:v>65.306122448979593</c:v>
                </c:pt>
                <c:pt idx="4">
                  <c:v>76.870748299319729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51-4623-84F8-142327BBC10E}"/>
            </c:ext>
          </c:extLst>
        </c:ser>
        <c:ser>
          <c:idx val="5"/>
          <c:order val="5"/>
          <c:tx>
            <c:v>AC3</c:v>
          </c:tx>
          <c:xVal>
            <c:numRef>
              <c:f>Adsorption!$K$34:$K$38</c:f>
              <c:numCache>
                <c:formatCode>0.00</c:formatCode>
                <c:ptCount val="5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</c:numCache>
            </c:numRef>
          </c:xVal>
          <c:yVal>
            <c:numRef>
              <c:f>Adsorption!$N$34:$N$38</c:f>
              <c:numCache>
                <c:formatCode>0.00</c:formatCode>
                <c:ptCount val="5"/>
                <c:pt idx="0">
                  <c:v>54.42176870748299</c:v>
                </c:pt>
                <c:pt idx="1">
                  <c:v>76.190476190476176</c:v>
                </c:pt>
                <c:pt idx="2">
                  <c:v>94.557823129251702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51-4623-84F8-142327BBC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75168"/>
        <c:axId val="83993728"/>
      </c:scatterChart>
      <c:scatterChart>
        <c:scatterStyle val="smoothMarker"/>
        <c:varyColors val="0"/>
        <c:ser>
          <c:idx val="0"/>
          <c:order val="0"/>
          <c:tx>
            <c:strRef>
              <c:f>Adsorption!$Q$33</c:f>
              <c:strCache>
                <c:ptCount val="1"/>
                <c:pt idx="0">
                  <c:v>UBATAC</c:v>
                </c:pt>
              </c:strCache>
            </c:strRef>
          </c:tx>
          <c:xVal>
            <c:numRef>
              <c:f>Adsorption!$P$34:$P$38</c:f>
              <c:numCache>
                <c:formatCode>0.00</c:formatCode>
                <c:ptCount val="5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</c:numCache>
            </c:numRef>
          </c:xVal>
          <c:yVal>
            <c:numRef>
              <c:f>Adsorption!$Q$34:$Q$38</c:f>
              <c:numCache>
                <c:formatCode>0.00</c:formatCode>
                <c:ptCount val="5"/>
                <c:pt idx="0">
                  <c:v>10.034013605442178</c:v>
                </c:pt>
                <c:pt idx="1">
                  <c:v>6.5476190476190466</c:v>
                </c:pt>
                <c:pt idx="2">
                  <c:v>4.9886621315192752</c:v>
                </c:pt>
                <c:pt idx="3">
                  <c:v>4.1241496598639449</c:v>
                </c:pt>
                <c:pt idx="4">
                  <c:v>3.8435374149659864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51-4623-84F8-142327BBC10E}"/>
            </c:ext>
          </c:extLst>
        </c:ser>
        <c:ser>
          <c:idx val="1"/>
          <c:order val="1"/>
          <c:tx>
            <c:strRef>
              <c:f>Adsorption!$R$33</c:f>
              <c:strCache>
                <c:ptCount val="1"/>
                <c:pt idx="0">
                  <c:v>BATAC</c:v>
                </c:pt>
              </c:strCache>
            </c:strRef>
          </c:tx>
          <c:xVal>
            <c:numRef>
              <c:f>Adsorption!$P$34:$P$38</c:f>
              <c:numCache>
                <c:formatCode>0.00</c:formatCode>
                <c:ptCount val="5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</c:numCache>
            </c:numRef>
          </c:xVal>
          <c:yVal>
            <c:numRef>
              <c:f>Adsorption!$R$34:$R$38</c:f>
              <c:numCache>
                <c:formatCode>0.00</c:formatCode>
                <c:ptCount val="5"/>
                <c:pt idx="0">
                  <c:v>9.6938775510204085</c:v>
                </c:pt>
                <c:pt idx="1">
                  <c:v>6.037414965986394</c:v>
                </c:pt>
                <c:pt idx="2">
                  <c:v>4.6485260770975056</c:v>
                </c:pt>
                <c:pt idx="3">
                  <c:v>4.0816326530612246</c:v>
                </c:pt>
                <c:pt idx="4">
                  <c:v>3.8435374149659864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51-4623-84F8-142327BBC10E}"/>
            </c:ext>
          </c:extLst>
        </c:ser>
        <c:ser>
          <c:idx val="2"/>
          <c:order val="2"/>
          <c:tx>
            <c:strRef>
              <c:f>Adsorption!$S$33</c:f>
              <c:strCache>
                <c:ptCount val="1"/>
                <c:pt idx="0">
                  <c:v>WATAC</c:v>
                </c:pt>
              </c:strCache>
            </c:strRef>
          </c:tx>
          <c:xVal>
            <c:numRef>
              <c:f>Adsorption!$P$34:$P$38</c:f>
              <c:numCache>
                <c:formatCode>0.00</c:formatCode>
                <c:ptCount val="5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</c:numCache>
            </c:numRef>
          </c:xVal>
          <c:yVal>
            <c:numRef>
              <c:f>Adsorption!$S$34:$S$38</c:f>
              <c:numCache>
                <c:formatCode>0.00</c:formatCode>
                <c:ptCount val="5"/>
                <c:pt idx="0">
                  <c:v>13.605442176870747</c:v>
                </c:pt>
                <c:pt idx="1">
                  <c:v>9.5238095238095219</c:v>
                </c:pt>
                <c:pt idx="2">
                  <c:v>7.8798185941043082</c:v>
                </c:pt>
                <c:pt idx="3">
                  <c:v>6.25</c:v>
                </c:pt>
                <c:pt idx="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51-4623-84F8-142327BBC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28096"/>
        <c:axId val="83995648"/>
      </c:scatterChart>
      <c:valAx>
        <c:axId val="8397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US"/>
                  <a:t>Adsorbent dose (g/L)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3993728"/>
        <c:crosses val="autoZero"/>
        <c:crossBetween val="midCat"/>
      </c:valAx>
      <c:valAx>
        <c:axId val="83993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 adsorbed (mg/g)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3975168"/>
        <c:crosses val="autoZero"/>
        <c:crossBetween val="midCat"/>
      </c:valAx>
      <c:valAx>
        <c:axId val="8399564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83428096"/>
        <c:crosses val="max"/>
        <c:crossBetween val="midCat"/>
      </c:valAx>
      <c:valAx>
        <c:axId val="8342809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83995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Adsorption!$AB$33</c:f>
              <c:strCache>
                <c:ptCount val="1"/>
                <c:pt idx="0">
                  <c:v>UBATAC</c:v>
                </c:pt>
              </c:strCache>
            </c:strRef>
          </c:tx>
          <c:xVal>
            <c:numRef>
              <c:f>Adsorption!$AA$34:$AA$39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xVal>
          <c:yVal>
            <c:numRef>
              <c:f>Adsorption!$AB$34:$AB$39</c:f>
              <c:numCache>
                <c:formatCode>0.00</c:formatCode>
                <c:ptCount val="6"/>
                <c:pt idx="0">
                  <c:v>0</c:v>
                </c:pt>
                <c:pt idx="1">
                  <c:v>21.014795154639181</c:v>
                </c:pt>
                <c:pt idx="2">
                  <c:v>34.136801811023624</c:v>
                </c:pt>
                <c:pt idx="3">
                  <c:v>41.274768260869564</c:v>
                </c:pt>
                <c:pt idx="4">
                  <c:v>48.897956666666666</c:v>
                </c:pt>
                <c:pt idx="5">
                  <c:v>52.340553657957244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69-456A-9651-F57AFBA5CCA5}"/>
            </c:ext>
          </c:extLst>
        </c:ser>
        <c:ser>
          <c:idx val="1"/>
          <c:order val="1"/>
          <c:tx>
            <c:strRef>
              <c:f>Adsorption!$AC$33</c:f>
              <c:strCache>
                <c:ptCount val="1"/>
                <c:pt idx="0">
                  <c:v>BATAC</c:v>
                </c:pt>
              </c:strCache>
            </c:strRef>
          </c:tx>
          <c:xVal>
            <c:numRef>
              <c:f>Adsorption!$AA$34:$AA$39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xVal>
          <c:yVal>
            <c:numRef>
              <c:f>Adsorption!$AC$34:$AC$39</c:f>
              <c:numCache>
                <c:formatCode>0.00</c:formatCode>
                <c:ptCount val="6"/>
                <c:pt idx="0">
                  <c:v>0</c:v>
                </c:pt>
                <c:pt idx="1">
                  <c:v>16.273860824742258</c:v>
                </c:pt>
                <c:pt idx="2">
                  <c:v>30.483618110236222</c:v>
                </c:pt>
                <c:pt idx="3">
                  <c:v>37.267009316770185</c:v>
                </c:pt>
                <c:pt idx="4">
                  <c:v>43.961833333333338</c:v>
                </c:pt>
                <c:pt idx="5">
                  <c:v>47.200471496437061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69-456A-9651-F57AFBA5CCA5}"/>
            </c:ext>
          </c:extLst>
        </c:ser>
        <c:ser>
          <c:idx val="2"/>
          <c:order val="2"/>
          <c:tx>
            <c:strRef>
              <c:f>Adsorption!$AD$33</c:f>
              <c:strCache>
                <c:ptCount val="1"/>
                <c:pt idx="0">
                  <c:v>WATAC</c:v>
                </c:pt>
              </c:strCache>
            </c:strRef>
          </c:tx>
          <c:xVal>
            <c:numRef>
              <c:f>Adsorption!$AA$34:$AA$39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xVal>
          <c:yVal>
            <c:numRef>
              <c:f>Adsorption!$AD$34:$AD$39</c:f>
              <c:numCache>
                <c:formatCode>0.00</c:formatCode>
                <c:ptCount val="6"/>
                <c:pt idx="0">
                  <c:v>0</c:v>
                </c:pt>
                <c:pt idx="1">
                  <c:v>8.5980505154639104</c:v>
                </c:pt>
                <c:pt idx="2">
                  <c:v>13.492928346456679</c:v>
                </c:pt>
                <c:pt idx="3">
                  <c:v>19.816594409937892</c:v>
                </c:pt>
                <c:pt idx="4">
                  <c:v>26.253033333333335</c:v>
                </c:pt>
                <c:pt idx="5">
                  <c:v>35.424213064133021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69-456A-9651-F57AFBA5C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4096"/>
        <c:axId val="83445632"/>
      </c:scatterChart>
      <c:valAx>
        <c:axId val="8344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445632"/>
        <c:crosses val="autoZero"/>
        <c:crossBetween val="midCat"/>
      </c:valAx>
      <c:valAx>
        <c:axId val="834456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3444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Isotherms!$B$19</c:f>
              <c:strCache>
                <c:ptCount val="1"/>
                <c:pt idx="0">
                  <c:v>log Qe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Isotherms!$A$20:$A$25</c:f>
              <c:numCache>
                <c:formatCode>0.00</c:formatCode>
                <c:ptCount val="6"/>
                <c:pt idx="0">
                  <c:v>0.33783264357172993</c:v>
                </c:pt>
                <c:pt idx="1">
                  <c:v>0.80736762150152908</c:v>
                </c:pt>
                <c:pt idx="2">
                  <c:v>1.0484846234270997</c:v>
                </c:pt>
                <c:pt idx="3">
                  <c:v>1.1975801748894197</c:v>
                </c:pt>
                <c:pt idx="4">
                  <c:v>1.3263358609287514</c:v>
                </c:pt>
                <c:pt idx="5">
                  <c:v>1.41394054253305</c:v>
                </c:pt>
              </c:numCache>
            </c:numRef>
          </c:xVal>
          <c:yVal>
            <c:numRef>
              <c:f>Isotherms!$B$20:$B$25</c:f>
              <c:numCache>
                <c:formatCode>0.00</c:formatCode>
                <c:ptCount val="6"/>
                <c:pt idx="0">
                  <c:v>0.59235050994145433</c:v>
                </c:pt>
                <c:pt idx="1">
                  <c:v>0.63258251224813145</c:v>
                </c:pt>
                <c:pt idx="2">
                  <c:v>0.64438430605024355</c:v>
                </c:pt>
                <c:pt idx="3">
                  <c:v>0.66460110270475625</c:v>
                </c:pt>
                <c:pt idx="4">
                  <c:v>0.64345267648618742</c:v>
                </c:pt>
                <c:pt idx="5">
                  <c:v>0.65618245079124982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2F-4B09-8373-732F1F414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32608"/>
        <c:axId val="84134528"/>
      </c:scatterChart>
      <c:valAx>
        <c:axId val="8413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Ce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4134528"/>
        <c:crosses val="autoZero"/>
        <c:crossBetween val="midCat"/>
      </c:valAx>
      <c:valAx>
        <c:axId val="84134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Qe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4132608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18" Type="http://schemas.openxmlformats.org/officeDocument/2006/relationships/chart" Target="../charts/chart26.xml"/><Relationship Id="rId3" Type="http://schemas.openxmlformats.org/officeDocument/2006/relationships/chart" Target="../charts/chart11.xml"/><Relationship Id="rId21" Type="http://schemas.openxmlformats.org/officeDocument/2006/relationships/chart" Target="../charts/chart29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17" Type="http://schemas.openxmlformats.org/officeDocument/2006/relationships/chart" Target="../charts/chart25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20" Type="http://schemas.openxmlformats.org/officeDocument/2006/relationships/chart" Target="../charts/chart28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19" Type="http://schemas.openxmlformats.org/officeDocument/2006/relationships/chart" Target="../charts/chart27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13" Type="http://schemas.openxmlformats.org/officeDocument/2006/relationships/chart" Target="../charts/chart42.xml"/><Relationship Id="rId18" Type="http://schemas.openxmlformats.org/officeDocument/2006/relationships/chart" Target="../charts/chart47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12" Type="http://schemas.openxmlformats.org/officeDocument/2006/relationships/chart" Target="../charts/chart41.xml"/><Relationship Id="rId17" Type="http://schemas.openxmlformats.org/officeDocument/2006/relationships/chart" Target="../charts/chart46.xml"/><Relationship Id="rId2" Type="http://schemas.openxmlformats.org/officeDocument/2006/relationships/chart" Target="../charts/chart31.xml"/><Relationship Id="rId16" Type="http://schemas.openxmlformats.org/officeDocument/2006/relationships/chart" Target="../charts/chart45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5" Type="http://schemas.openxmlformats.org/officeDocument/2006/relationships/chart" Target="../charts/chart34.xml"/><Relationship Id="rId15" Type="http://schemas.openxmlformats.org/officeDocument/2006/relationships/chart" Target="../charts/chart44.xml"/><Relationship Id="rId10" Type="http://schemas.openxmlformats.org/officeDocument/2006/relationships/chart" Target="../charts/chart39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Relationship Id="rId14" Type="http://schemas.openxmlformats.org/officeDocument/2006/relationships/chart" Target="../charts/chart4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13" Type="http://schemas.openxmlformats.org/officeDocument/2006/relationships/chart" Target="../charts/chart60.xml"/><Relationship Id="rId18" Type="http://schemas.openxmlformats.org/officeDocument/2006/relationships/chart" Target="../charts/chart6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12" Type="http://schemas.openxmlformats.org/officeDocument/2006/relationships/chart" Target="../charts/chart59.xml"/><Relationship Id="rId17" Type="http://schemas.openxmlformats.org/officeDocument/2006/relationships/chart" Target="../charts/chart64.xml"/><Relationship Id="rId2" Type="http://schemas.openxmlformats.org/officeDocument/2006/relationships/chart" Target="../charts/chart49.xml"/><Relationship Id="rId16" Type="http://schemas.openxmlformats.org/officeDocument/2006/relationships/chart" Target="../charts/chart63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11" Type="http://schemas.openxmlformats.org/officeDocument/2006/relationships/chart" Target="../charts/chart58.xml"/><Relationship Id="rId5" Type="http://schemas.openxmlformats.org/officeDocument/2006/relationships/chart" Target="../charts/chart52.xml"/><Relationship Id="rId15" Type="http://schemas.openxmlformats.org/officeDocument/2006/relationships/chart" Target="../charts/chart62.xml"/><Relationship Id="rId10" Type="http://schemas.openxmlformats.org/officeDocument/2006/relationships/chart" Target="../charts/chart57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Relationship Id="rId14" Type="http://schemas.openxmlformats.org/officeDocument/2006/relationships/chart" Target="../charts/chart6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11</xdr:row>
      <xdr:rowOff>7620</xdr:rowOff>
    </xdr:from>
    <xdr:to>
      <xdr:col>14</xdr:col>
      <xdr:colOff>22860</xdr:colOff>
      <xdr:row>26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651510</xdr:colOff>
      <xdr:row>41</xdr:row>
      <xdr:rowOff>74295</xdr:rowOff>
    </xdr:from>
    <xdr:to>
      <xdr:col>17</xdr:col>
      <xdr:colOff>394335</xdr:colOff>
      <xdr:row>56</xdr:row>
      <xdr:rowOff>74295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434340</xdr:colOff>
      <xdr:row>68</xdr:row>
      <xdr:rowOff>76200</xdr:rowOff>
    </xdr:from>
    <xdr:to>
      <xdr:col>14</xdr:col>
      <xdr:colOff>129540</xdr:colOff>
      <xdr:row>83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57150</xdr:colOff>
      <xdr:row>104</xdr:row>
      <xdr:rowOff>152400</xdr:rowOff>
    </xdr:from>
    <xdr:to>
      <xdr:col>13</xdr:col>
      <xdr:colOff>190500</xdr:colOff>
      <xdr:row>119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145</xdr:row>
      <xdr:rowOff>104775</xdr:rowOff>
    </xdr:from>
    <xdr:to>
      <xdr:col>14</xdr:col>
      <xdr:colOff>133350</xdr:colOff>
      <xdr:row>159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180975</xdr:colOff>
      <xdr:row>56</xdr:row>
      <xdr:rowOff>142875</xdr:rowOff>
    </xdr:from>
    <xdr:to>
      <xdr:col>24</xdr:col>
      <xdr:colOff>485775</xdr:colOff>
      <xdr:row>71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257175</xdr:colOff>
      <xdr:row>40</xdr:row>
      <xdr:rowOff>133350</xdr:rowOff>
    </xdr:from>
    <xdr:to>
      <xdr:col>25</xdr:col>
      <xdr:colOff>561975</xdr:colOff>
      <xdr:row>55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333375</xdr:colOff>
      <xdr:row>40</xdr:row>
      <xdr:rowOff>76200</xdr:rowOff>
    </xdr:from>
    <xdr:to>
      <xdr:col>34</xdr:col>
      <xdr:colOff>28575</xdr:colOff>
      <xdr:row>54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17</xdr:row>
      <xdr:rowOff>47625</xdr:rowOff>
    </xdr:from>
    <xdr:to>
      <xdr:col>9</xdr:col>
      <xdr:colOff>438150</xdr:colOff>
      <xdr:row>31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17</xdr:row>
      <xdr:rowOff>76200</xdr:rowOff>
    </xdr:from>
    <xdr:to>
      <xdr:col>17</xdr:col>
      <xdr:colOff>333375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457200</xdr:colOff>
      <xdr:row>36</xdr:row>
      <xdr:rowOff>133350</xdr:rowOff>
    </xdr:from>
    <xdr:to>
      <xdr:col>10</xdr:col>
      <xdr:colOff>152400</xdr:colOff>
      <xdr:row>51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561975</xdr:colOff>
      <xdr:row>37</xdr:row>
      <xdr:rowOff>19050</xdr:rowOff>
    </xdr:from>
    <xdr:to>
      <xdr:col>18</xdr:col>
      <xdr:colOff>257175</xdr:colOff>
      <xdr:row>51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142875</xdr:colOff>
      <xdr:row>75</xdr:row>
      <xdr:rowOff>95250</xdr:rowOff>
    </xdr:from>
    <xdr:to>
      <xdr:col>9</xdr:col>
      <xdr:colOff>390525</xdr:colOff>
      <xdr:row>89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561975</xdr:colOff>
      <xdr:row>75</xdr:row>
      <xdr:rowOff>104775</xdr:rowOff>
    </xdr:from>
    <xdr:to>
      <xdr:col>16</xdr:col>
      <xdr:colOff>428625</xdr:colOff>
      <xdr:row>89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95250</xdr:colOff>
      <xdr:row>92</xdr:row>
      <xdr:rowOff>180975</xdr:rowOff>
    </xdr:from>
    <xdr:to>
      <xdr:col>10</xdr:col>
      <xdr:colOff>342900</xdr:colOff>
      <xdr:row>107</xdr:row>
      <xdr:rowOff>66675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190500</xdr:colOff>
      <xdr:row>93</xdr:row>
      <xdr:rowOff>57150</xdr:rowOff>
    </xdr:from>
    <xdr:to>
      <xdr:col>18</xdr:col>
      <xdr:colOff>19050</xdr:colOff>
      <xdr:row>107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571500</xdr:colOff>
      <xdr:row>148</xdr:row>
      <xdr:rowOff>142875</xdr:rowOff>
    </xdr:from>
    <xdr:to>
      <xdr:col>10</xdr:col>
      <xdr:colOff>209550</xdr:colOff>
      <xdr:row>163</xdr:row>
      <xdr:rowOff>28575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133350</xdr:colOff>
      <xdr:row>148</xdr:row>
      <xdr:rowOff>123825</xdr:rowOff>
    </xdr:from>
    <xdr:to>
      <xdr:col>17</xdr:col>
      <xdr:colOff>571500</xdr:colOff>
      <xdr:row>163</xdr:row>
      <xdr:rowOff>9525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314325</xdr:colOff>
      <xdr:row>77</xdr:row>
      <xdr:rowOff>66675</xdr:rowOff>
    </xdr:from>
    <xdr:to>
      <xdr:col>26</xdr:col>
      <xdr:colOff>333375</xdr:colOff>
      <xdr:row>91</xdr:row>
      <xdr:rowOff>142875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304800</xdr:colOff>
      <xdr:row>16</xdr:row>
      <xdr:rowOff>161925</xdr:rowOff>
    </xdr:from>
    <xdr:to>
      <xdr:col>27</xdr:col>
      <xdr:colOff>323850</xdr:colOff>
      <xdr:row>31</xdr:row>
      <xdr:rowOff>47625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409575</xdr:colOff>
      <xdr:row>167</xdr:row>
      <xdr:rowOff>171450</xdr:rowOff>
    </xdr:from>
    <xdr:to>
      <xdr:col>26</xdr:col>
      <xdr:colOff>0</xdr:colOff>
      <xdr:row>182</xdr:row>
      <xdr:rowOff>57150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400050</xdr:colOff>
      <xdr:row>182</xdr:row>
      <xdr:rowOff>133350</xdr:rowOff>
    </xdr:from>
    <xdr:to>
      <xdr:col>25</xdr:col>
      <xdr:colOff>600075</xdr:colOff>
      <xdr:row>197</xdr:row>
      <xdr:rowOff>19050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428625</xdr:colOff>
      <xdr:row>197</xdr:row>
      <xdr:rowOff>152400</xdr:rowOff>
    </xdr:from>
    <xdr:to>
      <xdr:col>26</xdr:col>
      <xdr:colOff>19050</xdr:colOff>
      <xdr:row>212</xdr:row>
      <xdr:rowOff>38100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66675</xdr:colOff>
      <xdr:row>215</xdr:row>
      <xdr:rowOff>114300</xdr:rowOff>
    </xdr:from>
    <xdr:to>
      <xdr:col>15</xdr:col>
      <xdr:colOff>457200</xdr:colOff>
      <xdr:row>230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276225</xdr:colOff>
      <xdr:row>130</xdr:row>
      <xdr:rowOff>66675</xdr:rowOff>
    </xdr:from>
    <xdr:to>
      <xdr:col>9</xdr:col>
      <xdr:colOff>523875</xdr:colOff>
      <xdr:row>144</xdr:row>
      <xdr:rowOff>142875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257175</xdr:colOff>
      <xdr:row>130</xdr:row>
      <xdr:rowOff>171450</xdr:rowOff>
    </xdr:from>
    <xdr:to>
      <xdr:col>17</xdr:col>
      <xdr:colOff>85725</xdr:colOff>
      <xdr:row>145</xdr:row>
      <xdr:rowOff>57150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31</xdr:col>
      <xdr:colOff>219075</xdr:colOff>
      <xdr:row>11</xdr:row>
      <xdr:rowOff>38100</xdr:rowOff>
    </xdr:from>
    <xdr:to>
      <xdr:col>38</xdr:col>
      <xdr:colOff>523875</xdr:colOff>
      <xdr:row>25</xdr:row>
      <xdr:rowOff>114300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581025</xdr:colOff>
      <xdr:row>64</xdr:row>
      <xdr:rowOff>152400</xdr:rowOff>
    </xdr:from>
    <xdr:to>
      <xdr:col>36</xdr:col>
      <xdr:colOff>276225</xdr:colOff>
      <xdr:row>79</xdr:row>
      <xdr:rowOff>38100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28</xdr:col>
      <xdr:colOff>485775</xdr:colOff>
      <xdr:row>119</xdr:row>
      <xdr:rowOff>123825</xdr:rowOff>
    </xdr:from>
    <xdr:to>
      <xdr:col>36</xdr:col>
      <xdr:colOff>180975</xdr:colOff>
      <xdr:row>134</xdr:row>
      <xdr:rowOff>9525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0</xdr:row>
      <xdr:rowOff>114300</xdr:rowOff>
    </xdr:from>
    <xdr:to>
      <xdr:col>13</xdr:col>
      <xdr:colOff>9525</xdr:colOff>
      <xdr:row>15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15</xdr:row>
      <xdr:rowOff>104775</xdr:rowOff>
    </xdr:from>
    <xdr:to>
      <xdr:col>13</xdr:col>
      <xdr:colOff>9525</xdr:colOff>
      <xdr:row>29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95250</xdr:colOff>
      <xdr:row>45</xdr:row>
      <xdr:rowOff>161925</xdr:rowOff>
    </xdr:from>
    <xdr:to>
      <xdr:col>12</xdr:col>
      <xdr:colOff>400050</xdr:colOff>
      <xdr:row>60</xdr:row>
      <xdr:rowOff>47625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30</xdr:row>
      <xdr:rowOff>142875</xdr:rowOff>
    </xdr:from>
    <xdr:to>
      <xdr:col>12</xdr:col>
      <xdr:colOff>304800</xdr:colOff>
      <xdr:row>45</xdr:row>
      <xdr:rowOff>28575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314325</xdr:colOff>
      <xdr:row>78</xdr:row>
      <xdr:rowOff>152400</xdr:rowOff>
    </xdr:from>
    <xdr:to>
      <xdr:col>13</xdr:col>
      <xdr:colOff>9525</xdr:colOff>
      <xdr:row>93</xdr:row>
      <xdr:rowOff>38100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276225</xdr:colOff>
      <xdr:row>94</xdr:row>
      <xdr:rowOff>95250</xdr:rowOff>
    </xdr:from>
    <xdr:to>
      <xdr:col>12</xdr:col>
      <xdr:colOff>581025</xdr:colOff>
      <xdr:row>108</xdr:row>
      <xdr:rowOff>171450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209550</xdr:colOff>
      <xdr:row>110</xdr:row>
      <xdr:rowOff>19050</xdr:rowOff>
    </xdr:from>
    <xdr:to>
      <xdr:col>12</xdr:col>
      <xdr:colOff>352425</xdr:colOff>
      <xdr:row>124</xdr:row>
      <xdr:rowOff>95250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209550</xdr:colOff>
      <xdr:row>141</xdr:row>
      <xdr:rowOff>9525</xdr:rowOff>
    </xdr:from>
    <xdr:to>
      <xdr:col>14</xdr:col>
      <xdr:colOff>514350</xdr:colOff>
      <xdr:row>155</xdr:row>
      <xdr:rowOff>85725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95250</xdr:colOff>
      <xdr:row>155</xdr:row>
      <xdr:rowOff>104775</xdr:rowOff>
    </xdr:from>
    <xdr:to>
      <xdr:col>14</xdr:col>
      <xdr:colOff>457200</xdr:colOff>
      <xdr:row>169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419100</xdr:colOff>
      <xdr:row>171</xdr:row>
      <xdr:rowOff>95250</xdr:rowOff>
    </xdr:from>
    <xdr:to>
      <xdr:col>15</xdr:col>
      <xdr:colOff>114300</xdr:colOff>
      <xdr:row>185</xdr:row>
      <xdr:rowOff>171450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314325</xdr:colOff>
      <xdr:row>62</xdr:row>
      <xdr:rowOff>152400</xdr:rowOff>
    </xdr:from>
    <xdr:to>
      <xdr:col>12</xdr:col>
      <xdr:colOff>457200</xdr:colOff>
      <xdr:row>77</xdr:row>
      <xdr:rowOff>38100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523875</xdr:colOff>
      <xdr:row>125</xdr:row>
      <xdr:rowOff>133350</xdr:rowOff>
    </xdr:from>
    <xdr:to>
      <xdr:col>14</xdr:col>
      <xdr:colOff>219075</xdr:colOff>
      <xdr:row>140</xdr:row>
      <xdr:rowOff>19050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657225</xdr:colOff>
      <xdr:row>188</xdr:row>
      <xdr:rowOff>123825</xdr:rowOff>
    </xdr:from>
    <xdr:to>
      <xdr:col>13</xdr:col>
      <xdr:colOff>190500</xdr:colOff>
      <xdr:row>203</xdr:row>
      <xdr:rowOff>9525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85725</xdr:colOff>
      <xdr:row>111</xdr:row>
      <xdr:rowOff>142876</xdr:rowOff>
    </xdr:from>
    <xdr:to>
      <xdr:col>7</xdr:col>
      <xdr:colOff>419100</xdr:colOff>
      <xdr:row>114</xdr:row>
      <xdr:rowOff>114301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CxnSpPr/>
      </xdr:nvCxnSpPr>
      <xdr:spPr>
        <a:xfrm rot="5400000" flipH="1" flipV="1">
          <a:off x="4895850" y="21393151"/>
          <a:ext cx="542925" cy="333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361950</xdr:colOff>
      <xdr:row>111</xdr:row>
      <xdr:rowOff>114300</xdr:rowOff>
    </xdr:from>
    <xdr:to>
      <xdr:col>10</xdr:col>
      <xdr:colOff>171450</xdr:colOff>
      <xdr:row>111</xdr:row>
      <xdr:rowOff>161925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CxnSpPr/>
      </xdr:nvCxnSpPr>
      <xdr:spPr>
        <a:xfrm flipV="1">
          <a:off x="5276850" y="21259800"/>
          <a:ext cx="1638300" cy="47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116</xdr:row>
      <xdr:rowOff>152400</xdr:rowOff>
    </xdr:from>
    <xdr:to>
      <xdr:col>7</xdr:col>
      <xdr:colOff>438150</xdr:colOff>
      <xdr:row>118</xdr:row>
      <xdr:rowOff>57150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/>
      </xdr:nvCxnSpPr>
      <xdr:spPr>
        <a:xfrm flipV="1">
          <a:off x="4991100" y="22250400"/>
          <a:ext cx="361950" cy="285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116</xdr:row>
      <xdr:rowOff>114300</xdr:rowOff>
    </xdr:from>
    <xdr:to>
      <xdr:col>10</xdr:col>
      <xdr:colOff>171450</xdr:colOff>
      <xdr:row>116</xdr:row>
      <xdr:rowOff>180975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CxnSpPr/>
      </xdr:nvCxnSpPr>
      <xdr:spPr>
        <a:xfrm flipV="1">
          <a:off x="5295900" y="22212300"/>
          <a:ext cx="1619250" cy="66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116</xdr:row>
      <xdr:rowOff>76200</xdr:rowOff>
    </xdr:from>
    <xdr:to>
      <xdr:col>7</xdr:col>
      <xdr:colOff>419100</xdr:colOff>
      <xdr:row>118</xdr:row>
      <xdr:rowOff>28575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CxnSpPr/>
      </xdr:nvCxnSpPr>
      <xdr:spPr>
        <a:xfrm flipV="1">
          <a:off x="4962525" y="22174200"/>
          <a:ext cx="371475" cy="333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371475</xdr:colOff>
      <xdr:row>116</xdr:row>
      <xdr:rowOff>57150</xdr:rowOff>
    </xdr:from>
    <xdr:to>
      <xdr:col>10</xdr:col>
      <xdr:colOff>161925</xdr:colOff>
      <xdr:row>116</xdr:row>
      <xdr:rowOff>104775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CxnSpPr/>
      </xdr:nvCxnSpPr>
      <xdr:spPr>
        <a:xfrm flipV="1">
          <a:off x="5286375" y="22155150"/>
          <a:ext cx="1619250" cy="47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504825</xdr:colOff>
      <xdr:row>16</xdr:row>
      <xdr:rowOff>57150</xdr:rowOff>
    </xdr:from>
    <xdr:to>
      <xdr:col>29</xdr:col>
      <xdr:colOff>200025</xdr:colOff>
      <xdr:row>30</xdr:row>
      <xdr:rowOff>133350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0</xdr:colOff>
      <xdr:row>14</xdr:row>
      <xdr:rowOff>0</xdr:rowOff>
    </xdr:from>
    <xdr:to>
      <xdr:col>37</xdr:col>
      <xdr:colOff>304800</xdr:colOff>
      <xdr:row>28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409575</xdr:colOff>
      <xdr:row>1</xdr:row>
      <xdr:rowOff>0</xdr:rowOff>
    </xdr:from>
    <xdr:to>
      <xdr:col>27</xdr:col>
      <xdr:colOff>104775</xdr:colOff>
      <xdr:row>15</xdr:row>
      <xdr:rowOff>76200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600075</xdr:colOff>
      <xdr:row>203</xdr:row>
      <xdr:rowOff>142875</xdr:rowOff>
    </xdr:from>
    <xdr:to>
      <xdr:col>13</xdr:col>
      <xdr:colOff>133350</xdr:colOff>
      <xdr:row>218</xdr:row>
      <xdr:rowOff>28575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200025</xdr:colOff>
      <xdr:row>36</xdr:row>
      <xdr:rowOff>38100</xdr:rowOff>
    </xdr:from>
    <xdr:to>
      <xdr:col>20</xdr:col>
      <xdr:colOff>504825</xdr:colOff>
      <xdr:row>49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228600</xdr:colOff>
      <xdr:row>0</xdr:row>
      <xdr:rowOff>95250</xdr:rowOff>
    </xdr:from>
    <xdr:to>
      <xdr:col>24</xdr:col>
      <xdr:colOff>533400</xdr:colOff>
      <xdr:row>14</xdr:row>
      <xdr:rowOff>171450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16</xdr:row>
      <xdr:rowOff>123825</xdr:rowOff>
    </xdr:from>
    <xdr:to>
      <xdr:col>19</xdr:col>
      <xdr:colOff>400050</xdr:colOff>
      <xdr:row>31</xdr:row>
      <xdr:rowOff>9525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323850</xdr:colOff>
      <xdr:row>16</xdr:row>
      <xdr:rowOff>171450</xdr:rowOff>
    </xdr:from>
    <xdr:to>
      <xdr:col>10</xdr:col>
      <xdr:colOff>19050</xdr:colOff>
      <xdr:row>31</xdr:row>
      <xdr:rowOff>57150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123825</xdr:colOff>
      <xdr:row>86</xdr:row>
      <xdr:rowOff>95250</xdr:rowOff>
    </xdr:from>
    <xdr:to>
      <xdr:col>19</xdr:col>
      <xdr:colOff>428625</xdr:colOff>
      <xdr:row>100</xdr:row>
      <xdr:rowOff>171450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200025</xdr:colOff>
      <xdr:row>86</xdr:row>
      <xdr:rowOff>57150</xdr:rowOff>
    </xdr:from>
    <xdr:to>
      <xdr:col>9</xdr:col>
      <xdr:colOff>504825</xdr:colOff>
      <xdr:row>100</xdr:row>
      <xdr:rowOff>133350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323850</xdr:colOff>
      <xdr:row>69</xdr:row>
      <xdr:rowOff>171450</xdr:rowOff>
    </xdr:from>
    <xdr:to>
      <xdr:col>25</xdr:col>
      <xdr:colOff>19050</xdr:colOff>
      <xdr:row>84</xdr:row>
      <xdr:rowOff>57150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257175</xdr:colOff>
      <xdr:row>87</xdr:row>
      <xdr:rowOff>47625</xdr:rowOff>
    </xdr:from>
    <xdr:to>
      <xdr:col>29</xdr:col>
      <xdr:colOff>561975</xdr:colOff>
      <xdr:row>101</xdr:row>
      <xdr:rowOff>123825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180975</xdr:colOff>
      <xdr:row>0</xdr:row>
      <xdr:rowOff>152400</xdr:rowOff>
    </xdr:from>
    <xdr:to>
      <xdr:col>34</xdr:col>
      <xdr:colOff>485775</xdr:colOff>
      <xdr:row>15</xdr:row>
      <xdr:rowOff>38100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409575</xdr:colOff>
      <xdr:row>18</xdr:row>
      <xdr:rowOff>0</xdr:rowOff>
    </xdr:from>
    <xdr:to>
      <xdr:col>30</xdr:col>
      <xdr:colOff>104775</xdr:colOff>
      <xdr:row>32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161925</xdr:colOff>
      <xdr:row>51</xdr:row>
      <xdr:rowOff>66675</xdr:rowOff>
    </xdr:from>
    <xdr:to>
      <xdr:col>19</xdr:col>
      <xdr:colOff>466725</xdr:colOff>
      <xdr:row>65</xdr:row>
      <xdr:rowOff>142875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219075</xdr:colOff>
      <xdr:row>51</xdr:row>
      <xdr:rowOff>114300</xdr:rowOff>
    </xdr:from>
    <xdr:to>
      <xdr:col>9</xdr:col>
      <xdr:colOff>523875</xdr:colOff>
      <xdr:row>66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276225</xdr:colOff>
      <xdr:row>52</xdr:row>
      <xdr:rowOff>95250</xdr:rowOff>
    </xdr:from>
    <xdr:to>
      <xdr:col>29</xdr:col>
      <xdr:colOff>581025</xdr:colOff>
      <xdr:row>66</xdr:row>
      <xdr:rowOff>171450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438150</xdr:colOff>
      <xdr:row>36</xdr:row>
      <xdr:rowOff>0</xdr:rowOff>
    </xdr:from>
    <xdr:to>
      <xdr:col>35</xdr:col>
      <xdr:colOff>133350</xdr:colOff>
      <xdr:row>50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238125</xdr:colOff>
      <xdr:row>35</xdr:row>
      <xdr:rowOff>161925</xdr:rowOff>
    </xdr:from>
    <xdr:to>
      <xdr:col>24</xdr:col>
      <xdr:colOff>542925</xdr:colOff>
      <xdr:row>50</xdr:row>
      <xdr:rowOff>47625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200025</xdr:colOff>
      <xdr:row>71</xdr:row>
      <xdr:rowOff>76200</xdr:rowOff>
    </xdr:from>
    <xdr:to>
      <xdr:col>34</xdr:col>
      <xdr:colOff>504825</xdr:colOff>
      <xdr:row>85</xdr:row>
      <xdr:rowOff>152400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37</xdr:col>
      <xdr:colOff>262423</xdr:colOff>
      <xdr:row>2</xdr:row>
      <xdr:rowOff>97194</xdr:rowOff>
    </xdr:from>
    <xdr:to>
      <xdr:col>44</xdr:col>
      <xdr:colOff>544285</xdr:colOff>
      <xdr:row>16</xdr:row>
      <xdr:rowOff>116633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38</xdr:col>
      <xdr:colOff>301301</xdr:colOff>
      <xdr:row>35</xdr:row>
      <xdr:rowOff>145792</xdr:rowOff>
    </xdr:from>
    <xdr:to>
      <xdr:col>45</xdr:col>
      <xdr:colOff>583163</xdr:colOff>
      <xdr:row>49</xdr:row>
      <xdr:rowOff>165230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37</xdr:col>
      <xdr:colOff>379056</xdr:colOff>
      <xdr:row>72</xdr:row>
      <xdr:rowOff>184669</xdr:rowOff>
    </xdr:from>
    <xdr:to>
      <xdr:col>45</xdr:col>
      <xdr:colOff>48597</xdr:colOff>
      <xdr:row>87</xdr:row>
      <xdr:rowOff>9719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163"/>
  <sheetViews>
    <sheetView topLeftCell="A66" workbookViewId="0">
      <selection activeCell="D81" sqref="D81"/>
    </sheetView>
  </sheetViews>
  <sheetFormatPr defaultRowHeight="14.4" x14ac:dyDescent="0.3"/>
  <cols>
    <col min="4" max="4" width="11.88671875" customWidth="1"/>
    <col min="6" max="6" width="11.88671875" customWidth="1"/>
    <col min="9" max="9" width="10.6640625" customWidth="1"/>
    <col min="10" max="10" width="10.109375" customWidth="1"/>
    <col min="16" max="16" width="10" customWidth="1"/>
  </cols>
  <sheetData>
    <row r="2" spans="1:15" x14ac:dyDescent="0.3">
      <c r="A2" s="4" t="s">
        <v>9</v>
      </c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6"/>
      <c r="O2" s="6"/>
    </row>
    <row r="3" spans="1:15" x14ac:dyDescent="0.3">
      <c r="A3" s="7"/>
      <c r="B3" s="8" t="s">
        <v>132</v>
      </c>
      <c r="C3" s="9"/>
      <c r="D3" s="10"/>
      <c r="E3" s="10"/>
      <c r="F3" s="9"/>
      <c r="G3" s="11"/>
      <c r="H3" s="11"/>
      <c r="I3" s="12"/>
      <c r="J3" s="6"/>
      <c r="K3" s="6"/>
      <c r="L3" s="6"/>
      <c r="M3" s="6"/>
      <c r="N3" s="6"/>
      <c r="O3" s="6"/>
    </row>
    <row r="4" spans="1:15" x14ac:dyDescent="0.3">
      <c r="A4" s="13" t="s">
        <v>0</v>
      </c>
      <c r="B4" s="14" t="s">
        <v>1</v>
      </c>
      <c r="C4" s="14" t="s">
        <v>2</v>
      </c>
      <c r="D4" s="14" t="s">
        <v>3</v>
      </c>
      <c r="E4" s="14" t="s">
        <v>4</v>
      </c>
      <c r="F4" s="14" t="s">
        <v>5</v>
      </c>
      <c r="G4" s="11"/>
      <c r="H4" s="13" t="s">
        <v>0</v>
      </c>
      <c r="I4" s="31" t="s">
        <v>6</v>
      </c>
      <c r="J4" s="32" t="s">
        <v>7</v>
      </c>
      <c r="K4" s="32" t="s">
        <v>8</v>
      </c>
      <c r="L4" s="6"/>
      <c r="M4" s="6"/>
      <c r="N4" s="6"/>
      <c r="O4" s="6"/>
    </row>
    <row r="5" spans="1:15" x14ac:dyDescent="0.3">
      <c r="A5" s="15">
        <v>1</v>
      </c>
      <c r="B5" s="16">
        <v>10</v>
      </c>
      <c r="C5" s="17">
        <v>0.14699999999999999</v>
      </c>
      <c r="D5" s="17">
        <v>0</v>
      </c>
      <c r="E5" s="18">
        <f t="shared" ref="E5:E10" si="0">(B5*D5)/C5</f>
        <v>0</v>
      </c>
      <c r="F5" s="18">
        <f t="shared" ref="F5:F10" si="1">(B5-E5)*100/B5</f>
        <v>100</v>
      </c>
      <c r="G5" s="11"/>
      <c r="H5" s="15">
        <v>1</v>
      </c>
      <c r="I5" s="18">
        <v>100</v>
      </c>
      <c r="J5" s="18">
        <v>100</v>
      </c>
      <c r="K5" s="18">
        <v>100</v>
      </c>
      <c r="L5" s="6"/>
      <c r="M5" s="6"/>
      <c r="N5" s="6"/>
      <c r="O5" s="6"/>
    </row>
    <row r="6" spans="1:15" x14ac:dyDescent="0.3">
      <c r="A6" s="15">
        <v>2</v>
      </c>
      <c r="B6" s="16">
        <v>10</v>
      </c>
      <c r="C6" s="17">
        <v>0.14699999999999999</v>
      </c>
      <c r="D6" s="17">
        <v>0.02</v>
      </c>
      <c r="E6" s="18">
        <f t="shared" si="0"/>
        <v>1.360544217687075</v>
      </c>
      <c r="F6" s="18">
        <f t="shared" si="1"/>
        <v>86.394557823129247</v>
      </c>
      <c r="G6" s="11"/>
      <c r="H6" s="15">
        <v>2</v>
      </c>
      <c r="I6" s="18">
        <v>86.394557823129247</v>
      </c>
      <c r="J6" s="18">
        <v>83.673469387755091</v>
      </c>
      <c r="K6" s="18">
        <v>80.952380952380949</v>
      </c>
      <c r="L6" s="6"/>
      <c r="M6" s="6"/>
      <c r="N6" s="6"/>
      <c r="O6" s="6"/>
    </row>
    <row r="7" spans="1:15" x14ac:dyDescent="0.3">
      <c r="A7" s="15">
        <v>3</v>
      </c>
      <c r="B7" s="16">
        <v>10</v>
      </c>
      <c r="C7" s="17">
        <v>0.14699999999999999</v>
      </c>
      <c r="D7" s="17">
        <v>6.0999999999999999E-2</v>
      </c>
      <c r="E7" s="18">
        <f t="shared" si="0"/>
        <v>4.149659863945578</v>
      </c>
      <c r="F7" s="18">
        <f t="shared" si="1"/>
        <v>58.503401360544217</v>
      </c>
      <c r="G7" s="11"/>
      <c r="H7" s="15">
        <v>3</v>
      </c>
      <c r="I7" s="18">
        <v>58.503401360544217</v>
      </c>
      <c r="J7" s="18">
        <v>53.741496598639444</v>
      </c>
      <c r="K7" s="18">
        <v>24.489795918367339</v>
      </c>
      <c r="L7" s="6"/>
      <c r="M7" s="6"/>
      <c r="N7" s="6"/>
      <c r="O7" s="6"/>
    </row>
    <row r="8" spans="1:15" x14ac:dyDescent="0.3">
      <c r="A8" s="15">
        <v>4</v>
      </c>
      <c r="B8" s="16">
        <v>10</v>
      </c>
      <c r="C8" s="17">
        <v>0.14699999999999999</v>
      </c>
      <c r="D8" s="17">
        <v>9.1999999999999998E-2</v>
      </c>
      <c r="E8" s="18">
        <f t="shared" si="0"/>
        <v>6.2585034013605441</v>
      </c>
      <c r="F8" s="18">
        <f t="shared" si="1"/>
        <v>37.414965986394563</v>
      </c>
      <c r="G8" s="11"/>
      <c r="H8" s="15">
        <v>4</v>
      </c>
      <c r="I8" s="18">
        <v>37.414965986394563</v>
      </c>
      <c r="J8" s="18">
        <v>32.653061224489797</v>
      </c>
      <c r="K8" s="18">
        <v>5.4421768707482876</v>
      </c>
      <c r="L8" s="6"/>
      <c r="M8" s="6"/>
      <c r="N8" s="6"/>
      <c r="O8" s="6"/>
    </row>
    <row r="9" spans="1:15" x14ac:dyDescent="0.3">
      <c r="A9" s="19">
        <v>5</v>
      </c>
      <c r="B9" s="16">
        <v>10</v>
      </c>
      <c r="C9" s="17">
        <v>0.14699999999999999</v>
      </c>
      <c r="D9" s="17">
        <v>0.104</v>
      </c>
      <c r="E9" s="18">
        <f t="shared" si="0"/>
        <v>7.0748299319727899</v>
      </c>
      <c r="F9" s="18">
        <f t="shared" si="1"/>
        <v>29.251700680272101</v>
      </c>
      <c r="G9" s="20"/>
      <c r="H9" s="19">
        <v>5</v>
      </c>
      <c r="I9" s="18">
        <v>29.251700680272101</v>
      </c>
      <c r="J9" s="18">
        <v>27.891156462585023</v>
      </c>
      <c r="K9" s="18">
        <v>4.761904761904745</v>
      </c>
      <c r="L9" s="6"/>
      <c r="M9" s="6"/>
      <c r="N9" s="6"/>
      <c r="O9" s="6"/>
    </row>
    <row r="10" spans="1:15" x14ac:dyDescent="0.3">
      <c r="A10" s="16">
        <v>6</v>
      </c>
      <c r="B10" s="16">
        <v>10</v>
      </c>
      <c r="C10" s="17">
        <v>0.14699999999999999</v>
      </c>
      <c r="D10" s="17">
        <v>0.112</v>
      </c>
      <c r="E10" s="18">
        <f t="shared" si="0"/>
        <v>7.6190476190476204</v>
      </c>
      <c r="F10" s="18">
        <f t="shared" si="1"/>
        <v>23.809523809523796</v>
      </c>
      <c r="G10" s="20"/>
      <c r="H10" s="16">
        <v>6</v>
      </c>
      <c r="I10" s="18">
        <v>23.809523809523796</v>
      </c>
      <c r="J10" s="18">
        <v>25.170068027210871</v>
      </c>
      <c r="K10" s="18">
        <v>0</v>
      </c>
      <c r="L10" s="6"/>
      <c r="M10" s="6"/>
      <c r="N10" s="6"/>
      <c r="O10" s="6"/>
    </row>
    <row r="11" spans="1:15" x14ac:dyDescent="0.3">
      <c r="A11" s="21"/>
      <c r="B11" s="22"/>
      <c r="C11" s="20"/>
      <c r="D11" s="11"/>
      <c r="E11" s="21"/>
      <c r="F11" s="11"/>
      <c r="G11" s="20"/>
      <c r="H11" s="20"/>
      <c r="I11" s="20"/>
      <c r="J11" s="6"/>
      <c r="K11" s="6"/>
      <c r="L11" s="6"/>
      <c r="M11" s="6"/>
      <c r="N11" s="6"/>
      <c r="O11" s="6"/>
    </row>
    <row r="12" spans="1:15" x14ac:dyDescent="0.3">
      <c r="A12" s="7"/>
      <c r="B12" s="8" t="s">
        <v>133</v>
      </c>
      <c r="C12" s="9"/>
      <c r="D12" s="10"/>
      <c r="E12" s="10"/>
      <c r="F12" s="9"/>
      <c r="G12" s="20"/>
      <c r="H12" s="20"/>
      <c r="I12" s="20"/>
      <c r="J12" s="6"/>
      <c r="K12" s="6"/>
      <c r="L12" s="6"/>
      <c r="M12" s="6"/>
      <c r="N12" s="6"/>
      <c r="O12" s="6"/>
    </row>
    <row r="13" spans="1:15" x14ac:dyDescent="0.3">
      <c r="A13" s="13" t="s">
        <v>0</v>
      </c>
      <c r="B13" s="14" t="s">
        <v>1</v>
      </c>
      <c r="C13" s="14" t="s">
        <v>2</v>
      </c>
      <c r="D13" s="14" t="s">
        <v>3</v>
      </c>
      <c r="E13" s="14" t="s">
        <v>4</v>
      </c>
      <c r="F13" s="14" t="s">
        <v>5</v>
      </c>
      <c r="G13" s="20"/>
      <c r="H13" s="20"/>
      <c r="I13" s="20"/>
      <c r="J13" s="6"/>
      <c r="K13" s="6"/>
      <c r="L13" s="6"/>
      <c r="M13" s="6"/>
      <c r="N13" s="6"/>
      <c r="O13" s="6"/>
    </row>
    <row r="14" spans="1:15" x14ac:dyDescent="0.3">
      <c r="A14" s="15">
        <v>1</v>
      </c>
      <c r="B14" s="16">
        <v>10</v>
      </c>
      <c r="C14" s="17">
        <v>0.14699999999999999</v>
      </c>
      <c r="D14" s="17">
        <v>0</v>
      </c>
      <c r="E14" s="18">
        <f t="shared" ref="E14:E19" si="2">(B14*D14)/C14</f>
        <v>0</v>
      </c>
      <c r="F14" s="18">
        <f t="shared" ref="F14:F19" si="3">(B14-E14)*100/B14</f>
        <v>100</v>
      </c>
      <c r="G14" s="20"/>
      <c r="H14" s="20"/>
      <c r="I14" s="20"/>
      <c r="J14" s="6"/>
      <c r="K14" s="6"/>
      <c r="L14" s="6"/>
      <c r="M14" s="6"/>
      <c r="N14" s="6"/>
      <c r="O14" s="6"/>
    </row>
    <row r="15" spans="1:15" x14ac:dyDescent="0.3">
      <c r="A15" s="15">
        <v>2</v>
      </c>
      <c r="B15" s="16">
        <v>10</v>
      </c>
      <c r="C15" s="17">
        <v>0.14699999999999999</v>
      </c>
      <c r="D15" s="17">
        <v>2.4E-2</v>
      </c>
      <c r="E15" s="18">
        <f t="shared" si="2"/>
        <v>1.6326530612244898</v>
      </c>
      <c r="F15" s="18">
        <f t="shared" si="3"/>
        <v>83.673469387755091</v>
      </c>
      <c r="G15" s="20"/>
      <c r="H15" s="20"/>
      <c r="I15" s="20"/>
      <c r="J15" s="6"/>
      <c r="K15" s="6"/>
      <c r="L15" s="6"/>
      <c r="M15" s="6"/>
      <c r="N15" s="6"/>
      <c r="O15" s="6"/>
    </row>
    <row r="16" spans="1:15" x14ac:dyDescent="0.3">
      <c r="A16" s="15">
        <v>3</v>
      </c>
      <c r="B16" s="16">
        <v>10</v>
      </c>
      <c r="C16" s="17">
        <v>0.14699999999999999</v>
      </c>
      <c r="D16" s="17">
        <v>6.8000000000000005E-2</v>
      </c>
      <c r="E16" s="18">
        <f t="shared" si="2"/>
        <v>4.6258503401360551</v>
      </c>
      <c r="F16" s="18">
        <f t="shared" si="3"/>
        <v>53.741496598639444</v>
      </c>
      <c r="G16" s="20"/>
      <c r="H16" s="20"/>
      <c r="I16" s="20"/>
      <c r="J16" s="6"/>
      <c r="K16" s="6"/>
      <c r="L16" s="6"/>
      <c r="M16" s="6"/>
      <c r="N16" s="6"/>
      <c r="O16" s="6"/>
    </row>
    <row r="17" spans="1:31" x14ac:dyDescent="0.3">
      <c r="A17" s="15">
        <v>4</v>
      </c>
      <c r="B17" s="16">
        <v>10</v>
      </c>
      <c r="C17" s="17">
        <v>0.14699999999999999</v>
      </c>
      <c r="D17" s="17">
        <v>9.9000000000000005E-2</v>
      </c>
      <c r="E17" s="18">
        <f t="shared" si="2"/>
        <v>6.7346938775510203</v>
      </c>
      <c r="F17" s="18">
        <f t="shared" si="3"/>
        <v>32.653061224489797</v>
      </c>
      <c r="G17" s="20"/>
      <c r="H17" s="20"/>
      <c r="I17" s="20"/>
      <c r="J17" s="6"/>
      <c r="K17" s="6"/>
      <c r="L17" s="6"/>
      <c r="M17" s="6"/>
      <c r="N17" s="6"/>
      <c r="O17" s="6"/>
    </row>
    <row r="18" spans="1:31" x14ac:dyDescent="0.3">
      <c r="A18" s="19">
        <v>5</v>
      </c>
      <c r="B18" s="16">
        <v>10</v>
      </c>
      <c r="C18" s="17">
        <v>0.14699999999999999</v>
      </c>
      <c r="D18" s="17">
        <v>0.106</v>
      </c>
      <c r="E18" s="18">
        <f t="shared" si="2"/>
        <v>7.2108843537414975</v>
      </c>
      <c r="F18" s="18">
        <f t="shared" si="3"/>
        <v>27.891156462585023</v>
      </c>
      <c r="G18" s="20"/>
      <c r="H18" s="20"/>
      <c r="I18" s="20"/>
      <c r="J18" s="6"/>
      <c r="K18" s="6"/>
      <c r="L18" s="6"/>
      <c r="M18" s="6"/>
      <c r="N18" s="6"/>
      <c r="O18" s="6"/>
    </row>
    <row r="19" spans="1:31" x14ac:dyDescent="0.3">
      <c r="A19" s="16">
        <v>6</v>
      </c>
      <c r="B19" s="16">
        <v>10</v>
      </c>
      <c r="C19" s="17">
        <v>0.14699999999999999</v>
      </c>
      <c r="D19" s="17">
        <v>0.11</v>
      </c>
      <c r="E19" s="18">
        <f t="shared" si="2"/>
        <v>7.4829931972789128</v>
      </c>
      <c r="F19" s="18">
        <f t="shared" si="3"/>
        <v>25.170068027210871</v>
      </c>
      <c r="G19" s="20"/>
      <c r="H19" s="20"/>
      <c r="I19" s="20"/>
      <c r="J19" s="6"/>
      <c r="K19" s="6"/>
      <c r="L19" s="6"/>
      <c r="M19" s="6"/>
      <c r="N19" s="6"/>
      <c r="O19" s="6"/>
    </row>
    <row r="20" spans="1:31" x14ac:dyDescent="0.3">
      <c r="A20" s="22"/>
      <c r="B20" s="20"/>
      <c r="C20" s="20"/>
      <c r="D20" s="20"/>
      <c r="E20" s="20"/>
      <c r="F20" s="20"/>
      <c r="G20" s="20"/>
      <c r="H20" s="20"/>
      <c r="I20" s="20"/>
      <c r="J20" s="6"/>
      <c r="K20" s="6"/>
      <c r="L20" s="6"/>
      <c r="M20" s="6"/>
      <c r="N20" s="6"/>
      <c r="O20" s="6"/>
    </row>
    <row r="21" spans="1:31" x14ac:dyDescent="0.3">
      <c r="A21" s="7"/>
      <c r="B21" s="8" t="s">
        <v>134</v>
      </c>
      <c r="C21" s="9"/>
      <c r="D21" s="10"/>
      <c r="E21" s="10"/>
      <c r="F21" s="9"/>
      <c r="G21" s="20"/>
      <c r="H21" s="20"/>
      <c r="I21" s="20"/>
      <c r="J21" s="6"/>
      <c r="K21" s="6"/>
      <c r="L21" s="6"/>
      <c r="M21" s="6"/>
      <c r="N21" s="6"/>
      <c r="O21" s="6"/>
    </row>
    <row r="22" spans="1:31" x14ac:dyDescent="0.3">
      <c r="A22" s="13" t="s">
        <v>0</v>
      </c>
      <c r="B22" s="14" t="s">
        <v>1</v>
      </c>
      <c r="C22" s="14" t="s">
        <v>2</v>
      </c>
      <c r="D22" s="14" t="s">
        <v>3</v>
      </c>
      <c r="E22" s="14" t="s">
        <v>4</v>
      </c>
      <c r="F22" s="14" t="s">
        <v>5</v>
      </c>
      <c r="G22" s="20"/>
      <c r="H22" s="20"/>
      <c r="I22" s="20"/>
      <c r="J22" s="6"/>
      <c r="K22" s="6"/>
      <c r="L22" s="6"/>
      <c r="M22" s="6"/>
      <c r="N22" s="6"/>
      <c r="O22" s="6"/>
    </row>
    <row r="23" spans="1:31" x14ac:dyDescent="0.3">
      <c r="A23" s="15">
        <v>1</v>
      </c>
      <c r="B23" s="16">
        <v>10</v>
      </c>
      <c r="C23" s="17">
        <v>0.14699999999999999</v>
      </c>
      <c r="D23" s="17">
        <v>0</v>
      </c>
      <c r="E23" s="18">
        <f t="shared" ref="E23:E28" si="4">(B23*D23)/C23</f>
        <v>0</v>
      </c>
      <c r="F23" s="18">
        <f t="shared" ref="F23:F28" si="5">(B23-E23)*100/B23</f>
        <v>100</v>
      </c>
      <c r="G23" s="20"/>
      <c r="H23" s="20"/>
      <c r="I23" s="20"/>
      <c r="J23" s="6"/>
      <c r="K23" s="6"/>
      <c r="L23" s="6"/>
      <c r="M23" s="6"/>
      <c r="N23" s="6"/>
      <c r="O23" s="6"/>
    </row>
    <row r="24" spans="1:31" x14ac:dyDescent="0.3">
      <c r="A24" s="15">
        <v>2</v>
      </c>
      <c r="B24" s="16">
        <v>10</v>
      </c>
      <c r="C24" s="17">
        <v>0.14699999999999999</v>
      </c>
      <c r="D24" s="17">
        <v>2.8000000000000001E-2</v>
      </c>
      <c r="E24" s="18">
        <f t="shared" si="4"/>
        <v>1.9047619047619051</v>
      </c>
      <c r="F24" s="18">
        <f t="shared" si="5"/>
        <v>80.952380952380949</v>
      </c>
      <c r="G24" s="20"/>
      <c r="H24" s="20"/>
      <c r="I24" s="20"/>
      <c r="J24" s="6"/>
      <c r="K24" s="6"/>
      <c r="L24" s="6"/>
      <c r="M24" s="6"/>
      <c r="N24" s="6"/>
      <c r="O24" s="6"/>
    </row>
    <row r="25" spans="1:31" x14ac:dyDescent="0.3">
      <c r="A25" s="15">
        <v>3</v>
      </c>
      <c r="B25" s="16">
        <v>10</v>
      </c>
      <c r="C25" s="17">
        <v>0.14699999999999999</v>
      </c>
      <c r="D25" s="17">
        <v>0.111</v>
      </c>
      <c r="E25" s="18">
        <f t="shared" si="4"/>
        <v>7.5510204081632661</v>
      </c>
      <c r="F25" s="18">
        <f t="shared" si="5"/>
        <v>24.489795918367339</v>
      </c>
      <c r="G25" s="20"/>
      <c r="H25" s="20"/>
      <c r="I25" s="20"/>
      <c r="J25" s="6"/>
      <c r="K25" s="6"/>
      <c r="L25" s="6"/>
      <c r="M25" s="6"/>
      <c r="N25" s="6"/>
      <c r="O25" s="6"/>
    </row>
    <row r="26" spans="1:31" x14ac:dyDescent="0.3">
      <c r="A26" s="15">
        <v>4</v>
      </c>
      <c r="B26" s="16">
        <v>10</v>
      </c>
      <c r="C26" s="17">
        <v>0.14699999999999999</v>
      </c>
      <c r="D26" s="17">
        <v>0.13900000000000001</v>
      </c>
      <c r="E26" s="18">
        <f t="shared" si="4"/>
        <v>9.4557823129251712</v>
      </c>
      <c r="F26" s="18">
        <f t="shared" si="5"/>
        <v>5.4421768707482876</v>
      </c>
      <c r="G26" s="20"/>
      <c r="H26" s="20"/>
      <c r="I26" s="20"/>
      <c r="J26" s="6"/>
      <c r="K26" s="6"/>
      <c r="L26" s="6"/>
      <c r="M26" s="6"/>
      <c r="N26" s="6"/>
      <c r="O26" s="6"/>
    </row>
    <row r="27" spans="1:31" x14ac:dyDescent="0.3">
      <c r="A27" s="19">
        <v>5</v>
      </c>
      <c r="B27" s="16">
        <v>10</v>
      </c>
      <c r="C27" s="17">
        <v>0.14699999999999999</v>
      </c>
      <c r="D27" s="17">
        <v>0.14000000000000001</v>
      </c>
      <c r="E27" s="18">
        <f t="shared" si="4"/>
        <v>9.5238095238095255</v>
      </c>
      <c r="F27" s="18">
        <f t="shared" si="5"/>
        <v>4.761904761904745</v>
      </c>
      <c r="G27" s="20"/>
      <c r="H27" s="20"/>
      <c r="I27" s="20"/>
      <c r="J27" s="6"/>
      <c r="K27" s="6"/>
      <c r="L27" s="6"/>
      <c r="M27" s="6"/>
      <c r="N27" s="6"/>
      <c r="O27" s="6"/>
    </row>
    <row r="28" spans="1:31" x14ac:dyDescent="0.3">
      <c r="A28" s="16">
        <v>6</v>
      </c>
      <c r="B28" s="16">
        <v>10</v>
      </c>
      <c r="C28" s="17">
        <v>0.14699999999999999</v>
      </c>
      <c r="D28" s="17">
        <v>0.14699999999999999</v>
      </c>
      <c r="E28" s="18">
        <f t="shared" si="4"/>
        <v>10</v>
      </c>
      <c r="F28" s="18">
        <f t="shared" si="5"/>
        <v>0</v>
      </c>
      <c r="G28" s="20"/>
      <c r="H28" s="20"/>
      <c r="I28" s="20"/>
      <c r="J28" s="6"/>
      <c r="K28" s="6"/>
      <c r="L28" s="6"/>
      <c r="M28" s="6"/>
      <c r="N28" s="6"/>
      <c r="O28" s="6"/>
    </row>
    <row r="29" spans="1:31" x14ac:dyDescent="0.3">
      <c r="A29" s="20"/>
      <c r="B29" s="20"/>
      <c r="C29" s="20"/>
      <c r="D29" s="20"/>
      <c r="E29" s="20"/>
      <c r="F29" s="20"/>
      <c r="G29" s="20"/>
      <c r="H29" s="20"/>
      <c r="I29" s="20"/>
      <c r="J29" s="6"/>
      <c r="K29" s="6"/>
      <c r="L29" s="6"/>
      <c r="M29" s="6"/>
      <c r="N29" s="6"/>
      <c r="O29" s="6"/>
    </row>
    <row r="30" spans="1:31" x14ac:dyDescent="0.3">
      <c r="A30" s="20"/>
      <c r="B30" s="20"/>
      <c r="C30" s="20"/>
      <c r="D30" s="20"/>
      <c r="E30" s="20"/>
      <c r="F30" s="20"/>
      <c r="G30" s="20"/>
      <c r="H30" s="20"/>
      <c r="I30" s="20"/>
      <c r="J30" s="6"/>
      <c r="K30" s="6"/>
      <c r="L30" s="6"/>
      <c r="M30" s="6"/>
      <c r="N30" s="6"/>
      <c r="O30" s="6"/>
    </row>
    <row r="31" spans="1:31" x14ac:dyDescent="0.3">
      <c r="A31" s="4" t="s">
        <v>10</v>
      </c>
      <c r="B31" s="5"/>
      <c r="C31" s="5"/>
      <c r="D31" s="5"/>
      <c r="E31" s="5"/>
      <c r="F31" s="5"/>
      <c r="G31" s="20"/>
      <c r="H31" s="20"/>
      <c r="I31" s="20"/>
      <c r="J31" s="6"/>
      <c r="K31" s="6"/>
      <c r="L31" s="6"/>
      <c r="M31" s="6"/>
      <c r="N31" s="6"/>
      <c r="O31" s="6"/>
    </row>
    <row r="32" spans="1:31" x14ac:dyDescent="0.3">
      <c r="A32" s="7"/>
      <c r="B32" s="8" t="s">
        <v>11</v>
      </c>
      <c r="C32" s="9"/>
      <c r="D32" s="10"/>
      <c r="E32" s="10"/>
      <c r="F32" s="9"/>
      <c r="G32" s="9"/>
      <c r="H32" s="33"/>
      <c r="I32" s="33"/>
      <c r="K32" s="33"/>
      <c r="L32" s="9" t="s">
        <v>188</v>
      </c>
      <c r="M32" s="9"/>
      <c r="N32" s="9"/>
      <c r="Q32" s="33" t="s">
        <v>189</v>
      </c>
      <c r="R32" s="33"/>
      <c r="S32" s="33"/>
      <c r="AA32" s="33" t="s">
        <v>193</v>
      </c>
      <c r="AB32" s="33"/>
      <c r="AC32" s="33"/>
      <c r="AD32" s="33"/>
      <c r="AE32" s="33"/>
    </row>
    <row r="33" spans="1:31" x14ac:dyDescent="0.3">
      <c r="A33" s="13" t="s">
        <v>14</v>
      </c>
      <c r="B33" s="14" t="s">
        <v>1</v>
      </c>
      <c r="C33" s="14" t="s">
        <v>2</v>
      </c>
      <c r="D33" s="14" t="s">
        <v>3</v>
      </c>
      <c r="E33" s="14" t="s">
        <v>4</v>
      </c>
      <c r="F33" s="14" t="s">
        <v>5</v>
      </c>
      <c r="G33" s="9" t="s">
        <v>24</v>
      </c>
      <c r="H33" s="102" t="s">
        <v>187</v>
      </c>
      <c r="I33" s="102" t="s">
        <v>25</v>
      </c>
      <c r="K33" s="13" t="s">
        <v>15</v>
      </c>
      <c r="L33" s="31" t="s">
        <v>6</v>
      </c>
      <c r="M33" s="32" t="s">
        <v>7</v>
      </c>
      <c r="N33" s="32" t="s">
        <v>8</v>
      </c>
      <c r="P33" s="13" t="s">
        <v>15</v>
      </c>
      <c r="Q33" s="31" t="s">
        <v>6</v>
      </c>
      <c r="R33" s="32" t="s">
        <v>7</v>
      </c>
      <c r="S33" s="32" t="s">
        <v>8</v>
      </c>
      <c r="AA33" s="80" t="s">
        <v>194</v>
      </c>
      <c r="AB33" s="31" t="s">
        <v>6</v>
      </c>
      <c r="AC33" s="32" t="s">
        <v>7</v>
      </c>
      <c r="AD33" s="32" t="s">
        <v>8</v>
      </c>
      <c r="AE33" s="33"/>
    </row>
    <row r="34" spans="1:31" x14ac:dyDescent="0.3">
      <c r="A34" s="18">
        <v>0.02</v>
      </c>
      <c r="B34" s="16">
        <v>10</v>
      </c>
      <c r="C34" s="17">
        <v>0.14699999999999999</v>
      </c>
      <c r="D34" s="17">
        <v>8.7999999999999995E-2</v>
      </c>
      <c r="E34" s="18">
        <f t="shared" ref="E34:E38" si="6">(B34*D34)/C34</f>
        <v>5.9863945578231288</v>
      </c>
      <c r="F34" s="18">
        <f t="shared" ref="F34:F38" si="7">(B34-E34)*100/B34</f>
        <v>40.136054421768712</v>
      </c>
      <c r="G34" s="10">
        <f>B34-E34</f>
        <v>4.0136054421768712</v>
      </c>
      <c r="H34" s="46">
        <f>(A34/50)*1000</f>
        <v>0.4</v>
      </c>
      <c r="I34" s="46">
        <f>G34/H34</f>
        <v>10.034013605442178</v>
      </c>
      <c r="K34" s="18">
        <v>0.4</v>
      </c>
      <c r="L34" s="18">
        <v>40.136054421768712</v>
      </c>
      <c r="M34" s="18">
        <v>38.775510204081641</v>
      </c>
      <c r="N34" s="18">
        <v>54.42176870748299</v>
      </c>
      <c r="P34" s="18">
        <v>0.4</v>
      </c>
      <c r="Q34" s="46">
        <v>10.034013605442178</v>
      </c>
      <c r="R34" s="46">
        <v>9.6938775510204085</v>
      </c>
      <c r="S34" s="46">
        <v>13.605442176870747</v>
      </c>
      <c r="AA34" s="33">
        <v>10</v>
      </c>
      <c r="AB34" s="46">
        <v>0</v>
      </c>
      <c r="AC34" s="46">
        <v>0</v>
      </c>
      <c r="AD34" s="46">
        <v>0</v>
      </c>
      <c r="AE34" s="33"/>
    </row>
    <row r="35" spans="1:31" x14ac:dyDescent="0.3">
      <c r="A35" s="18">
        <v>0.04</v>
      </c>
      <c r="B35" s="16">
        <v>10</v>
      </c>
      <c r="C35" s="17">
        <v>0.14699999999999999</v>
      </c>
      <c r="D35" s="17">
        <v>7.0000000000000007E-2</v>
      </c>
      <c r="E35" s="18">
        <f t="shared" si="6"/>
        <v>4.7619047619047628</v>
      </c>
      <c r="F35" s="18">
        <f t="shared" si="7"/>
        <v>52.380952380952372</v>
      </c>
      <c r="G35" s="10">
        <f t="shared" ref="G35:G38" si="8">B35-E35</f>
        <v>5.2380952380952372</v>
      </c>
      <c r="H35" s="46">
        <f t="shared" ref="H35:H38" si="9">(A35/50)*1000</f>
        <v>0.8</v>
      </c>
      <c r="I35" s="46">
        <f t="shared" ref="I35:I38" si="10">G35/H35</f>
        <v>6.5476190476190466</v>
      </c>
      <c r="K35" s="18">
        <v>0.8</v>
      </c>
      <c r="L35" s="18">
        <v>52.38</v>
      </c>
      <c r="M35" s="18">
        <v>48.299319727891152</v>
      </c>
      <c r="N35" s="18">
        <v>76.190476190476176</v>
      </c>
      <c r="P35" s="18">
        <v>0.8</v>
      </c>
      <c r="Q35" s="46">
        <v>6.5476190476190466</v>
      </c>
      <c r="R35" s="46">
        <v>6.037414965986394</v>
      </c>
      <c r="S35" s="46">
        <v>9.5238095238095219</v>
      </c>
      <c r="AA35" s="33">
        <v>15</v>
      </c>
      <c r="AB35" s="46">
        <v>21.014795154639181</v>
      </c>
      <c r="AC35" s="46">
        <v>16.273860824742258</v>
      </c>
      <c r="AD35" s="46">
        <v>8.5980505154639104</v>
      </c>
      <c r="AE35" s="33"/>
    </row>
    <row r="36" spans="1:31" x14ac:dyDescent="0.3">
      <c r="A36" s="18">
        <v>0.06</v>
      </c>
      <c r="B36" s="16">
        <v>10</v>
      </c>
      <c r="C36" s="17">
        <v>0.14699999999999999</v>
      </c>
      <c r="D36" s="17">
        <v>5.8999999999999997E-2</v>
      </c>
      <c r="E36" s="18">
        <f t="shared" si="6"/>
        <v>4.0136054421768703</v>
      </c>
      <c r="F36" s="18">
        <f t="shared" si="7"/>
        <v>59.863945578231302</v>
      </c>
      <c r="G36" s="10">
        <f t="shared" si="8"/>
        <v>5.9863945578231297</v>
      </c>
      <c r="H36" s="46">
        <f t="shared" si="9"/>
        <v>1.2</v>
      </c>
      <c r="I36" s="46">
        <f t="shared" si="10"/>
        <v>4.9886621315192752</v>
      </c>
      <c r="K36" s="18">
        <v>1.2</v>
      </c>
      <c r="L36" s="18">
        <v>59.863945578231302</v>
      </c>
      <c r="M36" s="18">
        <v>55.782312925170075</v>
      </c>
      <c r="N36" s="18">
        <v>94.557823129251702</v>
      </c>
      <c r="P36" s="18">
        <v>1.2</v>
      </c>
      <c r="Q36" s="46">
        <v>4.9886621315192752</v>
      </c>
      <c r="R36" s="46">
        <v>4.6485260770975056</v>
      </c>
      <c r="S36" s="46">
        <v>7.8798185941043082</v>
      </c>
      <c r="AA36" s="33">
        <v>20</v>
      </c>
      <c r="AB36" s="46">
        <v>34.136801811023624</v>
      </c>
      <c r="AC36" s="46">
        <v>30.483618110236222</v>
      </c>
      <c r="AD36" s="46">
        <v>13.492928346456679</v>
      </c>
      <c r="AE36" s="33"/>
    </row>
    <row r="37" spans="1:31" x14ac:dyDescent="0.3">
      <c r="A37" s="18">
        <v>0.08</v>
      </c>
      <c r="B37" s="16">
        <v>10</v>
      </c>
      <c r="C37" s="17">
        <v>0.14699999999999999</v>
      </c>
      <c r="D37" s="17">
        <v>0.05</v>
      </c>
      <c r="E37" s="18">
        <f t="shared" si="6"/>
        <v>3.4013605442176873</v>
      </c>
      <c r="F37" s="18">
        <f t="shared" si="7"/>
        <v>65.986394557823132</v>
      </c>
      <c r="G37" s="10">
        <f t="shared" si="8"/>
        <v>6.5986394557823127</v>
      </c>
      <c r="H37" s="46">
        <f t="shared" si="9"/>
        <v>1.6</v>
      </c>
      <c r="I37" s="46">
        <f t="shared" si="10"/>
        <v>4.1241496598639449</v>
      </c>
      <c r="K37" s="18">
        <v>1.6</v>
      </c>
      <c r="L37" s="18">
        <v>65.986394557823132</v>
      </c>
      <c r="M37" s="18">
        <v>65.306122448979593</v>
      </c>
      <c r="N37" s="18">
        <v>100</v>
      </c>
      <c r="P37" s="18">
        <v>1.6</v>
      </c>
      <c r="Q37" s="46">
        <v>4.1241496598639449</v>
      </c>
      <c r="R37" s="46">
        <v>4.0816326530612246</v>
      </c>
      <c r="S37" s="46">
        <v>6.25</v>
      </c>
      <c r="AA37" s="33">
        <v>25</v>
      </c>
      <c r="AB37" s="46">
        <v>41.274768260869564</v>
      </c>
      <c r="AC37" s="46">
        <v>37.267009316770185</v>
      </c>
      <c r="AD37" s="46">
        <v>19.816594409937892</v>
      </c>
      <c r="AE37" s="33"/>
    </row>
    <row r="38" spans="1:31" x14ac:dyDescent="0.3">
      <c r="A38" s="24">
        <v>0.1</v>
      </c>
      <c r="B38" s="16">
        <v>10</v>
      </c>
      <c r="C38" s="17">
        <v>0.14699999999999999</v>
      </c>
      <c r="D38" s="25">
        <v>3.4000000000000002E-2</v>
      </c>
      <c r="E38" s="18">
        <f t="shared" si="6"/>
        <v>2.3129251700680276</v>
      </c>
      <c r="F38" s="18">
        <f t="shared" si="7"/>
        <v>76.870748299319729</v>
      </c>
      <c r="G38" s="10">
        <f t="shared" si="8"/>
        <v>7.6870748299319729</v>
      </c>
      <c r="H38" s="46">
        <f t="shared" si="9"/>
        <v>2</v>
      </c>
      <c r="I38" s="46">
        <f t="shared" si="10"/>
        <v>3.8435374149659864</v>
      </c>
      <c r="J38" s="6"/>
      <c r="K38" s="23">
        <v>2</v>
      </c>
      <c r="L38" s="18">
        <v>76.870748299319729</v>
      </c>
      <c r="M38" s="18">
        <v>76.870748299319729</v>
      </c>
      <c r="N38" s="18">
        <v>100</v>
      </c>
      <c r="P38" s="23">
        <v>2</v>
      </c>
      <c r="Q38" s="10">
        <v>3.8435374149659864</v>
      </c>
      <c r="R38" s="46">
        <v>3.8435374149659864</v>
      </c>
      <c r="S38" s="46">
        <v>5</v>
      </c>
      <c r="AA38" s="33">
        <v>30</v>
      </c>
      <c r="AB38" s="46">
        <v>48.897956666666666</v>
      </c>
      <c r="AC38" s="46">
        <v>43.961833333333338</v>
      </c>
      <c r="AD38" s="46">
        <v>26.253033333333335</v>
      </c>
      <c r="AE38" s="33"/>
    </row>
    <row r="39" spans="1:31" x14ac:dyDescent="0.3">
      <c r="A39" s="16"/>
      <c r="B39" s="16"/>
      <c r="C39" s="17"/>
      <c r="D39" s="17"/>
      <c r="E39" s="18"/>
      <c r="F39" s="18"/>
      <c r="G39" s="11"/>
      <c r="H39" s="20"/>
      <c r="I39" s="20"/>
      <c r="J39" s="6"/>
      <c r="K39" s="6"/>
      <c r="L39" s="6"/>
      <c r="M39" s="6"/>
      <c r="N39" s="6"/>
      <c r="O39" s="6"/>
      <c r="AA39" s="33">
        <v>35</v>
      </c>
      <c r="AB39" s="46">
        <v>52.340553657957244</v>
      </c>
      <c r="AC39" s="46">
        <v>47.200471496437061</v>
      </c>
      <c r="AD39" s="46">
        <v>35.424213064133021</v>
      </c>
      <c r="AE39" s="33"/>
    </row>
    <row r="40" spans="1:31" x14ac:dyDescent="0.3">
      <c r="A40" s="21"/>
      <c r="B40" s="22"/>
      <c r="C40" s="20"/>
      <c r="D40" s="11"/>
      <c r="E40" s="21"/>
      <c r="F40" s="11"/>
      <c r="G40" s="20"/>
      <c r="H40" s="20"/>
      <c r="I40" s="20"/>
      <c r="J40" s="6"/>
      <c r="K40" s="6"/>
      <c r="L40" s="6"/>
      <c r="M40" s="6"/>
      <c r="N40" s="6"/>
      <c r="O40" s="6"/>
    </row>
    <row r="41" spans="1:31" x14ac:dyDescent="0.3">
      <c r="A41" s="7"/>
      <c r="B41" s="8" t="s">
        <v>12</v>
      </c>
      <c r="C41" s="9"/>
      <c r="D41" s="10"/>
      <c r="E41" s="10"/>
      <c r="F41" s="9"/>
      <c r="G41" s="9"/>
      <c r="H41" s="33"/>
      <c r="I41" s="33"/>
      <c r="J41" s="6"/>
      <c r="K41" s="6"/>
      <c r="L41" s="6"/>
      <c r="M41" s="6"/>
      <c r="N41" s="6"/>
      <c r="O41" s="6"/>
    </row>
    <row r="42" spans="1:31" x14ac:dyDescent="0.3">
      <c r="A42" s="13" t="s">
        <v>14</v>
      </c>
      <c r="B42" s="14" t="s">
        <v>1</v>
      </c>
      <c r="C42" s="14" t="s">
        <v>2</v>
      </c>
      <c r="D42" s="14" t="s">
        <v>3</v>
      </c>
      <c r="E42" s="14" t="s">
        <v>4</v>
      </c>
      <c r="F42" s="14" t="s">
        <v>5</v>
      </c>
      <c r="G42" s="9" t="s">
        <v>24</v>
      </c>
      <c r="H42" s="102" t="s">
        <v>187</v>
      </c>
      <c r="I42" s="102" t="s">
        <v>25</v>
      </c>
      <c r="J42" s="6"/>
      <c r="K42" s="6"/>
      <c r="L42" s="6"/>
      <c r="M42" s="6"/>
      <c r="N42" s="6"/>
      <c r="O42" s="6"/>
    </row>
    <row r="43" spans="1:31" x14ac:dyDescent="0.3">
      <c r="A43" s="18">
        <v>0.02</v>
      </c>
      <c r="B43" s="16">
        <v>10</v>
      </c>
      <c r="C43" s="17">
        <v>0.14699999999999999</v>
      </c>
      <c r="D43" s="17">
        <v>0.09</v>
      </c>
      <c r="E43" s="18">
        <f t="shared" ref="E43:E47" si="11">(B43*D43)/C43</f>
        <v>6.1224489795918364</v>
      </c>
      <c r="F43" s="18">
        <f t="shared" ref="F43:F47" si="12">(B43-E43)*100/B43</f>
        <v>38.775510204081641</v>
      </c>
      <c r="G43" s="10">
        <f>B43-E43</f>
        <v>3.8775510204081636</v>
      </c>
      <c r="H43" s="46">
        <f>(A43/50)*1000</f>
        <v>0.4</v>
      </c>
      <c r="I43" s="46">
        <f>G43/H43</f>
        <v>9.6938775510204085</v>
      </c>
      <c r="J43" s="6"/>
      <c r="K43" s="6"/>
      <c r="L43" s="6"/>
      <c r="M43" s="6"/>
      <c r="N43" s="6"/>
      <c r="O43" s="6"/>
    </row>
    <row r="44" spans="1:31" x14ac:dyDescent="0.3">
      <c r="A44" s="18">
        <v>0.04</v>
      </c>
      <c r="B44" s="16">
        <v>10</v>
      </c>
      <c r="C44" s="17">
        <v>0.14699999999999999</v>
      </c>
      <c r="D44" s="17">
        <v>7.5999999999999998E-2</v>
      </c>
      <c r="E44" s="18">
        <f t="shared" si="11"/>
        <v>5.1700680272108848</v>
      </c>
      <c r="F44" s="18">
        <f t="shared" si="12"/>
        <v>48.299319727891152</v>
      </c>
      <c r="G44" s="10">
        <f t="shared" ref="G44:G47" si="13">B44-E44</f>
        <v>4.8299319727891152</v>
      </c>
      <c r="H44" s="46">
        <f t="shared" ref="H44:H47" si="14">(A44/50)*1000</f>
        <v>0.8</v>
      </c>
      <c r="I44" s="46">
        <f t="shared" ref="I44:I47" si="15">G44/H44</f>
        <v>6.037414965986394</v>
      </c>
      <c r="J44" s="6"/>
      <c r="K44" s="6"/>
      <c r="L44" s="6"/>
      <c r="M44" s="6"/>
      <c r="N44" s="6"/>
      <c r="O44" s="6"/>
    </row>
    <row r="45" spans="1:31" x14ac:dyDescent="0.3">
      <c r="A45" s="18">
        <v>0.06</v>
      </c>
      <c r="B45" s="16">
        <v>10</v>
      </c>
      <c r="C45" s="17">
        <v>0.14699999999999999</v>
      </c>
      <c r="D45" s="17">
        <v>6.5000000000000002E-2</v>
      </c>
      <c r="E45" s="18">
        <f t="shared" si="11"/>
        <v>4.4217687074829932</v>
      </c>
      <c r="F45" s="18">
        <f t="shared" si="12"/>
        <v>55.782312925170075</v>
      </c>
      <c r="G45" s="10">
        <f t="shared" si="13"/>
        <v>5.5782312925170068</v>
      </c>
      <c r="H45" s="46">
        <f t="shared" si="14"/>
        <v>1.2</v>
      </c>
      <c r="I45" s="46">
        <f t="shared" si="15"/>
        <v>4.6485260770975056</v>
      </c>
      <c r="J45" s="6"/>
      <c r="K45" s="6"/>
      <c r="L45" s="6"/>
      <c r="M45" s="6"/>
      <c r="N45" s="6"/>
      <c r="O45" s="6"/>
    </row>
    <row r="46" spans="1:31" x14ac:dyDescent="0.3">
      <c r="A46" s="18">
        <v>0.08</v>
      </c>
      <c r="B46" s="16">
        <v>10</v>
      </c>
      <c r="C46" s="17">
        <v>0.14699999999999999</v>
      </c>
      <c r="D46" s="17">
        <v>5.0999999999999997E-2</v>
      </c>
      <c r="E46" s="18">
        <f t="shared" si="11"/>
        <v>3.4693877551020411</v>
      </c>
      <c r="F46" s="18">
        <f t="shared" si="12"/>
        <v>65.306122448979593</v>
      </c>
      <c r="G46" s="10">
        <f t="shared" si="13"/>
        <v>6.5306122448979593</v>
      </c>
      <c r="H46" s="46">
        <f t="shared" si="14"/>
        <v>1.6</v>
      </c>
      <c r="I46" s="46">
        <f t="shared" si="15"/>
        <v>4.0816326530612246</v>
      </c>
      <c r="J46" s="6"/>
      <c r="K46" s="6"/>
      <c r="L46" s="6"/>
      <c r="M46" s="6"/>
      <c r="N46" s="6"/>
      <c r="O46" s="6"/>
    </row>
    <row r="47" spans="1:31" x14ac:dyDescent="0.3">
      <c r="A47" s="24">
        <v>0.1</v>
      </c>
      <c r="B47" s="16">
        <v>10</v>
      </c>
      <c r="C47" s="25">
        <v>0.14699999999999999</v>
      </c>
      <c r="D47" s="25">
        <v>3.4000000000000002E-2</v>
      </c>
      <c r="E47" s="26">
        <f t="shared" si="11"/>
        <v>2.3129251700680276</v>
      </c>
      <c r="F47" s="26">
        <f t="shared" si="12"/>
        <v>76.870748299319729</v>
      </c>
      <c r="G47" s="10">
        <f t="shared" si="13"/>
        <v>7.6870748299319729</v>
      </c>
      <c r="H47" s="46">
        <f t="shared" si="14"/>
        <v>2</v>
      </c>
      <c r="I47" s="46">
        <f t="shared" si="15"/>
        <v>3.8435374149659864</v>
      </c>
      <c r="J47" s="6"/>
      <c r="K47" s="6"/>
      <c r="L47" s="6"/>
      <c r="M47" s="6"/>
      <c r="N47" s="6"/>
      <c r="O47" s="6"/>
    </row>
    <row r="48" spans="1:31" x14ac:dyDescent="0.3">
      <c r="A48" s="27"/>
      <c r="B48" s="27"/>
      <c r="C48" s="28"/>
      <c r="D48" s="28"/>
      <c r="E48" s="29"/>
      <c r="F48" s="29"/>
      <c r="G48" s="20"/>
      <c r="H48" s="20"/>
      <c r="I48" s="20"/>
      <c r="J48" s="6"/>
      <c r="K48" s="6"/>
      <c r="L48" s="6"/>
      <c r="M48" s="6"/>
      <c r="N48" s="6"/>
      <c r="O48" s="6"/>
    </row>
    <row r="49" spans="1:17" x14ac:dyDescent="0.3">
      <c r="A49" s="22"/>
      <c r="B49" s="20"/>
      <c r="C49" s="20"/>
      <c r="D49" s="20"/>
      <c r="E49" s="20"/>
      <c r="F49" s="20"/>
      <c r="G49" s="20"/>
      <c r="H49" s="20"/>
      <c r="I49" s="20"/>
      <c r="J49" s="6"/>
      <c r="K49" s="6"/>
      <c r="L49" s="6"/>
      <c r="M49" s="6"/>
      <c r="N49" s="6"/>
      <c r="O49" s="6"/>
    </row>
    <row r="50" spans="1:17" x14ac:dyDescent="0.3">
      <c r="A50" s="7"/>
      <c r="B50" s="8" t="s">
        <v>13</v>
      </c>
      <c r="C50" s="9"/>
      <c r="D50" s="10"/>
      <c r="E50" s="10"/>
      <c r="F50" s="9"/>
      <c r="G50" s="9"/>
      <c r="H50" s="33"/>
      <c r="I50" s="33"/>
      <c r="J50" s="6"/>
      <c r="K50" s="6"/>
      <c r="L50" s="6"/>
      <c r="M50" s="6"/>
      <c r="N50" s="6"/>
      <c r="O50" s="6"/>
    </row>
    <row r="51" spans="1:17" x14ac:dyDescent="0.3">
      <c r="A51" s="13" t="s">
        <v>14</v>
      </c>
      <c r="B51" s="14" t="s">
        <v>1</v>
      </c>
      <c r="C51" s="14" t="s">
        <v>2</v>
      </c>
      <c r="D51" s="14" t="s">
        <v>3</v>
      </c>
      <c r="E51" s="14" t="s">
        <v>4</v>
      </c>
      <c r="F51" s="14" t="s">
        <v>5</v>
      </c>
      <c r="G51" s="9" t="s">
        <v>24</v>
      </c>
      <c r="H51" s="102" t="s">
        <v>187</v>
      </c>
      <c r="I51" s="102" t="s">
        <v>25</v>
      </c>
      <c r="J51" s="6"/>
      <c r="K51" s="6"/>
      <c r="L51" s="6"/>
      <c r="M51" s="6"/>
      <c r="N51" s="6"/>
      <c r="O51" s="6"/>
    </row>
    <row r="52" spans="1:17" x14ac:dyDescent="0.3">
      <c r="A52" s="18">
        <v>0.02</v>
      </c>
      <c r="B52" s="16">
        <v>10</v>
      </c>
      <c r="C52" s="17">
        <v>0.14699999999999999</v>
      </c>
      <c r="D52" s="17">
        <v>6.7000000000000004E-2</v>
      </c>
      <c r="E52" s="18">
        <f t="shared" ref="E52:E56" si="16">(B52*D52)/C52</f>
        <v>4.5578231292517009</v>
      </c>
      <c r="F52" s="18">
        <f t="shared" ref="F52:F56" si="17">(B52-E52)*100/B52</f>
        <v>54.42176870748299</v>
      </c>
      <c r="G52" s="10">
        <f>B52-E52</f>
        <v>5.4421768707482991</v>
      </c>
      <c r="H52" s="46">
        <f>(A52/50)*1000</f>
        <v>0.4</v>
      </c>
      <c r="I52" s="46">
        <f>G52/H52</f>
        <v>13.605442176870747</v>
      </c>
      <c r="J52" s="6"/>
      <c r="K52" s="6"/>
      <c r="L52" s="6"/>
      <c r="M52" s="6"/>
      <c r="N52" s="6"/>
      <c r="O52" s="6"/>
    </row>
    <row r="53" spans="1:17" x14ac:dyDescent="0.3">
      <c r="A53" s="18">
        <v>0.04</v>
      </c>
      <c r="B53" s="16">
        <v>10</v>
      </c>
      <c r="C53" s="17">
        <v>0.14699999999999999</v>
      </c>
      <c r="D53" s="17">
        <v>3.5000000000000003E-2</v>
      </c>
      <c r="E53" s="18">
        <f t="shared" si="16"/>
        <v>2.3809523809523814</v>
      </c>
      <c r="F53" s="18">
        <f t="shared" si="17"/>
        <v>76.190476190476176</v>
      </c>
      <c r="G53" s="10">
        <f t="shared" ref="G53:G56" si="18">B53-E53</f>
        <v>7.6190476190476186</v>
      </c>
      <c r="H53" s="46">
        <f t="shared" ref="H53:H56" si="19">(A53/50)*1000</f>
        <v>0.8</v>
      </c>
      <c r="I53" s="46">
        <f t="shared" ref="I53:I56" si="20">G53/H53</f>
        <v>9.5238095238095219</v>
      </c>
      <c r="J53" s="6"/>
      <c r="K53" s="6"/>
      <c r="L53" s="6"/>
      <c r="M53" s="6"/>
      <c r="N53" s="6"/>
      <c r="O53" s="6"/>
    </row>
    <row r="54" spans="1:17" x14ac:dyDescent="0.3">
      <c r="A54" s="18">
        <v>0.06</v>
      </c>
      <c r="B54" s="16">
        <v>10</v>
      </c>
      <c r="C54" s="17">
        <v>0.14699999999999999</v>
      </c>
      <c r="D54" s="17">
        <v>8.0000000000000002E-3</v>
      </c>
      <c r="E54" s="18">
        <f t="shared" si="16"/>
        <v>0.54421768707482998</v>
      </c>
      <c r="F54" s="18">
        <f t="shared" si="17"/>
        <v>94.557823129251702</v>
      </c>
      <c r="G54" s="10">
        <f t="shared" si="18"/>
        <v>9.4557823129251695</v>
      </c>
      <c r="H54" s="46">
        <f t="shared" si="19"/>
        <v>1.2</v>
      </c>
      <c r="I54" s="46">
        <f t="shared" si="20"/>
        <v>7.8798185941043082</v>
      </c>
      <c r="J54" s="6"/>
      <c r="K54" s="6"/>
      <c r="L54" s="6"/>
      <c r="M54" s="6"/>
      <c r="N54" s="6"/>
      <c r="O54" s="6"/>
    </row>
    <row r="55" spans="1:17" x14ac:dyDescent="0.3">
      <c r="A55" s="18">
        <v>0.08</v>
      </c>
      <c r="B55" s="16">
        <v>10</v>
      </c>
      <c r="C55" s="17">
        <v>0.14699999999999999</v>
      </c>
      <c r="D55" s="17">
        <v>0</v>
      </c>
      <c r="E55" s="18">
        <f t="shared" si="16"/>
        <v>0</v>
      </c>
      <c r="F55" s="18">
        <f t="shared" si="17"/>
        <v>100</v>
      </c>
      <c r="G55" s="10">
        <f t="shared" si="18"/>
        <v>10</v>
      </c>
      <c r="H55" s="46">
        <f t="shared" si="19"/>
        <v>1.6</v>
      </c>
      <c r="I55" s="46">
        <f t="shared" si="20"/>
        <v>6.25</v>
      </c>
      <c r="J55" s="6"/>
      <c r="K55" s="6"/>
      <c r="L55" s="6"/>
      <c r="M55" s="6"/>
      <c r="N55" s="6"/>
      <c r="O55" s="6"/>
    </row>
    <row r="56" spans="1:17" x14ac:dyDescent="0.3">
      <c r="A56" s="24">
        <v>0.1</v>
      </c>
      <c r="B56" s="30">
        <v>10</v>
      </c>
      <c r="C56" s="25">
        <v>0.14699999999999999</v>
      </c>
      <c r="D56" s="25">
        <v>0</v>
      </c>
      <c r="E56" s="26">
        <f t="shared" si="16"/>
        <v>0</v>
      </c>
      <c r="F56" s="26">
        <f t="shared" si="17"/>
        <v>100</v>
      </c>
      <c r="G56" s="10">
        <f t="shared" si="18"/>
        <v>10</v>
      </c>
      <c r="H56" s="46">
        <f t="shared" si="19"/>
        <v>2</v>
      </c>
      <c r="I56" s="46">
        <f t="shared" si="20"/>
        <v>5</v>
      </c>
      <c r="J56" s="6"/>
      <c r="K56" s="6"/>
      <c r="L56" s="6"/>
      <c r="M56" s="6"/>
      <c r="N56" s="6"/>
      <c r="O56" s="6"/>
    </row>
    <row r="57" spans="1:17" x14ac:dyDescent="0.3">
      <c r="A57" s="27"/>
      <c r="B57" s="27"/>
      <c r="C57" s="28"/>
      <c r="D57" s="28"/>
      <c r="E57" s="29"/>
      <c r="F57" s="29"/>
      <c r="G57" s="20"/>
      <c r="H57" s="20"/>
      <c r="I57" s="20"/>
      <c r="J57" s="6"/>
      <c r="K57" s="6"/>
      <c r="L57" s="6"/>
      <c r="M57" s="6"/>
      <c r="N57" s="6"/>
      <c r="O57" s="6"/>
    </row>
    <row r="58" spans="1:17" x14ac:dyDescent="0.3">
      <c r="A58" s="1"/>
      <c r="B58" s="2"/>
      <c r="C58" s="3"/>
      <c r="D58" s="1"/>
      <c r="E58" s="1"/>
      <c r="F58" s="1"/>
      <c r="G58" s="1"/>
      <c r="H58" s="1"/>
      <c r="I58" s="1"/>
    </row>
    <row r="59" spans="1:17" x14ac:dyDescent="0.3">
      <c r="A59" s="4" t="s">
        <v>16</v>
      </c>
      <c r="B59" s="5"/>
      <c r="C59" s="5"/>
      <c r="D59" s="5"/>
      <c r="E59" s="5"/>
      <c r="F59" s="5"/>
      <c r="G59" s="20"/>
      <c r="H59" s="20"/>
      <c r="I59" s="20"/>
      <c r="J59" s="6"/>
      <c r="K59" s="6"/>
      <c r="P59" s="99" t="s">
        <v>162</v>
      </c>
      <c r="Q59" s="33"/>
    </row>
    <row r="60" spans="1:17" x14ac:dyDescent="0.3">
      <c r="A60" s="7"/>
      <c r="B60" s="8" t="s">
        <v>19</v>
      </c>
      <c r="C60" s="9"/>
      <c r="D60" s="10"/>
      <c r="E60" s="10"/>
      <c r="F60" s="9"/>
      <c r="G60" s="20"/>
      <c r="H60" s="14" t="s">
        <v>1</v>
      </c>
      <c r="I60" s="31" t="s">
        <v>6</v>
      </c>
      <c r="J60" s="32" t="s">
        <v>7</v>
      </c>
      <c r="K60" s="32" t="s">
        <v>8</v>
      </c>
      <c r="P60" s="80" t="s">
        <v>163</v>
      </c>
      <c r="Q60" s="14" t="s">
        <v>2</v>
      </c>
    </row>
    <row r="61" spans="1:17" x14ac:dyDescent="0.3">
      <c r="A61" s="13" t="s">
        <v>14</v>
      </c>
      <c r="B61" s="14" t="s">
        <v>1</v>
      </c>
      <c r="C61" s="14" t="s">
        <v>2</v>
      </c>
      <c r="D61" s="14" t="s">
        <v>3</v>
      </c>
      <c r="E61" s="14" t="s">
        <v>4</v>
      </c>
      <c r="F61" s="14" t="s">
        <v>5</v>
      </c>
      <c r="G61" s="20"/>
      <c r="H61" s="16">
        <v>10</v>
      </c>
      <c r="I61" s="18">
        <v>78.231292517006793</v>
      </c>
      <c r="J61" s="18">
        <v>71.428571428571416</v>
      </c>
      <c r="K61" s="18">
        <v>99.319727891156461</v>
      </c>
      <c r="P61" s="33">
        <v>5</v>
      </c>
      <c r="Q61" s="45">
        <v>5.6000000000000001E-2</v>
      </c>
    </row>
    <row r="62" spans="1:17" x14ac:dyDescent="0.3">
      <c r="A62" s="15"/>
      <c r="B62" s="16">
        <v>10</v>
      </c>
      <c r="C62" s="17">
        <v>0.14699999999999999</v>
      </c>
      <c r="D62" s="17">
        <v>3.2000000000000001E-2</v>
      </c>
      <c r="E62" s="18">
        <f t="shared" ref="E62:E67" si="21">(B62*D62)/C62</f>
        <v>2.1768707482993199</v>
      </c>
      <c r="F62" s="18">
        <f>(B62-E62)*100/B62</f>
        <v>78.231292517006793</v>
      </c>
      <c r="G62" s="20"/>
      <c r="H62" s="16">
        <v>15</v>
      </c>
      <c r="I62" s="18">
        <v>57.21649484536082</v>
      </c>
      <c r="J62" s="18">
        <v>55.154639175257742</v>
      </c>
      <c r="K62" s="18">
        <v>90.721649484536087</v>
      </c>
      <c r="P62" s="33">
        <v>10</v>
      </c>
      <c r="Q62" s="45">
        <v>0.125</v>
      </c>
    </row>
    <row r="63" spans="1:17" x14ac:dyDescent="0.3">
      <c r="A63" s="15"/>
      <c r="B63" s="16">
        <v>15</v>
      </c>
      <c r="C63" s="17">
        <v>0.19400000000000001</v>
      </c>
      <c r="D63" s="17">
        <v>8.3000000000000004E-2</v>
      </c>
      <c r="E63" s="18">
        <f t="shared" si="21"/>
        <v>6.4175257731958766</v>
      </c>
      <c r="F63" s="18">
        <f t="shared" ref="F63:F67" si="22">(B63-E63)*100/B63</f>
        <v>57.21649484536082</v>
      </c>
      <c r="G63" s="20"/>
      <c r="H63" s="16">
        <v>20</v>
      </c>
      <c r="I63" s="18">
        <v>44.094488188976378</v>
      </c>
      <c r="J63" s="18">
        <v>40.944881889763778</v>
      </c>
      <c r="K63" s="18">
        <v>85.826771653543318</v>
      </c>
      <c r="P63" s="33">
        <v>15</v>
      </c>
      <c r="Q63" s="45">
        <v>0.17</v>
      </c>
    </row>
    <row r="64" spans="1:17" x14ac:dyDescent="0.3">
      <c r="A64" s="15"/>
      <c r="B64" s="16">
        <v>20</v>
      </c>
      <c r="C64" s="17">
        <v>0.254</v>
      </c>
      <c r="D64" s="17">
        <v>0.14199999999999999</v>
      </c>
      <c r="E64" s="18">
        <f t="shared" si="21"/>
        <v>11.181102362204724</v>
      </c>
      <c r="F64" s="18">
        <f t="shared" si="22"/>
        <v>44.094488188976378</v>
      </c>
      <c r="G64" s="20"/>
      <c r="H64" s="16">
        <v>25</v>
      </c>
      <c r="I64" s="18">
        <v>36.956521739130437</v>
      </c>
      <c r="J64" s="18">
        <v>34.161490683229815</v>
      </c>
      <c r="K64" s="18">
        <v>79.503105590062106</v>
      </c>
      <c r="P64" s="33">
        <v>20</v>
      </c>
      <c r="Q64" s="45">
        <v>0.23200000000000001</v>
      </c>
    </row>
    <row r="65" spans="1:17" x14ac:dyDescent="0.3">
      <c r="A65" s="15"/>
      <c r="B65" s="16">
        <v>25</v>
      </c>
      <c r="C65" s="17">
        <v>0.32200000000000001</v>
      </c>
      <c r="D65" s="17">
        <v>0.20300000000000001</v>
      </c>
      <c r="E65" s="18">
        <f t="shared" si="21"/>
        <v>15.760869565217391</v>
      </c>
      <c r="F65" s="18">
        <f t="shared" si="22"/>
        <v>36.956521739130437</v>
      </c>
      <c r="G65" s="20"/>
      <c r="H65" s="16">
        <v>30</v>
      </c>
      <c r="I65" s="18">
        <v>29.333333333333336</v>
      </c>
      <c r="J65" s="26">
        <v>27.466666666666661</v>
      </c>
      <c r="K65" s="18">
        <v>73.066666666666663</v>
      </c>
      <c r="P65" s="33">
        <v>25</v>
      </c>
      <c r="Q65" s="45">
        <v>0.3</v>
      </c>
    </row>
    <row r="66" spans="1:17" x14ac:dyDescent="0.3">
      <c r="A66" s="19"/>
      <c r="B66" s="16">
        <v>30</v>
      </c>
      <c r="C66" s="17">
        <v>0.375</v>
      </c>
      <c r="D66" s="17">
        <v>0.26500000000000001</v>
      </c>
      <c r="E66" s="18">
        <f t="shared" si="21"/>
        <v>21.2</v>
      </c>
      <c r="F66" s="18">
        <f t="shared" si="22"/>
        <v>29.333333333333336</v>
      </c>
      <c r="G66" s="20"/>
      <c r="H66" s="16">
        <v>35</v>
      </c>
      <c r="I66" s="18">
        <v>25.890736342042757</v>
      </c>
      <c r="J66" s="18">
        <v>24.228028503562939</v>
      </c>
      <c r="K66" s="23">
        <v>63.895486935866977</v>
      </c>
      <c r="P66" s="33">
        <v>30</v>
      </c>
      <c r="Q66" s="45">
        <v>0.36199999999999999</v>
      </c>
    </row>
    <row r="67" spans="1:17" x14ac:dyDescent="0.3">
      <c r="A67" s="16"/>
      <c r="B67" s="16">
        <v>35</v>
      </c>
      <c r="C67" s="17">
        <v>0.42099999999999999</v>
      </c>
      <c r="D67" s="17">
        <v>0.312</v>
      </c>
      <c r="E67" s="18">
        <f t="shared" si="21"/>
        <v>25.938242280285035</v>
      </c>
      <c r="F67" s="18">
        <f t="shared" si="22"/>
        <v>25.890736342042757</v>
      </c>
      <c r="G67" s="20"/>
      <c r="H67" s="20"/>
      <c r="I67" s="20"/>
      <c r="J67" s="6"/>
      <c r="K67" s="6"/>
      <c r="P67" s="33">
        <v>35</v>
      </c>
      <c r="Q67" s="45">
        <v>0.40200000000000002</v>
      </c>
    </row>
    <row r="68" spans="1:17" x14ac:dyDescent="0.3">
      <c r="A68" s="21"/>
      <c r="B68" s="22"/>
      <c r="C68" s="20"/>
      <c r="D68" s="11"/>
      <c r="E68" s="21"/>
      <c r="F68" s="11"/>
      <c r="G68" s="20"/>
      <c r="H68" s="20"/>
      <c r="I68" s="20"/>
      <c r="J68" s="6"/>
      <c r="K68" s="6"/>
      <c r="P68" s="33">
        <v>40</v>
      </c>
      <c r="Q68" s="45">
        <v>0.47099999999999997</v>
      </c>
    </row>
    <row r="69" spans="1:17" x14ac:dyDescent="0.3">
      <c r="A69" s="7"/>
      <c r="B69" s="8" t="s">
        <v>18</v>
      </c>
      <c r="C69" s="9"/>
      <c r="D69" s="10"/>
      <c r="E69" s="10"/>
      <c r="F69" s="9"/>
      <c r="G69" s="20"/>
      <c r="H69" s="20"/>
      <c r="I69" s="20"/>
      <c r="J69" s="6"/>
      <c r="K69" s="6"/>
      <c r="P69" s="33">
        <v>45</v>
      </c>
      <c r="Q69" s="45">
        <v>0.52600000000000002</v>
      </c>
    </row>
    <row r="70" spans="1:17" x14ac:dyDescent="0.3">
      <c r="A70" s="13" t="s">
        <v>14</v>
      </c>
      <c r="B70" s="14" t="s">
        <v>1</v>
      </c>
      <c r="C70" s="14" t="s">
        <v>2</v>
      </c>
      <c r="D70" s="14" t="s">
        <v>3</v>
      </c>
      <c r="E70" s="14" t="s">
        <v>4</v>
      </c>
      <c r="F70" s="14" t="s">
        <v>5</v>
      </c>
      <c r="G70" s="20"/>
      <c r="H70" s="20"/>
      <c r="I70" s="20"/>
      <c r="J70" s="6"/>
      <c r="K70" s="6"/>
      <c r="P70" s="33">
        <v>50</v>
      </c>
      <c r="Q70" s="45">
        <v>0.60899999999999999</v>
      </c>
    </row>
    <row r="71" spans="1:17" x14ac:dyDescent="0.3">
      <c r="A71" s="18"/>
      <c r="B71" s="16">
        <v>10</v>
      </c>
      <c r="C71" s="17">
        <v>0.14699999999999999</v>
      </c>
      <c r="D71" s="17">
        <v>4.2000000000000003E-2</v>
      </c>
      <c r="E71" s="18">
        <f t="shared" ref="E71:E76" si="23">(B71*D71)/C71</f>
        <v>2.8571428571428577</v>
      </c>
      <c r="F71" s="18">
        <f t="shared" ref="F71:F76" si="24">(B71-E71)*100/B71</f>
        <v>71.428571428571416</v>
      </c>
      <c r="G71" s="20"/>
      <c r="H71" s="20"/>
      <c r="I71" s="20"/>
      <c r="J71" s="6"/>
      <c r="K71" s="6"/>
    </row>
    <row r="72" spans="1:17" x14ac:dyDescent="0.3">
      <c r="A72" s="18"/>
      <c r="B72" s="16">
        <v>15</v>
      </c>
      <c r="C72" s="17">
        <v>0.19400000000000001</v>
      </c>
      <c r="D72" s="17">
        <v>8.6999999999999994E-2</v>
      </c>
      <c r="E72" s="18">
        <f t="shared" si="23"/>
        <v>6.7268041237113394</v>
      </c>
      <c r="F72" s="18">
        <f t="shared" si="24"/>
        <v>55.154639175257742</v>
      </c>
      <c r="G72" s="20"/>
      <c r="H72" s="20"/>
      <c r="I72" s="20"/>
      <c r="J72" s="6"/>
      <c r="K72" s="6"/>
    </row>
    <row r="73" spans="1:17" x14ac:dyDescent="0.3">
      <c r="A73" s="18"/>
      <c r="B73" s="16">
        <v>20</v>
      </c>
      <c r="C73" s="17">
        <v>0.254</v>
      </c>
      <c r="D73" s="17">
        <v>0.15</v>
      </c>
      <c r="E73" s="18">
        <f t="shared" si="23"/>
        <v>11.811023622047244</v>
      </c>
      <c r="F73" s="18">
        <f t="shared" si="24"/>
        <v>40.944881889763778</v>
      </c>
      <c r="G73" s="20"/>
      <c r="H73" s="20"/>
      <c r="I73" s="20"/>
      <c r="J73" s="6"/>
      <c r="K73" s="6"/>
    </row>
    <row r="74" spans="1:17" x14ac:dyDescent="0.3">
      <c r="A74" s="18"/>
      <c r="B74" s="16">
        <v>25</v>
      </c>
      <c r="C74" s="17">
        <v>0.32200000000000001</v>
      </c>
      <c r="D74" s="17">
        <v>0.21199999999999999</v>
      </c>
      <c r="E74" s="18">
        <f t="shared" si="23"/>
        <v>16.459627329192546</v>
      </c>
      <c r="F74" s="18">
        <f t="shared" si="24"/>
        <v>34.161490683229815</v>
      </c>
      <c r="G74" s="20"/>
      <c r="H74" s="20"/>
      <c r="I74" s="20"/>
      <c r="J74" s="6"/>
      <c r="K74" s="6"/>
    </row>
    <row r="75" spans="1:17" x14ac:dyDescent="0.3">
      <c r="A75" s="24"/>
      <c r="B75" s="16">
        <v>30</v>
      </c>
      <c r="C75" s="17">
        <v>0.375</v>
      </c>
      <c r="D75" s="25">
        <v>0.27200000000000002</v>
      </c>
      <c r="E75" s="26">
        <f t="shared" si="23"/>
        <v>21.76</v>
      </c>
      <c r="F75" s="26">
        <f t="shared" si="24"/>
        <v>27.466666666666661</v>
      </c>
      <c r="G75" s="20"/>
      <c r="H75" s="20"/>
      <c r="I75" s="20"/>
      <c r="J75" s="6"/>
      <c r="K75" s="6"/>
    </row>
    <row r="76" spans="1:17" x14ac:dyDescent="0.3">
      <c r="A76" s="16"/>
      <c r="B76" s="16">
        <v>35</v>
      </c>
      <c r="C76" s="17">
        <v>0.42099999999999999</v>
      </c>
      <c r="D76" s="17">
        <v>0.31900000000000001</v>
      </c>
      <c r="E76" s="18">
        <f t="shared" si="23"/>
        <v>26.520190023752971</v>
      </c>
      <c r="F76" s="18">
        <f t="shared" si="24"/>
        <v>24.228028503562939</v>
      </c>
      <c r="G76" s="20"/>
      <c r="H76" s="20"/>
      <c r="I76" s="20"/>
      <c r="J76" s="6"/>
      <c r="K76" s="6"/>
    </row>
    <row r="77" spans="1:17" x14ac:dyDescent="0.3">
      <c r="A77" s="22"/>
      <c r="B77" s="20"/>
      <c r="C77" s="20"/>
      <c r="D77" s="20"/>
      <c r="E77" s="20"/>
      <c r="F77" s="20"/>
      <c r="G77" s="20"/>
      <c r="H77" s="20"/>
      <c r="I77" s="20"/>
      <c r="J77" s="6"/>
      <c r="K77" s="6"/>
    </row>
    <row r="78" spans="1:17" x14ac:dyDescent="0.3">
      <c r="A78" s="7"/>
      <c r="B78" s="8" t="s">
        <v>17</v>
      </c>
      <c r="C78" s="9"/>
      <c r="D78" s="10"/>
      <c r="E78" s="10"/>
      <c r="F78" s="9"/>
      <c r="G78" s="20"/>
      <c r="H78" s="20"/>
      <c r="I78" s="20"/>
      <c r="J78" s="6"/>
      <c r="K78" s="6"/>
    </row>
    <row r="79" spans="1:17" x14ac:dyDescent="0.3">
      <c r="A79" s="13" t="s">
        <v>14</v>
      </c>
      <c r="B79" s="14" t="s">
        <v>1</v>
      </c>
      <c r="C79" s="14" t="s">
        <v>2</v>
      </c>
      <c r="D79" s="14" t="s">
        <v>3</v>
      </c>
      <c r="E79" s="14" t="s">
        <v>4</v>
      </c>
      <c r="F79" s="14" t="s">
        <v>5</v>
      </c>
      <c r="G79" s="20"/>
      <c r="H79" s="20"/>
      <c r="I79" s="20"/>
      <c r="J79" s="6"/>
      <c r="K79" s="6"/>
    </row>
    <row r="80" spans="1:17" x14ac:dyDescent="0.3">
      <c r="A80" s="18"/>
      <c r="B80" s="16">
        <v>10</v>
      </c>
      <c r="C80" s="17">
        <v>0.14699999999999999</v>
      </c>
      <c r="D80" s="17">
        <v>1E-3</v>
      </c>
      <c r="E80" s="18">
        <f t="shared" ref="E80:E85" si="25">(B80*D80)/C80</f>
        <v>6.8027210884353748E-2</v>
      </c>
      <c r="F80" s="18">
        <f t="shared" ref="F80:F85" si="26">(B80-E80)*100/B80</f>
        <v>99.319727891156461</v>
      </c>
      <c r="G80" s="20"/>
      <c r="H80" s="20"/>
      <c r="I80" s="20"/>
      <c r="J80" s="6"/>
      <c r="K80" s="6"/>
    </row>
    <row r="81" spans="1:11" x14ac:dyDescent="0.3">
      <c r="A81" s="18"/>
      <c r="B81" s="16">
        <v>15</v>
      </c>
      <c r="C81" s="17">
        <v>0.19400000000000001</v>
      </c>
      <c r="D81" s="17">
        <v>1.7999999999999999E-2</v>
      </c>
      <c r="E81" s="18">
        <f t="shared" si="25"/>
        <v>1.3917525773195873</v>
      </c>
      <c r="F81" s="18">
        <f t="shared" si="26"/>
        <v>90.721649484536087</v>
      </c>
      <c r="G81" s="20"/>
      <c r="H81" s="20"/>
      <c r="I81" s="20"/>
      <c r="J81" s="6"/>
      <c r="K81" s="6"/>
    </row>
    <row r="82" spans="1:11" x14ac:dyDescent="0.3">
      <c r="A82" s="18"/>
      <c r="B82" s="16">
        <v>20</v>
      </c>
      <c r="C82" s="17">
        <v>0.254</v>
      </c>
      <c r="D82" s="17">
        <v>3.5999999999999997E-2</v>
      </c>
      <c r="E82" s="18">
        <f t="shared" si="25"/>
        <v>2.8346456692913384</v>
      </c>
      <c r="F82" s="18">
        <f t="shared" si="26"/>
        <v>85.826771653543318</v>
      </c>
      <c r="G82" s="20"/>
      <c r="H82" s="20"/>
      <c r="I82" s="20"/>
      <c r="J82" s="6"/>
      <c r="K82" s="6"/>
    </row>
    <row r="83" spans="1:11" x14ac:dyDescent="0.3">
      <c r="A83" s="18"/>
      <c r="B83" s="16">
        <v>25</v>
      </c>
      <c r="C83" s="17">
        <v>0.32200000000000001</v>
      </c>
      <c r="D83" s="17">
        <v>6.6000000000000003E-2</v>
      </c>
      <c r="E83" s="18">
        <f t="shared" si="25"/>
        <v>5.1242236024844727</v>
      </c>
      <c r="F83" s="18">
        <f t="shared" si="26"/>
        <v>79.503105590062106</v>
      </c>
      <c r="G83" s="20"/>
      <c r="H83" s="20"/>
      <c r="I83" s="20"/>
      <c r="J83" s="6"/>
      <c r="K83" s="6"/>
    </row>
    <row r="84" spans="1:11" x14ac:dyDescent="0.3">
      <c r="A84" s="23"/>
      <c r="B84" s="16">
        <v>30</v>
      </c>
      <c r="C84" s="17">
        <v>0.375</v>
      </c>
      <c r="D84" s="17">
        <v>0.10100000000000001</v>
      </c>
      <c r="E84" s="18">
        <f t="shared" si="25"/>
        <v>8.08</v>
      </c>
      <c r="F84" s="18">
        <f t="shared" si="26"/>
        <v>73.066666666666663</v>
      </c>
      <c r="G84" s="20"/>
      <c r="H84" s="20"/>
      <c r="I84" s="20"/>
      <c r="J84" s="6"/>
      <c r="K84" s="6"/>
    </row>
    <row r="85" spans="1:11" x14ac:dyDescent="0.3">
      <c r="A85" s="33"/>
      <c r="B85" s="16">
        <v>35</v>
      </c>
      <c r="C85" s="17">
        <v>0.42099999999999999</v>
      </c>
      <c r="D85" s="34">
        <v>0.152</v>
      </c>
      <c r="E85" s="23">
        <f t="shared" si="25"/>
        <v>12.636579572446557</v>
      </c>
      <c r="F85" s="23">
        <f t="shared" si="26"/>
        <v>63.895486935866977</v>
      </c>
    </row>
    <row r="88" spans="1:11" x14ac:dyDescent="0.3">
      <c r="A88" s="4" t="s">
        <v>44</v>
      </c>
      <c r="B88" s="5"/>
      <c r="C88" s="5"/>
      <c r="D88" s="5"/>
      <c r="E88" s="5"/>
      <c r="F88" s="5"/>
      <c r="G88" s="5"/>
      <c r="H88" s="5"/>
      <c r="I88" s="5"/>
      <c r="J88" s="6"/>
      <c r="K88" s="6"/>
    </row>
    <row r="89" spans="1:11" x14ac:dyDescent="0.3">
      <c r="A89" s="56" t="s">
        <v>58</v>
      </c>
      <c r="B89" s="54"/>
      <c r="C89" s="57"/>
      <c r="D89" s="58"/>
      <c r="E89" s="72"/>
      <c r="F89" s="20"/>
      <c r="G89" s="11"/>
      <c r="H89" s="11"/>
      <c r="I89" s="12"/>
      <c r="J89" s="6"/>
      <c r="K89" s="6"/>
    </row>
    <row r="90" spans="1:11" x14ac:dyDescent="0.3">
      <c r="A90" s="52" t="s">
        <v>49</v>
      </c>
      <c r="B90" s="52" t="s">
        <v>2</v>
      </c>
      <c r="C90" s="52" t="s">
        <v>3</v>
      </c>
      <c r="D90" s="69" t="s">
        <v>50</v>
      </c>
      <c r="E90" s="73"/>
      <c r="F90" s="62"/>
      <c r="G90" s="11"/>
      <c r="H90" s="32" t="s">
        <v>49</v>
      </c>
      <c r="I90" s="31" t="s">
        <v>6</v>
      </c>
      <c r="J90" s="32" t="s">
        <v>7</v>
      </c>
      <c r="K90" s="32" t="s">
        <v>8</v>
      </c>
    </row>
    <row r="91" spans="1:11" x14ac:dyDescent="0.3">
      <c r="A91" s="9">
        <v>5</v>
      </c>
      <c r="B91" s="9">
        <v>0.254</v>
      </c>
      <c r="C91" s="49">
        <v>0.186</v>
      </c>
      <c r="D91" s="50">
        <f>(B91-C91)*100/B91</f>
        <v>26.771653543307089</v>
      </c>
      <c r="E91" s="70"/>
      <c r="F91" s="63"/>
      <c r="G91" s="11"/>
      <c r="H91" s="33">
        <v>0</v>
      </c>
      <c r="I91" s="33">
        <v>0</v>
      </c>
      <c r="J91" s="33">
        <v>0</v>
      </c>
      <c r="K91" s="33">
        <v>0</v>
      </c>
    </row>
    <row r="92" spans="1:11" x14ac:dyDescent="0.3">
      <c r="A92" s="9">
        <v>10</v>
      </c>
      <c r="B92" s="9">
        <v>0.254</v>
      </c>
      <c r="C92" s="49">
        <v>0.16800000000000001</v>
      </c>
      <c r="D92" s="50">
        <f t="shared" ref="D92:D102" si="27">(B92-C92)*100/B92</f>
        <v>33.85826771653543</v>
      </c>
      <c r="E92" s="70"/>
      <c r="F92" s="63"/>
      <c r="G92" s="11"/>
      <c r="H92" s="9">
        <v>5</v>
      </c>
      <c r="I92" s="50">
        <v>26.771653543307089</v>
      </c>
      <c r="J92" s="10">
        <v>26.377952755905511</v>
      </c>
      <c r="K92" s="10">
        <v>29.921259842519689</v>
      </c>
    </row>
    <row r="93" spans="1:11" x14ac:dyDescent="0.3">
      <c r="A93" s="9">
        <v>15</v>
      </c>
      <c r="B93" s="9">
        <v>0.254</v>
      </c>
      <c r="C93" s="49">
        <v>0.156</v>
      </c>
      <c r="D93" s="50">
        <f t="shared" si="27"/>
        <v>38.582677165354333</v>
      </c>
      <c r="E93" s="70"/>
      <c r="F93" s="63"/>
      <c r="G93" s="11"/>
      <c r="H93" s="9">
        <v>10</v>
      </c>
      <c r="I93" s="50">
        <v>33.85826771653543</v>
      </c>
      <c r="J93" s="10">
        <v>31.102362204724415</v>
      </c>
      <c r="K93" s="10">
        <v>50.787401574803148</v>
      </c>
    </row>
    <row r="94" spans="1:11" x14ac:dyDescent="0.3">
      <c r="A94" s="9">
        <v>20</v>
      </c>
      <c r="B94" s="9">
        <v>0.254</v>
      </c>
      <c r="C94" s="49">
        <v>0.151</v>
      </c>
      <c r="D94" s="50">
        <f t="shared" si="27"/>
        <v>40.551181102362207</v>
      </c>
      <c r="E94" s="70"/>
      <c r="F94" s="63"/>
      <c r="G94" s="11"/>
      <c r="H94" s="9">
        <v>15</v>
      </c>
      <c r="I94" s="50">
        <v>38.582677165354333</v>
      </c>
      <c r="J94" s="10">
        <v>36.220472440944881</v>
      </c>
      <c r="K94" s="10">
        <v>70.078740157480311</v>
      </c>
    </row>
    <row r="95" spans="1:11" x14ac:dyDescent="0.3">
      <c r="A95" s="9">
        <v>30</v>
      </c>
      <c r="B95" s="9">
        <v>0.254</v>
      </c>
      <c r="C95" s="49">
        <v>0.14799999999999999</v>
      </c>
      <c r="D95" s="50">
        <f t="shared" si="27"/>
        <v>41.732283464566933</v>
      </c>
      <c r="E95" s="70"/>
      <c r="F95" s="63"/>
      <c r="G95" s="20"/>
      <c r="H95" s="9">
        <v>20</v>
      </c>
      <c r="I95" s="50">
        <v>40.551181102362207</v>
      </c>
      <c r="J95" s="10">
        <v>38.188976377952763</v>
      </c>
      <c r="K95" s="10">
        <v>79.921259842519689</v>
      </c>
    </row>
    <row r="96" spans="1:11" x14ac:dyDescent="0.3">
      <c r="A96" s="9">
        <v>40</v>
      </c>
      <c r="B96" s="9">
        <v>0.254</v>
      </c>
      <c r="C96" s="49">
        <v>0.14599999999999999</v>
      </c>
      <c r="D96" s="50">
        <f t="shared" si="27"/>
        <v>42.519685039370081</v>
      </c>
      <c r="E96" s="70"/>
      <c r="F96" s="63"/>
      <c r="G96" s="20"/>
      <c r="H96" s="9">
        <v>30</v>
      </c>
      <c r="I96" s="50">
        <v>41.732283464566933</v>
      </c>
      <c r="J96" s="10">
        <v>38.582677165354333</v>
      </c>
      <c r="K96" s="10">
        <v>82.28346456692914</v>
      </c>
    </row>
    <row r="97" spans="1:11" x14ac:dyDescent="0.3">
      <c r="A97" s="9">
        <v>50</v>
      </c>
      <c r="B97" s="9">
        <v>0.254</v>
      </c>
      <c r="C97" s="49">
        <v>0.14499999999999999</v>
      </c>
      <c r="D97" s="50">
        <f t="shared" si="27"/>
        <v>42.913385826771659</v>
      </c>
      <c r="E97" s="74"/>
      <c r="F97" s="11"/>
      <c r="G97" s="20"/>
      <c r="H97" s="9">
        <v>40</v>
      </c>
      <c r="I97" s="50">
        <v>42.519685039370081</v>
      </c>
      <c r="J97" s="10">
        <v>38.976377952755904</v>
      </c>
      <c r="K97" s="10">
        <v>83.858267716535437</v>
      </c>
    </row>
    <row r="98" spans="1:11" x14ac:dyDescent="0.3">
      <c r="A98" s="9">
        <v>60</v>
      </c>
      <c r="B98" s="9">
        <v>0.254</v>
      </c>
      <c r="C98" s="49">
        <v>0.14399999999999999</v>
      </c>
      <c r="D98" s="50">
        <f t="shared" si="27"/>
        <v>43.307086614173237</v>
      </c>
      <c r="E98" s="75"/>
      <c r="F98" s="1"/>
      <c r="G98" s="20"/>
      <c r="H98" s="9">
        <v>50</v>
      </c>
      <c r="I98" s="50">
        <v>42.913385826771659</v>
      </c>
      <c r="J98" s="10">
        <v>39.370078740157481</v>
      </c>
      <c r="K98" s="10">
        <v>85.039370078740163</v>
      </c>
    </row>
    <row r="99" spans="1:11" x14ac:dyDescent="0.3">
      <c r="A99" s="9">
        <v>90</v>
      </c>
      <c r="B99" s="9">
        <v>0.254</v>
      </c>
      <c r="C99" s="49">
        <v>0.14299999999999999</v>
      </c>
      <c r="D99" s="50">
        <f t="shared" si="27"/>
        <v>43.700787401574807</v>
      </c>
      <c r="E99" s="75"/>
      <c r="F99" s="1"/>
      <c r="G99" s="20"/>
      <c r="H99" s="9">
        <v>60</v>
      </c>
      <c r="I99" s="50">
        <v>43.307086614173237</v>
      </c>
      <c r="J99" s="10">
        <v>39.763779527559059</v>
      </c>
      <c r="K99" s="10">
        <v>85.433070866141733</v>
      </c>
    </row>
    <row r="100" spans="1:11" x14ac:dyDescent="0.3">
      <c r="A100" s="9">
        <v>120</v>
      </c>
      <c r="B100" s="9">
        <v>0.254</v>
      </c>
      <c r="C100" s="49">
        <v>0.14199999999999999</v>
      </c>
      <c r="D100" s="50">
        <f t="shared" si="27"/>
        <v>44.094488188976385</v>
      </c>
      <c r="E100" s="75"/>
      <c r="F100" s="1"/>
      <c r="G100" s="20"/>
      <c r="H100" s="9">
        <v>90</v>
      </c>
      <c r="I100" s="50">
        <v>43.700787401574807</v>
      </c>
      <c r="J100" s="10">
        <v>40.157480314960637</v>
      </c>
      <c r="K100" s="10">
        <v>85.826771653543304</v>
      </c>
    </row>
    <row r="101" spans="1:11" x14ac:dyDescent="0.3">
      <c r="A101" s="51">
        <v>180</v>
      </c>
      <c r="B101" s="9">
        <v>0.254</v>
      </c>
      <c r="C101" s="49">
        <v>0.14199999999999999</v>
      </c>
      <c r="D101" s="50">
        <f t="shared" si="27"/>
        <v>44.094488188976385</v>
      </c>
      <c r="E101" s="75"/>
      <c r="F101" s="1"/>
      <c r="G101" s="20"/>
      <c r="H101" s="9">
        <v>120</v>
      </c>
      <c r="I101" s="50">
        <v>44.094488188976385</v>
      </c>
      <c r="J101" s="10">
        <v>40.551181102362207</v>
      </c>
      <c r="K101" s="10">
        <v>85.826771653543304</v>
      </c>
    </row>
    <row r="102" spans="1:11" x14ac:dyDescent="0.3">
      <c r="A102" s="51">
        <v>240</v>
      </c>
      <c r="B102" s="9">
        <v>0.254</v>
      </c>
      <c r="C102" s="49">
        <v>0.14199999999999999</v>
      </c>
      <c r="D102" s="71">
        <f t="shared" si="27"/>
        <v>44.094488188976385</v>
      </c>
      <c r="E102" s="72"/>
      <c r="F102" s="20"/>
      <c r="G102" s="20"/>
      <c r="H102" s="51">
        <v>180</v>
      </c>
      <c r="I102" s="50">
        <v>44.094488188976385</v>
      </c>
      <c r="J102" s="10">
        <v>40.551181102362207</v>
      </c>
      <c r="K102" s="10">
        <v>85.826771653543304</v>
      </c>
    </row>
    <row r="103" spans="1:11" x14ac:dyDescent="0.3">
      <c r="A103" s="67"/>
      <c r="B103" s="68"/>
      <c r="C103" s="68"/>
      <c r="D103" s="68"/>
      <c r="E103" s="62"/>
      <c r="F103" s="62"/>
      <c r="G103" s="20"/>
      <c r="H103" s="51">
        <v>240</v>
      </c>
      <c r="I103" s="10">
        <v>44.094488188976385</v>
      </c>
      <c r="J103" s="10">
        <v>40.551181102362207</v>
      </c>
      <c r="K103" s="50">
        <v>85.826771653543304</v>
      </c>
    </row>
    <row r="104" spans="1:11" x14ac:dyDescent="0.3">
      <c r="A104" s="64"/>
      <c r="B104" s="65"/>
      <c r="C104" s="66"/>
      <c r="D104" s="66"/>
      <c r="E104" s="63"/>
      <c r="F104" s="63"/>
      <c r="G104" s="20"/>
      <c r="H104" s="20"/>
      <c r="I104" s="20"/>
      <c r="J104" s="6"/>
      <c r="K104" s="6"/>
    </row>
    <row r="105" spans="1:11" x14ac:dyDescent="0.3">
      <c r="A105" s="59" t="s">
        <v>59</v>
      </c>
      <c r="B105" s="53"/>
      <c r="C105" s="60"/>
      <c r="D105" s="61"/>
      <c r="E105" s="70"/>
      <c r="F105" s="63"/>
      <c r="G105" s="20"/>
      <c r="H105" s="20"/>
      <c r="I105" s="20"/>
      <c r="J105" s="6"/>
      <c r="K105" s="6"/>
    </row>
    <row r="106" spans="1:11" x14ac:dyDescent="0.3">
      <c r="A106" s="32" t="s">
        <v>49</v>
      </c>
      <c r="B106" s="32" t="s">
        <v>2</v>
      </c>
      <c r="C106" s="32" t="s">
        <v>3</v>
      </c>
      <c r="D106" s="32" t="s">
        <v>50</v>
      </c>
      <c r="E106" s="70"/>
      <c r="F106" s="63"/>
      <c r="G106" s="20"/>
      <c r="H106" s="20"/>
      <c r="I106" s="20"/>
      <c r="J106" s="6"/>
      <c r="K106" s="6"/>
    </row>
    <row r="107" spans="1:11" x14ac:dyDescent="0.3">
      <c r="A107" s="9">
        <v>5</v>
      </c>
      <c r="B107" s="9">
        <v>0.254</v>
      </c>
      <c r="C107" s="49">
        <v>0.187</v>
      </c>
      <c r="D107" s="10">
        <f>(B107-C107)*100/B107</f>
        <v>26.377952755905511</v>
      </c>
      <c r="E107" s="70"/>
      <c r="F107" s="63"/>
      <c r="G107" s="20"/>
      <c r="H107" s="20"/>
      <c r="I107" s="20"/>
      <c r="J107" s="6"/>
      <c r="K107" s="6"/>
    </row>
    <row r="108" spans="1:11" x14ac:dyDescent="0.3">
      <c r="A108" s="9">
        <v>10</v>
      </c>
      <c r="B108" s="9">
        <v>0.254</v>
      </c>
      <c r="C108" s="49">
        <v>0.17499999999999999</v>
      </c>
      <c r="D108" s="10">
        <f t="shared" ref="D108:D118" si="28">(B108-C108)*100/B108</f>
        <v>31.102362204724415</v>
      </c>
      <c r="E108" s="70"/>
      <c r="F108" s="63"/>
      <c r="G108" s="20"/>
      <c r="H108" s="20"/>
      <c r="I108" s="20"/>
      <c r="J108" s="6"/>
      <c r="K108" s="6"/>
    </row>
    <row r="109" spans="1:11" x14ac:dyDescent="0.3">
      <c r="A109" s="9">
        <v>15</v>
      </c>
      <c r="B109" s="9">
        <v>0.254</v>
      </c>
      <c r="C109" s="49">
        <v>0.16200000000000001</v>
      </c>
      <c r="D109" s="10">
        <f t="shared" si="28"/>
        <v>36.220472440944881</v>
      </c>
      <c r="E109" s="70"/>
      <c r="F109" s="63"/>
      <c r="G109" s="20"/>
      <c r="H109" s="20"/>
      <c r="I109" s="20"/>
      <c r="J109" s="6"/>
      <c r="K109" s="6"/>
    </row>
    <row r="110" spans="1:11" x14ac:dyDescent="0.3">
      <c r="A110" s="9">
        <v>20</v>
      </c>
      <c r="B110" s="9">
        <v>0.254</v>
      </c>
      <c r="C110" s="49">
        <v>0.157</v>
      </c>
      <c r="D110" s="10">
        <f t="shared" si="28"/>
        <v>38.188976377952763</v>
      </c>
      <c r="E110" s="20"/>
      <c r="F110" s="20"/>
      <c r="G110" s="20"/>
      <c r="H110" s="20"/>
      <c r="I110" s="20"/>
      <c r="J110" s="6"/>
      <c r="K110" s="6"/>
    </row>
    <row r="111" spans="1:11" x14ac:dyDescent="0.3">
      <c r="A111" s="9">
        <v>30</v>
      </c>
      <c r="B111" s="9">
        <v>0.254</v>
      </c>
      <c r="C111" s="49">
        <v>0.156</v>
      </c>
      <c r="D111" s="10">
        <f t="shared" si="28"/>
        <v>38.582677165354333</v>
      </c>
      <c r="G111" s="20"/>
      <c r="H111" s="20"/>
      <c r="I111" s="20"/>
      <c r="J111" s="6"/>
      <c r="K111" s="6"/>
    </row>
    <row r="112" spans="1:11" x14ac:dyDescent="0.3">
      <c r="A112" s="9">
        <v>40</v>
      </c>
      <c r="B112" s="9">
        <v>0.254</v>
      </c>
      <c r="C112" s="49">
        <v>0.155</v>
      </c>
      <c r="D112" s="10">
        <f t="shared" si="28"/>
        <v>38.976377952755904</v>
      </c>
      <c r="G112" s="20"/>
      <c r="H112" s="20"/>
      <c r="I112" s="20"/>
      <c r="J112" s="6"/>
      <c r="K112" s="6"/>
    </row>
    <row r="113" spans="1:11" x14ac:dyDescent="0.3">
      <c r="A113" s="9">
        <v>50</v>
      </c>
      <c r="B113" s="9">
        <v>0.254</v>
      </c>
      <c r="C113" s="49">
        <v>0.154</v>
      </c>
      <c r="D113" s="10">
        <f t="shared" si="28"/>
        <v>39.370078740157481</v>
      </c>
      <c r="G113" s="20"/>
      <c r="H113" s="20"/>
      <c r="I113" s="20"/>
      <c r="J113" s="6"/>
      <c r="K113" s="6"/>
    </row>
    <row r="114" spans="1:11" x14ac:dyDescent="0.3">
      <c r="A114" s="9">
        <v>60</v>
      </c>
      <c r="B114" s="9">
        <v>0.254</v>
      </c>
      <c r="C114" s="49">
        <v>0.153</v>
      </c>
      <c r="D114" s="10">
        <f t="shared" si="28"/>
        <v>39.763779527559059</v>
      </c>
      <c r="G114" s="20"/>
      <c r="H114" s="20"/>
      <c r="I114" s="20"/>
      <c r="J114" s="6"/>
      <c r="K114" s="6"/>
    </row>
    <row r="115" spans="1:11" x14ac:dyDescent="0.3">
      <c r="A115" s="9">
        <v>90</v>
      </c>
      <c r="B115" s="9">
        <v>0.254</v>
      </c>
      <c r="C115" s="49">
        <v>0.152</v>
      </c>
      <c r="D115" s="10">
        <f t="shared" si="28"/>
        <v>40.157480314960637</v>
      </c>
    </row>
    <row r="116" spans="1:11" x14ac:dyDescent="0.3">
      <c r="A116" s="9">
        <v>120</v>
      </c>
      <c r="B116" s="9">
        <v>0.254</v>
      </c>
      <c r="C116" s="49">
        <v>0.151</v>
      </c>
      <c r="D116" s="10">
        <f t="shared" si="28"/>
        <v>40.551181102362207</v>
      </c>
    </row>
    <row r="117" spans="1:11" x14ac:dyDescent="0.3">
      <c r="A117" s="51">
        <v>180</v>
      </c>
      <c r="B117" s="9">
        <v>0.254</v>
      </c>
      <c r="C117" s="49">
        <v>0.151</v>
      </c>
      <c r="D117" s="10">
        <f t="shared" si="28"/>
        <v>40.551181102362207</v>
      </c>
    </row>
    <row r="118" spans="1:11" x14ac:dyDescent="0.3">
      <c r="A118" s="51">
        <v>240</v>
      </c>
      <c r="B118" s="9">
        <v>0.254</v>
      </c>
      <c r="C118" s="49">
        <v>0.151</v>
      </c>
      <c r="D118" s="10">
        <f t="shared" si="28"/>
        <v>40.551181102362207</v>
      </c>
    </row>
    <row r="120" spans="1:11" x14ac:dyDescent="0.3">
      <c r="A120" s="76" t="s">
        <v>57</v>
      </c>
      <c r="B120" s="8"/>
      <c r="C120" s="32"/>
      <c r="D120" s="77"/>
    </row>
    <row r="121" spans="1:11" x14ac:dyDescent="0.3">
      <c r="A121" s="32" t="s">
        <v>49</v>
      </c>
      <c r="B121" s="32" t="s">
        <v>2</v>
      </c>
      <c r="C121" s="32" t="s">
        <v>3</v>
      </c>
      <c r="D121" s="32" t="s">
        <v>50</v>
      </c>
    </row>
    <row r="122" spans="1:11" x14ac:dyDescent="0.3">
      <c r="A122" s="9">
        <v>5</v>
      </c>
      <c r="B122" s="9">
        <v>0.254</v>
      </c>
      <c r="C122" s="49">
        <v>0.17799999999999999</v>
      </c>
      <c r="D122" s="10">
        <f>(B122-C122)*100/B122</f>
        <v>29.921259842519689</v>
      </c>
    </row>
    <row r="123" spans="1:11" x14ac:dyDescent="0.3">
      <c r="A123" s="9">
        <v>10</v>
      </c>
      <c r="B123" s="9">
        <v>0.254</v>
      </c>
      <c r="C123" s="49">
        <v>0.125</v>
      </c>
      <c r="D123" s="10">
        <f t="shared" ref="D123:D133" si="29">(B123-C123)*100/B123</f>
        <v>50.787401574803148</v>
      </c>
    </row>
    <row r="124" spans="1:11" x14ac:dyDescent="0.3">
      <c r="A124" s="9">
        <v>15</v>
      </c>
      <c r="B124" s="9">
        <v>0.254</v>
      </c>
      <c r="C124" s="49">
        <v>7.5999999999999998E-2</v>
      </c>
      <c r="D124" s="10">
        <f t="shared" si="29"/>
        <v>70.078740157480311</v>
      </c>
    </row>
    <row r="125" spans="1:11" x14ac:dyDescent="0.3">
      <c r="A125" s="9">
        <v>20</v>
      </c>
      <c r="B125" s="9">
        <v>0.254</v>
      </c>
      <c r="C125" s="49">
        <v>5.0999999999999997E-2</v>
      </c>
      <c r="D125" s="10">
        <f t="shared" si="29"/>
        <v>79.921259842519689</v>
      </c>
    </row>
    <row r="126" spans="1:11" x14ac:dyDescent="0.3">
      <c r="A126" s="9">
        <v>30</v>
      </c>
      <c r="B126" s="9">
        <v>0.254</v>
      </c>
      <c r="C126" s="49">
        <v>4.4999999999999998E-2</v>
      </c>
      <c r="D126" s="10">
        <f t="shared" si="29"/>
        <v>82.28346456692914</v>
      </c>
    </row>
    <row r="127" spans="1:11" x14ac:dyDescent="0.3">
      <c r="A127" s="9">
        <v>40</v>
      </c>
      <c r="B127" s="9">
        <v>0.254</v>
      </c>
      <c r="C127" s="49">
        <v>4.1000000000000002E-2</v>
      </c>
      <c r="D127" s="10">
        <f t="shared" si="29"/>
        <v>83.858267716535437</v>
      </c>
    </row>
    <row r="128" spans="1:11" x14ac:dyDescent="0.3">
      <c r="A128" s="9">
        <v>50</v>
      </c>
      <c r="B128" s="9">
        <v>0.254</v>
      </c>
      <c r="C128" s="49">
        <v>3.7999999999999999E-2</v>
      </c>
      <c r="D128" s="10">
        <f t="shared" si="29"/>
        <v>85.039370078740163</v>
      </c>
    </row>
    <row r="129" spans="1:19" x14ac:dyDescent="0.3">
      <c r="A129" s="9">
        <v>60</v>
      </c>
      <c r="B129" s="9">
        <v>0.254</v>
      </c>
      <c r="C129" s="49">
        <v>3.6999999999999998E-2</v>
      </c>
      <c r="D129" s="10">
        <f t="shared" si="29"/>
        <v>85.433070866141733</v>
      </c>
    </row>
    <row r="130" spans="1:19" x14ac:dyDescent="0.3">
      <c r="A130" s="9">
        <v>90</v>
      </c>
      <c r="B130" s="9">
        <v>0.254</v>
      </c>
      <c r="C130" s="49">
        <v>3.5999999999999997E-2</v>
      </c>
      <c r="D130" s="10">
        <f t="shared" si="29"/>
        <v>85.826771653543304</v>
      </c>
    </row>
    <row r="131" spans="1:19" x14ac:dyDescent="0.3">
      <c r="A131" s="9">
        <v>120</v>
      </c>
      <c r="B131" s="9">
        <v>0.254</v>
      </c>
      <c r="C131" s="49">
        <v>3.5999999999999997E-2</v>
      </c>
      <c r="D131" s="10">
        <f t="shared" si="29"/>
        <v>85.826771653543304</v>
      </c>
    </row>
    <row r="132" spans="1:19" x14ac:dyDescent="0.3">
      <c r="A132" s="51">
        <v>180</v>
      </c>
      <c r="B132" s="9">
        <v>0.254</v>
      </c>
      <c r="C132" s="49">
        <v>3.5999999999999997E-2</v>
      </c>
      <c r="D132" s="10">
        <f t="shared" si="29"/>
        <v>85.826771653543304</v>
      </c>
    </row>
    <row r="133" spans="1:19" x14ac:dyDescent="0.3">
      <c r="A133" s="51">
        <v>240</v>
      </c>
      <c r="B133" s="9">
        <v>0.254</v>
      </c>
      <c r="C133" s="49">
        <v>3.5999999999999997E-2</v>
      </c>
      <c r="D133" s="50">
        <f t="shared" si="29"/>
        <v>85.826771653543304</v>
      </c>
      <c r="E133" s="72"/>
      <c r="F133" s="20"/>
    </row>
    <row r="134" spans="1:19" x14ac:dyDescent="0.3">
      <c r="E134" s="62"/>
      <c r="F134" s="62"/>
    </row>
    <row r="135" spans="1:19" x14ac:dyDescent="0.3">
      <c r="E135" s="63"/>
      <c r="F135" s="63"/>
    </row>
    <row r="136" spans="1:19" x14ac:dyDescent="0.3">
      <c r="E136" s="63"/>
      <c r="F136" s="63"/>
    </row>
    <row r="137" spans="1:19" x14ac:dyDescent="0.3">
      <c r="A137" s="4" t="s">
        <v>164</v>
      </c>
      <c r="B137" s="5"/>
      <c r="C137" s="5"/>
      <c r="D137" s="5"/>
      <c r="E137" s="5"/>
      <c r="F137" s="5"/>
      <c r="G137" s="20"/>
      <c r="H137" s="20"/>
      <c r="I137" s="20" t="s">
        <v>197</v>
      </c>
      <c r="J137" s="6"/>
      <c r="K137" s="6"/>
      <c r="Q137" t="s">
        <v>198</v>
      </c>
    </row>
    <row r="138" spans="1:19" x14ac:dyDescent="0.3">
      <c r="A138" s="7"/>
      <c r="B138" s="8" t="s">
        <v>165</v>
      </c>
      <c r="C138" s="9"/>
      <c r="D138" s="10"/>
      <c r="E138" s="10"/>
      <c r="F138" s="9"/>
      <c r="G138" s="9"/>
      <c r="I138" s="111" t="s">
        <v>168</v>
      </c>
      <c r="J138" s="31" t="s">
        <v>6</v>
      </c>
      <c r="K138" s="32" t="s">
        <v>7</v>
      </c>
      <c r="L138" s="32" t="s">
        <v>8</v>
      </c>
      <c r="P138" s="111" t="s">
        <v>168</v>
      </c>
      <c r="Q138" s="31" t="s">
        <v>6</v>
      </c>
      <c r="R138" s="32" t="s">
        <v>7</v>
      </c>
      <c r="S138" s="32" t="s">
        <v>8</v>
      </c>
    </row>
    <row r="139" spans="1:19" x14ac:dyDescent="0.3">
      <c r="A139" s="13" t="s">
        <v>168</v>
      </c>
      <c r="B139" s="14" t="s">
        <v>1</v>
      </c>
      <c r="C139" s="14" t="s">
        <v>2</v>
      </c>
      <c r="D139" s="14" t="s">
        <v>3</v>
      </c>
      <c r="E139" s="14" t="s">
        <v>4</v>
      </c>
      <c r="F139" s="14" t="s">
        <v>5</v>
      </c>
      <c r="G139" s="9" t="s">
        <v>25</v>
      </c>
      <c r="I139" s="112">
        <v>303</v>
      </c>
      <c r="J139" s="18">
        <v>29.333333333333336</v>
      </c>
      <c r="K139" s="18">
        <v>26.399999999999991</v>
      </c>
      <c r="L139" s="18">
        <v>73.066666666666663</v>
      </c>
      <c r="P139" s="112">
        <v>303</v>
      </c>
      <c r="Q139" s="18">
        <v>4.4000000000000004</v>
      </c>
      <c r="R139" s="18">
        <v>3.9599999999999991</v>
      </c>
      <c r="S139" s="18">
        <v>10.96</v>
      </c>
    </row>
    <row r="140" spans="1:19" x14ac:dyDescent="0.3">
      <c r="A140" s="15">
        <v>303</v>
      </c>
      <c r="B140" s="16">
        <v>30</v>
      </c>
      <c r="C140" s="17">
        <v>0.375</v>
      </c>
      <c r="D140" s="17">
        <v>0.26500000000000001</v>
      </c>
      <c r="E140" s="18">
        <f t="shared" ref="E140:E145" si="30">(B140*D140)/C140</f>
        <v>21.2</v>
      </c>
      <c r="F140" s="18">
        <f t="shared" ref="F140:F145" si="31">(B140-E140)*100/B140</f>
        <v>29.333333333333336</v>
      </c>
      <c r="G140" s="10">
        <f>(B140-E140)/2</f>
        <v>4.4000000000000004</v>
      </c>
      <c r="I140" s="112">
        <v>313</v>
      </c>
      <c r="J140" s="18">
        <v>24.266666666666669</v>
      </c>
      <c r="K140" s="18">
        <v>22.400000000000009</v>
      </c>
      <c r="L140" s="18">
        <v>56.8</v>
      </c>
      <c r="P140" s="112">
        <v>313</v>
      </c>
      <c r="Q140" s="18">
        <v>3.6400000000000006</v>
      </c>
      <c r="R140" s="18">
        <v>3.3600000000000012</v>
      </c>
      <c r="S140" s="18">
        <v>8.52</v>
      </c>
    </row>
    <row r="141" spans="1:19" x14ac:dyDescent="0.3">
      <c r="A141" s="15">
        <v>313</v>
      </c>
      <c r="B141" s="16">
        <v>30</v>
      </c>
      <c r="C141" s="17">
        <v>0.375</v>
      </c>
      <c r="D141" s="17">
        <v>0.28399999999999997</v>
      </c>
      <c r="E141" s="18">
        <f t="shared" si="30"/>
        <v>22.72</v>
      </c>
      <c r="F141" s="18">
        <f t="shared" si="31"/>
        <v>24.266666666666669</v>
      </c>
      <c r="G141" s="10">
        <f t="shared" ref="G141:G143" si="32">(B141-E141)/2</f>
        <v>3.6400000000000006</v>
      </c>
      <c r="I141" s="112">
        <v>323</v>
      </c>
      <c r="J141" s="18">
        <v>23.200000000000014</v>
      </c>
      <c r="K141" s="18">
        <v>21.333333333333339</v>
      </c>
      <c r="L141" s="18">
        <v>43.733333333333334</v>
      </c>
      <c r="P141" s="112">
        <v>323</v>
      </c>
      <c r="Q141" s="18">
        <v>3.4800000000000022</v>
      </c>
      <c r="R141" s="18">
        <v>3.2000000000000011</v>
      </c>
      <c r="S141" s="18">
        <v>6.5600000000000005</v>
      </c>
    </row>
    <row r="142" spans="1:19" x14ac:dyDescent="0.3">
      <c r="A142" s="15">
        <v>323</v>
      </c>
      <c r="B142" s="16">
        <v>30</v>
      </c>
      <c r="C142" s="17">
        <v>0.375</v>
      </c>
      <c r="D142" s="17">
        <v>0.28799999999999998</v>
      </c>
      <c r="E142" s="18">
        <f t="shared" si="30"/>
        <v>23.039999999999996</v>
      </c>
      <c r="F142" s="18">
        <f t="shared" si="31"/>
        <v>23.200000000000014</v>
      </c>
      <c r="G142" s="10">
        <f t="shared" si="32"/>
        <v>3.4800000000000022</v>
      </c>
      <c r="I142" s="112">
        <v>333</v>
      </c>
      <c r="J142" s="18">
        <v>22.133333333333333</v>
      </c>
      <c r="K142" s="18">
        <v>20.266666666666673</v>
      </c>
      <c r="L142" s="18">
        <v>40.79999999999999</v>
      </c>
      <c r="P142" s="112">
        <v>333</v>
      </c>
      <c r="Q142" s="18">
        <v>3.3200000000000003</v>
      </c>
      <c r="R142" s="18">
        <v>3.0400000000000009</v>
      </c>
      <c r="S142" s="18">
        <v>6.1199999999999992</v>
      </c>
    </row>
    <row r="143" spans="1:19" x14ac:dyDescent="0.3">
      <c r="A143" s="15">
        <v>333</v>
      </c>
      <c r="B143" s="16">
        <v>30</v>
      </c>
      <c r="C143" s="17">
        <v>0.375</v>
      </c>
      <c r="D143" s="17">
        <v>0.29199999999999998</v>
      </c>
      <c r="E143" s="18">
        <f t="shared" si="30"/>
        <v>23.36</v>
      </c>
      <c r="F143" s="18">
        <f t="shared" si="31"/>
        <v>22.133333333333333</v>
      </c>
      <c r="G143" s="10">
        <f t="shared" si="32"/>
        <v>3.3200000000000003</v>
      </c>
      <c r="I143" s="113"/>
      <c r="J143" s="18"/>
      <c r="K143" s="26"/>
      <c r="L143" s="18"/>
    </row>
    <row r="144" spans="1:19" x14ac:dyDescent="0.3">
      <c r="A144" s="19"/>
      <c r="B144" s="16"/>
      <c r="C144" s="17"/>
      <c r="D144" s="17"/>
      <c r="E144" s="18" t="e">
        <f t="shared" si="30"/>
        <v>#DIV/0!</v>
      </c>
      <c r="F144" s="18" t="e">
        <f t="shared" si="31"/>
        <v>#DIV/0!</v>
      </c>
      <c r="G144" s="9"/>
      <c r="I144" s="113"/>
      <c r="J144" s="18"/>
      <c r="K144" s="18"/>
      <c r="L144" s="23"/>
    </row>
    <row r="145" spans="1:11" x14ac:dyDescent="0.3">
      <c r="A145" s="16"/>
      <c r="B145" s="16"/>
      <c r="C145" s="17"/>
      <c r="D145" s="17"/>
      <c r="E145" s="18" t="e">
        <f t="shared" si="30"/>
        <v>#DIV/0!</v>
      </c>
      <c r="F145" s="18" t="e">
        <f t="shared" si="31"/>
        <v>#DIV/0!</v>
      </c>
      <c r="G145" s="9"/>
      <c r="H145" s="20"/>
      <c r="I145" s="20"/>
      <c r="J145" s="6"/>
      <c r="K145" s="6"/>
    </row>
    <row r="146" spans="1:11" x14ac:dyDescent="0.3">
      <c r="A146" s="21"/>
      <c r="B146" s="22"/>
      <c r="C146" s="20"/>
      <c r="D146" s="11"/>
      <c r="E146" s="21"/>
      <c r="F146" s="11"/>
      <c r="G146" s="20"/>
      <c r="H146" s="20"/>
      <c r="I146" s="20"/>
      <c r="J146" s="6"/>
      <c r="K146" s="6"/>
    </row>
    <row r="147" spans="1:11" x14ac:dyDescent="0.3">
      <c r="A147" s="7"/>
      <c r="B147" s="8" t="s">
        <v>166</v>
      </c>
      <c r="C147" s="9"/>
      <c r="D147" s="10"/>
      <c r="E147" s="10"/>
      <c r="F147" s="9"/>
      <c r="G147" s="20"/>
      <c r="H147" s="20"/>
      <c r="I147" s="20"/>
      <c r="J147" s="6"/>
      <c r="K147" s="6"/>
    </row>
    <row r="148" spans="1:11" x14ac:dyDescent="0.3">
      <c r="A148" s="13" t="s">
        <v>168</v>
      </c>
      <c r="B148" s="14" t="s">
        <v>1</v>
      </c>
      <c r="C148" s="14" t="s">
        <v>2</v>
      </c>
      <c r="D148" s="14" t="s">
        <v>3</v>
      </c>
      <c r="E148" s="14" t="s">
        <v>4</v>
      </c>
      <c r="F148" s="14" t="s">
        <v>5</v>
      </c>
      <c r="G148" s="9" t="s">
        <v>25</v>
      </c>
      <c r="H148" s="20"/>
      <c r="I148" s="20"/>
      <c r="J148" s="6"/>
      <c r="K148" s="6"/>
    </row>
    <row r="149" spans="1:11" x14ac:dyDescent="0.3">
      <c r="A149" s="15">
        <v>303</v>
      </c>
      <c r="B149" s="16">
        <v>30</v>
      </c>
      <c r="C149" s="17">
        <v>0.375</v>
      </c>
      <c r="D149" s="17">
        <v>0.27600000000000002</v>
      </c>
      <c r="E149" s="18">
        <f t="shared" ref="E149:E154" si="33">(B149*D149)/C149</f>
        <v>22.080000000000002</v>
      </c>
      <c r="F149" s="18">
        <f t="shared" ref="F149:F154" si="34">(B149-E149)*100/B149</f>
        <v>26.399999999999991</v>
      </c>
      <c r="G149" s="10">
        <f>(B149-E149)/2</f>
        <v>3.9599999999999991</v>
      </c>
      <c r="H149" s="20"/>
      <c r="I149" s="20"/>
      <c r="J149" s="6"/>
      <c r="K149" s="6"/>
    </row>
    <row r="150" spans="1:11" x14ac:dyDescent="0.3">
      <c r="A150" s="15">
        <v>313</v>
      </c>
      <c r="B150" s="16">
        <v>30</v>
      </c>
      <c r="C150" s="17">
        <v>0.375</v>
      </c>
      <c r="D150" s="17">
        <v>0.29099999999999998</v>
      </c>
      <c r="E150" s="18">
        <f t="shared" si="33"/>
        <v>23.279999999999998</v>
      </c>
      <c r="F150" s="18">
        <f t="shared" si="34"/>
        <v>22.400000000000009</v>
      </c>
      <c r="G150" s="10">
        <f t="shared" ref="G150:G152" si="35">(B150-E150)/2</f>
        <v>3.3600000000000012</v>
      </c>
      <c r="H150" s="20"/>
      <c r="I150" s="20"/>
      <c r="J150" s="6"/>
      <c r="K150" s="6"/>
    </row>
    <row r="151" spans="1:11" x14ac:dyDescent="0.3">
      <c r="A151" s="15">
        <v>323</v>
      </c>
      <c r="B151" s="16">
        <v>30</v>
      </c>
      <c r="C151" s="17">
        <v>0.375</v>
      </c>
      <c r="D151" s="17">
        <v>0.29499999999999998</v>
      </c>
      <c r="E151" s="18">
        <f t="shared" si="33"/>
        <v>23.599999999999998</v>
      </c>
      <c r="F151" s="18">
        <f t="shared" si="34"/>
        <v>21.333333333333339</v>
      </c>
      <c r="G151" s="10">
        <f t="shared" si="35"/>
        <v>3.2000000000000011</v>
      </c>
      <c r="H151" s="20"/>
      <c r="I151" s="20"/>
      <c r="J151" s="6"/>
      <c r="K151" s="6"/>
    </row>
    <row r="152" spans="1:11" x14ac:dyDescent="0.3">
      <c r="A152" s="15">
        <v>333</v>
      </c>
      <c r="B152" s="16">
        <v>30</v>
      </c>
      <c r="C152" s="17">
        <v>0.375</v>
      </c>
      <c r="D152" s="17">
        <v>0.29899999999999999</v>
      </c>
      <c r="E152" s="18">
        <f t="shared" si="33"/>
        <v>23.919999999999998</v>
      </c>
      <c r="F152" s="18">
        <f t="shared" si="34"/>
        <v>20.266666666666673</v>
      </c>
      <c r="G152" s="10">
        <f t="shared" si="35"/>
        <v>3.0400000000000009</v>
      </c>
      <c r="H152" s="20"/>
      <c r="I152" s="20"/>
      <c r="J152" s="6"/>
      <c r="K152" s="6"/>
    </row>
    <row r="153" spans="1:11" x14ac:dyDescent="0.3">
      <c r="A153" s="24"/>
      <c r="B153" s="16"/>
      <c r="C153" s="17"/>
      <c r="D153" s="25"/>
      <c r="E153" s="26" t="e">
        <f t="shared" si="33"/>
        <v>#DIV/0!</v>
      </c>
      <c r="F153" s="26" t="e">
        <f t="shared" si="34"/>
        <v>#DIV/0!</v>
      </c>
      <c r="G153" s="20"/>
      <c r="H153" s="20"/>
      <c r="I153" s="20"/>
      <c r="J153" s="6"/>
      <c r="K153" s="6"/>
    </row>
    <row r="154" spans="1:11" x14ac:dyDescent="0.3">
      <c r="A154" s="16"/>
      <c r="B154" s="16"/>
      <c r="C154" s="17"/>
      <c r="D154" s="17"/>
      <c r="E154" s="18" t="e">
        <f t="shared" si="33"/>
        <v>#DIV/0!</v>
      </c>
      <c r="F154" s="18" t="e">
        <f t="shared" si="34"/>
        <v>#DIV/0!</v>
      </c>
      <c r="G154" s="20"/>
      <c r="H154" s="20"/>
      <c r="I154" s="20"/>
      <c r="J154" s="6"/>
      <c r="K154" s="6"/>
    </row>
    <row r="155" spans="1:11" x14ac:dyDescent="0.3">
      <c r="A155" s="22"/>
      <c r="B155" s="20"/>
      <c r="C155" s="20"/>
      <c r="D155" s="20"/>
      <c r="E155" s="20"/>
      <c r="F155" s="20"/>
      <c r="G155" s="20"/>
      <c r="H155" s="20"/>
      <c r="I155" s="20"/>
      <c r="J155" s="6"/>
      <c r="K155" s="6"/>
    </row>
    <row r="156" spans="1:11" x14ac:dyDescent="0.3">
      <c r="A156" s="7"/>
      <c r="B156" s="8" t="s">
        <v>167</v>
      </c>
      <c r="C156" s="9"/>
      <c r="D156" s="10"/>
      <c r="E156" s="10"/>
      <c r="F156" s="9"/>
      <c r="G156" s="20"/>
      <c r="H156" s="20"/>
      <c r="I156" s="20"/>
      <c r="J156" s="6"/>
      <c r="K156" s="6"/>
    </row>
    <row r="157" spans="1:11" x14ac:dyDescent="0.3">
      <c r="A157" s="13" t="s">
        <v>168</v>
      </c>
      <c r="B157" s="14" t="s">
        <v>1</v>
      </c>
      <c r="C157" s="14" t="s">
        <v>2</v>
      </c>
      <c r="D157" s="14" t="s">
        <v>3</v>
      </c>
      <c r="E157" s="14" t="s">
        <v>4</v>
      </c>
      <c r="F157" s="14" t="s">
        <v>5</v>
      </c>
      <c r="G157" s="9" t="s">
        <v>25</v>
      </c>
      <c r="H157" s="20"/>
      <c r="I157" s="20"/>
      <c r="J157" s="6"/>
      <c r="K157" s="6"/>
    </row>
    <row r="158" spans="1:11" x14ac:dyDescent="0.3">
      <c r="A158" s="15">
        <v>303</v>
      </c>
      <c r="B158" s="16">
        <v>30</v>
      </c>
      <c r="C158" s="17">
        <v>0.375</v>
      </c>
      <c r="D158" s="17">
        <v>0.10100000000000001</v>
      </c>
      <c r="E158" s="18">
        <f t="shared" ref="E158:E163" si="36">(B158*D158)/C158</f>
        <v>8.08</v>
      </c>
      <c r="F158" s="18">
        <f t="shared" ref="F158:F163" si="37">(B158-E158)*100/B158</f>
        <v>73.066666666666663</v>
      </c>
      <c r="G158" s="10">
        <f>(B158-E158)/2</f>
        <v>10.96</v>
      </c>
      <c r="H158" s="20"/>
      <c r="I158" s="20"/>
      <c r="J158" s="6"/>
      <c r="K158" s="6"/>
    </row>
    <row r="159" spans="1:11" x14ac:dyDescent="0.3">
      <c r="A159" s="15">
        <v>313</v>
      </c>
      <c r="B159" s="16">
        <v>30</v>
      </c>
      <c r="C159" s="17">
        <v>0.375</v>
      </c>
      <c r="D159" s="17">
        <v>0.16200000000000001</v>
      </c>
      <c r="E159" s="18">
        <f t="shared" si="36"/>
        <v>12.96</v>
      </c>
      <c r="F159" s="18">
        <f t="shared" si="37"/>
        <v>56.8</v>
      </c>
      <c r="G159" s="10">
        <f t="shared" ref="G159:G161" si="38">(B159-E159)/2</f>
        <v>8.52</v>
      </c>
      <c r="H159" s="20"/>
      <c r="I159" s="20"/>
      <c r="J159" s="6"/>
      <c r="K159" s="6"/>
    </row>
    <row r="160" spans="1:11" x14ac:dyDescent="0.3">
      <c r="A160" s="15">
        <v>323</v>
      </c>
      <c r="B160" s="16">
        <v>30</v>
      </c>
      <c r="C160" s="17">
        <v>0.375</v>
      </c>
      <c r="D160" s="17">
        <v>0.21099999999999999</v>
      </c>
      <c r="E160" s="18">
        <f t="shared" si="36"/>
        <v>16.88</v>
      </c>
      <c r="F160" s="18">
        <f t="shared" si="37"/>
        <v>43.733333333333334</v>
      </c>
      <c r="G160" s="10">
        <f t="shared" si="38"/>
        <v>6.5600000000000005</v>
      </c>
      <c r="H160" s="20"/>
      <c r="I160" s="20"/>
      <c r="J160" s="6"/>
      <c r="K160" s="6"/>
    </row>
    <row r="161" spans="1:11" x14ac:dyDescent="0.3">
      <c r="A161" s="15">
        <v>333</v>
      </c>
      <c r="B161" s="16">
        <v>30</v>
      </c>
      <c r="C161" s="17">
        <v>0.375</v>
      </c>
      <c r="D161" s="17">
        <v>0.222</v>
      </c>
      <c r="E161" s="18">
        <f t="shared" si="36"/>
        <v>17.760000000000002</v>
      </c>
      <c r="F161" s="18">
        <f t="shared" si="37"/>
        <v>40.79999999999999</v>
      </c>
      <c r="G161" s="10">
        <f t="shared" si="38"/>
        <v>6.1199999999999992</v>
      </c>
      <c r="H161" s="20"/>
      <c r="I161" s="20"/>
      <c r="J161" s="6"/>
      <c r="K161" s="6"/>
    </row>
    <row r="162" spans="1:11" x14ac:dyDescent="0.3">
      <c r="A162" s="23"/>
      <c r="B162" s="16"/>
      <c r="C162" s="17"/>
      <c r="D162" s="17"/>
      <c r="E162" s="18" t="e">
        <f t="shared" si="36"/>
        <v>#DIV/0!</v>
      </c>
      <c r="F162" s="18" t="e">
        <f t="shared" si="37"/>
        <v>#DIV/0!</v>
      </c>
      <c r="G162" s="20"/>
      <c r="H162" s="20"/>
      <c r="I162" s="20"/>
      <c r="J162" s="6"/>
      <c r="K162" s="6"/>
    </row>
    <row r="163" spans="1:11" x14ac:dyDescent="0.3">
      <c r="A163" s="33"/>
      <c r="B163" s="16"/>
      <c r="C163" s="17"/>
      <c r="D163" s="34"/>
      <c r="E163" s="23" t="e">
        <f t="shared" si="36"/>
        <v>#DIV/0!</v>
      </c>
      <c r="F163" s="23" t="e">
        <f t="shared" si="37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218"/>
  <sheetViews>
    <sheetView tabSelected="1" topLeftCell="A55" workbookViewId="0">
      <selection activeCell="J61" sqref="J61:J66"/>
    </sheetView>
  </sheetViews>
  <sheetFormatPr defaultRowHeight="14.4" x14ac:dyDescent="0.3"/>
  <cols>
    <col min="2" max="2" width="10.88671875" customWidth="1"/>
    <col min="6" max="6" width="10" customWidth="1"/>
    <col min="10" max="10" width="10.44140625" customWidth="1"/>
    <col min="12" max="12" width="12.109375" customWidth="1"/>
    <col min="14" max="14" width="9.33203125" bestFit="1" customWidth="1"/>
    <col min="15" max="15" width="12.5546875" bestFit="1" customWidth="1"/>
    <col min="17" max="17" width="9.6640625" customWidth="1"/>
    <col min="18" max="18" width="12" bestFit="1" customWidth="1"/>
    <col min="19" max="19" width="10.109375" customWidth="1"/>
    <col min="22" max="22" width="10" customWidth="1"/>
    <col min="23" max="23" width="9.109375" customWidth="1"/>
    <col min="25" max="25" width="8.88671875" customWidth="1"/>
  </cols>
  <sheetData>
    <row r="1" spans="1:41" x14ac:dyDescent="0.3">
      <c r="A1" s="35"/>
      <c r="B1" s="36"/>
      <c r="C1" s="36"/>
      <c r="D1" s="37" t="s">
        <v>183</v>
      </c>
      <c r="E1" s="36"/>
      <c r="F1" s="36"/>
      <c r="G1" s="36"/>
      <c r="H1" s="36"/>
      <c r="I1" s="36"/>
      <c r="J1" s="36"/>
      <c r="K1" s="38"/>
      <c r="L1" s="37" t="s">
        <v>20</v>
      </c>
      <c r="M1" s="36"/>
      <c r="N1" s="36"/>
      <c r="O1" s="36"/>
      <c r="P1" s="36"/>
      <c r="Q1" s="38"/>
      <c r="R1" s="39" t="s">
        <v>21</v>
      </c>
      <c r="S1" s="36"/>
      <c r="T1" s="36"/>
      <c r="U1" s="38"/>
      <c r="V1" s="33" t="s">
        <v>97</v>
      </c>
      <c r="W1" s="33"/>
      <c r="X1" s="33"/>
      <c r="Y1" s="33"/>
      <c r="Z1" t="s">
        <v>171</v>
      </c>
    </row>
    <row r="2" spans="1:41" x14ac:dyDescent="0.3">
      <c r="A2" s="40" t="s">
        <v>22</v>
      </c>
      <c r="B2" s="40" t="s">
        <v>1</v>
      </c>
      <c r="C2" s="41" t="s">
        <v>2</v>
      </c>
      <c r="D2" s="40" t="s">
        <v>3</v>
      </c>
      <c r="E2" s="40" t="s">
        <v>4</v>
      </c>
      <c r="F2" s="40" t="s">
        <v>5</v>
      </c>
      <c r="G2" s="40" t="s">
        <v>23</v>
      </c>
      <c r="H2" s="40" t="s">
        <v>24</v>
      </c>
      <c r="I2" s="40" t="s">
        <v>25</v>
      </c>
      <c r="J2" s="40" t="s">
        <v>26</v>
      </c>
      <c r="K2" s="40" t="s">
        <v>27</v>
      </c>
      <c r="L2" s="42" t="s">
        <v>28</v>
      </c>
      <c r="M2" s="42" t="s">
        <v>29</v>
      </c>
      <c r="N2" s="42" t="s">
        <v>30</v>
      </c>
      <c r="O2" s="42" t="s">
        <v>31</v>
      </c>
      <c r="P2" s="42" t="s">
        <v>32</v>
      </c>
      <c r="Q2" s="43" t="s">
        <v>33</v>
      </c>
      <c r="R2" s="43" t="s">
        <v>34</v>
      </c>
      <c r="S2" s="43" t="s">
        <v>35</v>
      </c>
      <c r="T2" s="43" t="s">
        <v>36</v>
      </c>
      <c r="U2" s="43" t="s">
        <v>37</v>
      </c>
      <c r="V2" s="43" t="s">
        <v>98</v>
      </c>
      <c r="W2" s="43" t="s">
        <v>29</v>
      </c>
      <c r="X2" s="43" t="s">
        <v>100</v>
      </c>
      <c r="Y2" s="43" t="s">
        <v>99</v>
      </c>
      <c r="Z2" s="13" t="s">
        <v>168</v>
      </c>
      <c r="AA2" s="14" t="s">
        <v>1</v>
      </c>
      <c r="AB2" s="14" t="s">
        <v>2</v>
      </c>
      <c r="AC2" s="14" t="s">
        <v>3</v>
      </c>
      <c r="AD2" s="14" t="s">
        <v>4</v>
      </c>
      <c r="AE2" s="102" t="s">
        <v>169</v>
      </c>
      <c r="AF2" s="102" t="s">
        <v>25</v>
      </c>
      <c r="AG2" s="102" t="s">
        <v>174</v>
      </c>
      <c r="AH2" s="102" t="s">
        <v>170</v>
      </c>
      <c r="AI2" s="102" t="s">
        <v>175</v>
      </c>
      <c r="AJ2" s="104" t="s">
        <v>185</v>
      </c>
      <c r="AL2" s="107" t="s">
        <v>180</v>
      </c>
      <c r="AM2" s="107" t="s">
        <v>174</v>
      </c>
      <c r="AN2" s="107" t="s">
        <v>181</v>
      </c>
      <c r="AO2" s="104" t="s">
        <v>185</v>
      </c>
    </row>
    <row r="3" spans="1:41" x14ac:dyDescent="0.3">
      <c r="A3" s="33">
        <v>2</v>
      </c>
      <c r="B3" s="33">
        <v>10</v>
      </c>
      <c r="C3" s="17">
        <v>0.14699999999999999</v>
      </c>
      <c r="D3" s="17">
        <v>3.2000000000000001E-2</v>
      </c>
      <c r="E3" s="46">
        <f t="shared" ref="E3:E8" si="0">(B3*D3)/C3</f>
        <v>2.1768707482993199</v>
      </c>
      <c r="F3" s="46">
        <f>(B3-E3)*100/B3</f>
        <v>78.231292517006793</v>
      </c>
      <c r="G3" s="45">
        <f t="shared" ref="G3:G8" si="1">LOG(E3)</f>
        <v>0.33783264357172993</v>
      </c>
      <c r="H3" s="46">
        <f>(B3-E3)</f>
        <v>7.8231292517006796</v>
      </c>
      <c r="I3" s="46">
        <f t="shared" ref="I3:I8" si="2">(H3/A3)</f>
        <v>3.9115646258503398</v>
      </c>
      <c r="J3" s="46">
        <f t="shared" ref="J3:J8" si="3">LOG(I3)</f>
        <v>0.59235050994145433</v>
      </c>
      <c r="K3" s="46">
        <f t="shared" ref="K3:K8" si="4">(E3/I3)</f>
        <v>0.5565217391304349</v>
      </c>
      <c r="L3" s="33">
        <v>0.218</v>
      </c>
      <c r="M3" s="33">
        <v>7.3999999999999996E-2</v>
      </c>
      <c r="N3" s="46">
        <f t="shared" ref="N3:N8" si="5">(L3/M3)</f>
        <v>2.9459459459459461</v>
      </c>
      <c r="O3" s="46">
        <f t="shared" ref="O3:O8" si="6">1+(N3*B3)</f>
        <v>30.45945945945946</v>
      </c>
      <c r="P3" s="83">
        <f t="shared" ref="P3:P8" si="7">1/O3</f>
        <v>3.2830523513753325E-2</v>
      </c>
      <c r="Q3" s="46">
        <f>1/L3</f>
        <v>4.5871559633027523</v>
      </c>
      <c r="R3" s="33">
        <v>5.8000000000000003E-2</v>
      </c>
      <c r="S3" s="46">
        <f>1/R3</f>
        <v>17.241379310344826</v>
      </c>
      <c r="T3" s="46">
        <v>0.57899999999999996</v>
      </c>
      <c r="U3" s="46">
        <f>POWER(10,T3)</f>
        <v>3.7931498497368192</v>
      </c>
      <c r="V3" s="33">
        <v>0.245</v>
      </c>
      <c r="W3" s="83">
        <v>3.782</v>
      </c>
      <c r="X3" s="33">
        <f>W3/(2.303*V3)</f>
        <v>6.7028808918269878</v>
      </c>
      <c r="Y3" s="33">
        <f>POWER(10,X3)</f>
        <v>5045229.097973628</v>
      </c>
      <c r="Z3" s="15">
        <v>303</v>
      </c>
      <c r="AA3" s="16">
        <v>30</v>
      </c>
      <c r="AB3" s="17">
        <v>0.375</v>
      </c>
      <c r="AC3" s="17">
        <v>0.26500000000000001</v>
      </c>
      <c r="AD3" s="18">
        <f t="shared" ref="AD3:AD6" si="8">(AA3*AC3)/AB3</f>
        <v>21.2</v>
      </c>
      <c r="AE3" s="33">
        <v>2</v>
      </c>
      <c r="AF3" s="33">
        <f>(AA3-AD3)/AE3</f>
        <v>4.4000000000000004</v>
      </c>
      <c r="AG3" s="33">
        <f>AF3/AD3</f>
        <v>0.20754716981132079</v>
      </c>
      <c r="AH3" s="83">
        <f>1/Z3</f>
        <v>3.3003300330033004E-3</v>
      </c>
      <c r="AI3" s="46">
        <f>LN(AG3)</f>
        <v>-1.5723966407537511</v>
      </c>
      <c r="AJ3" s="46">
        <f>-(8.314*Z3*AI3)/1000</f>
        <v>3.9610904183816857</v>
      </c>
      <c r="AL3">
        <v>303</v>
      </c>
      <c r="AM3">
        <f>1/K3</f>
        <v>1.7968749999999996</v>
      </c>
      <c r="AN3">
        <f>LN(AM3)</f>
        <v>0.58604904500357791</v>
      </c>
      <c r="AO3" s="103">
        <f>-8.314*AL3*AN3/1000</f>
        <v>-1.4763407633284031</v>
      </c>
    </row>
    <row r="4" spans="1:41" x14ac:dyDescent="0.3">
      <c r="A4" s="33">
        <v>2</v>
      </c>
      <c r="B4" s="33">
        <v>15</v>
      </c>
      <c r="C4" s="17">
        <v>0.19400000000000001</v>
      </c>
      <c r="D4" s="17">
        <v>8.3000000000000004E-2</v>
      </c>
      <c r="E4" s="46">
        <f t="shared" si="0"/>
        <v>6.4175257731958766</v>
      </c>
      <c r="F4" s="46">
        <f t="shared" ref="F4:F8" si="9">(B4-E4)*100/B4</f>
        <v>57.21649484536082</v>
      </c>
      <c r="G4" s="45">
        <f t="shared" si="1"/>
        <v>0.80736762150152908</v>
      </c>
      <c r="H4" s="46">
        <f t="shared" ref="H4:H8" si="10">(B4-E4)</f>
        <v>8.5824742268041234</v>
      </c>
      <c r="I4" s="46">
        <f>(H4/A4)</f>
        <v>4.2912371134020617</v>
      </c>
      <c r="J4" s="46">
        <f t="shared" si="3"/>
        <v>0.63258251224813145</v>
      </c>
      <c r="K4" s="46">
        <f t="shared" si="4"/>
        <v>1.4954954954954955</v>
      </c>
      <c r="L4" s="33">
        <v>0.218</v>
      </c>
      <c r="M4" s="33">
        <v>7.3999999999999996E-2</v>
      </c>
      <c r="N4" s="46">
        <f t="shared" si="5"/>
        <v>2.9459459459459461</v>
      </c>
      <c r="O4" s="46">
        <f t="shared" si="6"/>
        <v>45.189189189189193</v>
      </c>
      <c r="P4" s="83">
        <f t="shared" si="7"/>
        <v>2.2129186602870811E-2</v>
      </c>
      <c r="Q4" s="46">
        <f t="shared" ref="Q4:Q8" si="11">1/L4</f>
        <v>4.5871559633027523</v>
      </c>
      <c r="R4" s="33">
        <v>5.8000000000000003E-2</v>
      </c>
      <c r="S4" s="46">
        <f t="shared" ref="S4:S8" si="12">1/R4</f>
        <v>17.241379310344826</v>
      </c>
      <c r="T4" s="46">
        <v>0.57899999999999996</v>
      </c>
      <c r="U4" s="46">
        <f t="shared" ref="U4:U8" si="13">POWER(10,T4)</f>
        <v>3.7931498497368192</v>
      </c>
      <c r="V4" s="46"/>
      <c r="W4" s="83"/>
      <c r="X4" s="46"/>
      <c r="Y4" s="33"/>
      <c r="Z4" s="15">
        <v>313</v>
      </c>
      <c r="AA4" s="16">
        <v>30</v>
      </c>
      <c r="AB4" s="17">
        <v>0.375</v>
      </c>
      <c r="AC4" s="17">
        <v>0.28799999999999998</v>
      </c>
      <c r="AD4" s="18">
        <f t="shared" si="8"/>
        <v>23.039999999999996</v>
      </c>
      <c r="AE4" s="33">
        <v>2</v>
      </c>
      <c r="AF4" s="33">
        <f t="shared" ref="AF4:AF6" si="14">(AA4-AD4)/AE4</f>
        <v>3.4800000000000022</v>
      </c>
      <c r="AG4" s="33">
        <f t="shared" ref="AG4:AG6" si="15">AF4/AD4</f>
        <v>0.1510416666666668</v>
      </c>
      <c r="AH4" s="83">
        <f t="shared" ref="AH4:AH6" si="16">1/Z4</f>
        <v>3.1948881789137379E-3</v>
      </c>
      <c r="AI4" s="46">
        <f t="shared" ref="AI4:AI6" si="17">LN(AG4)</f>
        <v>-1.8901995420413067</v>
      </c>
      <c r="AJ4" s="46">
        <f t="shared" ref="AJ4:AJ6" si="18">-(8.314*Z4*AI4)/1000</f>
        <v>4.9188322446623358</v>
      </c>
      <c r="AL4">
        <v>303</v>
      </c>
      <c r="AM4">
        <f t="shared" ref="AM4:AM8" si="19">1/K4</f>
        <v>0.66867469879518071</v>
      </c>
      <c r="AN4">
        <f t="shared" ref="AN4:AN8" si="20">LN(AM4)</f>
        <v>-0.40245758704420914</v>
      </c>
      <c r="AO4" s="103">
        <f t="shared" ref="AO4:AO8" si="21">-8.314*AL4*AN4/1000</f>
        <v>1.013847810741723</v>
      </c>
    </row>
    <row r="5" spans="1:41" x14ac:dyDescent="0.3">
      <c r="A5" s="33">
        <v>2</v>
      </c>
      <c r="B5" s="33">
        <v>20</v>
      </c>
      <c r="C5" s="17">
        <v>0.254</v>
      </c>
      <c r="D5" s="17">
        <v>0.14199999999999999</v>
      </c>
      <c r="E5" s="46">
        <f t="shared" si="0"/>
        <v>11.181102362204724</v>
      </c>
      <c r="F5" s="46">
        <f t="shared" si="9"/>
        <v>44.094488188976378</v>
      </c>
      <c r="G5" s="45">
        <f t="shared" si="1"/>
        <v>1.0484846234270997</v>
      </c>
      <c r="H5" s="46">
        <f t="shared" si="10"/>
        <v>8.8188976377952759</v>
      </c>
      <c r="I5" s="46">
        <f t="shared" si="2"/>
        <v>4.409448818897638</v>
      </c>
      <c r="J5" s="46">
        <f t="shared" si="3"/>
        <v>0.64438430605024355</v>
      </c>
      <c r="K5" s="46">
        <f t="shared" si="4"/>
        <v>2.5357142857142856</v>
      </c>
      <c r="L5" s="33">
        <v>0.218</v>
      </c>
      <c r="M5" s="33">
        <v>7.3999999999999996E-2</v>
      </c>
      <c r="N5" s="46">
        <f t="shared" si="5"/>
        <v>2.9459459459459461</v>
      </c>
      <c r="O5" s="46">
        <f t="shared" si="6"/>
        <v>59.918918918918919</v>
      </c>
      <c r="P5" s="83">
        <f t="shared" si="7"/>
        <v>1.6689219666215605E-2</v>
      </c>
      <c r="Q5" s="46">
        <f t="shared" si="11"/>
        <v>4.5871559633027523</v>
      </c>
      <c r="R5" s="33">
        <v>5.8000000000000003E-2</v>
      </c>
      <c r="S5" s="46">
        <f t="shared" si="12"/>
        <v>17.241379310344826</v>
      </c>
      <c r="T5" s="46">
        <v>0.57899999999999996</v>
      </c>
      <c r="U5" s="46">
        <f t="shared" si="13"/>
        <v>3.7931498497368192</v>
      </c>
      <c r="V5" s="46" t="s">
        <v>101</v>
      </c>
      <c r="W5" s="83"/>
      <c r="X5" s="46"/>
      <c r="Y5" s="33"/>
      <c r="Z5" s="15">
        <v>323</v>
      </c>
      <c r="AA5" s="16">
        <v>30</v>
      </c>
      <c r="AB5" s="17">
        <v>0.375</v>
      </c>
      <c r="AC5" s="17">
        <v>0.307</v>
      </c>
      <c r="AD5" s="18">
        <f t="shared" si="8"/>
        <v>24.56</v>
      </c>
      <c r="AE5" s="33">
        <v>2</v>
      </c>
      <c r="AF5" s="33">
        <f t="shared" si="14"/>
        <v>2.7200000000000006</v>
      </c>
      <c r="AG5" s="33">
        <f t="shared" si="15"/>
        <v>0.11074918566775248</v>
      </c>
      <c r="AH5" s="83">
        <f t="shared" si="16"/>
        <v>3.0959752321981426E-3</v>
      </c>
      <c r="AI5" s="46">
        <f t="shared" si="17"/>
        <v>-2.2004872229710353</v>
      </c>
      <c r="AJ5" s="46">
        <f t="shared" si="18"/>
        <v>5.9092367992853232</v>
      </c>
      <c r="AL5">
        <v>303</v>
      </c>
      <c r="AM5">
        <f t="shared" si="19"/>
        <v>0.39436619718309862</v>
      </c>
      <c r="AN5">
        <f t="shared" si="20"/>
        <v>-0.93047536686611143</v>
      </c>
      <c r="AO5" s="103">
        <f t="shared" si="21"/>
        <v>2.3439995766378297</v>
      </c>
    </row>
    <row r="6" spans="1:41" x14ac:dyDescent="0.3">
      <c r="A6" s="33">
        <v>2</v>
      </c>
      <c r="B6" s="33">
        <v>25</v>
      </c>
      <c r="C6" s="17">
        <v>0.32200000000000001</v>
      </c>
      <c r="D6" s="17">
        <v>0.20300000000000001</v>
      </c>
      <c r="E6" s="46">
        <f t="shared" si="0"/>
        <v>15.760869565217391</v>
      </c>
      <c r="F6" s="46">
        <f t="shared" si="9"/>
        <v>36.956521739130437</v>
      </c>
      <c r="G6" s="45">
        <f t="shared" si="1"/>
        <v>1.1975801748894197</v>
      </c>
      <c r="H6" s="46">
        <f t="shared" si="10"/>
        <v>9.2391304347826093</v>
      </c>
      <c r="I6" s="46">
        <f t="shared" si="2"/>
        <v>4.6195652173913047</v>
      </c>
      <c r="J6" s="46">
        <f t="shared" si="3"/>
        <v>0.66460110270475625</v>
      </c>
      <c r="K6" s="46">
        <f t="shared" si="4"/>
        <v>3.4117647058823524</v>
      </c>
      <c r="L6" s="33">
        <v>0.218</v>
      </c>
      <c r="M6" s="33">
        <v>7.3999999999999996E-2</v>
      </c>
      <c r="N6" s="46">
        <f t="shared" si="5"/>
        <v>2.9459459459459461</v>
      </c>
      <c r="O6" s="46">
        <f t="shared" si="6"/>
        <v>74.648648648648646</v>
      </c>
      <c r="P6" s="83">
        <f t="shared" si="7"/>
        <v>1.3396089790007242E-2</v>
      </c>
      <c r="Q6" s="46">
        <f t="shared" si="11"/>
        <v>4.5871559633027523</v>
      </c>
      <c r="R6" s="33">
        <v>5.8000000000000003E-2</v>
      </c>
      <c r="S6" s="46">
        <f t="shared" si="12"/>
        <v>17.241379310344826</v>
      </c>
      <c r="T6" s="46">
        <v>0.57899999999999996</v>
      </c>
      <c r="U6" s="46">
        <f t="shared" si="13"/>
        <v>3.7931498497368192</v>
      </c>
      <c r="V6" s="43" t="s">
        <v>98</v>
      </c>
      <c r="W6" s="83" t="s">
        <v>29</v>
      </c>
      <c r="X6" s="46" t="s">
        <v>96</v>
      </c>
      <c r="Y6" s="33"/>
      <c r="Z6" s="15">
        <v>333</v>
      </c>
      <c r="AA6" s="16">
        <v>30</v>
      </c>
      <c r="AB6" s="17">
        <v>0.375</v>
      </c>
      <c r="AC6" s="17">
        <v>0.29199999999999998</v>
      </c>
      <c r="AD6" s="18">
        <f t="shared" si="8"/>
        <v>23.36</v>
      </c>
      <c r="AE6" s="33">
        <v>2</v>
      </c>
      <c r="AF6" s="33">
        <f t="shared" si="14"/>
        <v>3.3200000000000003</v>
      </c>
      <c r="AG6" s="33">
        <f t="shared" si="15"/>
        <v>0.14212328767123289</v>
      </c>
      <c r="AH6" s="83">
        <f t="shared" si="16"/>
        <v>3.003003003003003E-3</v>
      </c>
      <c r="AI6" s="46">
        <f t="shared" si="17"/>
        <v>-1.9510603750316291</v>
      </c>
      <c r="AJ6" s="46">
        <f t="shared" si="18"/>
        <v>5.4016316140183172</v>
      </c>
      <c r="AL6">
        <v>303</v>
      </c>
      <c r="AM6">
        <f t="shared" si="19"/>
        <v>0.2931034482758621</v>
      </c>
      <c r="AN6">
        <f t="shared" si="20"/>
        <v>-1.2272296664902032</v>
      </c>
      <c r="AO6" s="103">
        <f t="shared" si="21"/>
        <v>3.0915657965014631</v>
      </c>
    </row>
    <row r="7" spans="1:41" x14ac:dyDescent="0.3">
      <c r="A7" s="33">
        <v>2</v>
      </c>
      <c r="B7" s="33">
        <v>30</v>
      </c>
      <c r="C7" s="17">
        <v>0.375</v>
      </c>
      <c r="D7" s="17">
        <v>0.26500000000000001</v>
      </c>
      <c r="E7" s="46">
        <f t="shared" si="0"/>
        <v>21.2</v>
      </c>
      <c r="F7" s="46">
        <f t="shared" si="9"/>
        <v>29.333333333333336</v>
      </c>
      <c r="G7" s="45">
        <f t="shared" si="1"/>
        <v>1.3263358609287514</v>
      </c>
      <c r="H7" s="46">
        <f t="shared" si="10"/>
        <v>8.8000000000000007</v>
      </c>
      <c r="I7" s="46">
        <f t="shared" si="2"/>
        <v>4.4000000000000004</v>
      </c>
      <c r="J7" s="46">
        <f t="shared" si="3"/>
        <v>0.64345267648618742</v>
      </c>
      <c r="K7" s="46">
        <f t="shared" si="4"/>
        <v>4.8181818181818175</v>
      </c>
      <c r="L7" s="33">
        <v>0.218</v>
      </c>
      <c r="M7" s="33">
        <v>7.3999999999999996E-2</v>
      </c>
      <c r="N7" s="46">
        <f t="shared" si="5"/>
        <v>2.9459459459459461</v>
      </c>
      <c r="O7" s="46">
        <f t="shared" si="6"/>
        <v>89.378378378378386</v>
      </c>
      <c r="P7" s="83">
        <f t="shared" si="7"/>
        <v>1.1188388267311762E-2</v>
      </c>
      <c r="Q7" s="46">
        <f t="shared" si="11"/>
        <v>4.5871559633027523</v>
      </c>
      <c r="R7" s="33">
        <v>5.8000000000000003E-2</v>
      </c>
      <c r="S7" s="46">
        <f t="shared" si="12"/>
        <v>17.241379310344826</v>
      </c>
      <c r="T7" s="46">
        <v>0.57899999999999996</v>
      </c>
      <c r="U7" s="46">
        <f t="shared" si="13"/>
        <v>3.7931498497368192</v>
      </c>
      <c r="V7" s="46">
        <v>0.94099999999999995</v>
      </c>
      <c r="W7" s="83">
        <v>-0.57899999999999996</v>
      </c>
      <c r="X7" s="46">
        <f>POWER(10,W7)</f>
        <v>0.26363313858253801</v>
      </c>
      <c r="Y7" s="33"/>
      <c r="AL7">
        <v>303</v>
      </c>
      <c r="AM7">
        <f t="shared" si="19"/>
        <v>0.20754716981132079</v>
      </c>
      <c r="AN7">
        <f t="shared" si="20"/>
        <v>-1.5723966407537511</v>
      </c>
      <c r="AO7" s="103">
        <f t="shared" si="21"/>
        <v>3.9610904183816857</v>
      </c>
    </row>
    <row r="8" spans="1:41" x14ac:dyDescent="0.3">
      <c r="A8" s="33">
        <v>2</v>
      </c>
      <c r="B8" s="33">
        <v>35</v>
      </c>
      <c r="C8" s="17">
        <v>0.42099999999999999</v>
      </c>
      <c r="D8" s="17">
        <v>0.312</v>
      </c>
      <c r="E8" s="46">
        <f t="shared" si="0"/>
        <v>25.938242280285035</v>
      </c>
      <c r="F8" s="46">
        <f t="shared" si="9"/>
        <v>25.890736342042757</v>
      </c>
      <c r="G8" s="45">
        <f t="shared" si="1"/>
        <v>1.41394054253305</v>
      </c>
      <c r="H8" s="46">
        <f t="shared" si="10"/>
        <v>9.061757719714965</v>
      </c>
      <c r="I8" s="46">
        <f t="shared" si="2"/>
        <v>4.5308788598574825</v>
      </c>
      <c r="J8" s="46">
        <f t="shared" si="3"/>
        <v>0.65618245079124982</v>
      </c>
      <c r="K8" s="46">
        <f t="shared" si="4"/>
        <v>5.7247706422018343</v>
      </c>
      <c r="L8" s="33">
        <v>0.218</v>
      </c>
      <c r="M8" s="33">
        <v>7.3999999999999996E-2</v>
      </c>
      <c r="N8" s="46">
        <f t="shared" si="5"/>
        <v>2.9459459459459461</v>
      </c>
      <c r="O8" s="46">
        <f t="shared" si="6"/>
        <v>104.10810810810811</v>
      </c>
      <c r="P8" s="83">
        <f t="shared" si="7"/>
        <v>9.6053997923156789E-3</v>
      </c>
      <c r="Q8" s="46">
        <f t="shared" si="11"/>
        <v>4.5871559633027523</v>
      </c>
      <c r="R8" s="33">
        <v>5.8000000000000003E-2</v>
      </c>
      <c r="S8" s="46">
        <f t="shared" si="12"/>
        <v>17.241379310344826</v>
      </c>
      <c r="T8" s="46">
        <v>0.57899999999999996</v>
      </c>
      <c r="U8" s="46">
        <f t="shared" si="13"/>
        <v>3.7931498497368192</v>
      </c>
      <c r="V8" s="46"/>
      <c r="W8" s="83"/>
      <c r="X8" s="46"/>
      <c r="Y8" s="33"/>
      <c r="AL8">
        <v>303</v>
      </c>
      <c r="AM8">
        <f t="shared" si="19"/>
        <v>0.1746794871794872</v>
      </c>
      <c r="AN8">
        <f t="shared" si="20"/>
        <v>-1.7448024861402838</v>
      </c>
      <c r="AO8" s="103">
        <f t="shared" si="21"/>
        <v>4.3954052245404061</v>
      </c>
    </row>
    <row r="9" spans="1:41" x14ac:dyDescent="0.3">
      <c r="AO9" s="108"/>
    </row>
    <row r="10" spans="1:41" x14ac:dyDescent="0.3">
      <c r="A10" s="80" t="s">
        <v>40</v>
      </c>
      <c r="B10" s="80" t="s">
        <v>1</v>
      </c>
      <c r="C10" s="81" t="s">
        <v>2</v>
      </c>
      <c r="D10" s="80" t="s">
        <v>3</v>
      </c>
      <c r="E10" s="80" t="s">
        <v>4</v>
      </c>
      <c r="F10" s="80" t="s">
        <v>5</v>
      </c>
      <c r="G10" s="80" t="s">
        <v>25</v>
      </c>
      <c r="H10" s="80" t="s">
        <v>26</v>
      </c>
      <c r="I10" s="80" t="s">
        <v>23</v>
      </c>
      <c r="J10" s="43" t="s">
        <v>41</v>
      </c>
      <c r="K10" s="43" t="s">
        <v>39</v>
      </c>
      <c r="L10" s="80" t="s">
        <v>27</v>
      </c>
      <c r="M10" s="80" t="s">
        <v>38</v>
      </c>
      <c r="N10" s="43" t="s">
        <v>42</v>
      </c>
      <c r="O10" s="43" t="s">
        <v>62</v>
      </c>
      <c r="P10" s="43" t="s">
        <v>60</v>
      </c>
      <c r="Q10" s="44" t="s">
        <v>61</v>
      </c>
      <c r="R10" s="44" t="s">
        <v>63</v>
      </c>
      <c r="S10" s="44" t="s">
        <v>64</v>
      </c>
      <c r="T10" s="44" t="s">
        <v>65</v>
      </c>
      <c r="AC10" s="33" t="s">
        <v>170</v>
      </c>
      <c r="AD10" s="33" t="s">
        <v>175</v>
      </c>
    </row>
    <row r="11" spans="1:41" x14ac:dyDescent="0.3">
      <c r="A11" s="33">
        <v>2</v>
      </c>
      <c r="B11" s="33">
        <v>10</v>
      </c>
      <c r="C11" s="17">
        <v>0.14699999999999999</v>
      </c>
      <c r="D11" s="17">
        <v>3.2000000000000001E-2</v>
      </c>
      <c r="E11" s="46">
        <f t="shared" ref="E11:E16" si="22">(B11*D11)/C11</f>
        <v>2.1768707482993199</v>
      </c>
      <c r="F11" s="46">
        <f>(B11-E11)*100/B11</f>
        <v>78.231292517006793</v>
      </c>
      <c r="G11" s="46">
        <f>(B11-E11)/A11</f>
        <v>3.9115646258503398</v>
      </c>
      <c r="H11" s="45">
        <f>LOG(G11)</f>
        <v>0.59235050994145433</v>
      </c>
      <c r="I11" s="46">
        <f>LOG(E11)</f>
        <v>0.33783264357172993</v>
      </c>
      <c r="J11" s="46">
        <f>LN(G11)</f>
        <v>1.363937454018614</v>
      </c>
      <c r="K11" s="46">
        <f>LN(E11)</f>
        <v>0.77788840901503598</v>
      </c>
      <c r="L11" s="46">
        <f>E11/G11</f>
        <v>0.5565217391304349</v>
      </c>
      <c r="M11" s="45">
        <f>LOG(L11)</f>
        <v>-0.2545178663697244</v>
      </c>
      <c r="N11" s="46">
        <f>1+(1/E11)</f>
        <v>1.4593750000000001</v>
      </c>
      <c r="O11" s="46">
        <f>POWER(8.314*303*LN(N11),2)</f>
        <v>906792.42053146008</v>
      </c>
      <c r="P11" s="46">
        <f>O11*POWER(10,-3)</f>
        <v>906.79242053146015</v>
      </c>
      <c r="Q11" s="82">
        <v>-6.9999999999999994E-5</v>
      </c>
      <c r="R11">
        <f>-Q11/2.303</f>
        <v>3.0395136778115499E-5</v>
      </c>
      <c r="S11">
        <v>0.65100000000000002</v>
      </c>
      <c r="T11">
        <f>POWER(10,S11)</f>
        <v>4.4771330417636266</v>
      </c>
      <c r="AC11" s="83">
        <v>3.3003300330033004E-3</v>
      </c>
      <c r="AD11" s="46">
        <v>-1.5723966407537511</v>
      </c>
    </row>
    <row r="12" spans="1:41" x14ac:dyDescent="0.3">
      <c r="A12" s="33">
        <v>2</v>
      </c>
      <c r="B12" s="33">
        <v>15</v>
      </c>
      <c r="C12" s="17">
        <v>0.19400000000000001</v>
      </c>
      <c r="D12" s="17">
        <v>8.3000000000000004E-2</v>
      </c>
      <c r="E12" s="46">
        <f t="shared" si="22"/>
        <v>6.4175257731958766</v>
      </c>
      <c r="F12" s="46">
        <f t="shared" ref="F12:F16" si="23">(B12-E12)*100/B12</f>
        <v>57.21649484536082</v>
      </c>
      <c r="G12" s="46">
        <f t="shared" ref="G12:G16" si="24">(B12-E12)/A12</f>
        <v>4.2912371134020617</v>
      </c>
      <c r="H12" s="45">
        <f t="shared" ref="H12:H16" si="25">LOG(G12)</f>
        <v>0.63258251224813145</v>
      </c>
      <c r="I12" s="46">
        <f t="shared" ref="I12:I16" si="26">LOG(E12)</f>
        <v>0.80736762150152908</v>
      </c>
      <c r="J12" s="46">
        <f t="shared" ref="J12:J16" si="27">LN(G12)</f>
        <v>1.4565750627912708</v>
      </c>
      <c r="K12" s="46">
        <f t="shared" ref="K12:K16" si="28">LN(E12)</f>
        <v>1.8590326498354799</v>
      </c>
      <c r="L12" s="46">
        <f t="shared" ref="L12:L16" si="29">E12/G12</f>
        <v>1.4954954954954955</v>
      </c>
      <c r="M12" s="45">
        <f t="shared" ref="M12:M16" si="30">LOG(L12)</f>
        <v>0.17478510925339769</v>
      </c>
      <c r="N12" s="46">
        <f t="shared" ref="N12:N16" si="31">1+(1/E12)</f>
        <v>1.1558232931726908</v>
      </c>
      <c r="O12" s="46">
        <f t="shared" ref="O12:O16" si="32">POWER(8.314*303*LN(N12),2)</f>
        <v>133082.14334593469</v>
      </c>
      <c r="P12" s="46">
        <f t="shared" ref="P12:P16" si="33">O12*POWER(10,-3)</f>
        <v>133.0821433459347</v>
      </c>
      <c r="Q12" s="82">
        <v>-6.9999999999999994E-5</v>
      </c>
      <c r="R12">
        <f t="shared" ref="R12:R16" si="34">-Q12/2.303</f>
        <v>3.0395136778115499E-5</v>
      </c>
      <c r="AC12" s="83">
        <v>3.1948881789137379E-3</v>
      </c>
      <c r="AD12" s="46">
        <v>-1.8901995420413067</v>
      </c>
    </row>
    <row r="13" spans="1:41" x14ac:dyDescent="0.3">
      <c r="A13" s="33">
        <v>2</v>
      </c>
      <c r="B13" s="33">
        <v>20</v>
      </c>
      <c r="C13" s="17">
        <v>0.254</v>
      </c>
      <c r="D13" s="17">
        <v>0.14199999999999999</v>
      </c>
      <c r="E13" s="46">
        <f t="shared" si="22"/>
        <v>11.181102362204724</v>
      </c>
      <c r="F13" s="46">
        <f t="shared" si="23"/>
        <v>44.094488188976378</v>
      </c>
      <c r="G13" s="46">
        <f t="shared" si="24"/>
        <v>4.409448818897638</v>
      </c>
      <c r="H13" s="45">
        <f t="shared" si="25"/>
        <v>0.64438430605024355</v>
      </c>
      <c r="I13" s="46">
        <f t="shared" si="26"/>
        <v>1.0484846234270997</v>
      </c>
      <c r="J13" s="46">
        <f t="shared" si="27"/>
        <v>1.4837496972706037</v>
      </c>
      <c r="K13" s="46">
        <f t="shared" si="28"/>
        <v>2.4142250641367151</v>
      </c>
      <c r="L13" s="46">
        <f t="shared" si="29"/>
        <v>2.5357142857142856</v>
      </c>
      <c r="M13" s="45">
        <f t="shared" si="30"/>
        <v>0.40410031737685603</v>
      </c>
      <c r="N13" s="46">
        <f t="shared" si="31"/>
        <v>1.0894366197183099</v>
      </c>
      <c r="O13" s="46">
        <f t="shared" si="32"/>
        <v>46565.957257363014</v>
      </c>
      <c r="P13" s="46">
        <f t="shared" si="33"/>
        <v>46.565957257363017</v>
      </c>
      <c r="Q13" s="82">
        <v>-6.9999999999999994E-5</v>
      </c>
      <c r="R13">
        <f t="shared" si="34"/>
        <v>3.0395136778115499E-5</v>
      </c>
      <c r="AC13" s="83">
        <v>3.0959752321981426E-3</v>
      </c>
      <c r="AD13" s="46">
        <v>-2.2004872229710353</v>
      </c>
    </row>
    <row r="14" spans="1:41" x14ac:dyDescent="0.3">
      <c r="A14" s="33">
        <v>2</v>
      </c>
      <c r="B14" s="33">
        <v>25</v>
      </c>
      <c r="C14" s="17">
        <v>0.32200000000000001</v>
      </c>
      <c r="D14" s="17">
        <v>0.20300000000000001</v>
      </c>
      <c r="E14" s="46">
        <f t="shared" si="22"/>
        <v>15.760869565217391</v>
      </c>
      <c r="F14" s="46">
        <f t="shared" si="23"/>
        <v>36.956521739130437</v>
      </c>
      <c r="G14" s="46">
        <f t="shared" si="24"/>
        <v>4.6195652173913047</v>
      </c>
      <c r="H14" s="45">
        <f t="shared" si="25"/>
        <v>0.66460110270475625</v>
      </c>
      <c r="I14" s="46">
        <f t="shared" si="26"/>
        <v>1.1975801748894197</v>
      </c>
      <c r="J14" s="46">
        <f t="shared" si="27"/>
        <v>1.5303005918753765</v>
      </c>
      <c r="K14" s="46">
        <f t="shared" si="28"/>
        <v>2.7575302583655796</v>
      </c>
      <c r="L14" s="46">
        <f t="shared" si="29"/>
        <v>3.4117647058823524</v>
      </c>
      <c r="M14" s="45">
        <f t="shared" si="30"/>
        <v>0.53297907218466323</v>
      </c>
      <c r="N14" s="46">
        <f t="shared" si="31"/>
        <v>1.0634482758620689</v>
      </c>
      <c r="O14" s="46">
        <f t="shared" si="32"/>
        <v>24015.499377793585</v>
      </c>
      <c r="P14" s="46">
        <f t="shared" si="33"/>
        <v>24.015499377793585</v>
      </c>
      <c r="Q14" s="82">
        <v>-6.9999999999999994E-5</v>
      </c>
      <c r="R14">
        <f t="shared" si="34"/>
        <v>3.0395136778115499E-5</v>
      </c>
      <c r="AC14" s="83">
        <v>3.003003003003003E-3</v>
      </c>
      <c r="AD14" s="46">
        <v>-1.9510603750316291</v>
      </c>
    </row>
    <row r="15" spans="1:41" x14ac:dyDescent="0.3">
      <c r="A15" s="33">
        <v>2</v>
      </c>
      <c r="B15" s="33">
        <v>30</v>
      </c>
      <c r="C15" s="17">
        <v>0.375</v>
      </c>
      <c r="D15" s="17">
        <v>0.26500000000000001</v>
      </c>
      <c r="E15" s="46">
        <f t="shared" si="22"/>
        <v>21.2</v>
      </c>
      <c r="F15" s="46">
        <f t="shared" si="23"/>
        <v>29.333333333333336</v>
      </c>
      <c r="G15" s="46">
        <f t="shared" si="24"/>
        <v>4.4000000000000004</v>
      </c>
      <c r="H15" s="45">
        <f t="shared" si="25"/>
        <v>0.64345267648618742</v>
      </c>
      <c r="I15" s="46">
        <f t="shared" si="26"/>
        <v>1.3263358609287514</v>
      </c>
      <c r="J15" s="46">
        <f t="shared" si="27"/>
        <v>1.4816045409242156</v>
      </c>
      <c r="K15" s="46">
        <f t="shared" si="28"/>
        <v>3.0540011816779669</v>
      </c>
      <c r="L15" s="46">
        <f t="shared" si="29"/>
        <v>4.8181818181818175</v>
      </c>
      <c r="M15" s="45">
        <f t="shared" si="30"/>
        <v>0.68288318444256391</v>
      </c>
      <c r="N15" s="46">
        <f t="shared" si="31"/>
        <v>1.0471698113207548</v>
      </c>
      <c r="O15" s="46">
        <f t="shared" si="32"/>
        <v>13481.542311805657</v>
      </c>
      <c r="P15" s="46">
        <f t="shared" si="33"/>
        <v>13.481542311805658</v>
      </c>
      <c r="Q15" s="82">
        <v>-6.9999999999999994E-5</v>
      </c>
      <c r="R15">
        <f t="shared" si="34"/>
        <v>3.0395136778115499E-5</v>
      </c>
    </row>
    <row r="16" spans="1:41" x14ac:dyDescent="0.3">
      <c r="A16" s="33">
        <v>2</v>
      </c>
      <c r="B16" s="33">
        <v>35</v>
      </c>
      <c r="C16" s="17">
        <v>0.42099999999999999</v>
      </c>
      <c r="D16" s="17">
        <v>0.312</v>
      </c>
      <c r="E16" s="46">
        <f t="shared" si="22"/>
        <v>25.938242280285035</v>
      </c>
      <c r="F16" s="46">
        <f t="shared" si="23"/>
        <v>25.890736342042757</v>
      </c>
      <c r="G16" s="46">
        <f t="shared" si="24"/>
        <v>4.5308788598574825</v>
      </c>
      <c r="H16" s="45">
        <f t="shared" si="25"/>
        <v>0.65618245079124982</v>
      </c>
      <c r="I16" s="46">
        <f t="shared" si="26"/>
        <v>1.41394054253305</v>
      </c>
      <c r="J16" s="46">
        <f t="shared" si="27"/>
        <v>1.5109159294762307</v>
      </c>
      <c r="K16" s="46">
        <f t="shared" si="28"/>
        <v>3.2557184156165144</v>
      </c>
      <c r="L16" s="46">
        <f t="shared" si="29"/>
        <v>5.7247706422018343</v>
      </c>
      <c r="M16" s="45">
        <f t="shared" si="30"/>
        <v>0.75775809174180031</v>
      </c>
      <c r="N16" s="46">
        <f t="shared" si="31"/>
        <v>1.0385531135531136</v>
      </c>
      <c r="O16" s="46">
        <f t="shared" si="32"/>
        <v>9081.2098461478636</v>
      </c>
      <c r="P16" s="46">
        <f t="shared" si="33"/>
        <v>9.0812098461478641</v>
      </c>
      <c r="Q16" s="82">
        <v>-6.9999999999999994E-5</v>
      </c>
      <c r="R16">
        <f t="shared" si="34"/>
        <v>3.0395136778115499E-5</v>
      </c>
    </row>
    <row r="18" spans="1:20" x14ac:dyDescent="0.3">
      <c r="A18" s="32" t="s">
        <v>120</v>
      </c>
      <c r="B18" s="9"/>
    </row>
    <row r="19" spans="1:20" x14ac:dyDescent="0.3">
      <c r="A19" s="32" t="s">
        <v>23</v>
      </c>
      <c r="B19" s="32" t="s">
        <v>26</v>
      </c>
      <c r="S19" s="43" t="s">
        <v>60</v>
      </c>
      <c r="T19" s="80" t="s">
        <v>26</v>
      </c>
    </row>
    <row r="20" spans="1:20" x14ac:dyDescent="0.3">
      <c r="A20" s="46">
        <v>0.33783264357172993</v>
      </c>
      <c r="B20" s="46">
        <v>0.59235050994145433</v>
      </c>
      <c r="S20" s="46">
        <v>906.79242053146015</v>
      </c>
      <c r="T20" s="45">
        <v>0.59235050994145433</v>
      </c>
    </row>
    <row r="21" spans="1:20" x14ac:dyDescent="0.3">
      <c r="A21" s="46">
        <v>0.80736762150152908</v>
      </c>
      <c r="B21" s="46">
        <v>0.63258251224813145</v>
      </c>
      <c r="S21" s="46">
        <v>133.0821433459347</v>
      </c>
      <c r="T21" s="45">
        <v>0.63258251224813145</v>
      </c>
    </row>
    <row r="22" spans="1:20" x14ac:dyDescent="0.3">
      <c r="A22" s="46">
        <v>1.0484846234270997</v>
      </c>
      <c r="B22" s="46">
        <v>0.64438430605024355</v>
      </c>
      <c r="S22" s="46">
        <v>46.565957257363017</v>
      </c>
      <c r="T22" s="45">
        <v>0.64438430605024355</v>
      </c>
    </row>
    <row r="23" spans="1:20" x14ac:dyDescent="0.3">
      <c r="A23" s="46">
        <v>1.1975801748894197</v>
      </c>
      <c r="B23" s="46">
        <v>0.66460110270475625</v>
      </c>
      <c r="S23" s="46">
        <v>24.015499377793585</v>
      </c>
      <c r="T23" s="45">
        <v>0.66460110270475625</v>
      </c>
    </row>
    <row r="24" spans="1:20" x14ac:dyDescent="0.3">
      <c r="A24" s="46">
        <v>1.3263358609287514</v>
      </c>
      <c r="B24" s="46">
        <v>0.64345267648618742</v>
      </c>
      <c r="S24" s="46">
        <v>13.481542311805658</v>
      </c>
      <c r="T24" s="45">
        <v>0.64345267648618742</v>
      </c>
    </row>
    <row r="25" spans="1:20" x14ac:dyDescent="0.3">
      <c r="A25" s="46">
        <v>1.41394054253305</v>
      </c>
      <c r="B25" s="46">
        <v>0.65618245079124982</v>
      </c>
      <c r="S25" s="46">
        <v>9.0812098461478641</v>
      </c>
      <c r="T25" s="45">
        <v>0.65618245079124982</v>
      </c>
    </row>
    <row r="28" spans="1:20" x14ac:dyDescent="0.3">
      <c r="A28" s="78" t="s">
        <v>125</v>
      </c>
      <c r="B28" s="55"/>
    </row>
    <row r="29" spans="1:20" x14ac:dyDescent="0.3">
      <c r="A29" s="52" t="s">
        <v>4</v>
      </c>
      <c r="B29" s="52" t="s">
        <v>27</v>
      </c>
    </row>
    <row r="30" spans="1:20" x14ac:dyDescent="0.3">
      <c r="A30" s="46">
        <v>2.1768707482993199</v>
      </c>
      <c r="B30" s="46">
        <v>0.5565217391304349</v>
      </c>
    </row>
    <row r="31" spans="1:20" x14ac:dyDescent="0.3">
      <c r="A31" s="46">
        <v>6.4175257731958766</v>
      </c>
      <c r="B31" s="46">
        <v>1.4954954954954955</v>
      </c>
    </row>
    <row r="32" spans="1:20" x14ac:dyDescent="0.3">
      <c r="A32" s="46">
        <v>11.181102362204724</v>
      </c>
      <c r="B32" s="46">
        <v>2.5357142857142856</v>
      </c>
    </row>
    <row r="33" spans="1:15" x14ac:dyDescent="0.3">
      <c r="A33" s="46">
        <v>15.760869565217391</v>
      </c>
      <c r="B33" s="46">
        <v>3.4117647058823524</v>
      </c>
    </row>
    <row r="34" spans="1:15" x14ac:dyDescent="0.3">
      <c r="A34" s="46">
        <v>21.2</v>
      </c>
      <c r="B34" s="46">
        <v>4.8181818181818175</v>
      </c>
      <c r="N34" t="s">
        <v>29</v>
      </c>
      <c r="O34" t="s">
        <v>96</v>
      </c>
    </row>
    <row r="35" spans="1:15" x14ac:dyDescent="0.3">
      <c r="A35" s="46">
        <v>25.938242280285035</v>
      </c>
      <c r="B35" s="46">
        <v>5.7247706422018343</v>
      </c>
      <c r="N35">
        <v>-0.57899999999999996</v>
      </c>
      <c r="O35">
        <f>POWER(10,N35)</f>
        <v>0.26363313858253801</v>
      </c>
    </row>
    <row r="37" spans="1:15" x14ac:dyDescent="0.3">
      <c r="A37" s="32" t="s">
        <v>126</v>
      </c>
      <c r="B37" s="9"/>
    </row>
    <row r="38" spans="1:15" x14ac:dyDescent="0.3">
      <c r="A38" s="32" t="s">
        <v>39</v>
      </c>
      <c r="B38" s="32" t="s">
        <v>25</v>
      </c>
    </row>
    <row r="39" spans="1:15" x14ac:dyDescent="0.3">
      <c r="A39" s="46">
        <v>0.77788840901503598</v>
      </c>
      <c r="B39" s="10">
        <v>3.9115646258503398</v>
      </c>
    </row>
    <row r="40" spans="1:15" x14ac:dyDescent="0.3">
      <c r="A40" s="46">
        <v>1.8590326498354799</v>
      </c>
      <c r="B40" s="10">
        <v>4.2912371134020617</v>
      </c>
    </row>
    <row r="41" spans="1:15" x14ac:dyDescent="0.3">
      <c r="A41" s="46">
        <v>2.4142250641367151</v>
      </c>
      <c r="B41" s="10">
        <v>4.409448818897638</v>
      </c>
    </row>
    <row r="42" spans="1:15" x14ac:dyDescent="0.3">
      <c r="A42" s="46">
        <v>2.7575302583655796</v>
      </c>
      <c r="B42" s="10">
        <v>4.6195652173913047</v>
      </c>
    </row>
    <row r="43" spans="1:15" x14ac:dyDescent="0.3">
      <c r="A43" s="46">
        <v>3.0540011816779669</v>
      </c>
      <c r="B43" s="10">
        <v>4.4000000000000004</v>
      </c>
    </row>
    <row r="44" spans="1:15" x14ac:dyDescent="0.3">
      <c r="A44" s="46">
        <v>3.2557184156165144</v>
      </c>
      <c r="B44" s="10">
        <v>4.5308788598574825</v>
      </c>
    </row>
    <row r="46" spans="1:15" x14ac:dyDescent="0.3">
      <c r="A46" s="79" t="s">
        <v>131</v>
      </c>
      <c r="B46" s="55"/>
    </row>
    <row r="47" spans="1:15" x14ac:dyDescent="0.3">
      <c r="A47" s="32" t="s">
        <v>23</v>
      </c>
      <c r="B47" s="47" t="s">
        <v>38</v>
      </c>
    </row>
    <row r="48" spans="1:15" x14ac:dyDescent="0.3">
      <c r="A48" s="46">
        <v>0.33783264357172993</v>
      </c>
      <c r="B48" s="45">
        <v>-0.2545178663697244</v>
      </c>
    </row>
    <row r="49" spans="1:36" x14ac:dyDescent="0.3">
      <c r="A49" s="46">
        <v>0.80736762150152908</v>
      </c>
      <c r="B49" s="45">
        <v>0.17478510925339769</v>
      </c>
    </row>
    <row r="50" spans="1:36" x14ac:dyDescent="0.3">
      <c r="A50" s="46">
        <v>1.0484846234270997</v>
      </c>
      <c r="B50" s="45">
        <v>0.40410031737685603</v>
      </c>
    </row>
    <row r="51" spans="1:36" x14ac:dyDescent="0.3">
      <c r="A51" s="46">
        <v>1.1975801748894197</v>
      </c>
      <c r="B51" s="45">
        <v>0.53297907218466323</v>
      </c>
    </row>
    <row r="52" spans="1:36" x14ac:dyDescent="0.3">
      <c r="A52" s="46">
        <v>1.3263358609287514</v>
      </c>
      <c r="B52" s="45">
        <v>0.68288318444256391</v>
      </c>
    </row>
    <row r="53" spans="1:36" x14ac:dyDescent="0.3">
      <c r="A53" s="46">
        <v>1.41394054253305</v>
      </c>
      <c r="B53" s="45">
        <v>0.75775809174180031</v>
      </c>
    </row>
    <row r="59" spans="1:36" x14ac:dyDescent="0.3">
      <c r="A59" s="35"/>
      <c r="B59" s="36"/>
      <c r="C59" s="36"/>
      <c r="D59" s="37" t="s">
        <v>66</v>
      </c>
      <c r="E59" s="36"/>
      <c r="F59" s="36"/>
      <c r="G59" s="36"/>
      <c r="H59" s="36"/>
      <c r="I59" s="36"/>
      <c r="J59" s="36"/>
      <c r="K59" s="38"/>
      <c r="L59" s="37" t="s">
        <v>20</v>
      </c>
      <c r="M59" s="36"/>
      <c r="N59" s="36"/>
      <c r="O59" s="36"/>
      <c r="P59" s="36"/>
      <c r="Q59" s="38"/>
      <c r="R59" s="39" t="s">
        <v>21</v>
      </c>
      <c r="S59" s="36"/>
      <c r="T59" s="36"/>
      <c r="U59" s="38"/>
      <c r="V59" s="33" t="s">
        <v>97</v>
      </c>
      <c r="W59" s="33"/>
      <c r="X59" s="33"/>
      <c r="Y59" s="33"/>
      <c r="Z59" t="s">
        <v>173</v>
      </c>
    </row>
    <row r="60" spans="1:36" x14ac:dyDescent="0.3">
      <c r="A60" s="40" t="s">
        <v>22</v>
      </c>
      <c r="B60" s="40" t="s">
        <v>1</v>
      </c>
      <c r="C60" s="41" t="s">
        <v>2</v>
      </c>
      <c r="D60" s="40" t="s">
        <v>3</v>
      </c>
      <c r="E60" s="40" t="s">
        <v>4</v>
      </c>
      <c r="F60" s="40" t="s">
        <v>5</v>
      </c>
      <c r="G60" s="40" t="s">
        <v>23</v>
      </c>
      <c r="H60" s="40" t="s">
        <v>24</v>
      </c>
      <c r="I60" s="40" t="s">
        <v>25</v>
      </c>
      <c r="J60" s="40" t="s">
        <v>26</v>
      </c>
      <c r="K60" s="40" t="s">
        <v>27</v>
      </c>
      <c r="L60" s="42" t="s">
        <v>28</v>
      </c>
      <c r="M60" s="42" t="s">
        <v>29</v>
      </c>
      <c r="N60" s="42" t="s">
        <v>30</v>
      </c>
      <c r="O60" s="42" t="s">
        <v>31</v>
      </c>
      <c r="P60" s="42" t="s">
        <v>32</v>
      </c>
      <c r="Q60" s="43" t="s">
        <v>33</v>
      </c>
      <c r="R60" s="43" t="s">
        <v>34</v>
      </c>
      <c r="S60" s="43" t="s">
        <v>35</v>
      </c>
      <c r="T60" s="43" t="s">
        <v>36</v>
      </c>
      <c r="U60" s="43" t="s">
        <v>37</v>
      </c>
      <c r="V60" s="43" t="s">
        <v>98</v>
      </c>
      <c r="W60" s="43" t="s">
        <v>29</v>
      </c>
      <c r="X60" s="43" t="s">
        <v>100</v>
      </c>
      <c r="Y60" s="43" t="s">
        <v>99</v>
      </c>
      <c r="Z60" s="13" t="s">
        <v>168</v>
      </c>
      <c r="AA60" s="14" t="s">
        <v>1</v>
      </c>
      <c r="AB60" s="14" t="s">
        <v>2</v>
      </c>
      <c r="AC60" s="14" t="s">
        <v>3</v>
      </c>
      <c r="AD60" s="14" t="s">
        <v>4</v>
      </c>
      <c r="AE60" s="102" t="s">
        <v>169</v>
      </c>
      <c r="AF60" s="102" t="s">
        <v>25</v>
      </c>
      <c r="AG60" s="102" t="s">
        <v>174</v>
      </c>
      <c r="AH60" s="102" t="s">
        <v>170</v>
      </c>
      <c r="AI60" s="102" t="s">
        <v>175</v>
      </c>
      <c r="AJ60" s="104" t="s">
        <v>179</v>
      </c>
    </row>
    <row r="61" spans="1:36" x14ac:dyDescent="0.3">
      <c r="A61" s="33">
        <v>2</v>
      </c>
      <c r="B61" s="33">
        <v>10</v>
      </c>
      <c r="C61" s="17">
        <v>0.14699999999999999</v>
      </c>
      <c r="D61" s="17">
        <v>4.2000000000000003E-2</v>
      </c>
      <c r="E61" s="46">
        <f t="shared" ref="E61:E66" si="35">(B61*D61)/C61</f>
        <v>2.8571428571428577</v>
      </c>
      <c r="F61" s="46">
        <f>(B61-E61)*100/B61</f>
        <v>71.428571428571416</v>
      </c>
      <c r="G61" s="45">
        <f t="shared" ref="G61:G66" si="36">LOG(E61)</f>
        <v>0.45593195564972444</v>
      </c>
      <c r="H61" s="46">
        <f>(B61-E61)</f>
        <v>7.1428571428571423</v>
      </c>
      <c r="I61" s="46">
        <f t="shared" ref="I61" si="37">(H61/A61)</f>
        <v>3.5714285714285712</v>
      </c>
      <c r="J61" s="45">
        <f t="shared" ref="J61:J66" si="38">LOG(I61)</f>
        <v>0.55284196865778079</v>
      </c>
      <c r="K61" s="46">
        <f t="shared" ref="K61:K66" si="39">(E61/I61)</f>
        <v>0.80000000000000016</v>
      </c>
      <c r="L61" s="33">
        <v>0.23300000000000001</v>
      </c>
      <c r="M61" s="33">
        <v>9.8000000000000004E-2</v>
      </c>
      <c r="N61" s="46">
        <f t="shared" ref="N61:N66" si="40">(L61/M61)</f>
        <v>2.3775510204081631</v>
      </c>
      <c r="O61" s="46">
        <f t="shared" ref="O61:O66" si="41">1+(N61*B61)</f>
        <v>24.77551020408163</v>
      </c>
      <c r="P61" s="83">
        <f t="shared" ref="P61:P66" si="42">1/O61</f>
        <v>4.0362438220757829E-2</v>
      </c>
      <c r="Q61" s="46">
        <f>1/L61</f>
        <v>4.2918454935622314</v>
      </c>
      <c r="R61" s="33">
        <v>6.2E-2</v>
      </c>
      <c r="S61" s="46">
        <f>1/R61</f>
        <v>16.129032258064516</v>
      </c>
      <c r="T61" s="46">
        <v>0.54600000000000004</v>
      </c>
      <c r="U61" s="46">
        <f>POWER(10,T61)</f>
        <v>3.515604405282982</v>
      </c>
      <c r="V61" s="33">
        <v>0.26100000000000001</v>
      </c>
      <c r="W61" s="83">
        <v>3.4359999999999999</v>
      </c>
      <c r="X61" s="33">
        <f>W61/(2.303*V61)</f>
        <v>5.7163486573401672</v>
      </c>
      <c r="Y61" s="33">
        <f>POWER(10,X61)</f>
        <v>520413.62379628519</v>
      </c>
      <c r="Z61" s="15">
        <v>303</v>
      </c>
      <c r="AA61" s="16">
        <v>30</v>
      </c>
      <c r="AB61" s="17">
        <v>0.375</v>
      </c>
      <c r="AC61" s="17">
        <v>0.27600000000000002</v>
      </c>
      <c r="AD61" s="18">
        <f t="shared" ref="AD61:AD64" si="43">(AA61*AC61)/AB61</f>
        <v>22.080000000000002</v>
      </c>
      <c r="AE61" s="33">
        <v>2</v>
      </c>
      <c r="AF61" s="33">
        <f>(AA61-AD61)/AE61</f>
        <v>3.9599999999999991</v>
      </c>
      <c r="AG61" s="45">
        <f>AF61/AD61</f>
        <v>0.17934782608695646</v>
      </c>
      <c r="AH61" s="83">
        <f>1/Z61</f>
        <v>3.3003300330033004E-3</v>
      </c>
      <c r="AI61" s="46">
        <f>LN(AG61)</f>
        <v>-1.7184281961425056</v>
      </c>
      <c r="AJ61" s="105">
        <f>-(8.314*Z61*AI61)</f>
        <v>4328.9646428868236</v>
      </c>
    </row>
    <row r="62" spans="1:36" x14ac:dyDescent="0.3">
      <c r="A62" s="33">
        <v>2</v>
      </c>
      <c r="B62" s="33">
        <v>15</v>
      </c>
      <c r="C62" s="17">
        <v>0.19400000000000001</v>
      </c>
      <c r="D62" s="17">
        <v>8.6999999999999994E-2</v>
      </c>
      <c r="E62" s="46">
        <f t="shared" si="35"/>
        <v>6.7268041237113394</v>
      </c>
      <c r="F62" s="46">
        <f t="shared" ref="F62:F66" si="44">(B62-E62)*100/B62</f>
        <v>55.154639175257742</v>
      </c>
      <c r="G62" s="45">
        <f t="shared" si="36"/>
        <v>0.82780878174407369</v>
      </c>
      <c r="H62" s="46">
        <f t="shared" ref="H62:H66" si="45">(B62-E62)</f>
        <v>8.2731958762886606</v>
      </c>
      <c r="I62" s="46">
        <f>(H62/A62)</f>
        <v>4.1365979381443303</v>
      </c>
      <c r="J62" s="45">
        <f t="shared" si="38"/>
        <v>0.61664331114668369</v>
      </c>
      <c r="K62" s="46">
        <f t="shared" si="39"/>
        <v>1.6261682242990652</v>
      </c>
      <c r="L62" s="33">
        <v>0.23300000000000001</v>
      </c>
      <c r="M62" s="33">
        <v>9.8000000000000004E-2</v>
      </c>
      <c r="N62" s="46">
        <f t="shared" si="40"/>
        <v>2.3775510204081631</v>
      </c>
      <c r="O62" s="46">
        <f t="shared" si="41"/>
        <v>36.663265306122447</v>
      </c>
      <c r="P62" s="83">
        <f t="shared" si="42"/>
        <v>2.7275257445032008E-2</v>
      </c>
      <c r="Q62" s="46">
        <f t="shared" ref="Q62:Q66" si="46">1/L62</f>
        <v>4.2918454935622314</v>
      </c>
      <c r="R62" s="33">
        <v>6.2E-2</v>
      </c>
      <c r="S62" s="46">
        <f t="shared" ref="S62:S66" si="47">1/R62</f>
        <v>16.129032258064516</v>
      </c>
      <c r="T62" s="46">
        <v>0.54600000000000004</v>
      </c>
      <c r="U62" s="46">
        <f t="shared" ref="U62:U66" si="48">POWER(10,T62)</f>
        <v>3.515604405282982</v>
      </c>
      <c r="V62" s="46"/>
      <c r="W62" s="83"/>
      <c r="X62" s="46"/>
      <c r="Y62" s="33"/>
      <c r="Z62" s="15">
        <v>313</v>
      </c>
      <c r="AA62" s="16">
        <v>30</v>
      </c>
      <c r="AB62" s="17">
        <v>0.375</v>
      </c>
      <c r="AC62" s="17">
        <v>0.29099999999999998</v>
      </c>
      <c r="AD62" s="18">
        <f t="shared" si="43"/>
        <v>23.279999999999998</v>
      </c>
      <c r="AE62" s="33">
        <v>2</v>
      </c>
      <c r="AF62" s="33">
        <f t="shared" ref="AF62:AF64" si="49">(AA62-AD62)/AE62</f>
        <v>3.3600000000000012</v>
      </c>
      <c r="AG62" s="45">
        <f t="shared" ref="AG62:AG64" si="50">AF62/AD62</f>
        <v>0.14432989690721656</v>
      </c>
      <c r="AH62" s="83">
        <f t="shared" ref="AH62:AH64" si="51">1/Z62</f>
        <v>3.1948881789137379E-3</v>
      </c>
      <c r="AI62" s="46">
        <f t="shared" ref="AI62:AI64" si="52">LN(AG62)</f>
        <v>-1.9356536488881237</v>
      </c>
      <c r="AJ62" s="105">
        <f t="shared" ref="AJ62:AJ64" si="53">-(8.314*Z62*AI62)</f>
        <v>5037.1166487358851</v>
      </c>
    </row>
    <row r="63" spans="1:36" x14ac:dyDescent="0.3">
      <c r="A63" s="33">
        <v>2</v>
      </c>
      <c r="B63" s="33">
        <v>20</v>
      </c>
      <c r="C63" s="17">
        <v>0.254</v>
      </c>
      <c r="D63" s="17">
        <v>0.15</v>
      </c>
      <c r="E63" s="46">
        <f t="shared" si="35"/>
        <v>11.811023622047244</v>
      </c>
      <c r="F63" s="46">
        <f t="shared" si="44"/>
        <v>40.944881889763778</v>
      </c>
      <c r="G63" s="45">
        <f t="shared" si="36"/>
        <v>1.0722875380997243</v>
      </c>
      <c r="H63" s="46">
        <f t="shared" si="45"/>
        <v>8.1889763779527556</v>
      </c>
      <c r="I63" s="46">
        <f t="shared" ref="I63:I66" si="54">(H63/A63)</f>
        <v>4.0944881889763778</v>
      </c>
      <c r="J63" s="45">
        <f t="shared" si="38"/>
        <v>0.61219962267884231</v>
      </c>
      <c r="K63" s="46">
        <f t="shared" si="39"/>
        <v>2.884615384615385</v>
      </c>
      <c r="L63" s="33">
        <v>0.23300000000000001</v>
      </c>
      <c r="M63" s="33">
        <v>9.8000000000000004E-2</v>
      </c>
      <c r="N63" s="46">
        <f t="shared" si="40"/>
        <v>2.3775510204081631</v>
      </c>
      <c r="O63" s="46">
        <f t="shared" si="41"/>
        <v>48.551020408163261</v>
      </c>
      <c r="P63" s="83">
        <f t="shared" si="42"/>
        <v>2.0596889449348468E-2</v>
      </c>
      <c r="Q63" s="46">
        <f t="shared" si="46"/>
        <v>4.2918454935622314</v>
      </c>
      <c r="R63" s="33">
        <v>6.2E-2</v>
      </c>
      <c r="S63" s="46">
        <f t="shared" si="47"/>
        <v>16.129032258064516</v>
      </c>
      <c r="T63" s="46">
        <v>0.54600000000000004</v>
      </c>
      <c r="U63" s="46">
        <f t="shared" si="48"/>
        <v>3.515604405282982</v>
      </c>
      <c r="V63" s="46" t="s">
        <v>101</v>
      </c>
      <c r="W63" s="83"/>
      <c r="X63" s="46"/>
      <c r="Y63" s="33"/>
      <c r="Z63" s="15">
        <v>323</v>
      </c>
      <c r="AA63" s="16">
        <v>30</v>
      </c>
      <c r="AB63" s="17">
        <v>0.375</v>
      </c>
      <c r="AC63" s="17">
        <v>0.29499999999999998</v>
      </c>
      <c r="AD63" s="18">
        <f t="shared" si="43"/>
        <v>23.599999999999998</v>
      </c>
      <c r="AE63" s="33">
        <v>2</v>
      </c>
      <c r="AF63" s="46">
        <f t="shared" si="49"/>
        <v>3.2000000000000011</v>
      </c>
      <c r="AG63" s="45">
        <f t="shared" si="50"/>
        <v>0.13559322033898311</v>
      </c>
      <c r="AH63" s="83">
        <f t="shared" si="51"/>
        <v>3.0959752321981426E-3</v>
      </c>
      <c r="AI63" s="46">
        <f t="shared" si="52"/>
        <v>-1.9980959022258831</v>
      </c>
      <c r="AJ63" s="105">
        <f t="shared" si="53"/>
        <v>5365.7306939472355</v>
      </c>
    </row>
    <row r="64" spans="1:36" x14ac:dyDescent="0.3">
      <c r="A64" s="33">
        <v>2</v>
      </c>
      <c r="B64" s="33">
        <v>25</v>
      </c>
      <c r="C64" s="17">
        <v>0.32200000000000001</v>
      </c>
      <c r="D64" s="17">
        <v>0.21199999999999999</v>
      </c>
      <c r="E64" s="46">
        <f t="shared" si="35"/>
        <v>16.459627329192546</v>
      </c>
      <c r="F64" s="46">
        <f t="shared" si="44"/>
        <v>34.161490683229815</v>
      </c>
      <c r="G64" s="45">
        <f t="shared" si="36"/>
        <v>1.2164199979049581</v>
      </c>
      <c r="H64" s="46">
        <f t="shared" si="45"/>
        <v>8.5403726708074537</v>
      </c>
      <c r="I64" s="46">
        <f t="shared" si="54"/>
        <v>4.2701863354037268</v>
      </c>
      <c r="J64" s="45">
        <f t="shared" si="38"/>
        <v>0.63044682647045058</v>
      </c>
      <c r="K64" s="46">
        <f t="shared" si="39"/>
        <v>3.8545454545454545</v>
      </c>
      <c r="L64" s="33">
        <v>0.23300000000000001</v>
      </c>
      <c r="M64" s="33">
        <v>9.8000000000000004E-2</v>
      </c>
      <c r="N64" s="46">
        <f t="shared" si="40"/>
        <v>2.3775510204081631</v>
      </c>
      <c r="O64" s="46">
        <f t="shared" si="41"/>
        <v>60.438775510204081</v>
      </c>
      <c r="P64" s="83">
        <f t="shared" si="42"/>
        <v>1.6545669424278237E-2</v>
      </c>
      <c r="Q64" s="46">
        <f t="shared" si="46"/>
        <v>4.2918454935622314</v>
      </c>
      <c r="R64" s="33">
        <v>6.2E-2</v>
      </c>
      <c r="S64" s="46">
        <f t="shared" si="47"/>
        <v>16.129032258064516</v>
      </c>
      <c r="T64" s="46">
        <v>0.54600000000000004</v>
      </c>
      <c r="U64" s="46">
        <f t="shared" si="48"/>
        <v>3.515604405282982</v>
      </c>
      <c r="V64" s="43" t="s">
        <v>98</v>
      </c>
      <c r="W64" s="83" t="s">
        <v>29</v>
      </c>
      <c r="X64" s="46" t="s">
        <v>96</v>
      </c>
      <c r="Y64" s="33"/>
      <c r="Z64" s="15">
        <v>333</v>
      </c>
      <c r="AA64" s="16">
        <v>30</v>
      </c>
      <c r="AB64" s="17">
        <v>0.375</v>
      </c>
      <c r="AC64" s="17">
        <v>0.29899999999999999</v>
      </c>
      <c r="AD64" s="18">
        <f t="shared" si="43"/>
        <v>23.919999999999998</v>
      </c>
      <c r="AE64" s="33">
        <v>2</v>
      </c>
      <c r="AF64" s="33">
        <f t="shared" si="49"/>
        <v>3.0400000000000009</v>
      </c>
      <c r="AG64" s="45">
        <f t="shared" si="50"/>
        <v>0.12709030100334454</v>
      </c>
      <c r="AH64" s="83">
        <f t="shared" si="51"/>
        <v>3.003003003003003E-3</v>
      </c>
      <c r="AI64" s="46">
        <f t="shared" si="52"/>
        <v>-2.0628574136643003</v>
      </c>
      <c r="AJ64" s="105">
        <f t="shared" si="53"/>
        <v>5711.1486468892626</v>
      </c>
    </row>
    <row r="65" spans="1:28" x14ac:dyDescent="0.3">
      <c r="A65" s="33">
        <v>2</v>
      </c>
      <c r="B65" s="33">
        <v>30</v>
      </c>
      <c r="C65" s="17">
        <v>0.375</v>
      </c>
      <c r="D65" s="25">
        <v>0.27200000000000002</v>
      </c>
      <c r="E65" s="46">
        <f t="shared" si="35"/>
        <v>21.76</v>
      </c>
      <c r="F65" s="46">
        <f t="shared" si="44"/>
        <v>27.466666666666661</v>
      </c>
      <c r="G65" s="45">
        <f t="shared" si="36"/>
        <v>1.3376588910261422</v>
      </c>
      <c r="H65" s="46">
        <f t="shared" si="45"/>
        <v>8.2399999999999984</v>
      </c>
      <c r="I65" s="46">
        <f t="shared" si="54"/>
        <v>4.1199999999999992</v>
      </c>
      <c r="J65" s="45">
        <f t="shared" si="38"/>
        <v>0.61489721603313452</v>
      </c>
      <c r="K65" s="46">
        <f t="shared" si="39"/>
        <v>5.2815533980582536</v>
      </c>
      <c r="L65" s="33">
        <v>0.23300000000000001</v>
      </c>
      <c r="M65" s="33">
        <v>9.8000000000000004E-2</v>
      </c>
      <c r="N65" s="46">
        <f t="shared" si="40"/>
        <v>2.3775510204081631</v>
      </c>
      <c r="O65" s="46">
        <f t="shared" si="41"/>
        <v>72.326530612244895</v>
      </c>
      <c r="P65" s="83">
        <f t="shared" si="42"/>
        <v>1.3826185101580136E-2</v>
      </c>
      <c r="Q65" s="46">
        <f t="shared" si="46"/>
        <v>4.2918454935622314</v>
      </c>
      <c r="R65" s="33">
        <v>6.2E-2</v>
      </c>
      <c r="S65" s="46">
        <f t="shared" si="47"/>
        <v>16.129032258064516</v>
      </c>
      <c r="T65" s="46">
        <v>0.54600000000000004</v>
      </c>
      <c r="U65" s="46">
        <f t="shared" si="48"/>
        <v>3.515604405282982</v>
      </c>
      <c r="V65" s="45">
        <v>0.93200000000000005</v>
      </c>
      <c r="W65" s="83">
        <v>-0.53800000000000003</v>
      </c>
      <c r="X65" s="45">
        <f>POWER(10,W65)</f>
        <v>0.28973435877013226</v>
      </c>
      <c r="Y65" s="33"/>
    </row>
    <row r="66" spans="1:28" x14ac:dyDescent="0.3">
      <c r="A66" s="33">
        <v>2</v>
      </c>
      <c r="B66" s="33">
        <v>35</v>
      </c>
      <c r="C66" s="17">
        <v>0.42099999999999999</v>
      </c>
      <c r="D66" s="17">
        <v>0.31900000000000001</v>
      </c>
      <c r="E66" s="46">
        <f t="shared" si="35"/>
        <v>26.520190023752971</v>
      </c>
      <c r="F66" s="46">
        <f t="shared" si="44"/>
        <v>24.228028503562939</v>
      </c>
      <c r="G66" s="45">
        <f t="shared" si="36"/>
        <v>1.4235766315717884</v>
      </c>
      <c r="H66" s="46">
        <f t="shared" si="45"/>
        <v>8.4798099762470294</v>
      </c>
      <c r="I66" s="46">
        <f t="shared" si="54"/>
        <v>4.2399049881235147</v>
      </c>
      <c r="J66" s="45">
        <f t="shared" si="38"/>
        <v>0.62735612461254364</v>
      </c>
      <c r="K66" s="46">
        <f t="shared" si="39"/>
        <v>6.2549019607843155</v>
      </c>
      <c r="L66" s="33">
        <v>0.23300000000000001</v>
      </c>
      <c r="M66" s="33">
        <v>9.8000000000000004E-2</v>
      </c>
      <c r="N66" s="46">
        <f t="shared" si="40"/>
        <v>2.3775510204081631</v>
      </c>
      <c r="O66" s="46">
        <f t="shared" si="41"/>
        <v>84.214285714285708</v>
      </c>
      <c r="P66" s="83">
        <f t="shared" si="42"/>
        <v>1.1874469889737066E-2</v>
      </c>
      <c r="Q66" s="46">
        <f t="shared" si="46"/>
        <v>4.2918454935622314</v>
      </c>
      <c r="R66" s="33">
        <v>6.2E-2</v>
      </c>
      <c r="S66" s="46">
        <f t="shared" si="47"/>
        <v>16.129032258064516</v>
      </c>
      <c r="T66" s="46">
        <v>0.54600000000000004</v>
      </c>
      <c r="U66" s="46">
        <f t="shared" si="48"/>
        <v>3.515604405282982</v>
      </c>
      <c r="V66" s="46"/>
      <c r="W66" s="83"/>
      <c r="X66" s="46"/>
      <c r="Y66" s="33"/>
    </row>
    <row r="67" spans="1:28" x14ac:dyDescent="0.3">
      <c r="AA67" t="s">
        <v>170</v>
      </c>
      <c r="AB67" t="s">
        <v>175</v>
      </c>
    </row>
    <row r="68" spans="1:28" x14ac:dyDescent="0.3">
      <c r="A68" s="80" t="s">
        <v>40</v>
      </c>
      <c r="B68" s="80" t="s">
        <v>1</v>
      </c>
      <c r="C68" s="81" t="s">
        <v>2</v>
      </c>
      <c r="D68" s="80" t="s">
        <v>3</v>
      </c>
      <c r="E68" s="80" t="s">
        <v>4</v>
      </c>
      <c r="F68" s="80" t="s">
        <v>5</v>
      </c>
      <c r="G68" s="80" t="s">
        <v>25</v>
      </c>
      <c r="H68" s="80" t="s">
        <v>26</v>
      </c>
      <c r="I68" s="80" t="s">
        <v>23</v>
      </c>
      <c r="J68" s="43" t="s">
        <v>41</v>
      </c>
      <c r="K68" s="43" t="s">
        <v>39</v>
      </c>
      <c r="L68" s="80" t="s">
        <v>27</v>
      </c>
      <c r="M68" s="80" t="s">
        <v>38</v>
      </c>
      <c r="N68" s="43" t="s">
        <v>42</v>
      </c>
      <c r="O68" s="43" t="s">
        <v>43</v>
      </c>
      <c r="P68" s="43" t="s">
        <v>60</v>
      </c>
      <c r="AA68" s="101">
        <v>3.3003300330033004E-3</v>
      </c>
      <c r="AB68" s="103">
        <v>-1.7184281961425056</v>
      </c>
    </row>
    <row r="69" spans="1:28" x14ac:dyDescent="0.3">
      <c r="A69" s="33">
        <v>2</v>
      </c>
      <c r="B69" s="33">
        <v>10</v>
      </c>
      <c r="C69" s="17">
        <v>0.14699999999999999</v>
      </c>
      <c r="D69" s="17">
        <v>4.2000000000000003E-2</v>
      </c>
      <c r="E69" s="46">
        <f t="shared" ref="E69:E74" si="55">(B69*D69)/C69</f>
        <v>2.8571428571428577</v>
      </c>
      <c r="F69" s="46">
        <f>(B69-E69)*100/B69</f>
        <v>71.428571428571416</v>
      </c>
      <c r="G69" s="46">
        <f>(B69-E69)/A69</f>
        <v>3.5714285714285712</v>
      </c>
      <c r="H69" s="45">
        <f>LOG(G69)</f>
        <v>0.55284196865778079</v>
      </c>
      <c r="I69" s="46">
        <f>LOG(E69)</f>
        <v>0.45593195564972444</v>
      </c>
      <c r="J69" s="46">
        <f>LN(G69)</f>
        <v>1.2729656758128873</v>
      </c>
      <c r="K69" s="46">
        <f>LN(E69)</f>
        <v>1.0498221244986778</v>
      </c>
      <c r="L69" s="46">
        <f>E69/G69</f>
        <v>0.80000000000000016</v>
      </c>
      <c r="M69" s="45">
        <f>LOG(L69)</f>
        <v>-9.6910013008056337E-2</v>
      </c>
      <c r="N69" s="46">
        <f>1+(1/E69)</f>
        <v>1.3499999999999999</v>
      </c>
      <c r="O69" s="46">
        <f>POWER(8.314*303*LN(N69),2)</f>
        <v>571545.19788761414</v>
      </c>
      <c r="P69" s="46">
        <f>O69*POWER(10,-3)</f>
        <v>571.54519788761411</v>
      </c>
      <c r="AA69" s="101">
        <v>3.1948881789137379E-3</v>
      </c>
      <c r="AB69" s="103">
        <v>-1.9356536488881237</v>
      </c>
    </row>
    <row r="70" spans="1:28" x14ac:dyDescent="0.3">
      <c r="A70" s="33">
        <v>2</v>
      </c>
      <c r="B70" s="33">
        <v>15</v>
      </c>
      <c r="C70" s="17">
        <v>0.19400000000000001</v>
      </c>
      <c r="D70" s="17">
        <v>8.6999999999999994E-2</v>
      </c>
      <c r="E70" s="46">
        <f t="shared" si="55"/>
        <v>6.7268041237113394</v>
      </c>
      <c r="F70" s="46">
        <f t="shared" ref="F70:F74" si="56">(B70-E70)*100/B70</f>
        <v>55.154639175257742</v>
      </c>
      <c r="G70" s="46">
        <f t="shared" ref="G70:G74" si="57">(B70-E70)/A70</f>
        <v>4.1365979381443303</v>
      </c>
      <c r="H70" s="45">
        <f t="shared" ref="H70:H74" si="58">LOG(G70)</f>
        <v>0.61664331114668369</v>
      </c>
      <c r="I70" s="46">
        <f t="shared" ref="I70:I74" si="59">LOG(E70)</f>
        <v>0.82780878174407369</v>
      </c>
      <c r="J70" s="46">
        <f t="shared" ref="J70:J74" si="60">LN(G70)</f>
        <v>1.4198736959408429</v>
      </c>
      <c r="K70" s="46">
        <f t="shared" ref="K70:K74" si="61">LN(E70)</f>
        <v>1.9061001606934656</v>
      </c>
      <c r="L70" s="46">
        <f t="shared" ref="L70:L74" si="62">E70/G70</f>
        <v>1.6261682242990652</v>
      </c>
      <c r="M70" s="45">
        <f t="shared" ref="M70:M74" si="63">LOG(L70)</f>
        <v>0.21116547059739002</v>
      </c>
      <c r="N70" s="46">
        <f t="shared" ref="N70:N74" si="64">1+(1/E70)</f>
        <v>1.1486590038314177</v>
      </c>
      <c r="O70" s="46">
        <f t="shared" ref="O70:O74" si="65">POWER(8.314*303*LN(N70),2)</f>
        <v>121899.39233095589</v>
      </c>
      <c r="P70" s="46">
        <f t="shared" ref="P70:P74" si="66">O70*POWER(10,-3)</f>
        <v>121.89939233095589</v>
      </c>
      <c r="AA70" s="101">
        <v>3.0959752321981426E-3</v>
      </c>
      <c r="AB70" s="103">
        <v>-1.9980959022258831</v>
      </c>
    </row>
    <row r="71" spans="1:28" x14ac:dyDescent="0.3">
      <c r="A71" s="33">
        <v>2</v>
      </c>
      <c r="B71" s="33">
        <v>20</v>
      </c>
      <c r="C71" s="17">
        <v>0.254</v>
      </c>
      <c r="D71" s="17">
        <v>0.15</v>
      </c>
      <c r="E71" s="46">
        <f t="shared" si="55"/>
        <v>11.811023622047244</v>
      </c>
      <c r="F71" s="46">
        <f t="shared" si="56"/>
        <v>40.944881889763778</v>
      </c>
      <c r="G71" s="46">
        <f t="shared" si="57"/>
        <v>4.0944881889763778</v>
      </c>
      <c r="H71" s="45">
        <f t="shared" si="58"/>
        <v>0.61219962267884231</v>
      </c>
      <c r="I71" s="46">
        <f t="shared" si="59"/>
        <v>1.0722875380997243</v>
      </c>
      <c r="J71" s="46">
        <f t="shared" si="60"/>
        <v>1.4096417251168818</v>
      </c>
      <c r="K71" s="46">
        <f t="shared" si="61"/>
        <v>2.4690333006317102</v>
      </c>
      <c r="L71" s="46">
        <f t="shared" si="62"/>
        <v>2.884615384615385</v>
      </c>
      <c r="M71" s="45">
        <f t="shared" si="63"/>
        <v>0.46008791542088212</v>
      </c>
      <c r="N71" s="46">
        <f t="shared" si="64"/>
        <v>1.0846666666666667</v>
      </c>
      <c r="O71" s="46">
        <f t="shared" si="65"/>
        <v>41917.45321384049</v>
      </c>
      <c r="P71" s="46">
        <f t="shared" si="66"/>
        <v>41.917453213840489</v>
      </c>
      <c r="AA71" s="101">
        <v>3.003003003003003E-3</v>
      </c>
      <c r="AB71" s="103">
        <v>-2.0628574136643003</v>
      </c>
    </row>
    <row r="72" spans="1:28" x14ac:dyDescent="0.3">
      <c r="A72" s="33">
        <v>2</v>
      </c>
      <c r="B72" s="33">
        <v>25</v>
      </c>
      <c r="C72" s="17">
        <v>0.32200000000000001</v>
      </c>
      <c r="D72" s="17">
        <v>0.21199999999999999</v>
      </c>
      <c r="E72" s="46">
        <f t="shared" si="55"/>
        <v>16.459627329192546</v>
      </c>
      <c r="F72" s="46">
        <f t="shared" si="56"/>
        <v>34.161490683229815</v>
      </c>
      <c r="G72" s="46">
        <f t="shared" si="57"/>
        <v>4.2701863354037268</v>
      </c>
      <c r="H72" s="45">
        <f t="shared" si="58"/>
        <v>0.63044682647045058</v>
      </c>
      <c r="I72" s="46">
        <f t="shared" si="59"/>
        <v>1.2164199979049581</v>
      </c>
      <c r="J72" s="46">
        <f t="shared" si="60"/>
        <v>1.4516574645562634</v>
      </c>
      <c r="K72" s="46">
        <f t="shared" si="61"/>
        <v>2.8009105539958048</v>
      </c>
      <c r="L72" s="46">
        <f t="shared" si="62"/>
        <v>3.8545454545454545</v>
      </c>
      <c r="M72" s="45">
        <f t="shared" si="63"/>
        <v>0.58597317143450756</v>
      </c>
      <c r="N72" s="46">
        <f t="shared" si="64"/>
        <v>1.060754716981132</v>
      </c>
      <c r="O72" s="46">
        <f t="shared" si="65"/>
        <v>22076.205826484314</v>
      </c>
      <c r="P72" s="46">
        <f t="shared" si="66"/>
        <v>22.076205826484316</v>
      </c>
    </row>
    <row r="73" spans="1:28" x14ac:dyDescent="0.3">
      <c r="A73" s="33">
        <v>2</v>
      </c>
      <c r="B73" s="33">
        <v>30</v>
      </c>
      <c r="C73" s="17">
        <v>0.375</v>
      </c>
      <c r="D73" s="25">
        <v>0.27200000000000002</v>
      </c>
      <c r="E73" s="46">
        <f t="shared" si="55"/>
        <v>21.76</v>
      </c>
      <c r="F73" s="46">
        <f t="shared" si="56"/>
        <v>27.466666666666661</v>
      </c>
      <c r="G73" s="46">
        <f t="shared" si="57"/>
        <v>4.1199999999999992</v>
      </c>
      <c r="H73" s="45">
        <f t="shared" si="58"/>
        <v>0.61489721603313452</v>
      </c>
      <c r="I73" s="46">
        <f t="shared" si="59"/>
        <v>1.3376588910261422</v>
      </c>
      <c r="J73" s="46">
        <f t="shared" si="60"/>
        <v>1.4158531633614349</v>
      </c>
      <c r="K73" s="46">
        <f t="shared" si="61"/>
        <v>3.0800734219877421</v>
      </c>
      <c r="L73" s="46">
        <f t="shared" si="62"/>
        <v>5.2815533980582536</v>
      </c>
      <c r="M73" s="45">
        <f t="shared" si="63"/>
        <v>0.72276167499300781</v>
      </c>
      <c r="N73" s="46">
        <f t="shared" si="64"/>
        <v>1.0459558823529411</v>
      </c>
      <c r="O73" s="46">
        <f t="shared" si="65"/>
        <v>12811.532616973936</v>
      </c>
      <c r="P73" s="46">
        <f t="shared" si="66"/>
        <v>12.811532616973937</v>
      </c>
    </row>
    <row r="74" spans="1:28" x14ac:dyDescent="0.3">
      <c r="A74" s="33">
        <v>2</v>
      </c>
      <c r="B74" s="33">
        <v>35</v>
      </c>
      <c r="C74" s="17">
        <v>0.42099999999999999</v>
      </c>
      <c r="D74" s="17">
        <v>0.31900000000000001</v>
      </c>
      <c r="E74" s="46">
        <f t="shared" si="55"/>
        <v>26.520190023752971</v>
      </c>
      <c r="F74" s="46">
        <f t="shared" si="56"/>
        <v>24.228028503562939</v>
      </c>
      <c r="G74" s="46">
        <f t="shared" si="57"/>
        <v>4.2399049881235147</v>
      </c>
      <c r="H74" s="45">
        <f t="shared" si="58"/>
        <v>0.62735612461254364</v>
      </c>
      <c r="I74" s="46">
        <f t="shared" si="59"/>
        <v>1.4235766315717884</v>
      </c>
      <c r="J74" s="46">
        <f t="shared" si="60"/>
        <v>1.4445408605313579</v>
      </c>
      <c r="K74" s="46">
        <f t="shared" si="61"/>
        <v>3.2779063305918767</v>
      </c>
      <c r="L74" s="46">
        <f t="shared" si="62"/>
        <v>6.2549019607843155</v>
      </c>
      <c r="M74" s="45">
        <f t="shared" si="63"/>
        <v>0.79622050695924484</v>
      </c>
      <c r="N74" s="46">
        <f t="shared" si="64"/>
        <v>1.0377071204657411</v>
      </c>
      <c r="O74" s="46">
        <f t="shared" si="65"/>
        <v>8694.160551238554</v>
      </c>
      <c r="P74" s="46">
        <f t="shared" si="66"/>
        <v>8.6941605512385536</v>
      </c>
    </row>
    <row r="76" spans="1:28" x14ac:dyDescent="0.3">
      <c r="A76" s="32" t="s">
        <v>121</v>
      </c>
      <c r="B76" s="9"/>
    </row>
    <row r="77" spans="1:28" x14ac:dyDescent="0.3">
      <c r="A77" s="32" t="s">
        <v>23</v>
      </c>
      <c r="B77" s="32" t="s">
        <v>26</v>
      </c>
    </row>
    <row r="78" spans="1:28" x14ac:dyDescent="0.3">
      <c r="A78" s="45">
        <v>0.45593195564972444</v>
      </c>
      <c r="B78" s="46">
        <v>0.55284196865778079</v>
      </c>
      <c r="R78" s="43" t="s">
        <v>60</v>
      </c>
      <c r="S78" s="80" t="s">
        <v>26</v>
      </c>
    </row>
    <row r="79" spans="1:28" x14ac:dyDescent="0.3">
      <c r="A79" s="45">
        <v>0.82780878174407369</v>
      </c>
      <c r="B79" s="46">
        <v>0.61664331114668369</v>
      </c>
      <c r="R79" s="46">
        <v>571.54519788761411</v>
      </c>
      <c r="S79" s="45">
        <v>0.55284196865778079</v>
      </c>
    </row>
    <row r="80" spans="1:28" x14ac:dyDescent="0.3">
      <c r="A80" s="45">
        <v>1.0722875380997243</v>
      </c>
      <c r="B80" s="46">
        <v>0.61219962267884231</v>
      </c>
      <c r="R80" s="46">
        <v>121.89939233095589</v>
      </c>
      <c r="S80" s="45">
        <v>0.61664331114668369</v>
      </c>
    </row>
    <row r="81" spans="1:19" x14ac:dyDescent="0.3">
      <c r="A81" s="45">
        <v>1.2164199979049581</v>
      </c>
      <c r="B81" s="46">
        <v>0.63044682647045058</v>
      </c>
      <c r="R81" s="46">
        <v>41.917453213840489</v>
      </c>
      <c r="S81" s="45">
        <v>0.61219962267884231</v>
      </c>
    </row>
    <row r="82" spans="1:19" x14ac:dyDescent="0.3">
      <c r="A82" s="45">
        <v>1.3376588910261422</v>
      </c>
      <c r="B82" s="46">
        <v>0.61489721603313452</v>
      </c>
      <c r="R82" s="46">
        <v>22.076205826484316</v>
      </c>
      <c r="S82" s="45">
        <v>0.63044682647045058</v>
      </c>
    </row>
    <row r="83" spans="1:19" x14ac:dyDescent="0.3">
      <c r="A83" s="45">
        <v>1.4235766315717884</v>
      </c>
      <c r="B83" s="46">
        <v>0.62735612461254364</v>
      </c>
      <c r="R83" s="46">
        <v>12.811532616973937</v>
      </c>
      <c r="S83" s="45">
        <v>0.61489721603313452</v>
      </c>
    </row>
    <row r="84" spans="1:19" x14ac:dyDescent="0.3">
      <c r="R84" s="46">
        <v>8.6941605512385536</v>
      </c>
      <c r="S84" s="45">
        <v>0.62735612461254364</v>
      </c>
    </row>
    <row r="86" spans="1:19" x14ac:dyDescent="0.3">
      <c r="A86" s="78" t="s">
        <v>124</v>
      </c>
      <c r="B86" s="55"/>
    </row>
    <row r="87" spans="1:19" x14ac:dyDescent="0.3">
      <c r="A87" s="52" t="s">
        <v>4</v>
      </c>
      <c r="B87" s="52" t="s">
        <v>27</v>
      </c>
    </row>
    <row r="88" spans="1:19" x14ac:dyDescent="0.3">
      <c r="A88" s="46">
        <v>2.8571428571428577</v>
      </c>
      <c r="B88" s="46">
        <v>0.80000000000000016</v>
      </c>
    </row>
    <row r="89" spans="1:19" x14ac:dyDescent="0.3">
      <c r="A89" s="46">
        <v>6.7268041237113394</v>
      </c>
      <c r="B89" s="46">
        <v>1.6261682242990652</v>
      </c>
    </row>
    <row r="90" spans="1:19" x14ac:dyDescent="0.3">
      <c r="A90" s="46">
        <v>11.81</v>
      </c>
      <c r="B90" s="46">
        <v>2.88</v>
      </c>
    </row>
    <row r="91" spans="1:19" x14ac:dyDescent="0.3">
      <c r="A91" s="46">
        <v>16.46</v>
      </c>
      <c r="B91" s="46">
        <v>3.85</v>
      </c>
    </row>
    <row r="92" spans="1:19" x14ac:dyDescent="0.3">
      <c r="A92" s="46">
        <v>21.76</v>
      </c>
      <c r="B92" s="46">
        <v>5.28</v>
      </c>
    </row>
    <row r="93" spans="1:19" x14ac:dyDescent="0.3">
      <c r="A93" s="46">
        <v>26.52</v>
      </c>
      <c r="B93" s="46">
        <v>6.25</v>
      </c>
    </row>
    <row r="95" spans="1:19" x14ac:dyDescent="0.3">
      <c r="A95" s="32" t="s">
        <v>127</v>
      </c>
      <c r="B95" s="9"/>
    </row>
    <row r="96" spans="1:19" x14ac:dyDescent="0.3">
      <c r="A96" s="32" t="s">
        <v>39</v>
      </c>
      <c r="B96" s="32" t="s">
        <v>25</v>
      </c>
    </row>
    <row r="97" spans="1:2" x14ac:dyDescent="0.3">
      <c r="A97" s="46">
        <v>1.0498221244986778</v>
      </c>
      <c r="B97" s="46">
        <v>3.5714285714285712</v>
      </c>
    </row>
    <row r="98" spans="1:2" x14ac:dyDescent="0.3">
      <c r="A98" s="46">
        <v>1.9061001606934656</v>
      </c>
      <c r="B98" s="46">
        <v>4.1365979381443303</v>
      </c>
    </row>
    <row r="99" spans="1:2" x14ac:dyDescent="0.3">
      <c r="A99" s="46">
        <v>2.4690333006317102</v>
      </c>
      <c r="B99" s="46">
        <v>4.0944881889763778</v>
      </c>
    </row>
    <row r="100" spans="1:2" x14ac:dyDescent="0.3">
      <c r="A100" s="46">
        <v>2.8009105539958048</v>
      </c>
      <c r="B100" s="46">
        <v>4.2701863354037268</v>
      </c>
    </row>
    <row r="101" spans="1:2" x14ac:dyDescent="0.3">
      <c r="A101" s="46">
        <v>3.0800734219877421</v>
      </c>
      <c r="B101" s="46">
        <v>4.1199999999999992</v>
      </c>
    </row>
    <row r="102" spans="1:2" x14ac:dyDescent="0.3">
      <c r="A102" s="46">
        <v>3.2779063305918767</v>
      </c>
      <c r="B102" s="46">
        <v>4.2399049881235147</v>
      </c>
    </row>
    <row r="104" spans="1:2" x14ac:dyDescent="0.3">
      <c r="A104" s="79" t="s">
        <v>130</v>
      </c>
      <c r="B104" s="55"/>
    </row>
    <row r="105" spans="1:2" x14ac:dyDescent="0.3">
      <c r="A105" s="32" t="s">
        <v>23</v>
      </c>
      <c r="B105" s="47" t="s">
        <v>38</v>
      </c>
    </row>
    <row r="106" spans="1:2" x14ac:dyDescent="0.3">
      <c r="A106" s="46">
        <v>0.45593195564972444</v>
      </c>
      <c r="B106" s="45">
        <v>-9.6910013008056337E-2</v>
      </c>
    </row>
    <row r="107" spans="1:2" x14ac:dyDescent="0.3">
      <c r="A107" s="46">
        <v>0.82780878174407369</v>
      </c>
      <c r="B107" s="45">
        <v>0.21116547059739002</v>
      </c>
    </row>
    <row r="108" spans="1:2" x14ac:dyDescent="0.3">
      <c r="A108" s="46">
        <v>1.0722875380997243</v>
      </c>
      <c r="B108" s="45">
        <v>0.46008791542088212</v>
      </c>
    </row>
    <row r="109" spans="1:2" x14ac:dyDescent="0.3">
      <c r="A109" s="46">
        <v>1.2164199979049581</v>
      </c>
      <c r="B109" s="45">
        <v>0.58597317143450756</v>
      </c>
    </row>
    <row r="110" spans="1:2" x14ac:dyDescent="0.3">
      <c r="A110" s="46">
        <v>1.3376588910261422</v>
      </c>
      <c r="B110" s="45">
        <v>0.72276167499300781</v>
      </c>
    </row>
    <row r="111" spans="1:2" x14ac:dyDescent="0.3">
      <c r="A111" s="46">
        <v>1.4235766315717884</v>
      </c>
      <c r="B111" s="45">
        <v>0.79622050695924484</v>
      </c>
    </row>
    <row r="114" spans="1:36" x14ac:dyDescent="0.3">
      <c r="A114" s="35"/>
      <c r="B114" s="36"/>
      <c r="C114" s="36"/>
      <c r="D114" s="37" t="s">
        <v>8</v>
      </c>
      <c r="E114" s="36"/>
      <c r="F114" s="36"/>
      <c r="G114" s="36"/>
      <c r="H114" s="36"/>
      <c r="I114" s="36"/>
      <c r="J114" s="36"/>
      <c r="K114" s="38"/>
      <c r="L114" s="37" t="s">
        <v>20</v>
      </c>
      <c r="M114" s="36"/>
      <c r="N114" s="36"/>
      <c r="O114" s="36"/>
      <c r="P114" s="36"/>
      <c r="Q114" s="38"/>
      <c r="R114" s="39" t="s">
        <v>21</v>
      </c>
      <c r="S114" s="36"/>
      <c r="T114" s="36"/>
      <c r="U114" s="38"/>
      <c r="V114" s="33" t="s">
        <v>97</v>
      </c>
      <c r="W114" s="33"/>
      <c r="X114" s="33"/>
      <c r="Y114" s="33"/>
      <c r="Z114" t="s">
        <v>184</v>
      </c>
    </row>
    <row r="115" spans="1:36" x14ac:dyDescent="0.3">
      <c r="A115" s="40" t="s">
        <v>22</v>
      </c>
      <c r="B115" s="40" t="s">
        <v>1</v>
      </c>
      <c r="C115" s="41" t="s">
        <v>2</v>
      </c>
      <c r="D115" s="40" t="s">
        <v>3</v>
      </c>
      <c r="E115" s="40" t="s">
        <v>4</v>
      </c>
      <c r="F115" s="40" t="s">
        <v>5</v>
      </c>
      <c r="G115" s="40" t="s">
        <v>23</v>
      </c>
      <c r="H115" s="40" t="s">
        <v>24</v>
      </c>
      <c r="I115" s="40" t="s">
        <v>25</v>
      </c>
      <c r="J115" s="40" t="s">
        <v>26</v>
      </c>
      <c r="K115" s="40" t="s">
        <v>27</v>
      </c>
      <c r="L115" s="42" t="s">
        <v>28</v>
      </c>
      <c r="M115" s="42" t="s">
        <v>29</v>
      </c>
      <c r="N115" s="42" t="s">
        <v>30</v>
      </c>
      <c r="O115" s="42" t="s">
        <v>31</v>
      </c>
      <c r="P115" s="42" t="s">
        <v>32</v>
      </c>
      <c r="Q115" s="43" t="s">
        <v>33</v>
      </c>
      <c r="R115" s="43" t="s">
        <v>34</v>
      </c>
      <c r="S115" s="43" t="s">
        <v>35</v>
      </c>
      <c r="T115" s="43" t="s">
        <v>36</v>
      </c>
      <c r="U115" s="43" t="s">
        <v>37</v>
      </c>
      <c r="V115" s="43" t="s">
        <v>98</v>
      </c>
      <c r="W115" s="43" t="s">
        <v>29</v>
      </c>
      <c r="X115" s="43" t="s">
        <v>100</v>
      </c>
      <c r="Y115" s="43" t="s">
        <v>99</v>
      </c>
      <c r="Z115" s="13" t="s">
        <v>168</v>
      </c>
      <c r="AA115" s="14" t="s">
        <v>1</v>
      </c>
      <c r="AB115" s="14" t="s">
        <v>2</v>
      </c>
      <c r="AC115" s="14" t="s">
        <v>3</v>
      </c>
      <c r="AD115" s="14" t="s">
        <v>4</v>
      </c>
      <c r="AE115" s="102" t="s">
        <v>169</v>
      </c>
      <c r="AF115" s="102" t="s">
        <v>25</v>
      </c>
      <c r="AG115" s="102" t="s">
        <v>174</v>
      </c>
      <c r="AH115" s="102" t="s">
        <v>170</v>
      </c>
      <c r="AI115" s="102" t="s">
        <v>175</v>
      </c>
      <c r="AJ115" s="104" t="s">
        <v>185</v>
      </c>
    </row>
    <row r="116" spans="1:36" x14ac:dyDescent="0.3">
      <c r="A116" s="33">
        <v>2</v>
      </c>
      <c r="B116" s="33">
        <v>10</v>
      </c>
      <c r="C116" s="17">
        <v>0.14699999999999999</v>
      </c>
      <c r="D116" s="17">
        <v>1E-3</v>
      </c>
      <c r="E116" s="46">
        <f t="shared" ref="E116:E121" si="67">(B116*D116)/C116</f>
        <v>6.8027210884353748E-2</v>
      </c>
      <c r="F116" s="46">
        <f>(B116-E116)*100/B116</f>
        <v>99.319727891156461</v>
      </c>
      <c r="G116" s="45">
        <f t="shared" ref="G116:G121" si="68">LOG(E116)</f>
        <v>-1.167317334748176</v>
      </c>
      <c r="H116" s="46">
        <f>(B116-E116)</f>
        <v>9.9319727891156457</v>
      </c>
      <c r="I116" s="46">
        <f t="shared" ref="I116" si="69">(H116/A116)</f>
        <v>4.9659863945578229</v>
      </c>
      <c r="J116" s="46">
        <f t="shared" ref="J116:J121" si="70">LOG(I116)</f>
        <v>0.69600552537227978</v>
      </c>
      <c r="K116" s="46">
        <f t="shared" ref="K116:K121" si="71">(E116/I116)</f>
        <v>1.3698630136986304E-2</v>
      </c>
      <c r="L116" s="33">
        <v>8.5000000000000006E-2</v>
      </c>
      <c r="M116" s="33">
        <v>5.8999999999999997E-2</v>
      </c>
      <c r="N116" s="46">
        <f t="shared" ref="N116:N121" si="72">(L116/M116)</f>
        <v>1.4406779661016951</v>
      </c>
      <c r="O116" s="46">
        <f t="shared" ref="O116:O121" si="73">1+(N116*B116)</f>
        <v>15.406779661016952</v>
      </c>
      <c r="P116" s="83">
        <f t="shared" ref="P116:P121" si="74">1/O116</f>
        <v>6.4906490649064896E-2</v>
      </c>
      <c r="Q116" s="46">
        <f>1/L116</f>
        <v>11.76470588235294</v>
      </c>
      <c r="R116" s="33">
        <v>0.16300000000000001</v>
      </c>
      <c r="S116" s="46">
        <f>1/R116</f>
        <v>6.1349693251533743</v>
      </c>
      <c r="T116" s="46">
        <v>0.86599999999999999</v>
      </c>
      <c r="U116" s="46">
        <f>POWER(10,T116)</f>
        <v>7.345138681571151</v>
      </c>
      <c r="V116" s="33">
        <v>1.242</v>
      </c>
      <c r="W116" s="83">
        <v>7.7140000000000004</v>
      </c>
      <c r="X116" s="33">
        <f>W116/(2.303*V116)</f>
        <v>2.6968953888472855</v>
      </c>
      <c r="Y116" s="33">
        <f>POWER(10,X116)</f>
        <v>497.61720645915062</v>
      </c>
      <c r="Z116" s="15">
        <v>303</v>
      </c>
      <c r="AA116" s="16">
        <v>30</v>
      </c>
      <c r="AB116" s="17">
        <v>0.375</v>
      </c>
      <c r="AC116" s="17">
        <v>0.10100000000000001</v>
      </c>
      <c r="AD116" s="18">
        <f t="shared" ref="AD116:AD119" si="75">(AA116*AC116)/AB116</f>
        <v>8.08</v>
      </c>
      <c r="AE116" s="33">
        <v>2</v>
      </c>
      <c r="AF116" s="33">
        <f>(AA116-AD116)/AE116</f>
        <v>10.96</v>
      </c>
      <c r="AG116" s="45">
        <f>AF116/AD116</f>
        <v>1.3564356435643565</v>
      </c>
      <c r="AH116" s="83">
        <f>1/Z116</f>
        <v>3.3003300330033004E-3</v>
      </c>
      <c r="AI116" s="46">
        <f>LN(AG116)</f>
        <v>0.30486040898686556</v>
      </c>
      <c r="AJ116" s="46">
        <f>-(8.314*Z116*AI116)/1000</f>
        <v>-0.7679866604159904</v>
      </c>
    </row>
    <row r="117" spans="1:36" x14ac:dyDescent="0.3">
      <c r="A117" s="33">
        <v>2</v>
      </c>
      <c r="B117" s="33">
        <v>15</v>
      </c>
      <c r="C117" s="17">
        <v>0.19400000000000001</v>
      </c>
      <c r="D117" s="17">
        <v>1.7999999999999999E-2</v>
      </c>
      <c r="E117" s="46">
        <f t="shared" si="67"/>
        <v>1.3917525773195873</v>
      </c>
      <c r="F117" s="46">
        <f t="shared" ref="F117:F121" si="76">(B117-E117)*100/B117</f>
        <v>90.721649484536087</v>
      </c>
      <c r="G117" s="45">
        <f t="shared" si="68"/>
        <v>0.14356203422876118</v>
      </c>
      <c r="H117" s="46">
        <f t="shared" ref="H117:H121" si="77">(B117-E117)</f>
        <v>13.608247422680412</v>
      </c>
      <c r="I117" s="46">
        <f>(H117/A117)</f>
        <v>6.804123711340206</v>
      </c>
      <c r="J117" s="46">
        <f t="shared" si="70"/>
        <v>0.83277220127562379</v>
      </c>
      <c r="K117" s="46">
        <f t="shared" si="71"/>
        <v>0.2045454545454545</v>
      </c>
      <c r="L117" s="33">
        <v>8.5000000000000006E-2</v>
      </c>
      <c r="M117" s="33">
        <v>5.8999999999999997E-2</v>
      </c>
      <c r="N117" s="46">
        <f t="shared" si="72"/>
        <v>1.4406779661016951</v>
      </c>
      <c r="O117" s="46">
        <f t="shared" si="73"/>
        <v>22.610169491525426</v>
      </c>
      <c r="P117" s="83">
        <f t="shared" si="74"/>
        <v>4.4227886056971512E-2</v>
      </c>
      <c r="Q117" s="46">
        <f t="shared" ref="Q117:Q121" si="78">1/L117</f>
        <v>11.76470588235294</v>
      </c>
      <c r="R117" s="33">
        <v>0.16300000000000001</v>
      </c>
      <c r="S117" s="46">
        <f t="shared" ref="S117:S121" si="79">1/R117</f>
        <v>6.1349693251533743</v>
      </c>
      <c r="T117" s="46">
        <v>0.86599999999999999</v>
      </c>
      <c r="U117" s="46">
        <f t="shared" ref="U117:U121" si="80">POWER(10,T117)</f>
        <v>7.345138681571151</v>
      </c>
      <c r="V117" s="46"/>
      <c r="W117" s="83"/>
      <c r="X117" s="46"/>
      <c r="Y117" s="33"/>
      <c r="Z117" s="15">
        <v>313</v>
      </c>
      <c r="AA117" s="16">
        <v>30</v>
      </c>
      <c r="AB117" s="17">
        <v>0.375</v>
      </c>
      <c r="AC117" s="17">
        <v>0.16200000000000001</v>
      </c>
      <c r="AD117" s="18">
        <f t="shared" si="75"/>
        <v>12.96</v>
      </c>
      <c r="AE117" s="33">
        <v>2</v>
      </c>
      <c r="AF117" s="33">
        <f t="shared" ref="AF117:AF119" si="81">(AA117-AD117)/AE117</f>
        <v>8.52</v>
      </c>
      <c r="AG117" s="45">
        <f t="shared" ref="AG117:AG119" si="82">AF117/AD117</f>
        <v>0.65740740740740733</v>
      </c>
      <c r="AH117" s="83">
        <f t="shared" ref="AH117:AH119" si="83">1/Z117</f>
        <v>3.1948881789137379E-3</v>
      </c>
      <c r="AI117" s="46">
        <f t="shared" ref="AI117:AI119" si="84">LN(AG117)</f>
        <v>-0.41945135008290441</v>
      </c>
      <c r="AJ117" s="46">
        <f t="shared" ref="AJ117:AJ119" si="85">-(8.314*Z117*AI117)/1000</f>
        <v>1.0915306981964406</v>
      </c>
    </row>
    <row r="118" spans="1:36" x14ac:dyDescent="0.3">
      <c r="A118" s="33">
        <v>2</v>
      </c>
      <c r="B118" s="33">
        <v>20</v>
      </c>
      <c r="C118" s="17">
        <v>0.254</v>
      </c>
      <c r="D118" s="17">
        <v>3.5999999999999997E-2</v>
      </c>
      <c r="E118" s="46">
        <f t="shared" si="67"/>
        <v>2.8346456692913384</v>
      </c>
      <c r="F118" s="46">
        <f t="shared" si="76"/>
        <v>85.826771653543318</v>
      </c>
      <c r="G118" s="45">
        <f t="shared" si="68"/>
        <v>0.45249877981133035</v>
      </c>
      <c r="H118" s="46">
        <f t="shared" si="77"/>
        <v>17.165354330708663</v>
      </c>
      <c r="I118" s="46">
        <f t="shared" ref="I118:I121" si="86">(H118/A118)</f>
        <v>8.5826771653543314</v>
      </c>
      <c r="J118" s="46">
        <f t="shared" si="70"/>
        <v>0.93362277698466678</v>
      </c>
      <c r="K118" s="46">
        <f t="shared" si="71"/>
        <v>0.33027522935779813</v>
      </c>
      <c r="L118" s="33">
        <v>8.5000000000000006E-2</v>
      </c>
      <c r="M118" s="33">
        <v>5.8999999999999997E-2</v>
      </c>
      <c r="N118" s="46">
        <f t="shared" si="72"/>
        <v>1.4406779661016951</v>
      </c>
      <c r="O118" s="46">
        <f t="shared" si="73"/>
        <v>29.813559322033903</v>
      </c>
      <c r="P118" s="83">
        <f t="shared" si="74"/>
        <v>3.3541785105173388E-2</v>
      </c>
      <c r="Q118" s="46">
        <f t="shared" si="78"/>
        <v>11.76470588235294</v>
      </c>
      <c r="R118" s="33">
        <v>0.16300000000000001</v>
      </c>
      <c r="S118" s="46">
        <f t="shared" si="79"/>
        <v>6.1349693251533743</v>
      </c>
      <c r="T118" s="46">
        <v>0.86599999999999999</v>
      </c>
      <c r="U118" s="46">
        <f t="shared" si="80"/>
        <v>7.345138681571151</v>
      </c>
      <c r="V118" s="46" t="s">
        <v>101</v>
      </c>
      <c r="W118" s="83"/>
      <c r="X118" s="46"/>
      <c r="Y118" s="33"/>
      <c r="Z118" s="15">
        <v>323</v>
      </c>
      <c r="AA118" s="16">
        <v>30</v>
      </c>
      <c r="AB118" s="17">
        <v>0.375</v>
      </c>
      <c r="AC118" s="17">
        <v>0.21099999999999999</v>
      </c>
      <c r="AD118" s="18">
        <f t="shared" si="75"/>
        <v>16.88</v>
      </c>
      <c r="AE118" s="33">
        <v>2</v>
      </c>
      <c r="AF118" s="46">
        <f t="shared" si="81"/>
        <v>6.5600000000000005</v>
      </c>
      <c r="AG118" s="45">
        <f t="shared" si="82"/>
        <v>0.38862559241706168</v>
      </c>
      <c r="AH118" s="83">
        <f t="shared" si="83"/>
        <v>3.0959752321981426E-3</v>
      </c>
      <c r="AI118" s="46">
        <f t="shared" si="84"/>
        <v>-0.94513888621181319</v>
      </c>
      <c r="AJ118" s="46">
        <f t="shared" si="85"/>
        <v>2.5380967580887002</v>
      </c>
    </row>
    <row r="119" spans="1:36" x14ac:dyDescent="0.3">
      <c r="A119" s="33">
        <v>2</v>
      </c>
      <c r="B119" s="33">
        <v>25</v>
      </c>
      <c r="C119" s="17">
        <v>0.32200000000000001</v>
      </c>
      <c r="D119" s="17">
        <v>6.6000000000000003E-2</v>
      </c>
      <c r="E119" s="46">
        <f t="shared" si="67"/>
        <v>5.1242236024844727</v>
      </c>
      <c r="F119" s="46">
        <f t="shared" si="76"/>
        <v>79.503105590062106</v>
      </c>
      <c r="G119" s="45">
        <f t="shared" si="68"/>
        <v>0.70962807251807547</v>
      </c>
      <c r="H119" s="46">
        <f t="shared" si="77"/>
        <v>19.875776397515526</v>
      </c>
      <c r="I119" s="46">
        <f t="shared" si="86"/>
        <v>9.9378881987577632</v>
      </c>
      <c r="J119" s="46">
        <f t="shared" si="70"/>
        <v>0.99729410662407503</v>
      </c>
      <c r="K119" s="46">
        <f t="shared" si="71"/>
        <v>0.51562500000000011</v>
      </c>
      <c r="L119" s="33">
        <v>8.5000000000000006E-2</v>
      </c>
      <c r="M119" s="33">
        <v>5.8999999999999997E-2</v>
      </c>
      <c r="N119" s="46">
        <f t="shared" si="72"/>
        <v>1.4406779661016951</v>
      </c>
      <c r="O119" s="46">
        <f t="shared" si="73"/>
        <v>37.016949152542374</v>
      </c>
      <c r="P119" s="83">
        <f t="shared" si="74"/>
        <v>2.7014652014652012E-2</v>
      </c>
      <c r="Q119" s="46">
        <f t="shared" si="78"/>
        <v>11.76470588235294</v>
      </c>
      <c r="R119" s="33">
        <v>0.16300000000000001</v>
      </c>
      <c r="S119" s="46">
        <f t="shared" si="79"/>
        <v>6.1349693251533743</v>
      </c>
      <c r="T119" s="46">
        <v>0.86599999999999999</v>
      </c>
      <c r="U119" s="46">
        <f t="shared" si="80"/>
        <v>7.345138681571151</v>
      </c>
      <c r="V119" s="43" t="s">
        <v>98</v>
      </c>
      <c r="W119" s="83" t="s">
        <v>29</v>
      </c>
      <c r="X119" s="46" t="s">
        <v>96</v>
      </c>
      <c r="Y119" s="33"/>
      <c r="Z119" s="15">
        <v>333</v>
      </c>
      <c r="AA119" s="16">
        <v>30</v>
      </c>
      <c r="AB119" s="17">
        <v>0.375</v>
      </c>
      <c r="AC119" s="17">
        <v>0.222</v>
      </c>
      <c r="AD119" s="18">
        <f t="shared" si="75"/>
        <v>17.760000000000002</v>
      </c>
      <c r="AE119" s="33">
        <v>2</v>
      </c>
      <c r="AF119" s="33">
        <f t="shared" si="81"/>
        <v>6.1199999999999992</v>
      </c>
      <c r="AG119" s="45">
        <f t="shared" si="82"/>
        <v>0.34459459459459452</v>
      </c>
      <c r="AH119" s="83">
        <f t="shared" si="83"/>
        <v>3.003003003003003E-3</v>
      </c>
      <c r="AI119" s="46">
        <f t="shared" si="84"/>
        <v>-1.0653866410397894</v>
      </c>
      <c r="AJ119" s="46">
        <f t="shared" si="85"/>
        <v>2.9495889696904016</v>
      </c>
    </row>
    <row r="120" spans="1:36" x14ac:dyDescent="0.3">
      <c r="A120" s="33">
        <v>2</v>
      </c>
      <c r="B120" s="33">
        <v>30</v>
      </c>
      <c r="C120" s="17">
        <v>0.375</v>
      </c>
      <c r="D120" s="17">
        <v>0.10100000000000001</v>
      </c>
      <c r="E120" s="46">
        <f t="shared" si="67"/>
        <v>8.08</v>
      </c>
      <c r="F120" s="46">
        <f t="shared" si="76"/>
        <v>73.066666666666663</v>
      </c>
      <c r="G120" s="45">
        <f t="shared" si="68"/>
        <v>0.90741136077458617</v>
      </c>
      <c r="H120" s="46">
        <f t="shared" si="77"/>
        <v>21.92</v>
      </c>
      <c r="I120" s="46">
        <f t="shared" si="86"/>
        <v>10.96</v>
      </c>
      <c r="J120" s="46">
        <f t="shared" si="70"/>
        <v>1.0398105541483504</v>
      </c>
      <c r="K120" s="46">
        <f t="shared" si="71"/>
        <v>0.73722627737226276</v>
      </c>
      <c r="L120" s="33">
        <v>8.5000000000000006E-2</v>
      </c>
      <c r="M120" s="33">
        <v>5.8999999999999997E-2</v>
      </c>
      <c r="N120" s="46">
        <f t="shared" si="72"/>
        <v>1.4406779661016951</v>
      </c>
      <c r="O120" s="46">
        <f t="shared" si="73"/>
        <v>44.220338983050851</v>
      </c>
      <c r="P120" s="83">
        <f t="shared" si="74"/>
        <v>2.2614028363357606E-2</v>
      </c>
      <c r="Q120" s="46">
        <f t="shared" si="78"/>
        <v>11.76470588235294</v>
      </c>
      <c r="R120" s="33">
        <v>0.16300000000000001</v>
      </c>
      <c r="S120" s="46">
        <f t="shared" si="79"/>
        <v>6.1349693251533743</v>
      </c>
      <c r="T120" s="46">
        <v>0.86599999999999999</v>
      </c>
      <c r="U120" s="46">
        <f t="shared" si="80"/>
        <v>7.345138681571151</v>
      </c>
      <c r="V120" s="45">
        <v>0.83599999999999997</v>
      </c>
      <c r="W120" s="83">
        <v>-0.86599999999999999</v>
      </c>
      <c r="X120" s="45">
        <f>POWER(10,W120)</f>
        <v>0.13614446824659496</v>
      </c>
      <c r="Y120" s="33"/>
    </row>
    <row r="121" spans="1:36" x14ac:dyDescent="0.3">
      <c r="A121" s="33">
        <v>2</v>
      </c>
      <c r="B121" s="33">
        <v>35</v>
      </c>
      <c r="C121" s="17">
        <v>0.42099999999999999</v>
      </c>
      <c r="D121" s="34">
        <v>0.152</v>
      </c>
      <c r="E121" s="46">
        <f t="shared" si="67"/>
        <v>12.636579572446557</v>
      </c>
      <c r="F121" s="46">
        <f t="shared" si="76"/>
        <v>63.895486935866977</v>
      </c>
      <c r="G121" s="45">
        <f t="shared" si="68"/>
        <v>1.10162953645938</v>
      </c>
      <c r="H121" s="46">
        <f t="shared" si="77"/>
        <v>22.363420427553443</v>
      </c>
      <c r="I121" s="46">
        <f t="shared" si="86"/>
        <v>11.181710213776721</v>
      </c>
      <c r="J121" s="46">
        <f t="shared" si="70"/>
        <v>1.0485082328530342</v>
      </c>
      <c r="K121" s="46">
        <f t="shared" si="71"/>
        <v>1.1301115241635689</v>
      </c>
      <c r="L121" s="33">
        <v>8.5000000000000006E-2</v>
      </c>
      <c r="M121" s="33">
        <v>5.8999999999999997E-2</v>
      </c>
      <c r="N121" s="46">
        <f t="shared" si="72"/>
        <v>1.4406779661016951</v>
      </c>
      <c r="O121" s="46">
        <f t="shared" si="73"/>
        <v>51.423728813559329</v>
      </c>
      <c r="P121" s="83">
        <f t="shared" si="74"/>
        <v>1.9446275543836516E-2</v>
      </c>
      <c r="Q121" s="46">
        <f t="shared" si="78"/>
        <v>11.76470588235294</v>
      </c>
      <c r="R121" s="33">
        <v>0.16300000000000001</v>
      </c>
      <c r="S121" s="46">
        <f t="shared" si="79"/>
        <v>6.1349693251533743</v>
      </c>
      <c r="T121" s="46">
        <v>0.86599999999999999</v>
      </c>
      <c r="U121" s="46">
        <f t="shared" si="80"/>
        <v>7.345138681571151</v>
      </c>
      <c r="V121" s="46"/>
      <c r="W121" s="83"/>
      <c r="X121" s="46"/>
      <c r="Y121" s="33"/>
    </row>
    <row r="123" spans="1:36" x14ac:dyDescent="0.3">
      <c r="A123" s="80" t="s">
        <v>40</v>
      </c>
      <c r="B123" s="80" t="s">
        <v>1</v>
      </c>
      <c r="C123" s="81" t="s">
        <v>2</v>
      </c>
      <c r="D123" s="80" t="s">
        <v>3</v>
      </c>
      <c r="E123" s="80" t="s">
        <v>4</v>
      </c>
      <c r="F123" s="80" t="s">
        <v>5</v>
      </c>
      <c r="G123" s="80" t="s">
        <v>25</v>
      </c>
      <c r="H123" s="80" t="s">
        <v>26</v>
      </c>
      <c r="I123" s="80" t="s">
        <v>23</v>
      </c>
      <c r="J123" s="43" t="s">
        <v>41</v>
      </c>
      <c r="K123" s="43" t="s">
        <v>39</v>
      </c>
      <c r="L123" s="80" t="s">
        <v>27</v>
      </c>
      <c r="M123" s="80" t="s">
        <v>38</v>
      </c>
      <c r="N123" s="43" t="s">
        <v>42</v>
      </c>
      <c r="O123" s="43" t="s">
        <v>43</v>
      </c>
      <c r="AA123" t="s">
        <v>170</v>
      </c>
      <c r="AB123" t="s">
        <v>175</v>
      </c>
    </row>
    <row r="124" spans="1:36" x14ac:dyDescent="0.3">
      <c r="A124" s="33">
        <v>2</v>
      </c>
      <c r="B124" s="33">
        <v>10</v>
      </c>
      <c r="C124" s="17">
        <v>0.14699999999999999</v>
      </c>
      <c r="D124" s="17">
        <v>1E-3</v>
      </c>
      <c r="E124" s="46">
        <f t="shared" ref="E124:E129" si="87">(B124*D124)/C124</f>
        <v>6.8027210884353748E-2</v>
      </c>
      <c r="F124" s="46">
        <f>(B124-E124)*100/B124</f>
        <v>99.319727891156461</v>
      </c>
      <c r="G124" s="46">
        <f>(B124-E124)/A124</f>
        <v>4.9659863945578229</v>
      </c>
      <c r="H124" s="45">
        <f>LOG(G124)</f>
        <v>0.69600552537227978</v>
      </c>
      <c r="I124" s="46">
        <f>LOG(E124)</f>
        <v>-1.167317334748176</v>
      </c>
      <c r="J124" s="46">
        <f>LN(G124)</f>
        <v>1.6026119473637004</v>
      </c>
      <c r="K124" s="46">
        <f>LN(E124)</f>
        <v>-2.6878474937846906</v>
      </c>
      <c r="L124" s="46">
        <f>E124/G124</f>
        <v>1.3698630136986304E-2</v>
      </c>
      <c r="M124" s="45">
        <f>LOG(L124)</f>
        <v>-1.8633228601204559</v>
      </c>
      <c r="N124" s="46">
        <f>1+(1/E124)</f>
        <v>15.7</v>
      </c>
      <c r="O124" s="46">
        <f>POWER(8.314*303*LN(N124),2)</f>
        <v>48120059.321693487</v>
      </c>
      <c r="AA124" s="101">
        <v>3.3003300330033004E-3</v>
      </c>
      <c r="AB124" s="100">
        <v>0.30486040898686556</v>
      </c>
    </row>
    <row r="125" spans="1:36" x14ac:dyDescent="0.3">
      <c r="A125" s="33">
        <v>2</v>
      </c>
      <c r="B125" s="33">
        <v>15</v>
      </c>
      <c r="C125" s="17">
        <v>0.19400000000000001</v>
      </c>
      <c r="D125" s="17">
        <v>1.7999999999999999E-2</v>
      </c>
      <c r="E125" s="46">
        <f t="shared" si="87"/>
        <v>1.3917525773195873</v>
      </c>
      <c r="F125" s="46">
        <f t="shared" ref="F125:F129" si="88">(B125-E125)*100/B125</f>
        <v>90.721649484536087</v>
      </c>
      <c r="G125" s="46">
        <f t="shared" ref="G125:G129" si="89">(B125-E125)/A125</f>
        <v>6.804123711340206</v>
      </c>
      <c r="H125" s="45">
        <f t="shared" ref="H125:H129" si="90">LOG(G125)</f>
        <v>0.83277220127562379</v>
      </c>
      <c r="I125" s="46">
        <f t="shared" ref="I125:I129" si="91">LOG(E125)</f>
        <v>0.14356203422876118</v>
      </c>
      <c r="J125" s="46">
        <f t="shared" ref="J125:J129" si="92">LN(G125)</f>
        <v>1.9175288565170885</v>
      </c>
      <c r="K125" s="46">
        <f t="shared" ref="K125:K129" si="93">LN(E125)</f>
        <v>0.33056379993504642</v>
      </c>
      <c r="L125" s="46">
        <f t="shared" ref="L125:L129" si="94">E125/G125</f>
        <v>0.2045454545454545</v>
      </c>
      <c r="M125" s="45">
        <f t="shared" ref="M125:M129" si="95">LOG(L125)</f>
        <v>-0.68921016704686267</v>
      </c>
      <c r="N125" s="46">
        <f t="shared" ref="N125:N129" si="96">1+(1/E125)</f>
        <v>1.7185185185185188</v>
      </c>
      <c r="O125" s="46">
        <f t="shared" ref="O125:O129" si="97">POWER(8.314*303*LN(N125),2)</f>
        <v>1860553.725007595</v>
      </c>
      <c r="AA125" s="101">
        <v>3.1948881789137379E-3</v>
      </c>
      <c r="AB125" s="100">
        <v>-0.41945135008290441</v>
      </c>
    </row>
    <row r="126" spans="1:36" x14ac:dyDescent="0.3">
      <c r="A126" s="33">
        <v>2</v>
      </c>
      <c r="B126" s="33">
        <v>20</v>
      </c>
      <c r="C126" s="17">
        <v>0.254</v>
      </c>
      <c r="D126" s="17">
        <v>3.5999999999999997E-2</v>
      </c>
      <c r="E126" s="46">
        <f t="shared" si="87"/>
        <v>2.8346456692913384</v>
      </c>
      <c r="F126" s="46">
        <f t="shared" si="88"/>
        <v>85.826771653543318</v>
      </c>
      <c r="G126" s="46">
        <f t="shared" si="89"/>
        <v>8.5826771653543314</v>
      </c>
      <c r="H126" s="45">
        <f t="shared" si="90"/>
        <v>0.93362277698466678</v>
      </c>
      <c r="I126" s="46">
        <f t="shared" si="91"/>
        <v>0.45249877981133035</v>
      </c>
      <c r="J126" s="46">
        <f t="shared" si="92"/>
        <v>2.1497458887645982</v>
      </c>
      <c r="K126" s="46">
        <f t="shared" si="93"/>
        <v>1.0419169449915644</v>
      </c>
      <c r="L126" s="46">
        <f t="shared" si="94"/>
        <v>0.33027522935779813</v>
      </c>
      <c r="M126" s="45">
        <f t="shared" si="95"/>
        <v>-0.48112399717333643</v>
      </c>
      <c r="N126" s="46">
        <f t="shared" si="96"/>
        <v>1.3527777777777779</v>
      </c>
      <c r="O126" s="46">
        <f t="shared" si="97"/>
        <v>579401.35216025449</v>
      </c>
      <c r="AA126" s="101">
        <v>3.0959752321981426E-3</v>
      </c>
      <c r="AB126" s="100">
        <v>-0.94513888621181319</v>
      </c>
    </row>
    <row r="127" spans="1:36" x14ac:dyDescent="0.3">
      <c r="A127" s="33">
        <v>2</v>
      </c>
      <c r="B127" s="33">
        <v>25</v>
      </c>
      <c r="C127" s="17">
        <v>0.32200000000000001</v>
      </c>
      <c r="D127" s="17">
        <v>6.6000000000000003E-2</v>
      </c>
      <c r="E127" s="46">
        <f t="shared" si="87"/>
        <v>5.1242236024844727</v>
      </c>
      <c r="F127" s="46">
        <f t="shared" si="88"/>
        <v>79.503105590062106</v>
      </c>
      <c r="G127" s="46">
        <f t="shared" si="89"/>
        <v>9.9378881987577632</v>
      </c>
      <c r="H127" s="45">
        <f t="shared" si="90"/>
        <v>0.99729410662407503</v>
      </c>
      <c r="I127" s="46">
        <f t="shared" si="91"/>
        <v>0.70962807251807547</v>
      </c>
      <c r="J127" s="46">
        <f t="shared" si="92"/>
        <v>2.2963545432434094</v>
      </c>
      <c r="K127" s="46">
        <f t="shared" si="93"/>
        <v>1.6339790213502181</v>
      </c>
      <c r="L127" s="46">
        <f t="shared" si="94"/>
        <v>0.51562500000000011</v>
      </c>
      <c r="M127" s="45">
        <f t="shared" si="95"/>
        <v>-0.28766603410599961</v>
      </c>
      <c r="N127" s="46">
        <f t="shared" si="96"/>
        <v>1.1951515151515151</v>
      </c>
      <c r="O127" s="46">
        <f t="shared" si="97"/>
        <v>201686.24881212052</v>
      </c>
      <c r="AA127" s="101">
        <v>3.003003003003003E-3</v>
      </c>
      <c r="AB127" s="100">
        <v>-1.0653866410397894</v>
      </c>
    </row>
    <row r="128" spans="1:36" x14ac:dyDescent="0.3">
      <c r="A128" s="33">
        <v>2</v>
      </c>
      <c r="B128" s="33">
        <v>30</v>
      </c>
      <c r="C128" s="17">
        <v>0.375</v>
      </c>
      <c r="D128" s="17">
        <v>0.10100000000000001</v>
      </c>
      <c r="E128" s="46">
        <f t="shared" si="87"/>
        <v>8.08</v>
      </c>
      <c r="F128" s="46">
        <f t="shared" si="88"/>
        <v>73.066666666666663</v>
      </c>
      <c r="G128" s="46">
        <f t="shared" si="89"/>
        <v>10.96</v>
      </c>
      <c r="H128" s="45">
        <f t="shared" si="90"/>
        <v>1.0398105541483504</v>
      </c>
      <c r="I128" s="46">
        <f t="shared" si="91"/>
        <v>0.90741136077458617</v>
      </c>
      <c r="J128" s="46">
        <f t="shared" si="92"/>
        <v>2.3942522815198695</v>
      </c>
      <c r="K128" s="46">
        <f t="shared" si="93"/>
        <v>2.0893918725330041</v>
      </c>
      <c r="L128" s="46">
        <f t="shared" si="94"/>
        <v>0.73722627737226276</v>
      </c>
      <c r="M128" s="45">
        <f t="shared" si="95"/>
        <v>-0.13239919337376421</v>
      </c>
      <c r="N128" s="46">
        <f t="shared" si="96"/>
        <v>1.1237623762376239</v>
      </c>
      <c r="O128" s="46">
        <f t="shared" si="97"/>
        <v>86400.331585288528</v>
      </c>
    </row>
    <row r="129" spans="1:15" x14ac:dyDescent="0.3">
      <c r="A129" s="33">
        <v>2</v>
      </c>
      <c r="B129" s="33">
        <v>35</v>
      </c>
      <c r="C129" s="17">
        <v>0.42099999999999999</v>
      </c>
      <c r="D129" s="34">
        <v>0.152</v>
      </c>
      <c r="E129" s="46">
        <f t="shared" si="87"/>
        <v>12.636579572446557</v>
      </c>
      <c r="F129" s="46">
        <f t="shared" si="88"/>
        <v>63.895486935866977</v>
      </c>
      <c r="G129" s="46">
        <f t="shared" si="89"/>
        <v>11.181710213776721</v>
      </c>
      <c r="H129" s="45">
        <f t="shared" si="90"/>
        <v>1.0485082328530342</v>
      </c>
      <c r="I129" s="46">
        <f t="shared" si="91"/>
        <v>1.10162953645938</v>
      </c>
      <c r="J129" s="46">
        <f t="shared" si="92"/>
        <v>2.414279426848926</v>
      </c>
      <c r="K129" s="46">
        <f t="shared" si="93"/>
        <v>2.5365957486533088</v>
      </c>
      <c r="L129" s="46">
        <f t="shared" si="94"/>
        <v>1.1301115241635689</v>
      </c>
      <c r="M129" s="45">
        <f t="shared" si="95"/>
        <v>5.3121303606345795E-2</v>
      </c>
      <c r="N129" s="46">
        <f t="shared" si="96"/>
        <v>1.0791353383458646</v>
      </c>
      <c r="O129" s="46">
        <f t="shared" si="97"/>
        <v>36809.540651899166</v>
      </c>
    </row>
    <row r="131" spans="1:15" x14ac:dyDescent="0.3">
      <c r="A131" s="32" t="s">
        <v>122</v>
      </c>
      <c r="B131" s="9"/>
    </row>
    <row r="132" spans="1:15" x14ac:dyDescent="0.3">
      <c r="A132" s="32" t="s">
        <v>23</v>
      </c>
      <c r="B132" s="32" t="s">
        <v>26</v>
      </c>
    </row>
    <row r="133" spans="1:15" x14ac:dyDescent="0.3">
      <c r="A133" s="45">
        <v>-1.167317334748176</v>
      </c>
      <c r="B133" s="46">
        <v>0.69600552537227978</v>
      </c>
    </row>
    <row r="134" spans="1:15" x14ac:dyDescent="0.3">
      <c r="A134" s="45">
        <v>0.14356203422876118</v>
      </c>
      <c r="B134" s="46">
        <v>0.83277220127562379</v>
      </c>
    </row>
    <row r="135" spans="1:15" x14ac:dyDescent="0.3">
      <c r="A135" s="45">
        <v>0.45249877981133035</v>
      </c>
      <c r="B135" s="46">
        <v>0.93362277698466678</v>
      </c>
    </row>
    <row r="136" spans="1:15" x14ac:dyDescent="0.3">
      <c r="A136" s="45">
        <v>0.70962807251807547</v>
      </c>
      <c r="B136" s="46">
        <v>0.99729410662407503</v>
      </c>
    </row>
    <row r="137" spans="1:15" x14ac:dyDescent="0.3">
      <c r="A137" s="45">
        <v>0.90741136077458617</v>
      </c>
      <c r="B137" s="46">
        <v>1.0398105541483504</v>
      </c>
    </row>
    <row r="138" spans="1:15" x14ac:dyDescent="0.3">
      <c r="A138" s="45">
        <v>1.10162953645938</v>
      </c>
      <c r="B138" s="46">
        <v>1.0485082328530342</v>
      </c>
    </row>
    <row r="141" spans="1:15" x14ac:dyDescent="0.3">
      <c r="A141" s="78" t="s">
        <v>123</v>
      </c>
      <c r="B141" s="55"/>
    </row>
    <row r="142" spans="1:15" x14ac:dyDescent="0.3">
      <c r="A142" s="52" t="s">
        <v>4</v>
      </c>
      <c r="B142" s="52" t="s">
        <v>27</v>
      </c>
    </row>
    <row r="143" spans="1:15" x14ac:dyDescent="0.3">
      <c r="A143" s="46">
        <v>6.8027210884353748E-2</v>
      </c>
      <c r="B143" s="46">
        <v>1.3698630136986304E-2</v>
      </c>
    </row>
    <row r="144" spans="1:15" x14ac:dyDescent="0.3">
      <c r="A144" s="46">
        <v>1.3917525773195873</v>
      </c>
      <c r="B144" s="46">
        <v>0.2045454545454545</v>
      </c>
    </row>
    <row r="145" spans="1:2" x14ac:dyDescent="0.3">
      <c r="A145" s="46">
        <v>2.8346456692913384</v>
      </c>
      <c r="B145" s="46">
        <v>0.33027522935779813</v>
      </c>
    </row>
    <row r="146" spans="1:2" x14ac:dyDescent="0.3">
      <c r="A146" s="46">
        <v>5.1242236024844727</v>
      </c>
      <c r="B146" s="46">
        <v>0.51562500000000011</v>
      </c>
    </row>
    <row r="147" spans="1:2" x14ac:dyDescent="0.3">
      <c r="A147" s="46">
        <v>8.08</v>
      </c>
      <c r="B147" s="46">
        <v>0.73722627737226276</v>
      </c>
    </row>
    <row r="148" spans="1:2" x14ac:dyDescent="0.3">
      <c r="A148" s="46">
        <v>12.636579572446557</v>
      </c>
      <c r="B148" s="46">
        <v>1.1301115241635689</v>
      </c>
    </row>
    <row r="150" spans="1:2" x14ac:dyDescent="0.3">
      <c r="A150" s="32" t="s">
        <v>128</v>
      </c>
      <c r="B150" s="9"/>
    </row>
    <row r="151" spans="1:2" x14ac:dyDescent="0.3">
      <c r="A151" s="32" t="s">
        <v>39</v>
      </c>
      <c r="B151" s="32" t="s">
        <v>25</v>
      </c>
    </row>
    <row r="152" spans="1:2" x14ac:dyDescent="0.3">
      <c r="A152" s="45">
        <v>-2.6878474937846906</v>
      </c>
      <c r="B152" s="46">
        <v>4.9659863945578229</v>
      </c>
    </row>
    <row r="153" spans="1:2" x14ac:dyDescent="0.3">
      <c r="A153" s="46">
        <v>0.33056379993504642</v>
      </c>
      <c r="B153" s="46">
        <v>6.804123711340206</v>
      </c>
    </row>
    <row r="154" spans="1:2" x14ac:dyDescent="0.3">
      <c r="A154" s="46">
        <v>1.0419169449915644</v>
      </c>
      <c r="B154" s="46">
        <v>8.5826771653543314</v>
      </c>
    </row>
    <row r="155" spans="1:2" x14ac:dyDescent="0.3">
      <c r="A155" s="46">
        <v>1.6339790213502181</v>
      </c>
      <c r="B155" s="46">
        <v>9.9378881987577632</v>
      </c>
    </row>
    <row r="156" spans="1:2" x14ac:dyDescent="0.3">
      <c r="A156" s="46">
        <v>2.0893918725330041</v>
      </c>
      <c r="B156" s="46">
        <v>10.96</v>
      </c>
    </row>
    <row r="157" spans="1:2" x14ac:dyDescent="0.3">
      <c r="A157" s="46">
        <v>2.5365957486533088</v>
      </c>
      <c r="B157" s="46">
        <v>11.181710213776721</v>
      </c>
    </row>
    <row r="159" spans="1:2" x14ac:dyDescent="0.3">
      <c r="A159" s="79" t="s">
        <v>129</v>
      </c>
      <c r="B159" s="55"/>
    </row>
    <row r="160" spans="1:2" x14ac:dyDescent="0.3">
      <c r="A160" s="32" t="s">
        <v>23</v>
      </c>
      <c r="B160" s="47" t="s">
        <v>38</v>
      </c>
    </row>
    <row r="161" spans="1:18" x14ac:dyDescent="0.3">
      <c r="A161" s="45">
        <v>-1.167317334748176</v>
      </c>
      <c r="B161" s="45">
        <v>-1.8633228601204559</v>
      </c>
    </row>
    <row r="162" spans="1:18" x14ac:dyDescent="0.3">
      <c r="A162" s="45">
        <v>0.14356203422876118</v>
      </c>
      <c r="B162" s="45">
        <v>-0.68921016704686267</v>
      </c>
    </row>
    <row r="163" spans="1:18" x14ac:dyDescent="0.3">
      <c r="A163" s="45">
        <v>0.45249877981133035</v>
      </c>
      <c r="B163" s="45">
        <v>-0.48112399717333643</v>
      </c>
    </row>
    <row r="164" spans="1:18" x14ac:dyDescent="0.3">
      <c r="A164" s="45">
        <v>0.70962807251807547</v>
      </c>
      <c r="B164" s="45">
        <v>-0.28766603410599961</v>
      </c>
    </row>
    <row r="165" spans="1:18" x14ac:dyDescent="0.3">
      <c r="A165" s="45">
        <v>0.90741136077458617</v>
      </c>
      <c r="B165" s="45">
        <v>-0.13239919337376421</v>
      </c>
    </row>
    <row r="166" spans="1:18" x14ac:dyDescent="0.3">
      <c r="A166" s="45">
        <v>1.10162953645938</v>
      </c>
      <c r="B166" s="45">
        <v>5.3121303606345795E-2</v>
      </c>
    </row>
    <row r="169" spans="1:18" x14ac:dyDescent="0.3">
      <c r="Q169" s="33" t="s">
        <v>170</v>
      </c>
      <c r="R169" s="33" t="s">
        <v>172</v>
      </c>
    </row>
    <row r="170" spans="1:18" x14ac:dyDescent="0.3">
      <c r="Q170" s="83">
        <v>3.3003300330033004E-3</v>
      </c>
      <c r="R170" s="45">
        <v>-1.6642202586263073</v>
      </c>
    </row>
    <row r="171" spans="1:18" x14ac:dyDescent="0.3">
      <c r="Q171" s="83">
        <v>3.1948881789137379E-3</v>
      </c>
      <c r="R171" s="45">
        <v>-1.831261912204301</v>
      </c>
    </row>
    <row r="172" spans="1:18" x14ac:dyDescent="0.3">
      <c r="Q172" s="83">
        <v>3.0959752321981426E-3</v>
      </c>
      <c r="R172" s="45">
        <v>-1.9052265724188699</v>
      </c>
    </row>
    <row r="173" spans="1:18" x14ac:dyDescent="0.3">
      <c r="Q173" s="83">
        <v>3.003003003003003E-3</v>
      </c>
      <c r="R173" s="45">
        <v>-2.0140587824169836</v>
      </c>
    </row>
    <row r="175" spans="1:18" x14ac:dyDescent="0.3">
      <c r="A175" s="80" t="s">
        <v>171</v>
      </c>
      <c r="B175" s="33"/>
      <c r="C175" s="33"/>
      <c r="D175" s="33"/>
      <c r="E175" s="33"/>
      <c r="F175" s="33"/>
      <c r="G175" s="33"/>
      <c r="H175" s="33"/>
      <c r="I175" s="33"/>
      <c r="J175" s="35"/>
    </row>
    <row r="176" spans="1:18" x14ac:dyDescent="0.3">
      <c r="A176" s="13" t="s">
        <v>168</v>
      </c>
      <c r="B176" s="102" t="s">
        <v>170</v>
      </c>
      <c r="C176" s="14" t="s">
        <v>1</v>
      </c>
      <c r="D176" s="14" t="s">
        <v>2</v>
      </c>
      <c r="E176" s="14" t="s">
        <v>3</v>
      </c>
      <c r="F176" s="14" t="s">
        <v>4</v>
      </c>
      <c r="G176" s="102" t="s">
        <v>169</v>
      </c>
      <c r="H176" s="102" t="s">
        <v>143</v>
      </c>
      <c r="I176" s="80" t="s">
        <v>196</v>
      </c>
      <c r="J176" s="109" t="s">
        <v>172</v>
      </c>
      <c r="K176" s="104" t="s">
        <v>179</v>
      </c>
    </row>
    <row r="177" spans="1:18" x14ac:dyDescent="0.3">
      <c r="A177" s="15">
        <v>303</v>
      </c>
      <c r="B177" s="83">
        <f>1/A177</f>
        <v>3.3003300330033004E-3</v>
      </c>
      <c r="C177" s="16">
        <v>30</v>
      </c>
      <c r="D177" s="17">
        <v>0.375</v>
      </c>
      <c r="E177" s="17">
        <v>0.27200000000000002</v>
      </c>
      <c r="F177" s="46">
        <f>(C177*E177)/D177</f>
        <v>21.76</v>
      </c>
      <c r="G177" s="33">
        <v>2</v>
      </c>
      <c r="H177" s="46">
        <f>(C177-F177)/G177</f>
        <v>4.1199999999999992</v>
      </c>
      <c r="I177" s="45">
        <f>(H177)*G177/F177</f>
        <v>0.37867647058823517</v>
      </c>
      <c r="J177" s="110">
        <f>LN(I177)</f>
        <v>-0.97107307806636189</v>
      </c>
      <c r="K177" s="103">
        <f>-(8.314*A177)*J177/1000</f>
        <v>2.4462709760262511</v>
      </c>
    </row>
    <row r="178" spans="1:18" x14ac:dyDescent="0.3">
      <c r="A178" s="15">
        <v>313</v>
      </c>
      <c r="B178" s="83">
        <f t="shared" ref="B178:B180" si="98">1/A178</f>
        <v>3.1948881789137379E-3</v>
      </c>
      <c r="C178" s="16">
        <v>30</v>
      </c>
      <c r="D178" s="17">
        <v>0.375</v>
      </c>
      <c r="E178" s="17">
        <v>0.28399999999999997</v>
      </c>
      <c r="F178" s="46">
        <f t="shared" ref="F178:F180" si="99">(C178*E178)/D178</f>
        <v>22.72</v>
      </c>
      <c r="G178" s="33">
        <v>2</v>
      </c>
      <c r="H178" s="46">
        <f t="shared" ref="H178:H180" si="100">(C178-F178)/G178</f>
        <v>3.6400000000000006</v>
      </c>
      <c r="I178" s="45">
        <f t="shared" ref="I178:I180" si="101">(H178)*G178/F178</f>
        <v>0.32042253521126768</v>
      </c>
      <c r="J178" s="45">
        <f t="shared" ref="J178:J180" si="102">LN(I178)</f>
        <v>-1.1381147316443558</v>
      </c>
      <c r="K178" s="103">
        <f t="shared" ref="K178:K180" si="103">-(8.314*A178)*J178/1000</f>
        <v>2.961695480092938</v>
      </c>
      <c r="L178" s="101"/>
    </row>
    <row r="179" spans="1:18" x14ac:dyDescent="0.3">
      <c r="A179" s="15">
        <v>323</v>
      </c>
      <c r="B179" s="83">
        <f t="shared" si="98"/>
        <v>3.0959752321981426E-3</v>
      </c>
      <c r="C179" s="16">
        <v>30</v>
      </c>
      <c r="D179" s="17">
        <v>0.375</v>
      </c>
      <c r="E179" s="17">
        <v>0.28899999999999998</v>
      </c>
      <c r="F179" s="46">
        <f t="shared" si="99"/>
        <v>23.12</v>
      </c>
      <c r="G179" s="33">
        <v>2</v>
      </c>
      <c r="H179" s="46">
        <f t="shared" si="100"/>
        <v>3.4399999999999995</v>
      </c>
      <c r="I179" s="45">
        <f t="shared" si="101"/>
        <v>0.29757785467128023</v>
      </c>
      <c r="J179" s="45">
        <f t="shared" si="102"/>
        <v>-1.2120793918589245</v>
      </c>
      <c r="K179" s="103">
        <f t="shared" si="103"/>
        <v>3.2549446646445768</v>
      </c>
      <c r="L179" s="101"/>
    </row>
    <row r="180" spans="1:18" x14ac:dyDescent="0.3">
      <c r="A180" s="15">
        <v>333</v>
      </c>
      <c r="B180" s="83">
        <f t="shared" si="98"/>
        <v>3.003003003003003E-3</v>
      </c>
      <c r="C180" s="16">
        <v>30</v>
      </c>
      <c r="D180" s="17">
        <v>0.375</v>
      </c>
      <c r="E180" s="17">
        <v>0.29599999999999999</v>
      </c>
      <c r="F180" s="46">
        <f t="shared" si="99"/>
        <v>23.679999999999996</v>
      </c>
      <c r="G180" s="33">
        <v>2</v>
      </c>
      <c r="H180" s="46">
        <f t="shared" si="100"/>
        <v>3.1600000000000019</v>
      </c>
      <c r="I180" s="45">
        <f t="shared" si="101"/>
        <v>0.26689189189189211</v>
      </c>
      <c r="J180" s="45">
        <f t="shared" si="102"/>
        <v>-1.3209116018570382</v>
      </c>
      <c r="K180" s="103">
        <f t="shared" si="103"/>
        <v>3.6570256662605254</v>
      </c>
    </row>
    <row r="185" spans="1:18" x14ac:dyDescent="0.3">
      <c r="Q185" s="33" t="s">
        <v>170</v>
      </c>
      <c r="R185" s="33" t="s">
        <v>172</v>
      </c>
    </row>
    <row r="186" spans="1:18" x14ac:dyDescent="0.3">
      <c r="Q186" s="83">
        <v>3.3003300330033004E-3</v>
      </c>
      <c r="R186" s="45">
        <v>-1.7184281961425056</v>
      </c>
    </row>
    <row r="187" spans="1:18" x14ac:dyDescent="0.3">
      <c r="Q187" s="83">
        <v>3.1948881789137379E-3</v>
      </c>
      <c r="R187" s="45">
        <v>-1.9356536488881237</v>
      </c>
    </row>
    <row r="188" spans="1:18" x14ac:dyDescent="0.3">
      <c r="Q188" s="83">
        <v>3.0959752321981426E-3</v>
      </c>
      <c r="R188" s="45">
        <v>-1.9980959022258831</v>
      </c>
    </row>
    <row r="189" spans="1:18" x14ac:dyDescent="0.3">
      <c r="Q189" s="83">
        <v>3.003003003003003E-3</v>
      </c>
      <c r="R189" s="45">
        <v>-2.0628574136643003</v>
      </c>
    </row>
    <row r="190" spans="1:18" x14ac:dyDescent="0.3">
      <c r="A190" s="80" t="s">
        <v>173</v>
      </c>
      <c r="B190" s="33"/>
      <c r="C190" s="33"/>
      <c r="D190" s="33"/>
      <c r="E190" s="33"/>
      <c r="F190" s="33"/>
      <c r="G190" s="33"/>
      <c r="H190" s="33"/>
      <c r="I190" s="33"/>
      <c r="J190" s="35"/>
    </row>
    <row r="191" spans="1:18" x14ac:dyDescent="0.3">
      <c r="A191" s="13" t="s">
        <v>168</v>
      </c>
      <c r="B191" s="102" t="s">
        <v>170</v>
      </c>
      <c r="C191" s="14" t="s">
        <v>1</v>
      </c>
      <c r="D191" s="14" t="s">
        <v>2</v>
      </c>
      <c r="E191" s="14" t="s">
        <v>3</v>
      </c>
      <c r="F191" s="14" t="s">
        <v>4</v>
      </c>
      <c r="G191" s="102" t="s">
        <v>169</v>
      </c>
      <c r="H191" s="102" t="s">
        <v>143</v>
      </c>
      <c r="I191" s="80" t="s">
        <v>196</v>
      </c>
      <c r="J191" s="109" t="s">
        <v>172</v>
      </c>
      <c r="K191" s="104" t="s">
        <v>179</v>
      </c>
    </row>
    <row r="192" spans="1:18" x14ac:dyDescent="0.3">
      <c r="A192" s="15">
        <v>303</v>
      </c>
      <c r="B192" s="83">
        <f>1/A192</f>
        <v>3.3003300330033004E-3</v>
      </c>
      <c r="C192" s="16">
        <v>30</v>
      </c>
      <c r="D192" s="17">
        <v>0.375</v>
      </c>
      <c r="E192" s="17">
        <v>0.27600000000000002</v>
      </c>
      <c r="F192" s="46">
        <f>(C192*E192)/D192</f>
        <v>22.080000000000002</v>
      </c>
      <c r="G192" s="33">
        <v>2</v>
      </c>
      <c r="H192" s="46">
        <f>(C192-F192)/G192</f>
        <v>3.9599999999999991</v>
      </c>
      <c r="I192" s="45">
        <f>(H192)*G192/F192</f>
        <v>0.35869565217391292</v>
      </c>
      <c r="J192" s="110">
        <f>LN(I192)</f>
        <v>-1.0252810155825605</v>
      </c>
      <c r="K192" s="46">
        <f>-(8.314*A192)*J192/1000</f>
        <v>2.5828284681566824</v>
      </c>
    </row>
    <row r="193" spans="1:18" x14ac:dyDescent="0.3">
      <c r="A193" s="15">
        <v>313</v>
      </c>
      <c r="B193" s="83">
        <f t="shared" ref="B193:B195" si="104">1/A193</f>
        <v>3.1948881789137379E-3</v>
      </c>
      <c r="C193" s="16">
        <v>30</v>
      </c>
      <c r="D193" s="17">
        <v>0.375</v>
      </c>
      <c r="E193" s="17">
        <v>0.29099999999999998</v>
      </c>
      <c r="F193" s="46">
        <f t="shared" ref="F193:F195" si="105">(C193*E193)/D193</f>
        <v>23.279999999999998</v>
      </c>
      <c r="G193" s="33">
        <v>2</v>
      </c>
      <c r="H193" s="46">
        <f t="shared" ref="H193:H195" si="106">(C193-F193)/G193</f>
        <v>3.3600000000000012</v>
      </c>
      <c r="I193" s="45">
        <f t="shared" ref="I193:I195" si="107">(H193)*G193/F193</f>
        <v>0.28865979381443313</v>
      </c>
      <c r="J193" s="110">
        <f t="shared" ref="J193:J195" si="108">LN(I193)</f>
        <v>-1.2425064683281783</v>
      </c>
      <c r="K193" s="46">
        <f t="shared" ref="K193:K195" si="109">-(8.314*A193)*J193/1000</f>
        <v>3.233352217413989</v>
      </c>
    </row>
    <row r="194" spans="1:18" x14ac:dyDescent="0.3">
      <c r="A194" s="15">
        <v>323</v>
      </c>
      <c r="B194" s="83">
        <f t="shared" si="104"/>
        <v>3.0959752321981426E-3</v>
      </c>
      <c r="C194" s="16">
        <v>30</v>
      </c>
      <c r="D194" s="17">
        <v>0.375</v>
      </c>
      <c r="E194" s="17">
        <v>0.29499999999999998</v>
      </c>
      <c r="F194" s="46">
        <f t="shared" si="105"/>
        <v>23.599999999999998</v>
      </c>
      <c r="G194" s="33">
        <v>2</v>
      </c>
      <c r="H194" s="46">
        <f t="shared" si="106"/>
        <v>3.2000000000000011</v>
      </c>
      <c r="I194" s="45">
        <f t="shared" si="107"/>
        <v>0.27118644067796621</v>
      </c>
      <c r="J194" s="110">
        <f t="shared" si="108"/>
        <v>-1.3049487216659379</v>
      </c>
      <c r="K194" s="46">
        <f t="shared" si="109"/>
        <v>3.5043380060335863</v>
      </c>
    </row>
    <row r="195" spans="1:18" x14ac:dyDescent="0.3">
      <c r="A195" s="15">
        <v>333</v>
      </c>
      <c r="B195" s="83">
        <f t="shared" si="104"/>
        <v>3.003003003003003E-3</v>
      </c>
      <c r="C195" s="16">
        <v>30</v>
      </c>
      <c r="D195" s="17">
        <v>0.375</v>
      </c>
      <c r="E195" s="17">
        <v>0.29899999999999999</v>
      </c>
      <c r="F195" s="46">
        <f t="shared" si="105"/>
        <v>23.919999999999998</v>
      </c>
      <c r="G195" s="33">
        <v>2</v>
      </c>
      <c r="H195" s="46">
        <f t="shared" si="106"/>
        <v>3.0400000000000009</v>
      </c>
      <c r="I195" s="45">
        <f t="shared" si="107"/>
        <v>0.25418060200668907</v>
      </c>
      <c r="J195" s="110">
        <f t="shared" si="108"/>
        <v>-1.3697102331043549</v>
      </c>
      <c r="K195" s="46">
        <f t="shared" si="109"/>
        <v>3.7921277023838589</v>
      </c>
    </row>
    <row r="197" spans="1:18" x14ac:dyDescent="0.3">
      <c r="A197" s="13" t="s">
        <v>168</v>
      </c>
      <c r="B197" s="102" t="s">
        <v>170</v>
      </c>
      <c r="C197" s="14" t="s">
        <v>1</v>
      </c>
      <c r="D197" s="14" t="s">
        <v>2</v>
      </c>
      <c r="E197" s="14" t="s">
        <v>3</v>
      </c>
      <c r="F197" s="14" t="s">
        <v>4</v>
      </c>
      <c r="G197" s="102" t="s">
        <v>169</v>
      </c>
      <c r="H197" s="102" t="s">
        <v>143</v>
      </c>
      <c r="I197" s="80" t="s">
        <v>196</v>
      </c>
      <c r="J197" s="109" t="s">
        <v>172</v>
      </c>
      <c r="K197" s="104" t="s">
        <v>179</v>
      </c>
    </row>
    <row r="198" spans="1:18" x14ac:dyDescent="0.3">
      <c r="A198" s="15">
        <v>303</v>
      </c>
      <c r="B198" s="83">
        <f>1/A198</f>
        <v>3.3003300330033004E-3</v>
      </c>
      <c r="C198" s="16">
        <v>30</v>
      </c>
      <c r="D198" s="17">
        <v>0.375</v>
      </c>
      <c r="E198" s="17">
        <v>0.27600000000000002</v>
      </c>
      <c r="F198" s="46">
        <f>(C198*E198)/D198</f>
        <v>22.080000000000002</v>
      </c>
      <c r="G198" s="33">
        <v>2</v>
      </c>
      <c r="H198" s="46">
        <f>(C198-F198)/G198</f>
        <v>3.9599999999999991</v>
      </c>
      <c r="I198" s="45">
        <f>(H198)*G198/F198</f>
        <v>0.35869565217391292</v>
      </c>
      <c r="J198" s="110">
        <f>LN(I198)</f>
        <v>-1.0252810155825605</v>
      </c>
      <c r="K198" s="46">
        <f>-(8.314*A198)*J198/1000</f>
        <v>2.5828284681566824</v>
      </c>
    </row>
    <row r="199" spans="1:18" x14ac:dyDescent="0.3">
      <c r="A199" s="15">
        <v>313</v>
      </c>
      <c r="B199" s="83">
        <f t="shared" ref="B199:B201" si="110">1/A199</f>
        <v>3.1948881789137379E-3</v>
      </c>
      <c r="C199" s="16">
        <v>30</v>
      </c>
      <c r="D199" s="17">
        <v>0.375</v>
      </c>
      <c r="E199" s="17">
        <v>0.29099999999999998</v>
      </c>
      <c r="F199" s="46">
        <f t="shared" ref="F199:F201" si="111">(C199*E199)/D199</f>
        <v>23.279999999999998</v>
      </c>
      <c r="G199" s="33">
        <v>2</v>
      </c>
      <c r="H199" s="46">
        <f t="shared" ref="H199:H201" si="112">(C199-F199)/G199</f>
        <v>3.3600000000000012</v>
      </c>
      <c r="I199" s="45">
        <f t="shared" ref="I199:I201" si="113">(H199)*G199/F199</f>
        <v>0.28865979381443313</v>
      </c>
      <c r="J199" s="110">
        <f t="shared" ref="J199:J201" si="114">LN(I199)</f>
        <v>-1.2425064683281783</v>
      </c>
      <c r="K199" s="46">
        <f t="shared" ref="K199:K201" si="115">-(8.314*A199)*J199/1000</f>
        <v>3.233352217413989</v>
      </c>
      <c r="Q199" s="33" t="s">
        <v>170</v>
      </c>
      <c r="R199" s="33" t="s">
        <v>172</v>
      </c>
    </row>
    <row r="200" spans="1:18" x14ac:dyDescent="0.3">
      <c r="A200" s="15">
        <v>323</v>
      </c>
      <c r="B200" s="83">
        <f t="shared" si="110"/>
        <v>3.0959752321981426E-3</v>
      </c>
      <c r="C200" s="16">
        <v>30</v>
      </c>
      <c r="D200" s="17">
        <v>0.375</v>
      </c>
      <c r="E200" s="17">
        <v>0.29499999999999998</v>
      </c>
      <c r="F200" s="46">
        <f t="shared" si="111"/>
        <v>23.599999999999998</v>
      </c>
      <c r="G200" s="33">
        <v>2</v>
      </c>
      <c r="H200" s="46">
        <f t="shared" si="112"/>
        <v>3.2000000000000011</v>
      </c>
      <c r="I200" s="45">
        <f t="shared" si="113"/>
        <v>0.27118644067796621</v>
      </c>
      <c r="J200" s="110">
        <f t="shared" si="114"/>
        <v>-1.3049487216659379</v>
      </c>
      <c r="K200" s="46">
        <f t="shared" si="115"/>
        <v>3.5043380060335863</v>
      </c>
      <c r="Q200" s="33">
        <v>3.3003300330033004E-3</v>
      </c>
      <c r="R200" s="45">
        <v>0.30486040898686556</v>
      </c>
    </row>
    <row r="201" spans="1:18" x14ac:dyDescent="0.3">
      <c r="A201" s="15">
        <v>333</v>
      </c>
      <c r="B201" s="83">
        <f t="shared" si="110"/>
        <v>3.003003003003003E-3</v>
      </c>
      <c r="C201" s="16">
        <v>30</v>
      </c>
      <c r="D201" s="17">
        <v>0.375</v>
      </c>
      <c r="E201" s="17">
        <v>0.29899999999999999</v>
      </c>
      <c r="F201" s="46">
        <f t="shared" si="111"/>
        <v>23.919999999999998</v>
      </c>
      <c r="G201" s="33">
        <v>2</v>
      </c>
      <c r="H201" s="46">
        <f t="shared" si="112"/>
        <v>3.0400000000000009</v>
      </c>
      <c r="I201" s="45">
        <f t="shared" si="113"/>
        <v>0.25418060200668907</v>
      </c>
      <c r="J201" s="110">
        <f t="shared" si="114"/>
        <v>-1.3697102331043549</v>
      </c>
      <c r="K201" s="46">
        <f t="shared" si="115"/>
        <v>3.7921277023838589</v>
      </c>
      <c r="Q201" s="33">
        <v>3.1948881789137379E-3</v>
      </c>
      <c r="R201" s="45">
        <v>0.13353139262452257</v>
      </c>
    </row>
    <row r="202" spans="1:18" x14ac:dyDescent="0.3">
      <c r="Q202" s="33">
        <v>3.0959752321981426E-3</v>
      </c>
      <c r="R202" s="45">
        <v>-0.26283607386524971</v>
      </c>
    </row>
    <row r="203" spans="1:18" x14ac:dyDescent="0.3">
      <c r="Q203" s="33">
        <v>3.003003003003003E-3</v>
      </c>
      <c r="R203" s="45">
        <v>-0.65735807270836022</v>
      </c>
    </row>
    <row r="205" spans="1:18" x14ac:dyDescent="0.3">
      <c r="A205" s="80" t="s">
        <v>184</v>
      </c>
      <c r="B205" s="33"/>
      <c r="C205" s="33"/>
      <c r="D205" s="33"/>
      <c r="E205" s="33"/>
      <c r="F205" s="33"/>
      <c r="G205" s="33"/>
      <c r="H205" s="33"/>
      <c r="I205" s="33"/>
      <c r="J205" s="35"/>
    </row>
    <row r="206" spans="1:18" x14ac:dyDescent="0.3">
      <c r="A206" s="13" t="s">
        <v>168</v>
      </c>
      <c r="B206" s="102" t="s">
        <v>170</v>
      </c>
      <c r="C206" s="14" t="s">
        <v>1</v>
      </c>
      <c r="D206" s="14" t="s">
        <v>2</v>
      </c>
      <c r="E206" s="14" t="s">
        <v>3</v>
      </c>
      <c r="F206" s="14" t="s">
        <v>4</v>
      </c>
      <c r="G206" s="102" t="s">
        <v>169</v>
      </c>
      <c r="H206" s="102" t="s">
        <v>143</v>
      </c>
      <c r="I206" s="80" t="s">
        <v>196</v>
      </c>
      <c r="J206" s="109" t="s">
        <v>172</v>
      </c>
      <c r="K206" s="104" t="s">
        <v>179</v>
      </c>
    </row>
    <row r="207" spans="1:18" x14ac:dyDescent="0.3">
      <c r="A207" s="15">
        <v>303</v>
      </c>
      <c r="B207" s="83">
        <f>1/A207</f>
        <v>3.3003300330033004E-3</v>
      </c>
      <c r="C207" s="16">
        <v>30</v>
      </c>
      <c r="D207" s="17">
        <v>0.375</v>
      </c>
      <c r="E207" s="17">
        <v>0.10100000000000001</v>
      </c>
      <c r="F207" s="46">
        <f>(C207*E207)/D207</f>
        <v>8.08</v>
      </c>
      <c r="G207" s="33">
        <v>2</v>
      </c>
      <c r="H207" s="46">
        <f>(C207-F207)/G207</f>
        <v>10.96</v>
      </c>
      <c r="I207" s="45">
        <f>(H207)*G207/F207</f>
        <v>2.7128712871287131</v>
      </c>
      <c r="J207" s="45">
        <f>LN(I207)</f>
        <v>0.99800758954681079</v>
      </c>
      <c r="K207" s="46">
        <f>-(8.314*A207)*J207/1000</f>
        <v>-2.5141228351461318</v>
      </c>
    </row>
    <row r="208" spans="1:18" x14ac:dyDescent="0.3">
      <c r="A208" s="15">
        <v>313</v>
      </c>
      <c r="B208" s="83">
        <f t="shared" ref="B208:B210" si="116">1/A208</f>
        <v>3.1948881789137379E-3</v>
      </c>
      <c r="C208" s="16">
        <v>30</v>
      </c>
      <c r="D208" s="17">
        <v>0.375</v>
      </c>
      <c r="E208" s="17">
        <v>0.17499999999999999</v>
      </c>
      <c r="F208" s="46">
        <f t="shared" ref="F208:F210" si="117">(C208*E208)/D208</f>
        <v>14</v>
      </c>
      <c r="G208" s="33">
        <v>2</v>
      </c>
      <c r="H208" s="46">
        <f t="shared" ref="H208:H210" si="118">(C208-F208)/G208</f>
        <v>8</v>
      </c>
      <c r="I208" s="45">
        <f t="shared" ref="I208:I210" si="119">(H208)*G208/F208</f>
        <v>1.1428571428571428</v>
      </c>
      <c r="J208" s="45">
        <f t="shared" ref="J208:J210" si="120">LN(I208)</f>
        <v>0.13353139262452257</v>
      </c>
      <c r="K208" s="46">
        <f t="shared" ref="K208:K210" si="121">-(8.314*A208)*J208/1000</f>
        <v>-0.34748633946172786</v>
      </c>
    </row>
    <row r="209" spans="1:11" x14ac:dyDescent="0.3">
      <c r="A209" s="15">
        <v>323</v>
      </c>
      <c r="B209" s="83">
        <f t="shared" si="116"/>
        <v>3.0959752321981426E-3</v>
      </c>
      <c r="C209" s="16">
        <v>30</v>
      </c>
      <c r="D209" s="17">
        <v>0.375</v>
      </c>
      <c r="E209" s="17">
        <v>0.21199999999999999</v>
      </c>
      <c r="F209" s="46">
        <f t="shared" si="117"/>
        <v>16.959999999999997</v>
      </c>
      <c r="G209" s="33">
        <v>2</v>
      </c>
      <c r="H209" s="46">
        <f t="shared" si="118"/>
        <v>6.5200000000000014</v>
      </c>
      <c r="I209" s="45">
        <f t="shared" si="119"/>
        <v>0.76886792452830222</v>
      </c>
      <c r="J209" s="45">
        <f t="shared" si="120"/>
        <v>-0.26283607386524971</v>
      </c>
      <c r="K209" s="46">
        <f t="shared" si="121"/>
        <v>0.70582577515136669</v>
      </c>
    </row>
    <row r="210" spans="1:11" x14ac:dyDescent="0.3">
      <c r="A210" s="15">
        <v>333</v>
      </c>
      <c r="B210" s="83">
        <f t="shared" si="116"/>
        <v>3.003003003003003E-3</v>
      </c>
      <c r="C210" s="16">
        <v>30</v>
      </c>
      <c r="D210" s="17">
        <v>0.375</v>
      </c>
      <c r="E210" s="17">
        <v>0.247</v>
      </c>
      <c r="F210" s="46">
        <f t="shared" si="117"/>
        <v>19.760000000000002</v>
      </c>
      <c r="G210" s="33">
        <v>2</v>
      </c>
      <c r="H210" s="46">
        <f t="shared" si="118"/>
        <v>5.1199999999999992</v>
      </c>
      <c r="I210" s="45">
        <f t="shared" si="119"/>
        <v>0.51821862348178127</v>
      </c>
      <c r="J210" s="45">
        <f t="shared" si="120"/>
        <v>-0.65735807270836022</v>
      </c>
      <c r="K210" s="46">
        <f t="shared" si="121"/>
        <v>1.819936580493603</v>
      </c>
    </row>
    <row r="214" spans="1:11" x14ac:dyDescent="0.3">
      <c r="D214" t="s">
        <v>170</v>
      </c>
    </row>
    <row r="215" spans="1:11" x14ac:dyDescent="0.3">
      <c r="D215" s="101">
        <v>3.3003300330033004E-3</v>
      </c>
      <c r="E215" s="100">
        <v>-1.6642202586263073</v>
      </c>
      <c r="F215" s="100">
        <v>-1.7184281961425056</v>
      </c>
      <c r="G215" s="100">
        <v>0.30486040898686556</v>
      </c>
    </row>
    <row r="216" spans="1:11" x14ac:dyDescent="0.3">
      <c r="D216" s="101">
        <v>3.1948881789137379E-3</v>
      </c>
      <c r="E216" s="100">
        <v>-1.831261912204301</v>
      </c>
      <c r="F216" s="100">
        <v>-1.9356536488881237</v>
      </c>
      <c r="G216" s="100">
        <v>0.13353139262452257</v>
      </c>
    </row>
    <row r="217" spans="1:11" x14ac:dyDescent="0.3">
      <c r="D217" s="101">
        <v>3.0959752321981426E-3</v>
      </c>
      <c r="E217" s="100">
        <v>-1.9052265724188699</v>
      </c>
      <c r="F217" s="100">
        <v>-1.9980959022258831</v>
      </c>
      <c r="G217" s="100">
        <v>-0.26283607386524971</v>
      </c>
    </row>
    <row r="218" spans="1:11" x14ac:dyDescent="0.3">
      <c r="D218" s="101">
        <v>3.003003003003003E-3</v>
      </c>
      <c r="E218" s="100">
        <v>-2.0140587824169836</v>
      </c>
      <c r="F218" s="100">
        <v>-2.0628574136643003</v>
      </c>
      <c r="G218" s="100">
        <v>-0.65735807270836022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T28"/>
  <sheetViews>
    <sheetView workbookViewId="0">
      <selection activeCell="K10" sqref="K10"/>
    </sheetView>
  </sheetViews>
  <sheetFormatPr defaultRowHeight="14.4" x14ac:dyDescent="0.3"/>
  <sheetData>
    <row r="2" spans="2:20" x14ac:dyDescent="0.3">
      <c r="B2" s="6" t="s">
        <v>94</v>
      </c>
      <c r="C2" s="6"/>
      <c r="D2" s="6"/>
      <c r="E2" s="6"/>
      <c r="F2" s="6"/>
      <c r="G2" s="6" t="s">
        <v>95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20" x14ac:dyDescent="0.3">
      <c r="B3" s="6" t="s">
        <v>67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2:20" x14ac:dyDescent="0.3">
      <c r="B4" s="32" t="s">
        <v>68</v>
      </c>
      <c r="C4" s="32" t="s">
        <v>69</v>
      </c>
      <c r="D4" s="32"/>
      <c r="E4" s="32"/>
      <c r="F4" s="6"/>
      <c r="G4" s="78" t="s">
        <v>68</v>
      </c>
      <c r="H4" s="79" t="s">
        <v>70</v>
      </c>
      <c r="I4" s="84"/>
      <c r="J4" s="55"/>
      <c r="K4" s="6"/>
      <c r="L4" s="6"/>
      <c r="M4" s="6"/>
      <c r="N4" s="9"/>
      <c r="O4" s="9" t="s">
        <v>71</v>
      </c>
      <c r="P4" s="9"/>
      <c r="Q4" s="9"/>
      <c r="R4" s="6"/>
      <c r="S4" s="6"/>
    </row>
    <row r="5" spans="2:20" x14ac:dyDescent="0.3">
      <c r="B5" s="9"/>
      <c r="C5" s="32" t="s">
        <v>72</v>
      </c>
      <c r="D5" s="32" t="s">
        <v>152</v>
      </c>
      <c r="E5" s="32" t="s">
        <v>73</v>
      </c>
      <c r="F5" s="6"/>
      <c r="G5" s="9"/>
      <c r="H5" s="47" t="s">
        <v>74</v>
      </c>
      <c r="I5" s="47" t="s">
        <v>75</v>
      </c>
      <c r="J5" s="85" t="s">
        <v>73</v>
      </c>
      <c r="K5" s="6"/>
      <c r="L5" s="6"/>
      <c r="M5" s="6"/>
      <c r="N5" s="9"/>
      <c r="O5" s="9" t="s">
        <v>91</v>
      </c>
      <c r="P5" s="9" t="s">
        <v>92</v>
      </c>
      <c r="Q5" s="9" t="s">
        <v>93</v>
      </c>
      <c r="R5" s="6"/>
      <c r="S5" s="6"/>
    </row>
    <row r="6" spans="2:20" x14ac:dyDescent="0.3">
      <c r="B6" s="9" t="s">
        <v>91</v>
      </c>
      <c r="C6" s="9"/>
      <c r="D6" s="9"/>
      <c r="E6" s="9"/>
      <c r="F6" s="6"/>
      <c r="G6" s="9" t="s">
        <v>91</v>
      </c>
      <c r="H6" s="9">
        <v>4.59</v>
      </c>
      <c r="I6" s="9">
        <v>2.95</v>
      </c>
      <c r="J6" s="9">
        <v>0.998</v>
      </c>
      <c r="K6" s="6"/>
      <c r="L6" s="6"/>
      <c r="M6" s="6"/>
      <c r="N6" s="33">
        <v>10</v>
      </c>
      <c r="O6" s="83">
        <f t="shared" ref="O6:O11" si="0">1/N6</f>
        <v>0.1</v>
      </c>
      <c r="P6" s="83">
        <v>4.0362438220757829E-2</v>
      </c>
      <c r="Q6" s="83">
        <v>4.8338368580060423E-2</v>
      </c>
      <c r="R6" s="6"/>
      <c r="S6" s="6"/>
    </row>
    <row r="7" spans="2:20" x14ac:dyDescent="0.3">
      <c r="B7" s="9" t="s">
        <v>92</v>
      </c>
      <c r="C7" s="9"/>
      <c r="D7" s="9"/>
      <c r="E7" s="9"/>
      <c r="F7" s="6"/>
      <c r="G7" s="9" t="s">
        <v>92</v>
      </c>
      <c r="H7" s="9">
        <v>4.29</v>
      </c>
      <c r="I7" s="9">
        <v>2.98</v>
      </c>
      <c r="J7" s="9">
        <v>0.998</v>
      </c>
      <c r="K7" s="6"/>
      <c r="L7" s="6"/>
      <c r="M7" s="6"/>
      <c r="N7" s="33">
        <v>15</v>
      </c>
      <c r="O7" s="83">
        <f t="shared" si="0"/>
        <v>6.6666666666666666E-2</v>
      </c>
      <c r="P7" s="83">
        <v>2.7275257445032008E-2</v>
      </c>
      <c r="Q7" s="83">
        <v>3.2753326509723645E-2</v>
      </c>
      <c r="R7" s="6"/>
      <c r="S7" s="6"/>
    </row>
    <row r="8" spans="2:20" x14ac:dyDescent="0.3">
      <c r="B8" s="9" t="s">
        <v>93</v>
      </c>
      <c r="C8" s="9"/>
      <c r="D8" s="9"/>
      <c r="E8" s="9"/>
      <c r="F8" s="6"/>
      <c r="G8" s="9" t="s">
        <v>93</v>
      </c>
      <c r="H8" s="9">
        <v>15.87</v>
      </c>
      <c r="I8" s="9">
        <v>1.97</v>
      </c>
      <c r="J8" s="9">
        <v>0.94699999999999995</v>
      </c>
      <c r="K8" s="6"/>
      <c r="L8" s="6"/>
      <c r="M8" s="6"/>
      <c r="N8" s="33">
        <v>20</v>
      </c>
      <c r="O8" s="83">
        <f t="shared" si="0"/>
        <v>0.05</v>
      </c>
      <c r="P8" s="83">
        <v>2.0596889449348468E-2</v>
      </c>
      <c r="Q8" s="83">
        <v>2.4767801857585141E-2</v>
      </c>
      <c r="R8" s="6"/>
      <c r="S8" s="6"/>
    </row>
    <row r="9" spans="2:20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33">
        <v>25</v>
      </c>
      <c r="O9" s="83">
        <f t="shared" si="0"/>
        <v>0.04</v>
      </c>
      <c r="P9" s="83">
        <v>1.6545669424278237E-2</v>
      </c>
      <c r="Q9" s="83">
        <v>1.9912881144990666E-2</v>
      </c>
      <c r="R9" s="6"/>
      <c r="S9" s="6"/>
    </row>
    <row r="10" spans="2:20" x14ac:dyDescent="0.3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33">
        <v>30</v>
      </c>
      <c r="O10" s="83">
        <f t="shared" si="0"/>
        <v>3.3333333333333333E-2</v>
      </c>
      <c r="P10" s="83">
        <v>1.3826185101580136E-2</v>
      </c>
      <c r="Q10" s="83">
        <v>1.6649323621227889E-2</v>
      </c>
      <c r="R10" s="6"/>
      <c r="S10" s="6"/>
    </row>
    <row r="11" spans="2:20" x14ac:dyDescent="0.3">
      <c r="B11" s="32" t="s">
        <v>68</v>
      </c>
      <c r="C11" s="32" t="s">
        <v>76</v>
      </c>
      <c r="D11" s="32"/>
      <c r="E11" s="32"/>
      <c r="F11" s="6"/>
      <c r="G11" s="32" t="s">
        <v>68</v>
      </c>
      <c r="H11" s="9" t="s">
        <v>77</v>
      </c>
      <c r="I11" s="9"/>
      <c r="J11" s="9"/>
      <c r="K11" s="6"/>
      <c r="L11" s="6"/>
      <c r="M11" s="6"/>
      <c r="N11" s="33">
        <v>35</v>
      </c>
      <c r="O11" s="83">
        <f t="shared" si="0"/>
        <v>2.8571428571428571E-2</v>
      </c>
      <c r="P11" s="83">
        <v>1.1874469889737066E-2</v>
      </c>
      <c r="Q11" s="83">
        <v>1.4304872597228431E-2</v>
      </c>
      <c r="R11" s="6"/>
      <c r="S11" s="6"/>
    </row>
    <row r="12" spans="2:20" x14ac:dyDescent="0.3">
      <c r="B12" s="9"/>
      <c r="C12" s="32" t="s">
        <v>78</v>
      </c>
      <c r="D12" s="32" t="s">
        <v>153</v>
      </c>
      <c r="E12" s="32" t="s">
        <v>73</v>
      </c>
      <c r="F12" s="6"/>
      <c r="G12" s="9"/>
      <c r="H12" s="47" t="s">
        <v>79</v>
      </c>
      <c r="I12" s="47" t="s">
        <v>80</v>
      </c>
      <c r="J12" s="47" t="s">
        <v>73</v>
      </c>
      <c r="K12" s="6"/>
      <c r="L12" s="6"/>
      <c r="M12" s="6"/>
      <c r="N12" s="6"/>
      <c r="O12" s="6"/>
      <c r="P12" s="6"/>
      <c r="Q12" s="6"/>
      <c r="R12" s="6"/>
      <c r="S12" s="6"/>
    </row>
    <row r="13" spans="2:20" x14ac:dyDescent="0.3">
      <c r="B13" s="9" t="s">
        <v>91</v>
      </c>
      <c r="C13" s="9"/>
      <c r="D13" s="9"/>
      <c r="E13" s="9"/>
      <c r="F13" s="6"/>
      <c r="G13" s="9" t="s">
        <v>91</v>
      </c>
      <c r="H13" s="33">
        <v>5.8000000000000003E-2</v>
      </c>
      <c r="I13" s="46">
        <v>3.7931498497368192</v>
      </c>
      <c r="J13" s="9">
        <v>0.83099999999999996</v>
      </c>
      <c r="K13" s="6"/>
      <c r="L13" s="6"/>
      <c r="M13" s="6"/>
      <c r="N13" s="6"/>
      <c r="O13" s="6"/>
      <c r="P13" s="6"/>
      <c r="Q13" s="6"/>
      <c r="R13" s="6"/>
      <c r="S13" s="6"/>
    </row>
    <row r="14" spans="2:20" x14ac:dyDescent="0.3">
      <c r="B14" s="9" t="s">
        <v>92</v>
      </c>
      <c r="C14" s="9"/>
      <c r="D14" s="9"/>
      <c r="E14" s="9"/>
      <c r="F14" s="6"/>
      <c r="G14" s="9" t="s">
        <v>92</v>
      </c>
      <c r="H14" s="9">
        <v>6.2E-2</v>
      </c>
      <c r="I14" s="9">
        <v>3.52</v>
      </c>
      <c r="J14" s="9">
        <v>0.72699999999999998</v>
      </c>
      <c r="K14" s="6"/>
      <c r="L14" s="6"/>
      <c r="M14" s="6"/>
      <c r="N14" s="6"/>
      <c r="O14" s="6"/>
      <c r="P14" s="6"/>
      <c r="Q14" s="6"/>
      <c r="R14" s="6"/>
      <c r="S14" s="6"/>
    </row>
    <row r="15" spans="2:20" x14ac:dyDescent="0.3">
      <c r="B15" s="9" t="s">
        <v>93</v>
      </c>
      <c r="C15" s="9"/>
      <c r="D15" s="9"/>
      <c r="E15" s="9"/>
      <c r="F15" s="6"/>
      <c r="G15" s="9" t="s">
        <v>93</v>
      </c>
      <c r="H15" s="9">
        <v>0.16</v>
      </c>
      <c r="I15" s="9">
        <v>10.62</v>
      </c>
      <c r="J15" s="9">
        <v>0.84399999999999997</v>
      </c>
      <c r="K15" s="6"/>
      <c r="L15" s="32" t="s">
        <v>91</v>
      </c>
      <c r="M15" s="32" t="s">
        <v>81</v>
      </c>
      <c r="N15" s="32">
        <v>2</v>
      </c>
      <c r="O15" s="32">
        <v>3</v>
      </c>
      <c r="P15" s="32" t="s">
        <v>92</v>
      </c>
      <c r="Q15" s="32">
        <v>1</v>
      </c>
      <c r="R15" s="32">
        <v>2</v>
      </c>
      <c r="S15" s="32">
        <v>3</v>
      </c>
      <c r="T15" t="s">
        <v>93</v>
      </c>
    </row>
    <row r="16" spans="2:20" x14ac:dyDescent="0.3">
      <c r="B16" s="6"/>
      <c r="C16" s="6"/>
      <c r="D16" s="6"/>
      <c r="E16" s="6"/>
      <c r="F16" s="6"/>
      <c r="G16" s="6"/>
      <c r="H16" s="6"/>
      <c r="I16" s="6"/>
      <c r="J16" s="6"/>
      <c r="K16" s="6"/>
      <c r="L16" s="9" t="s">
        <v>37</v>
      </c>
      <c r="M16" s="32"/>
      <c r="N16" s="32"/>
      <c r="O16" s="32"/>
      <c r="P16" s="9"/>
      <c r="Q16" s="32"/>
      <c r="R16" s="32"/>
      <c r="S16" s="32"/>
    </row>
    <row r="17" spans="2:19" x14ac:dyDescent="0.3">
      <c r="B17" s="78" t="s">
        <v>68</v>
      </c>
      <c r="C17" s="78" t="s">
        <v>82</v>
      </c>
      <c r="D17" s="57"/>
      <c r="E17" s="87"/>
      <c r="F17" s="6"/>
      <c r="G17" s="32" t="s">
        <v>68</v>
      </c>
      <c r="H17" s="9" t="s">
        <v>83</v>
      </c>
      <c r="I17" s="9"/>
      <c r="J17" s="9"/>
      <c r="K17" s="6"/>
      <c r="L17" s="9" t="s">
        <v>84</v>
      </c>
      <c r="M17" s="9"/>
      <c r="N17" s="9"/>
      <c r="O17" s="9"/>
      <c r="P17" s="9"/>
      <c r="Q17" s="9"/>
      <c r="R17" s="9"/>
      <c r="S17" s="9"/>
    </row>
    <row r="18" spans="2:19" x14ac:dyDescent="0.3">
      <c r="B18" s="9"/>
      <c r="C18" s="52" t="s">
        <v>85</v>
      </c>
      <c r="D18" s="52" t="s">
        <v>86</v>
      </c>
      <c r="E18" s="52" t="s">
        <v>73</v>
      </c>
      <c r="F18" s="6"/>
      <c r="G18" s="9"/>
      <c r="H18" s="9" t="s">
        <v>86</v>
      </c>
      <c r="I18" s="9" t="s">
        <v>37</v>
      </c>
      <c r="J18" s="47" t="s">
        <v>73</v>
      </c>
      <c r="K18" s="6"/>
      <c r="L18" s="9" t="s">
        <v>73</v>
      </c>
      <c r="M18" s="9"/>
      <c r="N18" s="9"/>
      <c r="O18" s="9"/>
      <c r="P18" s="9"/>
      <c r="Q18" s="9"/>
      <c r="R18" s="9"/>
      <c r="S18" s="9"/>
    </row>
    <row r="19" spans="2:19" x14ac:dyDescent="0.3">
      <c r="B19" s="9" t="s">
        <v>91</v>
      </c>
      <c r="C19" s="9"/>
      <c r="D19" s="9"/>
      <c r="E19" s="9"/>
      <c r="F19" s="6"/>
      <c r="G19" s="9" t="s">
        <v>91</v>
      </c>
      <c r="H19" s="9">
        <v>0.94099999999999995</v>
      </c>
      <c r="I19" s="9">
        <v>0.2636</v>
      </c>
      <c r="J19" s="9">
        <v>0.999</v>
      </c>
      <c r="K19" s="6"/>
      <c r="L19" s="6"/>
      <c r="M19" s="6"/>
      <c r="N19" s="6"/>
      <c r="O19" s="6"/>
      <c r="P19" s="6"/>
      <c r="Q19" s="6"/>
      <c r="R19" s="6"/>
      <c r="S19" s="6"/>
    </row>
    <row r="20" spans="2:19" x14ac:dyDescent="0.3">
      <c r="B20" s="9" t="s">
        <v>92</v>
      </c>
      <c r="C20" s="9"/>
      <c r="D20" s="9"/>
      <c r="E20" s="9"/>
      <c r="F20" s="6"/>
      <c r="G20" s="9" t="s">
        <v>92</v>
      </c>
      <c r="H20" s="9">
        <v>0.93200000000000005</v>
      </c>
      <c r="I20" s="86">
        <v>0.28999999999999998</v>
      </c>
      <c r="J20" s="9">
        <v>0.998</v>
      </c>
      <c r="K20" s="6"/>
      <c r="L20" s="6"/>
      <c r="M20" s="6"/>
      <c r="N20" s="6"/>
      <c r="O20" s="6"/>
      <c r="P20" s="6"/>
      <c r="Q20" s="6"/>
      <c r="R20" s="6"/>
      <c r="S20" s="6"/>
    </row>
    <row r="21" spans="2:19" x14ac:dyDescent="0.3">
      <c r="B21" s="9" t="s">
        <v>93</v>
      </c>
      <c r="C21" s="9"/>
      <c r="D21" s="9"/>
      <c r="E21" s="9"/>
      <c r="F21" s="6"/>
      <c r="G21" s="9" t="s">
        <v>93</v>
      </c>
      <c r="H21" s="9">
        <v>0.83899999999999997</v>
      </c>
      <c r="I21" s="9">
        <v>9.4E-2</v>
      </c>
      <c r="J21" s="9">
        <v>0.99299999999999999</v>
      </c>
      <c r="K21" s="6"/>
      <c r="L21" s="6"/>
      <c r="M21" s="6"/>
      <c r="N21" s="6"/>
      <c r="O21" s="6"/>
      <c r="P21" s="6"/>
      <c r="Q21" s="6"/>
      <c r="R21" s="6"/>
      <c r="S21" s="6"/>
    </row>
    <row r="22" spans="2:19" x14ac:dyDescent="0.3">
      <c r="K22" s="6"/>
      <c r="L22" s="6"/>
      <c r="M22" s="6"/>
      <c r="N22" s="6"/>
      <c r="O22" s="6"/>
      <c r="P22" s="6"/>
      <c r="Q22" s="6"/>
      <c r="R22" s="6"/>
      <c r="S22" s="6"/>
    </row>
    <row r="23" spans="2:19" x14ac:dyDescent="0.3">
      <c r="K23" s="6"/>
      <c r="L23" s="6"/>
      <c r="M23" s="6"/>
      <c r="N23" s="6"/>
      <c r="O23" s="6"/>
      <c r="P23" s="6"/>
      <c r="Q23" s="6"/>
      <c r="R23" s="6"/>
      <c r="S23" s="6"/>
    </row>
    <row r="24" spans="2:19" x14ac:dyDescent="0.3">
      <c r="B24" s="32" t="s">
        <v>68</v>
      </c>
      <c r="C24" s="32" t="s">
        <v>87</v>
      </c>
      <c r="D24" s="32"/>
      <c r="E24" s="32"/>
      <c r="F24" s="6"/>
      <c r="G24" s="32" t="s">
        <v>68</v>
      </c>
      <c r="H24" s="9" t="s">
        <v>88</v>
      </c>
      <c r="I24" s="9"/>
      <c r="J24" s="9"/>
      <c r="K24" s="6"/>
      <c r="L24" s="6"/>
      <c r="M24" s="6"/>
      <c r="N24" s="6"/>
      <c r="O24" s="6"/>
      <c r="P24" s="6"/>
      <c r="Q24" s="6"/>
      <c r="R24" s="6"/>
      <c r="S24" s="6"/>
    </row>
    <row r="25" spans="2:19" x14ac:dyDescent="0.3">
      <c r="B25" s="9"/>
      <c r="C25" s="32" t="s">
        <v>89</v>
      </c>
      <c r="D25" s="32" t="s">
        <v>84</v>
      </c>
      <c r="E25" s="32" t="s">
        <v>73</v>
      </c>
      <c r="F25" s="6"/>
      <c r="G25" s="9"/>
      <c r="H25" s="32" t="s">
        <v>63</v>
      </c>
      <c r="I25" s="32" t="s">
        <v>90</v>
      </c>
      <c r="J25" s="32" t="s">
        <v>73</v>
      </c>
      <c r="K25" s="6"/>
      <c r="L25" s="6"/>
      <c r="M25" s="6"/>
      <c r="N25" s="6"/>
      <c r="O25" s="6"/>
      <c r="P25" s="6"/>
      <c r="Q25" s="6"/>
      <c r="R25" s="6"/>
      <c r="S25" s="6"/>
    </row>
    <row r="26" spans="2:19" x14ac:dyDescent="0.3">
      <c r="B26" s="9" t="s">
        <v>91</v>
      </c>
      <c r="C26" s="9"/>
      <c r="D26" s="9"/>
      <c r="E26" s="9"/>
      <c r="F26" s="6"/>
      <c r="G26" s="9" t="s">
        <v>91</v>
      </c>
      <c r="H26" s="9">
        <v>0.245</v>
      </c>
      <c r="I26" s="9">
        <v>5045229</v>
      </c>
      <c r="J26" s="9">
        <v>0.82499999999999996</v>
      </c>
    </row>
    <row r="27" spans="2:19" x14ac:dyDescent="0.3">
      <c r="B27" s="9" t="s">
        <v>92</v>
      </c>
      <c r="C27" s="9"/>
      <c r="D27" s="9"/>
      <c r="E27" s="9"/>
      <c r="F27" s="6"/>
      <c r="G27" s="9" t="s">
        <v>92</v>
      </c>
      <c r="H27" s="9">
        <v>0.26100000000000001</v>
      </c>
      <c r="I27" s="9">
        <v>520413</v>
      </c>
      <c r="J27" s="9">
        <v>0.72799999999999998</v>
      </c>
    </row>
    <row r="28" spans="2:19" x14ac:dyDescent="0.3">
      <c r="B28" s="9" t="s">
        <v>93</v>
      </c>
      <c r="C28" s="33"/>
      <c r="D28" s="33"/>
      <c r="E28" s="33"/>
      <c r="G28" s="9" t="s">
        <v>93</v>
      </c>
      <c r="H28" s="33">
        <v>1.67</v>
      </c>
      <c r="I28" s="33">
        <v>720.28909999999996</v>
      </c>
      <c r="J28" s="33">
        <v>0.76400000000000001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U211"/>
  <sheetViews>
    <sheetView topLeftCell="B34" workbookViewId="0">
      <selection activeCell="P53" sqref="P53"/>
    </sheetView>
  </sheetViews>
  <sheetFormatPr defaultColWidth="9.109375" defaultRowHeight="15.6" x14ac:dyDescent="0.3"/>
  <cols>
    <col min="1" max="1" width="9.109375" style="114"/>
    <col min="2" max="2" width="11" style="114" customWidth="1"/>
    <col min="3" max="3" width="11.109375" style="114" customWidth="1"/>
    <col min="4" max="4" width="10.6640625" style="114" customWidth="1"/>
    <col min="5" max="5" width="11" style="114" customWidth="1"/>
    <col min="6" max="6" width="11.5546875" style="114" customWidth="1"/>
    <col min="7" max="16384" width="9.109375" style="114"/>
  </cols>
  <sheetData>
    <row r="2" spans="1:19" x14ac:dyDescent="0.3">
      <c r="A2" s="115" t="s">
        <v>105</v>
      </c>
      <c r="B2" s="116"/>
      <c r="C2" s="116"/>
    </row>
    <row r="3" spans="1:19" x14ac:dyDescent="0.3">
      <c r="A3" s="117" t="s">
        <v>1</v>
      </c>
      <c r="B3" s="118" t="s">
        <v>91</v>
      </c>
      <c r="C3" s="117" t="s">
        <v>92</v>
      </c>
      <c r="D3" s="117" t="s">
        <v>93</v>
      </c>
    </row>
    <row r="4" spans="1:19" x14ac:dyDescent="0.3">
      <c r="A4" s="119">
        <v>10</v>
      </c>
      <c r="B4" s="120">
        <v>78.231292517006793</v>
      </c>
      <c r="C4" s="120">
        <v>71.428571428571416</v>
      </c>
      <c r="D4" s="120">
        <v>100</v>
      </c>
    </row>
    <row r="5" spans="1:19" x14ac:dyDescent="0.3">
      <c r="A5" s="119">
        <v>15</v>
      </c>
      <c r="B5" s="120">
        <v>57.21649484536082</v>
      </c>
      <c r="C5" s="120">
        <v>55.154639175257742</v>
      </c>
      <c r="D5" s="120">
        <v>99.484536082474236</v>
      </c>
      <c r="O5" s="116" t="s">
        <v>193</v>
      </c>
      <c r="P5" s="116"/>
      <c r="Q5" s="116"/>
      <c r="R5" s="116"/>
      <c r="S5" s="116"/>
    </row>
    <row r="6" spans="1:19" x14ac:dyDescent="0.3">
      <c r="A6" s="119">
        <v>20</v>
      </c>
      <c r="B6" s="120">
        <v>44.094488188976378</v>
      </c>
      <c r="C6" s="120">
        <v>40.944881889763778</v>
      </c>
      <c r="D6" s="120">
        <v>94.094488188976371</v>
      </c>
      <c r="O6" s="121" t="s">
        <v>194</v>
      </c>
      <c r="P6" s="118" t="s">
        <v>91</v>
      </c>
      <c r="Q6" s="117" t="s">
        <v>92</v>
      </c>
      <c r="R6" s="117" t="s">
        <v>93</v>
      </c>
      <c r="S6" s="116"/>
    </row>
    <row r="7" spans="1:19" x14ac:dyDescent="0.3">
      <c r="A7" s="119">
        <v>25</v>
      </c>
      <c r="B7" s="120">
        <v>36.956521739130437</v>
      </c>
      <c r="C7" s="120">
        <v>34.161490683229815</v>
      </c>
      <c r="D7" s="120">
        <v>90.372670807453417</v>
      </c>
      <c r="O7" s="116">
        <v>10</v>
      </c>
      <c r="P7" s="122">
        <v>0</v>
      </c>
      <c r="Q7" s="122">
        <v>0</v>
      </c>
      <c r="R7" s="122">
        <v>0</v>
      </c>
      <c r="S7" s="116"/>
    </row>
    <row r="8" spans="1:19" x14ac:dyDescent="0.3">
      <c r="A8" s="119">
        <v>30</v>
      </c>
      <c r="B8" s="120">
        <v>29.333333333333336</v>
      </c>
      <c r="C8" s="123">
        <v>27.466666666666661</v>
      </c>
      <c r="D8" s="120">
        <v>89.066666666666663</v>
      </c>
      <c r="O8" s="116">
        <v>15</v>
      </c>
      <c r="P8" s="122">
        <v>21.014795154639181</v>
      </c>
      <c r="Q8" s="122">
        <v>16.273860824742258</v>
      </c>
      <c r="R8" s="122">
        <v>8.5980505154639104</v>
      </c>
      <c r="S8" s="116"/>
    </row>
    <row r="9" spans="1:19" x14ac:dyDescent="0.3">
      <c r="A9" s="119">
        <v>35</v>
      </c>
      <c r="B9" s="120">
        <v>25.890736342042757</v>
      </c>
      <c r="C9" s="120">
        <v>24.228028503562939</v>
      </c>
      <c r="D9" s="124">
        <v>87.648456057007124</v>
      </c>
      <c r="O9" s="116">
        <v>20</v>
      </c>
      <c r="P9" s="122">
        <v>34.136801811023624</v>
      </c>
      <c r="Q9" s="122">
        <v>30.483618110236222</v>
      </c>
      <c r="R9" s="122">
        <v>13.492928346456679</v>
      </c>
      <c r="S9" s="116"/>
    </row>
    <row r="10" spans="1:19" x14ac:dyDescent="0.3">
      <c r="O10" s="116">
        <v>25</v>
      </c>
      <c r="P10" s="122">
        <v>41.274768260869564</v>
      </c>
      <c r="Q10" s="122">
        <v>37.267009316770185</v>
      </c>
      <c r="R10" s="122">
        <v>19.816594409937892</v>
      </c>
      <c r="S10" s="116"/>
    </row>
    <row r="11" spans="1:19" x14ac:dyDescent="0.3">
      <c r="O11" s="116">
        <v>30</v>
      </c>
      <c r="P11" s="122">
        <v>48.897956666666666</v>
      </c>
      <c r="Q11" s="122">
        <v>43.961833333333338</v>
      </c>
      <c r="R11" s="122">
        <v>26.253033333333335</v>
      </c>
      <c r="S11" s="116"/>
    </row>
    <row r="12" spans="1:19" x14ac:dyDescent="0.3">
      <c r="O12" s="116">
        <v>35</v>
      </c>
      <c r="P12" s="122">
        <v>52.340553657957244</v>
      </c>
      <c r="Q12" s="122">
        <v>47.200471496437061</v>
      </c>
      <c r="R12" s="122">
        <v>35.424213064133021</v>
      </c>
      <c r="S12" s="116"/>
    </row>
    <row r="15" spans="1:19" x14ac:dyDescent="0.3">
      <c r="A15" s="125" t="s">
        <v>190</v>
      </c>
    </row>
    <row r="16" spans="1:19" x14ac:dyDescent="0.3">
      <c r="A16" s="126" t="s">
        <v>15</v>
      </c>
      <c r="B16" s="118" t="s">
        <v>91</v>
      </c>
      <c r="C16" s="117" t="s">
        <v>92</v>
      </c>
      <c r="D16" s="117" t="s">
        <v>93</v>
      </c>
    </row>
    <row r="17" spans="1:21" x14ac:dyDescent="0.3">
      <c r="A17" s="127">
        <v>0.4</v>
      </c>
      <c r="B17" s="120">
        <v>40.136054421768712</v>
      </c>
      <c r="C17" s="120">
        <v>38.775510204081641</v>
      </c>
      <c r="D17" s="120">
        <v>54.42176870748299</v>
      </c>
    </row>
    <row r="18" spans="1:21" x14ac:dyDescent="0.3">
      <c r="A18" s="127">
        <v>0.8</v>
      </c>
      <c r="B18" s="120">
        <v>52.38</v>
      </c>
      <c r="C18" s="120">
        <v>48.299319727891152</v>
      </c>
      <c r="D18" s="120">
        <v>76.190476190476176</v>
      </c>
      <c r="O18" s="115" t="s">
        <v>190</v>
      </c>
      <c r="P18" s="116"/>
      <c r="Q18" s="116"/>
      <c r="R18" s="116"/>
      <c r="S18" s="115" t="s">
        <v>192</v>
      </c>
      <c r="T18" s="116"/>
      <c r="U18" s="116"/>
    </row>
    <row r="19" spans="1:21" x14ac:dyDescent="0.3">
      <c r="A19" s="127">
        <v>1.2</v>
      </c>
      <c r="B19" s="120">
        <v>59.863945578231302</v>
      </c>
      <c r="C19" s="120">
        <v>55.782312925170075</v>
      </c>
      <c r="D19" s="120">
        <v>94.557823129251702</v>
      </c>
      <c r="O19" s="126" t="s">
        <v>15</v>
      </c>
      <c r="P19" s="118" t="s">
        <v>91</v>
      </c>
      <c r="Q19" s="117" t="s">
        <v>92</v>
      </c>
      <c r="R19" s="117" t="s">
        <v>93</v>
      </c>
      <c r="S19" s="118" t="s">
        <v>91</v>
      </c>
      <c r="T19" s="117" t="s">
        <v>92</v>
      </c>
      <c r="U19" s="117" t="s">
        <v>93</v>
      </c>
    </row>
    <row r="20" spans="1:21" x14ac:dyDescent="0.3">
      <c r="A20" s="127">
        <v>1.6</v>
      </c>
      <c r="B20" s="120">
        <v>65.986394557823132</v>
      </c>
      <c r="C20" s="120">
        <v>65.306122448979593</v>
      </c>
      <c r="D20" s="120">
        <v>100</v>
      </c>
      <c r="O20" s="127">
        <v>0.4</v>
      </c>
      <c r="P20" s="120">
        <v>40.136054421768712</v>
      </c>
      <c r="Q20" s="120">
        <v>38.775510204081641</v>
      </c>
      <c r="R20" s="120">
        <v>54.42176870748299</v>
      </c>
      <c r="S20" s="128">
        <v>10.034013605442178</v>
      </c>
      <c r="T20" s="128">
        <v>9.6938775510204085</v>
      </c>
      <c r="U20" s="128">
        <v>13.605442176870747</v>
      </c>
    </row>
    <row r="21" spans="1:21" x14ac:dyDescent="0.3">
      <c r="A21" s="129">
        <v>2</v>
      </c>
      <c r="B21" s="120">
        <v>76.870748299319729</v>
      </c>
      <c r="C21" s="120">
        <v>76.870748299319729</v>
      </c>
      <c r="D21" s="120">
        <v>100</v>
      </c>
      <c r="O21" s="127">
        <v>0.8</v>
      </c>
      <c r="P21" s="120">
        <v>52.38</v>
      </c>
      <c r="Q21" s="120">
        <v>48.299319727891152</v>
      </c>
      <c r="R21" s="120">
        <v>76.190476190476176</v>
      </c>
      <c r="S21" s="128">
        <v>6.5476190476190466</v>
      </c>
      <c r="T21" s="128">
        <v>6.037414965986394</v>
      </c>
      <c r="U21" s="128">
        <v>9.5238095238095219</v>
      </c>
    </row>
    <row r="22" spans="1:21" x14ac:dyDescent="0.3">
      <c r="O22" s="127">
        <v>1.2</v>
      </c>
      <c r="P22" s="120">
        <v>59.863945578231302</v>
      </c>
      <c r="Q22" s="120">
        <v>55.782312925170075</v>
      </c>
      <c r="R22" s="120">
        <v>94.557823129251702</v>
      </c>
      <c r="S22" s="128">
        <v>4.9886621315192752</v>
      </c>
      <c r="T22" s="128">
        <v>4.6485260770975056</v>
      </c>
      <c r="U22" s="128">
        <v>7.8798185941043082</v>
      </c>
    </row>
    <row r="23" spans="1:21" x14ac:dyDescent="0.3">
      <c r="A23" s="125" t="s">
        <v>191</v>
      </c>
      <c r="O23" s="127">
        <v>1.6</v>
      </c>
      <c r="P23" s="120">
        <v>65.986394557823132</v>
      </c>
      <c r="Q23" s="120">
        <v>65.306122448979593</v>
      </c>
      <c r="R23" s="120">
        <v>100</v>
      </c>
      <c r="S23" s="128">
        <v>4.1241496598639449</v>
      </c>
      <c r="T23" s="128">
        <v>4.0816326530612246</v>
      </c>
      <c r="U23" s="128">
        <v>6.25</v>
      </c>
    </row>
    <row r="24" spans="1:21" x14ac:dyDescent="0.3">
      <c r="A24" s="126" t="s">
        <v>15</v>
      </c>
      <c r="B24" s="118" t="s">
        <v>91</v>
      </c>
      <c r="C24" s="117" t="s">
        <v>92</v>
      </c>
      <c r="D24" s="117" t="s">
        <v>93</v>
      </c>
      <c r="O24" s="129">
        <v>2</v>
      </c>
      <c r="P24" s="120">
        <v>76.870748299319729</v>
      </c>
      <c r="Q24" s="120">
        <v>76.870748299319729</v>
      </c>
      <c r="R24" s="120">
        <v>100</v>
      </c>
      <c r="S24" s="128">
        <v>3.8435374149659864</v>
      </c>
      <c r="T24" s="128">
        <v>3.8435374149659864</v>
      </c>
      <c r="U24" s="128">
        <v>5</v>
      </c>
    </row>
    <row r="25" spans="1:21" x14ac:dyDescent="0.3">
      <c r="A25" s="130">
        <v>0.4</v>
      </c>
      <c r="B25" s="122">
        <v>10.034013605442178</v>
      </c>
      <c r="C25" s="122">
        <v>9.6938775510204085</v>
      </c>
      <c r="D25" s="122">
        <v>13.605442176870747</v>
      </c>
    </row>
    <row r="26" spans="1:21" x14ac:dyDescent="0.3">
      <c r="A26" s="130">
        <v>0.8</v>
      </c>
      <c r="B26" s="122">
        <v>6.5476190476190466</v>
      </c>
      <c r="C26" s="122">
        <v>6.037414965986394</v>
      </c>
      <c r="D26" s="122">
        <v>9.5238095238095219</v>
      </c>
    </row>
    <row r="27" spans="1:21" x14ac:dyDescent="0.3">
      <c r="A27" s="130">
        <v>1.2</v>
      </c>
      <c r="B27" s="122">
        <v>4.9886621315192752</v>
      </c>
      <c r="C27" s="122">
        <v>4.6485260770975056</v>
      </c>
      <c r="D27" s="122">
        <v>7.8798185941043082</v>
      </c>
    </row>
    <row r="28" spans="1:21" x14ac:dyDescent="0.3">
      <c r="A28" s="130">
        <v>1.6</v>
      </c>
      <c r="B28" s="122">
        <v>4.1241496598639449</v>
      </c>
      <c r="C28" s="122">
        <v>4.0816326530612246</v>
      </c>
      <c r="D28" s="122">
        <v>6.25</v>
      </c>
    </row>
    <row r="29" spans="1:21" x14ac:dyDescent="0.3">
      <c r="A29" s="131">
        <v>2</v>
      </c>
      <c r="B29" s="122">
        <v>3.8435374149659864</v>
      </c>
      <c r="C29" s="122">
        <v>3.8435374149659864</v>
      </c>
      <c r="D29" s="122">
        <v>5</v>
      </c>
    </row>
    <row r="33" spans="1:4" x14ac:dyDescent="0.3">
      <c r="A33" s="114" t="s">
        <v>106</v>
      </c>
    </row>
    <row r="34" spans="1:4" x14ac:dyDescent="0.3">
      <c r="A34" s="116"/>
      <c r="B34" s="121" t="s">
        <v>50</v>
      </c>
      <c r="C34" s="116"/>
    </row>
    <row r="35" spans="1:4" x14ac:dyDescent="0.3">
      <c r="A35" s="121" t="s">
        <v>49</v>
      </c>
      <c r="B35" s="118" t="s">
        <v>91</v>
      </c>
      <c r="C35" s="117" t="s">
        <v>92</v>
      </c>
      <c r="D35" s="117" t="s">
        <v>93</v>
      </c>
    </row>
    <row r="36" spans="1:4" x14ac:dyDescent="0.3">
      <c r="A36" s="116">
        <v>0</v>
      </c>
      <c r="B36" s="128">
        <v>0</v>
      </c>
      <c r="C36" s="128">
        <v>0</v>
      </c>
      <c r="D36" s="114">
        <v>0</v>
      </c>
    </row>
    <row r="37" spans="1:4" x14ac:dyDescent="0.3">
      <c r="A37" s="116">
        <v>5</v>
      </c>
      <c r="B37" s="132">
        <v>26.771653543307089</v>
      </c>
      <c r="C37" s="122">
        <v>26.377952755905511</v>
      </c>
      <c r="D37" s="122">
        <v>29.921259842519689</v>
      </c>
    </row>
    <row r="38" spans="1:4" x14ac:dyDescent="0.3">
      <c r="A38" s="116">
        <v>10</v>
      </c>
      <c r="B38" s="132">
        <v>33.85826771653543</v>
      </c>
      <c r="C38" s="122">
        <v>31.102362204724415</v>
      </c>
      <c r="D38" s="122">
        <v>50.787401574803148</v>
      </c>
    </row>
    <row r="39" spans="1:4" x14ac:dyDescent="0.3">
      <c r="A39" s="116">
        <v>15</v>
      </c>
      <c r="B39" s="132">
        <v>38.582677165354333</v>
      </c>
      <c r="C39" s="122">
        <v>36.220472440944881</v>
      </c>
      <c r="D39" s="122">
        <v>70.078740157480311</v>
      </c>
    </row>
    <row r="40" spans="1:4" x14ac:dyDescent="0.3">
      <c r="A40" s="116">
        <v>20</v>
      </c>
      <c r="B40" s="132">
        <v>40.551181102362207</v>
      </c>
      <c r="C40" s="122">
        <v>38.188976377952763</v>
      </c>
      <c r="D40" s="122">
        <v>79.921259842519689</v>
      </c>
    </row>
    <row r="41" spans="1:4" x14ac:dyDescent="0.3">
      <c r="A41" s="116">
        <v>30</v>
      </c>
      <c r="B41" s="132">
        <v>41.732283464566933</v>
      </c>
      <c r="C41" s="122">
        <v>38.582677165354333</v>
      </c>
      <c r="D41" s="122">
        <v>82.28346456692914</v>
      </c>
    </row>
    <row r="42" spans="1:4" x14ac:dyDescent="0.3">
      <c r="A42" s="116">
        <v>40</v>
      </c>
      <c r="B42" s="132">
        <v>42.519685039370081</v>
      </c>
      <c r="C42" s="122">
        <v>38.976377952755904</v>
      </c>
      <c r="D42" s="122">
        <v>83.858267716535437</v>
      </c>
    </row>
    <row r="43" spans="1:4" x14ac:dyDescent="0.3">
      <c r="A43" s="116">
        <v>50</v>
      </c>
      <c r="B43" s="132">
        <v>42.913385826771659</v>
      </c>
      <c r="C43" s="122">
        <v>39.370078740157481</v>
      </c>
      <c r="D43" s="122">
        <v>85.039370078740163</v>
      </c>
    </row>
    <row r="44" spans="1:4" x14ac:dyDescent="0.3">
      <c r="A44" s="116">
        <v>60</v>
      </c>
      <c r="B44" s="132">
        <v>43.307086614173237</v>
      </c>
      <c r="C44" s="122">
        <v>39.763779527559059</v>
      </c>
      <c r="D44" s="122">
        <v>85.433070866141733</v>
      </c>
    </row>
    <row r="45" spans="1:4" x14ac:dyDescent="0.3">
      <c r="A45" s="116">
        <v>90</v>
      </c>
      <c r="B45" s="132">
        <v>43.700787401574807</v>
      </c>
      <c r="C45" s="122">
        <v>40.157480314960637</v>
      </c>
      <c r="D45" s="122">
        <v>85.826771653543304</v>
      </c>
    </row>
    <row r="46" spans="1:4" x14ac:dyDescent="0.3">
      <c r="A46" s="116">
        <v>120</v>
      </c>
      <c r="B46" s="132">
        <v>44.094488188976385</v>
      </c>
      <c r="C46" s="122">
        <v>40.551181102362207</v>
      </c>
      <c r="D46" s="122">
        <v>85.826771653543304</v>
      </c>
    </row>
    <row r="47" spans="1:4" x14ac:dyDescent="0.3">
      <c r="A47" s="133">
        <v>180</v>
      </c>
      <c r="B47" s="132">
        <v>44.094488188976385</v>
      </c>
      <c r="C47" s="122">
        <v>40.551181102362207</v>
      </c>
      <c r="D47" s="122">
        <v>85.826771653543304</v>
      </c>
    </row>
    <row r="48" spans="1:4" x14ac:dyDescent="0.3">
      <c r="A48" s="133">
        <v>240</v>
      </c>
      <c r="B48" s="122">
        <v>44.094488188976385</v>
      </c>
      <c r="C48" s="122">
        <v>40.551181102362207</v>
      </c>
      <c r="D48" s="132">
        <v>85.826771653543304</v>
      </c>
    </row>
    <row r="51" spans="1:4" x14ac:dyDescent="0.3">
      <c r="A51" s="115" t="s">
        <v>107</v>
      </c>
      <c r="B51" s="116"/>
      <c r="C51" s="116"/>
    </row>
    <row r="52" spans="1:4" x14ac:dyDescent="0.3">
      <c r="A52" s="126" t="s">
        <v>0</v>
      </c>
      <c r="B52" s="118" t="s">
        <v>91</v>
      </c>
      <c r="C52" s="117" t="s">
        <v>92</v>
      </c>
      <c r="D52" s="117" t="s">
        <v>93</v>
      </c>
    </row>
    <row r="53" spans="1:4" x14ac:dyDescent="0.3">
      <c r="A53" s="120">
        <v>1</v>
      </c>
      <c r="B53" s="120">
        <v>100</v>
      </c>
      <c r="C53" s="120">
        <v>100</v>
      </c>
      <c r="D53" s="120">
        <v>100</v>
      </c>
    </row>
    <row r="54" spans="1:4" x14ac:dyDescent="0.3">
      <c r="A54" s="120">
        <v>2</v>
      </c>
      <c r="B54" s="120">
        <v>86.394557823129247</v>
      </c>
      <c r="C54" s="120">
        <v>83.673469387755091</v>
      </c>
      <c r="D54" s="120">
        <v>80.952380952380949</v>
      </c>
    </row>
    <row r="55" spans="1:4" x14ac:dyDescent="0.3">
      <c r="A55" s="120">
        <v>3</v>
      </c>
      <c r="B55" s="120">
        <v>58.503401360544217</v>
      </c>
      <c r="C55" s="120">
        <v>53.741496598639444</v>
      </c>
      <c r="D55" s="120">
        <v>24.489795918367339</v>
      </c>
    </row>
    <row r="56" spans="1:4" x14ac:dyDescent="0.3">
      <c r="A56" s="120">
        <v>4</v>
      </c>
      <c r="B56" s="120">
        <v>37.414965986394563</v>
      </c>
      <c r="C56" s="120">
        <v>32.653061224489797</v>
      </c>
      <c r="D56" s="120">
        <v>5.4421768707482876</v>
      </c>
    </row>
    <row r="57" spans="1:4" x14ac:dyDescent="0.3">
      <c r="A57" s="124">
        <v>5</v>
      </c>
      <c r="B57" s="120">
        <v>29.251700680272101</v>
      </c>
      <c r="C57" s="120">
        <v>27.891156462585023</v>
      </c>
      <c r="D57" s="120">
        <v>4.761904761904745</v>
      </c>
    </row>
    <row r="58" spans="1:4" x14ac:dyDescent="0.3">
      <c r="A58" s="119">
        <v>6</v>
      </c>
      <c r="B58" s="120">
        <v>23.809523809523796</v>
      </c>
      <c r="C58" s="120">
        <v>25.170068027210871</v>
      </c>
      <c r="D58" s="120">
        <v>0</v>
      </c>
    </row>
    <row r="62" spans="1:4" x14ac:dyDescent="0.3">
      <c r="A62" s="125" t="s">
        <v>108</v>
      </c>
      <c r="D62" s="134" t="s">
        <v>51</v>
      </c>
    </row>
    <row r="64" spans="1:4" x14ac:dyDescent="0.3">
      <c r="A64" s="116" t="s">
        <v>109</v>
      </c>
      <c r="B64" s="135"/>
      <c r="C64" s="135"/>
    </row>
    <row r="65" spans="1:4" x14ac:dyDescent="0.3">
      <c r="A65" s="116" t="s">
        <v>110</v>
      </c>
      <c r="B65" s="134" t="s">
        <v>135</v>
      </c>
      <c r="C65" s="116"/>
      <c r="D65" s="116"/>
    </row>
    <row r="66" spans="1:4" x14ac:dyDescent="0.3">
      <c r="A66" s="121" t="s">
        <v>49</v>
      </c>
      <c r="B66" s="118" t="s">
        <v>91</v>
      </c>
      <c r="C66" s="117" t="s">
        <v>92</v>
      </c>
      <c r="D66" s="117" t="s">
        <v>93</v>
      </c>
    </row>
    <row r="67" spans="1:4" x14ac:dyDescent="0.3">
      <c r="A67" s="116"/>
      <c r="B67" s="122"/>
      <c r="C67" s="136"/>
      <c r="D67" s="116"/>
    </row>
    <row r="68" spans="1:4" x14ac:dyDescent="0.3">
      <c r="A68" s="116">
        <v>5</v>
      </c>
      <c r="B68" s="122">
        <v>0.23850642353491991</v>
      </c>
      <c r="C68" s="122">
        <v>0.1514325914324732</v>
      </c>
      <c r="D68" s="122">
        <v>0.44637202422923888</v>
      </c>
    </row>
    <row r="69" spans="1:4" x14ac:dyDescent="0.3">
      <c r="A69" s="116">
        <v>10</v>
      </c>
      <c r="B69" s="122">
        <v>9.9491681657568488E-3</v>
      </c>
      <c r="C69" s="122">
        <v>-2.4676765111778395E-2</v>
      </c>
      <c r="D69" s="122">
        <v>0.24344235518134269</v>
      </c>
    </row>
    <row r="70" spans="1:4" x14ac:dyDescent="0.3">
      <c r="A70" s="116">
        <v>15</v>
      </c>
      <c r="B70" s="122">
        <v>-0.2590594647942322</v>
      </c>
      <c r="C70" s="122">
        <v>-0.36355949156570799</v>
      </c>
      <c r="D70" s="122">
        <v>-0.10399050774521294</v>
      </c>
    </row>
    <row r="71" spans="1:4" x14ac:dyDescent="0.3">
      <c r="A71" s="116">
        <v>20</v>
      </c>
      <c r="B71" s="122">
        <v>-0.45114166221952662</v>
      </c>
      <c r="C71" s="122">
        <v>-0.62689966778215811</v>
      </c>
      <c r="D71" s="122">
        <v>-0.53027072996744606</v>
      </c>
    </row>
    <row r="72" spans="1:4" x14ac:dyDescent="0.3">
      <c r="A72" s="116">
        <v>30</v>
      </c>
      <c r="B72" s="122">
        <v>-0.62750841064781093</v>
      </c>
      <c r="C72" s="122">
        <v>-0.70612436717735239</v>
      </c>
      <c r="D72" s="122">
        <v>-0.75245198196315655</v>
      </c>
    </row>
    <row r="73" spans="1:4" x14ac:dyDescent="0.3">
      <c r="A73" s="116">
        <v>40</v>
      </c>
      <c r="B73" s="122">
        <v>-0.80401323170222494</v>
      </c>
      <c r="C73" s="122">
        <v>-0.80309956835983443</v>
      </c>
      <c r="D73" s="122">
        <v>-1.0083902565075114</v>
      </c>
    </row>
    <row r="74" spans="1:4" x14ac:dyDescent="0.3">
      <c r="A74" s="116">
        <v>50</v>
      </c>
      <c r="B74" s="122">
        <v>-0.92936592450391309</v>
      </c>
      <c r="C74" s="122">
        <v>-0.92814697367429477</v>
      </c>
      <c r="D74" s="122">
        <v>-1.4085848020507969</v>
      </c>
    </row>
    <row r="75" spans="1:4" x14ac:dyDescent="0.3">
      <c r="A75" s="116">
        <v>60</v>
      </c>
      <c r="B75" s="122">
        <v>-1.1062862815412347</v>
      </c>
      <c r="C75" s="122">
        <v>-1.1044556517492372</v>
      </c>
      <c r="D75" s="122">
        <v>-1.7133985644758767</v>
      </c>
    </row>
    <row r="76" spans="1:4" x14ac:dyDescent="0.3">
      <c r="A76" s="116">
        <v>90</v>
      </c>
      <c r="B76" s="122">
        <v>-1.4098131104951848</v>
      </c>
      <c r="C76" s="122"/>
      <c r="D76" s="122"/>
    </row>
    <row r="77" spans="1:4" x14ac:dyDescent="0.3">
      <c r="A77" s="116">
        <v>120</v>
      </c>
      <c r="B77" s="137"/>
      <c r="C77" s="122"/>
      <c r="D77" s="137"/>
    </row>
    <row r="78" spans="1:4" x14ac:dyDescent="0.3">
      <c r="A78" s="133">
        <v>180</v>
      </c>
      <c r="B78" s="138"/>
      <c r="C78" s="138"/>
      <c r="D78" s="137"/>
    </row>
    <row r="79" spans="1:4" x14ac:dyDescent="0.3">
      <c r="A79" s="133">
        <v>240</v>
      </c>
      <c r="B79" s="138"/>
      <c r="C79" s="138"/>
      <c r="D79" s="137"/>
    </row>
    <row r="80" spans="1:4" x14ac:dyDescent="0.3">
      <c r="A80" s="121" t="s">
        <v>111</v>
      </c>
      <c r="B80" s="121"/>
      <c r="C80" s="121"/>
    </row>
    <row r="81" spans="1:4" x14ac:dyDescent="0.3">
      <c r="A81" s="121" t="s">
        <v>46</v>
      </c>
      <c r="B81" s="139" t="s">
        <v>136</v>
      </c>
      <c r="C81" s="121"/>
      <c r="D81" s="121"/>
    </row>
    <row r="82" spans="1:4" x14ac:dyDescent="0.3">
      <c r="A82" s="121" t="s">
        <v>49</v>
      </c>
      <c r="B82" s="118" t="s">
        <v>91</v>
      </c>
      <c r="C82" s="117" t="s">
        <v>92</v>
      </c>
      <c r="D82" s="117" t="s">
        <v>93</v>
      </c>
    </row>
    <row r="83" spans="1:4" x14ac:dyDescent="0.3">
      <c r="A83" s="116">
        <v>5</v>
      </c>
      <c r="B83" s="122">
        <v>1.867647058823529</v>
      </c>
      <c r="C83" s="122">
        <v>1.8955223880597016</v>
      </c>
      <c r="D83" s="122">
        <v>0.76969696969696955</v>
      </c>
    </row>
    <row r="84" spans="1:4" x14ac:dyDescent="0.3">
      <c r="A84" s="116">
        <v>10</v>
      </c>
      <c r="B84" s="122">
        <v>2.9534883720930241</v>
      </c>
      <c r="C84" s="122">
        <v>3.2151898734177218</v>
      </c>
      <c r="D84" s="122">
        <v>1.3263707571801566</v>
      </c>
    </row>
    <row r="85" spans="1:4" x14ac:dyDescent="0.3">
      <c r="A85" s="116">
        <v>15</v>
      </c>
      <c r="B85" s="122">
        <v>3.8877551020408161</v>
      </c>
      <c r="C85" s="122">
        <v>4.1413043478260869</v>
      </c>
      <c r="D85" s="122">
        <v>1.7638888888888891</v>
      </c>
    </row>
    <row r="86" spans="1:4" x14ac:dyDescent="0.3">
      <c r="A86" s="116">
        <v>20</v>
      </c>
      <c r="B86" s="122">
        <v>4.9320388349514568</v>
      </c>
      <c r="C86" s="122">
        <v>5.2371134020618566</v>
      </c>
      <c r="D86" s="122">
        <v>2.2231947483588619</v>
      </c>
    </row>
    <row r="87" spans="1:4" x14ac:dyDescent="0.3">
      <c r="A87" s="116">
        <v>30</v>
      </c>
      <c r="B87" s="122">
        <v>7.1886792452830175</v>
      </c>
      <c r="C87" s="122">
        <v>7.7755102040816322</v>
      </c>
      <c r="D87" s="122">
        <v>3.2915766738660905</v>
      </c>
    </row>
    <row r="88" spans="1:4" x14ac:dyDescent="0.3">
      <c r="A88" s="116">
        <v>40</v>
      </c>
      <c r="B88" s="122">
        <v>9.4074074074074066</v>
      </c>
      <c r="C88" s="122">
        <v>10.262626262626263</v>
      </c>
      <c r="D88" s="122">
        <v>4.3511777301927195</v>
      </c>
    </row>
    <row r="89" spans="1:4" x14ac:dyDescent="0.3">
      <c r="A89" s="116">
        <v>50</v>
      </c>
      <c r="B89" s="122">
        <v>11.651376146788991</v>
      </c>
      <c r="C89" s="122">
        <v>12.7</v>
      </c>
      <c r="D89" s="122">
        <v>5.4042553191489366</v>
      </c>
    </row>
    <row r="90" spans="1:4" x14ac:dyDescent="0.3">
      <c r="A90" s="116">
        <v>60</v>
      </c>
      <c r="B90" s="122">
        <v>13.854545454545454</v>
      </c>
      <c r="C90" s="122">
        <v>15.089108910891088</v>
      </c>
      <c r="D90" s="122">
        <v>6.4713375796178338</v>
      </c>
    </row>
    <row r="91" spans="1:4" x14ac:dyDescent="0.3">
      <c r="A91" s="116">
        <v>90</v>
      </c>
      <c r="B91" s="122">
        <v>20.594594594594593</v>
      </c>
      <c r="C91" s="122">
        <v>22.411764705882351</v>
      </c>
      <c r="D91" s="122">
        <v>9.6864406779661021</v>
      </c>
    </row>
    <row r="92" spans="1:4" x14ac:dyDescent="0.3">
      <c r="A92" s="116">
        <v>120</v>
      </c>
      <c r="B92" s="122">
        <v>27.214285714285712</v>
      </c>
      <c r="C92" s="122">
        <v>29.592233009708739</v>
      </c>
      <c r="D92" s="122">
        <v>12.915254237288137</v>
      </c>
    </row>
    <row r="93" spans="1:4" x14ac:dyDescent="0.3">
      <c r="A93" s="133">
        <v>180</v>
      </c>
      <c r="B93" s="122">
        <v>40.821428571428569</v>
      </c>
      <c r="C93" s="122">
        <v>44.38834951456311</v>
      </c>
      <c r="D93" s="122">
        <v>19.372881355932204</v>
      </c>
    </row>
    <row r="94" spans="1:4" x14ac:dyDescent="0.3">
      <c r="A94" s="133">
        <v>240</v>
      </c>
      <c r="B94" s="122">
        <v>54.428571428571423</v>
      </c>
      <c r="C94" s="122">
        <v>59.184466019417478</v>
      </c>
      <c r="D94" s="122">
        <v>25.830508474576273</v>
      </c>
    </row>
    <row r="96" spans="1:4" x14ac:dyDescent="0.3">
      <c r="A96" s="121" t="s">
        <v>112</v>
      </c>
      <c r="B96" s="121"/>
      <c r="C96" s="121"/>
    </row>
    <row r="97" spans="1:4" x14ac:dyDescent="0.3">
      <c r="A97" s="121"/>
      <c r="B97" s="139" t="s">
        <v>137</v>
      </c>
      <c r="C97" s="121"/>
      <c r="D97" s="121"/>
    </row>
    <row r="98" spans="1:4" x14ac:dyDescent="0.3">
      <c r="A98" s="121" t="s">
        <v>56</v>
      </c>
      <c r="B98" s="118" t="s">
        <v>91</v>
      </c>
      <c r="C98" s="117" t="s">
        <v>92</v>
      </c>
      <c r="D98" s="117" t="s">
        <v>93</v>
      </c>
    </row>
    <row r="99" spans="1:4" x14ac:dyDescent="0.3">
      <c r="A99" s="136">
        <v>1.6094379124341003</v>
      </c>
      <c r="B99" s="140">
        <v>2.6771653543307092</v>
      </c>
      <c r="C99" s="140">
        <v>2.6377952755905509</v>
      </c>
      <c r="D99" s="140">
        <v>6.4960629921259851</v>
      </c>
    </row>
    <row r="100" spans="1:4" x14ac:dyDescent="0.3">
      <c r="A100" s="136">
        <v>2.3025850929940459</v>
      </c>
      <c r="B100" s="140">
        <v>3.3858267716535426</v>
      </c>
      <c r="C100" s="140">
        <v>3.1102362204724407</v>
      </c>
      <c r="D100" s="140">
        <v>7.5393700787401574</v>
      </c>
    </row>
    <row r="101" spans="1:4" x14ac:dyDescent="0.3">
      <c r="A101" s="136">
        <v>2.7080502011022101</v>
      </c>
      <c r="B101" s="140">
        <v>3.8582677165354333</v>
      </c>
      <c r="C101" s="140">
        <v>3.622047244094488</v>
      </c>
      <c r="D101" s="140">
        <v>8.5039370078740149</v>
      </c>
    </row>
    <row r="102" spans="1:4" x14ac:dyDescent="0.3">
      <c r="A102" s="136">
        <v>2.9957322735539909</v>
      </c>
      <c r="B102" s="140">
        <v>4.0551181102362204</v>
      </c>
      <c r="C102" s="140">
        <v>3.818897637795275</v>
      </c>
      <c r="D102" s="140">
        <v>8.9960629921259851</v>
      </c>
    </row>
    <row r="103" spans="1:4" x14ac:dyDescent="0.3">
      <c r="A103" s="136">
        <v>3.4011973816621555</v>
      </c>
      <c r="B103" s="140">
        <v>4.1732283464566935</v>
      </c>
      <c r="C103" s="140">
        <v>3.8582677165354333</v>
      </c>
      <c r="D103" s="140">
        <v>9.1141732283464574</v>
      </c>
    </row>
    <row r="104" spans="1:4" x14ac:dyDescent="0.3">
      <c r="A104" s="136">
        <v>3.6888794541139363</v>
      </c>
      <c r="B104" s="140">
        <v>4.2519685039370083</v>
      </c>
      <c r="C104" s="140">
        <v>3.8976377952755907</v>
      </c>
      <c r="D104" s="140">
        <v>9.1929133858267722</v>
      </c>
    </row>
    <row r="105" spans="1:4" x14ac:dyDescent="0.3">
      <c r="A105" s="136">
        <v>3.912023005428146</v>
      </c>
      <c r="B105" s="140">
        <v>4.2913385826771657</v>
      </c>
      <c r="C105" s="140">
        <v>3.9370078740157481</v>
      </c>
      <c r="D105" s="140">
        <v>9.2519685039370074</v>
      </c>
    </row>
    <row r="106" spans="1:4" x14ac:dyDescent="0.3">
      <c r="A106" s="136">
        <v>4.0943445622221004</v>
      </c>
      <c r="B106" s="140">
        <v>4.3307086614173231</v>
      </c>
      <c r="C106" s="140">
        <v>3.9763779527559056</v>
      </c>
      <c r="D106" s="140">
        <v>9.271653543307087</v>
      </c>
    </row>
    <row r="107" spans="1:4" x14ac:dyDescent="0.3">
      <c r="A107" s="136">
        <v>4.499809670330265</v>
      </c>
      <c r="B107" s="140">
        <v>4.3700787401574805</v>
      </c>
      <c r="C107" s="140">
        <v>4.015748031496063</v>
      </c>
      <c r="D107" s="140">
        <v>9.2913385826771648</v>
      </c>
    </row>
    <row r="108" spans="1:4" x14ac:dyDescent="0.3">
      <c r="A108" s="136">
        <v>4.7874917427820458</v>
      </c>
      <c r="B108" s="140">
        <v>4.409448818897638</v>
      </c>
      <c r="C108" s="140">
        <v>4.0551181102362204</v>
      </c>
      <c r="D108" s="140">
        <v>9.2913385826771648</v>
      </c>
    </row>
    <row r="109" spans="1:4" x14ac:dyDescent="0.3">
      <c r="A109" s="136">
        <v>5.1929568508902104</v>
      </c>
      <c r="B109" s="140">
        <v>4.409448818897638</v>
      </c>
      <c r="C109" s="140">
        <v>4.0551181102362204</v>
      </c>
      <c r="D109" s="140">
        <v>9.2913385826771648</v>
      </c>
    </row>
    <row r="110" spans="1:4" x14ac:dyDescent="0.3">
      <c r="A110" s="136">
        <v>5.4806389233419912</v>
      </c>
      <c r="B110" s="140">
        <v>4.409448818897638</v>
      </c>
      <c r="C110" s="140">
        <v>4.0551181102362204</v>
      </c>
      <c r="D110" s="140">
        <v>9.2913385826771648</v>
      </c>
    </row>
    <row r="111" spans="1:4" x14ac:dyDescent="0.3">
      <c r="A111" s="121" t="s">
        <v>113</v>
      </c>
      <c r="B111" s="116"/>
      <c r="C111" s="116"/>
    </row>
    <row r="112" spans="1:4" x14ac:dyDescent="0.3">
      <c r="A112" s="116"/>
      <c r="B112" s="139" t="s">
        <v>137</v>
      </c>
      <c r="C112" s="121"/>
      <c r="D112" s="121"/>
    </row>
    <row r="113" spans="1:4" x14ac:dyDescent="0.3">
      <c r="A113" s="121" t="s">
        <v>114</v>
      </c>
      <c r="B113" s="118" t="s">
        <v>91</v>
      </c>
      <c r="C113" s="117" t="s">
        <v>92</v>
      </c>
      <c r="D113" s="117" t="s">
        <v>93</v>
      </c>
    </row>
    <row r="114" spans="1:4" x14ac:dyDescent="0.3">
      <c r="A114" s="136">
        <v>2.2360679774997898</v>
      </c>
      <c r="B114" s="140">
        <v>2.6771653543307092</v>
      </c>
      <c r="C114" s="140">
        <v>2.6377952755905509</v>
      </c>
      <c r="D114" s="140">
        <v>6.4960629921259851</v>
      </c>
    </row>
    <row r="115" spans="1:4" x14ac:dyDescent="0.3">
      <c r="A115" s="136">
        <v>3.1622776601683795</v>
      </c>
      <c r="B115" s="140">
        <v>3.3858267716535426</v>
      </c>
      <c r="C115" s="140">
        <v>3.1102362204724407</v>
      </c>
      <c r="D115" s="140">
        <v>7.5393700787401574</v>
      </c>
    </row>
    <row r="116" spans="1:4" x14ac:dyDescent="0.3">
      <c r="A116" s="136">
        <v>3.872983346207417</v>
      </c>
      <c r="B116" s="140">
        <v>3.8582677165354333</v>
      </c>
      <c r="C116" s="140">
        <v>3.622047244094488</v>
      </c>
      <c r="D116" s="140">
        <v>8.5039370078740149</v>
      </c>
    </row>
    <row r="117" spans="1:4" x14ac:dyDescent="0.3">
      <c r="A117" s="136">
        <v>4.4721359549995796</v>
      </c>
      <c r="B117" s="140">
        <v>4.0551181102362204</v>
      </c>
      <c r="C117" s="140">
        <v>3.818897637795275</v>
      </c>
      <c r="D117" s="140">
        <v>8.9960629921259851</v>
      </c>
    </row>
    <row r="118" spans="1:4" x14ac:dyDescent="0.3">
      <c r="A118" s="136">
        <v>5.4772255750516612</v>
      </c>
      <c r="B118" s="140">
        <v>4.1732283464566935</v>
      </c>
      <c r="C118" s="140">
        <v>3.8582677165354333</v>
      </c>
      <c r="D118" s="140">
        <v>9.1141732283464574</v>
      </c>
    </row>
    <row r="119" spans="1:4" x14ac:dyDescent="0.3">
      <c r="A119" s="136">
        <v>6.324555320336759</v>
      </c>
      <c r="B119" s="140">
        <v>4.2519685039370083</v>
      </c>
      <c r="C119" s="140">
        <v>3.8976377952755907</v>
      </c>
      <c r="D119" s="140">
        <v>9.1929133858267722</v>
      </c>
    </row>
    <row r="120" spans="1:4" x14ac:dyDescent="0.3">
      <c r="A120" s="136">
        <v>7.0710678118654755</v>
      </c>
      <c r="B120" s="140">
        <v>4.2913385826771657</v>
      </c>
      <c r="C120" s="140">
        <v>3.9370078740157481</v>
      </c>
      <c r="D120" s="140">
        <v>9.2519685039370074</v>
      </c>
    </row>
    <row r="121" spans="1:4" x14ac:dyDescent="0.3">
      <c r="A121" s="136">
        <v>7.745966692414834</v>
      </c>
      <c r="B121" s="140">
        <v>4.3307086614173231</v>
      </c>
      <c r="C121" s="140">
        <v>3.9763779527559056</v>
      </c>
      <c r="D121" s="140">
        <v>9.271653543307087</v>
      </c>
    </row>
    <row r="122" spans="1:4" x14ac:dyDescent="0.3">
      <c r="A122" s="136">
        <v>9.4868329805051381</v>
      </c>
      <c r="B122" s="140">
        <v>4.3700787401574805</v>
      </c>
      <c r="C122" s="140">
        <v>4.015748031496063</v>
      </c>
      <c r="D122" s="140">
        <v>9.2913385826771648</v>
      </c>
    </row>
    <row r="123" spans="1:4" x14ac:dyDescent="0.3">
      <c r="A123" s="136">
        <v>10.954451150103322</v>
      </c>
      <c r="B123" s="140">
        <v>4.409448818897638</v>
      </c>
      <c r="C123" s="140">
        <v>4.0551181102362204</v>
      </c>
      <c r="D123" s="140">
        <v>9.2913385826771648</v>
      </c>
    </row>
    <row r="124" spans="1:4" x14ac:dyDescent="0.3">
      <c r="A124" s="136">
        <v>13.416407864998739</v>
      </c>
      <c r="B124" s="140">
        <v>4.409448818897638</v>
      </c>
      <c r="C124" s="140">
        <v>4.0551181102362204</v>
      </c>
      <c r="D124" s="140">
        <v>9.2913385826771648</v>
      </c>
    </row>
    <row r="125" spans="1:4" x14ac:dyDescent="0.3">
      <c r="A125" s="136">
        <v>15.491933384829668</v>
      </c>
      <c r="B125" s="140">
        <v>4.409448818897638</v>
      </c>
      <c r="C125" s="140">
        <v>4.0551181102362204</v>
      </c>
      <c r="D125" s="140">
        <v>9.2913385826771648</v>
      </c>
    </row>
    <row r="127" spans="1:4" x14ac:dyDescent="0.3">
      <c r="A127" s="141" t="s">
        <v>115</v>
      </c>
    </row>
    <row r="130" spans="1:6" x14ac:dyDescent="0.3">
      <c r="A130" s="142" t="s">
        <v>116</v>
      </c>
    </row>
    <row r="131" spans="1:6" x14ac:dyDescent="0.3">
      <c r="A131" s="139" t="s">
        <v>138</v>
      </c>
      <c r="B131" s="121"/>
      <c r="C131" s="139" t="s">
        <v>139</v>
      </c>
      <c r="D131" s="116"/>
      <c r="E131" s="139" t="s">
        <v>140</v>
      </c>
      <c r="F131" s="116"/>
    </row>
    <row r="132" spans="1:6" x14ac:dyDescent="0.3">
      <c r="A132" s="121" t="s">
        <v>23</v>
      </c>
      <c r="B132" s="121" t="s">
        <v>26</v>
      </c>
      <c r="C132" s="121" t="s">
        <v>23</v>
      </c>
      <c r="D132" s="121" t="s">
        <v>26</v>
      </c>
      <c r="E132" s="121" t="s">
        <v>23</v>
      </c>
      <c r="F132" s="121" t="s">
        <v>26</v>
      </c>
    </row>
    <row r="133" spans="1:6" x14ac:dyDescent="0.3">
      <c r="A133" s="136">
        <v>0.33783264357172993</v>
      </c>
      <c r="B133" s="136">
        <v>0.59235050994145433</v>
      </c>
      <c r="C133" s="136">
        <v>0.45593195564972444</v>
      </c>
      <c r="D133" s="136">
        <v>0.55284196865778079</v>
      </c>
      <c r="E133" s="136"/>
      <c r="F133" s="136"/>
    </row>
    <row r="134" spans="1:6" x14ac:dyDescent="0.3">
      <c r="A134" s="136">
        <v>0.80736762150152908</v>
      </c>
      <c r="B134" s="136">
        <v>0.63258251224813145</v>
      </c>
      <c r="C134" s="136">
        <v>0.82780878174407369</v>
      </c>
      <c r="D134" s="136">
        <v>0.61664331114668369</v>
      </c>
      <c r="E134" s="136">
        <v>-1.1117104708745449</v>
      </c>
      <c r="F134" s="136">
        <v>0.87281684246924773</v>
      </c>
    </row>
    <row r="135" spans="1:6" x14ac:dyDescent="0.3">
      <c r="A135" s="136">
        <v>1.0484846234270997</v>
      </c>
      <c r="B135" s="136">
        <v>0.64438430605024355</v>
      </c>
      <c r="C135" s="136">
        <v>1.0722875380997243</v>
      </c>
      <c r="D135" s="136">
        <v>0.61219962267884231</v>
      </c>
      <c r="E135" s="136">
        <v>7.2287538099724338E-2</v>
      </c>
      <c r="F135" s="136">
        <v>0.97356418432819958</v>
      </c>
    </row>
    <row r="136" spans="1:6" x14ac:dyDescent="0.3">
      <c r="A136" s="136">
        <v>1.1975801748894197</v>
      </c>
      <c r="B136" s="136">
        <v>0.66460110270475625</v>
      </c>
      <c r="C136" s="136">
        <v>1.2164199979049581</v>
      </c>
      <c r="D136" s="136">
        <v>0.63044682647045058</v>
      </c>
      <c r="E136" s="136">
        <v>0.38144583081047939</v>
      </c>
      <c r="F136" s="136">
        <v>1.0529471302981328</v>
      </c>
    </row>
    <row r="137" spans="1:6" x14ac:dyDescent="0.3">
      <c r="A137" s="136">
        <v>1.3263358609287514</v>
      </c>
      <c r="B137" s="136">
        <v>0.64345267648618742</v>
      </c>
      <c r="C137" s="136">
        <v>1.3376588910261422</v>
      </c>
      <c r="D137" s="136">
        <v>0.61489721603313452</v>
      </c>
      <c r="E137" s="136">
        <v>0.5158738437116791</v>
      </c>
      <c r="F137" s="136">
        <v>1.1258064581395268</v>
      </c>
    </row>
    <row r="138" spans="1:6" x14ac:dyDescent="0.3">
      <c r="A138" s="136">
        <v>1.41394054253305</v>
      </c>
      <c r="B138" s="136">
        <v>0.65618245079124982</v>
      </c>
      <c r="C138" s="136">
        <v>1.4235766315717884</v>
      </c>
      <c r="D138" s="136">
        <v>0.62735612461254364</v>
      </c>
      <c r="E138" s="136">
        <v>0.63578929214940649</v>
      </c>
      <c r="F138" s="136">
        <v>1.1857823190096866</v>
      </c>
    </row>
    <row r="139" spans="1:6" x14ac:dyDescent="0.3">
      <c r="A139" s="143"/>
      <c r="B139" s="144"/>
      <c r="C139" s="145"/>
      <c r="D139" s="145"/>
    </row>
    <row r="140" spans="1:6" x14ac:dyDescent="0.3">
      <c r="A140" s="143"/>
      <c r="B140" s="144"/>
      <c r="C140" s="145"/>
      <c r="D140" s="145"/>
    </row>
    <row r="141" spans="1:6" x14ac:dyDescent="0.3">
      <c r="A141" s="143"/>
      <c r="B141" s="144"/>
      <c r="C141" s="145"/>
      <c r="D141" s="145"/>
    </row>
    <row r="142" spans="1:6" x14ac:dyDescent="0.3">
      <c r="A142" s="146" t="s">
        <v>117</v>
      </c>
      <c r="B142" s="144"/>
      <c r="C142" s="145"/>
      <c r="D142" s="145"/>
    </row>
    <row r="143" spans="1:6" x14ac:dyDescent="0.3">
      <c r="A143" s="139" t="s">
        <v>138</v>
      </c>
      <c r="B143" s="121"/>
      <c r="C143" s="139" t="s">
        <v>139</v>
      </c>
      <c r="D143" s="116"/>
      <c r="E143" s="139" t="s">
        <v>140</v>
      </c>
      <c r="F143" s="116"/>
    </row>
    <row r="144" spans="1:6" x14ac:dyDescent="0.3">
      <c r="A144" s="147" t="s">
        <v>4</v>
      </c>
      <c r="B144" s="147" t="s">
        <v>27</v>
      </c>
      <c r="C144" s="121" t="s">
        <v>4</v>
      </c>
      <c r="D144" s="121" t="s">
        <v>27</v>
      </c>
      <c r="E144" s="121" t="s">
        <v>4</v>
      </c>
      <c r="F144" s="121" t="s">
        <v>27</v>
      </c>
    </row>
    <row r="145" spans="1:6" x14ac:dyDescent="0.3">
      <c r="A145" s="136">
        <v>2.1768707482993199</v>
      </c>
      <c r="B145" s="136">
        <v>0.5565217391304349</v>
      </c>
      <c r="C145" s="136">
        <v>2.8571428571428577</v>
      </c>
      <c r="D145" s="136">
        <v>0.80000000000000016</v>
      </c>
      <c r="E145" s="136"/>
      <c r="F145" s="136"/>
    </row>
    <row r="146" spans="1:6" x14ac:dyDescent="0.3">
      <c r="A146" s="136">
        <v>6.4175257731958766</v>
      </c>
      <c r="B146" s="136">
        <v>1.4954954954954955</v>
      </c>
      <c r="C146" s="136">
        <v>6.7268041237113394</v>
      </c>
      <c r="D146" s="136">
        <v>1.6261682242990652</v>
      </c>
      <c r="E146" s="136">
        <v>7.7319587628865968E-2</v>
      </c>
      <c r="F146" s="136">
        <v>1.0362694300518133E-2</v>
      </c>
    </row>
    <row r="147" spans="1:6" x14ac:dyDescent="0.3">
      <c r="A147" s="136">
        <v>11.181102362204724</v>
      </c>
      <c r="B147" s="136">
        <v>2.5357142857142856</v>
      </c>
      <c r="C147" s="136">
        <v>11.81</v>
      </c>
      <c r="D147" s="136">
        <v>2.88</v>
      </c>
      <c r="E147" s="136">
        <v>1.1811023622047243</v>
      </c>
      <c r="F147" s="136">
        <v>0.12552301255230125</v>
      </c>
    </row>
    <row r="148" spans="1:6" x14ac:dyDescent="0.3">
      <c r="A148" s="136">
        <v>15.760869565217391</v>
      </c>
      <c r="B148" s="136">
        <v>3.4117647058823524</v>
      </c>
      <c r="C148" s="136">
        <v>16.46</v>
      </c>
      <c r="D148" s="136">
        <v>3.85</v>
      </c>
      <c r="E148" s="136">
        <v>2.4068322981366461</v>
      </c>
      <c r="F148" s="136">
        <v>0.21305841924398627</v>
      </c>
    </row>
    <row r="149" spans="1:6" x14ac:dyDescent="0.3">
      <c r="A149" s="136">
        <v>21.2</v>
      </c>
      <c r="B149" s="136">
        <v>4.8181818181818175</v>
      </c>
      <c r="C149" s="136">
        <v>21.76</v>
      </c>
      <c r="D149" s="136">
        <v>5.28</v>
      </c>
      <c r="E149" s="136">
        <v>3.28</v>
      </c>
      <c r="F149" s="136">
        <v>0.24550898203592814</v>
      </c>
    </row>
    <row r="150" spans="1:6" x14ac:dyDescent="0.3">
      <c r="A150" s="136">
        <v>25.938242280285035</v>
      </c>
      <c r="B150" s="136">
        <v>5.7247706422018343</v>
      </c>
      <c r="C150" s="136">
        <v>26.52</v>
      </c>
      <c r="D150" s="136">
        <v>6.25</v>
      </c>
      <c r="E150" s="136">
        <v>4.3230403800475061</v>
      </c>
      <c r="F150" s="136">
        <v>0.28184281842818426</v>
      </c>
    </row>
    <row r="156" spans="1:6" x14ac:dyDescent="0.3">
      <c r="A156" s="142" t="s">
        <v>118</v>
      </c>
    </row>
    <row r="157" spans="1:6" x14ac:dyDescent="0.3">
      <c r="A157" s="139" t="s">
        <v>138</v>
      </c>
      <c r="B157" s="121"/>
      <c r="C157" s="139" t="s">
        <v>139</v>
      </c>
      <c r="D157" s="116"/>
      <c r="E157" s="139" t="s">
        <v>140</v>
      </c>
      <c r="F157" s="116"/>
    </row>
    <row r="158" spans="1:6" x14ac:dyDescent="0.3">
      <c r="A158" s="121" t="s">
        <v>39</v>
      </c>
      <c r="B158" s="121" t="s">
        <v>25</v>
      </c>
      <c r="C158" s="121" t="s">
        <v>39</v>
      </c>
      <c r="D158" s="121" t="s">
        <v>25</v>
      </c>
      <c r="E158" s="121" t="s">
        <v>39</v>
      </c>
      <c r="F158" s="121" t="s">
        <v>25</v>
      </c>
    </row>
    <row r="159" spans="1:6" x14ac:dyDescent="0.3">
      <c r="A159" s="136">
        <v>0.77788840901503598</v>
      </c>
      <c r="B159" s="136">
        <v>3.9115646258503398</v>
      </c>
      <c r="C159" s="136">
        <v>1.0498221244986778</v>
      </c>
      <c r="D159" s="136">
        <v>3.5714285714285712</v>
      </c>
      <c r="E159" s="136"/>
      <c r="F159" s="136"/>
    </row>
    <row r="160" spans="1:6" x14ac:dyDescent="0.3">
      <c r="A160" s="136">
        <v>1.8590326498354799</v>
      </c>
      <c r="B160" s="136">
        <v>4.2912371134020617</v>
      </c>
      <c r="C160" s="136">
        <v>1.9061001606934656</v>
      </c>
      <c r="D160" s="136">
        <v>4.1365979381443303</v>
      </c>
      <c r="E160" s="136">
        <v>-2.5598079579611182</v>
      </c>
      <c r="F160" s="136">
        <v>7.4613402061855671</v>
      </c>
    </row>
    <row r="161" spans="1:6" x14ac:dyDescent="0.3">
      <c r="A161" s="136">
        <v>2.4142250641367151</v>
      </c>
      <c r="B161" s="136">
        <v>4.409448818897638</v>
      </c>
      <c r="C161" s="136">
        <v>2.4690333006317102</v>
      </c>
      <c r="D161" s="136">
        <v>4.0944881889763778</v>
      </c>
      <c r="E161" s="136">
        <v>0.16644820763766438</v>
      </c>
      <c r="F161" s="136">
        <v>9.4094488188976371</v>
      </c>
    </row>
    <row r="162" spans="1:6" x14ac:dyDescent="0.3">
      <c r="A162" s="136">
        <v>2.7575302583655796</v>
      </c>
      <c r="B162" s="136">
        <v>4.6195652173913047</v>
      </c>
      <c r="C162" s="136">
        <v>2.8009105539958048</v>
      </c>
      <c r="D162" s="136">
        <v>4.2701863354037268</v>
      </c>
      <c r="E162" s="136">
        <v>0.87831148380893875</v>
      </c>
      <c r="F162" s="136">
        <v>11.296583850931677</v>
      </c>
    </row>
    <row r="163" spans="1:6" x14ac:dyDescent="0.3">
      <c r="A163" s="136">
        <v>3.0540011816779669</v>
      </c>
      <c r="B163" s="136">
        <v>4.4000000000000004</v>
      </c>
      <c r="C163" s="136">
        <v>3.0800734219877421</v>
      </c>
      <c r="D163" s="136">
        <v>4.1199999999999992</v>
      </c>
      <c r="E163" s="136">
        <v>1.1878434223960523</v>
      </c>
      <c r="F163" s="136">
        <v>13.36</v>
      </c>
    </row>
    <row r="164" spans="1:6" x14ac:dyDescent="0.3">
      <c r="A164" s="136">
        <v>3.2557184156165144</v>
      </c>
      <c r="B164" s="136">
        <v>4.5308788598574825</v>
      </c>
      <c r="C164" s="136">
        <v>3.2779063305918767</v>
      </c>
      <c r="D164" s="136">
        <v>4.2399049881235147</v>
      </c>
      <c r="E164" s="136">
        <v>1.4639589463884597</v>
      </c>
      <c r="F164" s="136">
        <v>15.338479809976247</v>
      </c>
    </row>
    <row r="173" spans="1:6" x14ac:dyDescent="0.3">
      <c r="A173" s="142" t="s">
        <v>119</v>
      </c>
    </row>
    <row r="174" spans="1:6" x14ac:dyDescent="0.3">
      <c r="A174" s="139" t="s">
        <v>138</v>
      </c>
      <c r="B174" s="121"/>
      <c r="C174" s="139" t="s">
        <v>139</v>
      </c>
      <c r="D174" s="116"/>
      <c r="E174" s="139" t="s">
        <v>140</v>
      </c>
      <c r="F174" s="116"/>
    </row>
    <row r="175" spans="1:6" x14ac:dyDescent="0.3">
      <c r="A175" s="121" t="s">
        <v>23</v>
      </c>
      <c r="B175" s="134" t="s">
        <v>38</v>
      </c>
      <c r="C175" s="121" t="s">
        <v>23</v>
      </c>
      <c r="D175" s="134" t="s">
        <v>38</v>
      </c>
      <c r="E175" s="121" t="s">
        <v>23</v>
      </c>
      <c r="F175" s="134" t="s">
        <v>38</v>
      </c>
    </row>
    <row r="176" spans="1:6" x14ac:dyDescent="0.3">
      <c r="A176" s="136">
        <v>0.33783264357172993</v>
      </c>
      <c r="B176" s="136">
        <v>-0.2545178663697244</v>
      </c>
      <c r="C176" s="136">
        <v>0.45593195564972444</v>
      </c>
      <c r="D176" s="136">
        <v>-9.6910013008056337E-2</v>
      </c>
      <c r="E176" s="136"/>
      <c r="F176" s="136"/>
    </row>
    <row r="177" spans="1:6" x14ac:dyDescent="0.3">
      <c r="A177" s="136">
        <v>0.80736762150152908</v>
      </c>
      <c r="B177" s="136">
        <v>0.17478510925339769</v>
      </c>
      <c r="C177" s="136">
        <v>0.82780878174407369</v>
      </c>
      <c r="D177" s="136">
        <v>0.21116547059739002</v>
      </c>
      <c r="E177" s="136">
        <v>-1.1117104708745449</v>
      </c>
      <c r="F177" s="136">
        <v>-1.9845273133437926</v>
      </c>
    </row>
    <row r="178" spans="1:6" x14ac:dyDescent="0.3">
      <c r="A178" s="136">
        <v>1.0484846234270997</v>
      </c>
      <c r="B178" s="136">
        <v>0.40410031737685603</v>
      </c>
      <c r="C178" s="136">
        <v>1.0722875380997243</v>
      </c>
      <c r="D178" s="136">
        <v>0.46008791542088212</v>
      </c>
      <c r="E178" s="136">
        <v>7.2287538099724338E-2</v>
      </c>
      <c r="F178" s="136">
        <v>-0.90127664622847525</v>
      </c>
    </row>
    <row r="179" spans="1:6" x14ac:dyDescent="0.3">
      <c r="A179" s="136">
        <v>1.1975801748894197</v>
      </c>
      <c r="B179" s="136">
        <v>0.53297907218466323</v>
      </c>
      <c r="C179" s="136">
        <v>1.2164199979049581</v>
      </c>
      <c r="D179" s="136">
        <v>0.58597317143450756</v>
      </c>
      <c r="E179" s="136">
        <v>0.38144583081047939</v>
      </c>
      <c r="F179" s="136">
        <v>-0.67150129948765336</v>
      </c>
    </row>
    <row r="180" spans="1:6" x14ac:dyDescent="0.3">
      <c r="A180" s="136">
        <v>1.3263358609287514</v>
      </c>
      <c r="B180" s="136">
        <v>0.68288318444256391</v>
      </c>
      <c r="C180" s="136">
        <v>1.3376588910261422</v>
      </c>
      <c r="D180" s="136">
        <v>0.72276167499300781</v>
      </c>
      <c r="E180" s="136">
        <v>0.5158738437116791</v>
      </c>
      <c r="F180" s="136">
        <v>-0.60993261442784785</v>
      </c>
    </row>
    <row r="181" spans="1:6" x14ac:dyDescent="0.3">
      <c r="A181" s="136">
        <v>1.41394054253305</v>
      </c>
      <c r="B181" s="136">
        <v>0.75775809174180031</v>
      </c>
      <c r="C181" s="136">
        <v>1.4235766315717884</v>
      </c>
      <c r="D181" s="136">
        <v>0.79622050695924484</v>
      </c>
      <c r="E181" s="136">
        <v>0.63578929214940649</v>
      </c>
      <c r="F181" s="136">
        <v>-0.54999302686028007</v>
      </c>
    </row>
    <row r="189" spans="1:6" x14ac:dyDescent="0.3">
      <c r="C189" s="114" t="s">
        <v>182</v>
      </c>
    </row>
    <row r="190" spans="1:6" x14ac:dyDescent="0.3">
      <c r="A190" s="121" t="s">
        <v>170</v>
      </c>
      <c r="B190" s="121" t="s">
        <v>91</v>
      </c>
      <c r="C190" s="121" t="s">
        <v>92</v>
      </c>
      <c r="D190" s="121" t="s">
        <v>93</v>
      </c>
    </row>
    <row r="191" spans="1:6" x14ac:dyDescent="0.3">
      <c r="A191" s="148">
        <v>3.3003300330033004E-3</v>
      </c>
      <c r="B191" s="149">
        <v>-1.6642202586263073</v>
      </c>
      <c r="C191" s="122">
        <v>-1.7184281961425056</v>
      </c>
      <c r="D191" s="140">
        <v>0.30486040898686556</v>
      </c>
    </row>
    <row r="192" spans="1:6" x14ac:dyDescent="0.3">
      <c r="A192" s="148">
        <v>3.1948881789137379E-3</v>
      </c>
      <c r="B192" s="149">
        <v>-1.831261912204301</v>
      </c>
      <c r="C192" s="122">
        <v>-1.9356536488881237</v>
      </c>
      <c r="D192" s="140">
        <v>0.13353139262452257</v>
      </c>
    </row>
    <row r="193" spans="1:4" x14ac:dyDescent="0.3">
      <c r="A193" s="148">
        <v>3.0959752321981426E-3</v>
      </c>
      <c r="B193" s="149">
        <v>-1.9052265724188699</v>
      </c>
      <c r="C193" s="122">
        <v>-1.9980959022258831</v>
      </c>
      <c r="D193" s="140">
        <v>-0.26283607386524971</v>
      </c>
    </row>
    <row r="194" spans="1:4" x14ac:dyDescent="0.3">
      <c r="A194" s="148">
        <v>3.003003003003003E-3</v>
      </c>
      <c r="B194" s="149">
        <v>-2.0140587824169836</v>
      </c>
      <c r="C194" s="122">
        <v>-2.0628574136643003</v>
      </c>
      <c r="D194" s="140">
        <v>-0.65735807270836022</v>
      </c>
    </row>
    <row r="206" spans="1:4" x14ac:dyDescent="0.3">
      <c r="B206" s="114" t="s">
        <v>198</v>
      </c>
    </row>
    <row r="207" spans="1:4" x14ac:dyDescent="0.3">
      <c r="A207" s="150" t="s">
        <v>168</v>
      </c>
      <c r="B207" s="139" t="s">
        <v>91</v>
      </c>
      <c r="C207" s="121" t="s">
        <v>92</v>
      </c>
      <c r="D207" s="121" t="s">
        <v>93</v>
      </c>
    </row>
    <row r="208" spans="1:4" x14ac:dyDescent="0.3">
      <c r="A208" s="151">
        <v>303</v>
      </c>
      <c r="B208" s="130">
        <v>4.4000000000000004</v>
      </c>
      <c r="C208" s="130">
        <v>3.9599999999999991</v>
      </c>
      <c r="D208" s="130">
        <v>10.96</v>
      </c>
    </row>
    <row r="209" spans="1:4" x14ac:dyDescent="0.3">
      <c r="A209" s="151">
        <v>313</v>
      </c>
      <c r="B209" s="130">
        <v>3.6400000000000006</v>
      </c>
      <c r="C209" s="130">
        <v>3.3600000000000012</v>
      </c>
      <c r="D209" s="130">
        <v>8.52</v>
      </c>
    </row>
    <row r="210" spans="1:4" x14ac:dyDescent="0.3">
      <c r="A210" s="151">
        <v>323</v>
      </c>
      <c r="B210" s="130">
        <v>3.4800000000000022</v>
      </c>
      <c r="C210" s="130">
        <v>3.2000000000000011</v>
      </c>
      <c r="D210" s="130">
        <v>6.5600000000000005</v>
      </c>
    </row>
    <row r="211" spans="1:4" x14ac:dyDescent="0.3">
      <c r="A211" s="151">
        <v>333</v>
      </c>
      <c r="B211" s="130">
        <v>3.3200000000000003</v>
      </c>
      <c r="C211" s="130">
        <v>3.0400000000000009</v>
      </c>
      <c r="D211" s="130">
        <v>6.1199999999999992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D29"/>
  <sheetViews>
    <sheetView topLeftCell="A13" zoomScale="115" zoomScaleNormal="115" workbookViewId="0">
      <selection activeCell="A36" sqref="A36"/>
    </sheetView>
  </sheetViews>
  <sheetFormatPr defaultRowHeight="14.4" x14ac:dyDescent="0.3"/>
  <cols>
    <col min="7" max="7" width="10.88671875" customWidth="1"/>
    <col min="8" max="8" width="9.5546875" customWidth="1"/>
    <col min="19" max="19" width="10.88671875" customWidth="1"/>
    <col min="20" max="20" width="8.44140625" customWidth="1"/>
    <col min="21" max="21" width="10.6640625" customWidth="1"/>
  </cols>
  <sheetData>
    <row r="2" spans="1:20" x14ac:dyDescent="0.3">
      <c r="B2" s="90"/>
      <c r="C2" s="90" t="s">
        <v>160</v>
      </c>
    </row>
    <row r="4" spans="1:20" x14ac:dyDescent="0.3">
      <c r="B4" s="80" t="s">
        <v>151</v>
      </c>
      <c r="C4" s="33"/>
      <c r="D4" s="33"/>
      <c r="E4" s="33"/>
      <c r="F4" s="33"/>
      <c r="G4" s="80" t="s">
        <v>150</v>
      </c>
      <c r="H4" s="80"/>
      <c r="I4" s="33"/>
      <c r="J4" s="33"/>
      <c r="K4" s="33"/>
      <c r="L4" s="80" t="s">
        <v>144</v>
      </c>
      <c r="M4" s="33"/>
      <c r="N4" s="33"/>
      <c r="O4" s="33"/>
      <c r="P4" s="33"/>
      <c r="Q4" s="33"/>
      <c r="R4" s="80" t="s">
        <v>87</v>
      </c>
      <c r="S4" s="33"/>
      <c r="T4" s="33"/>
    </row>
    <row r="5" spans="1:20" x14ac:dyDescent="0.3">
      <c r="A5" s="89" t="s">
        <v>91</v>
      </c>
      <c r="B5" s="92" t="s">
        <v>141</v>
      </c>
      <c r="C5" s="92" t="s">
        <v>110</v>
      </c>
      <c r="D5" s="92" t="s">
        <v>142</v>
      </c>
      <c r="E5" s="92" t="s">
        <v>143</v>
      </c>
      <c r="F5" s="92" t="s">
        <v>73</v>
      </c>
      <c r="G5" s="92" t="s">
        <v>61</v>
      </c>
      <c r="H5" s="92" t="s">
        <v>143</v>
      </c>
      <c r="I5" s="92" t="s">
        <v>142</v>
      </c>
      <c r="J5" s="92" t="s">
        <v>46</v>
      </c>
      <c r="K5" s="92" t="s">
        <v>73</v>
      </c>
      <c r="L5" s="92" t="s">
        <v>61</v>
      </c>
      <c r="M5" s="92" t="s">
        <v>145</v>
      </c>
      <c r="N5" s="92" t="s">
        <v>142</v>
      </c>
      <c r="O5" s="92" t="s">
        <v>146</v>
      </c>
      <c r="P5" s="92" t="s">
        <v>147</v>
      </c>
      <c r="Q5" s="92" t="s">
        <v>73</v>
      </c>
      <c r="R5" s="92" t="s">
        <v>148</v>
      </c>
      <c r="S5" s="92" t="s">
        <v>149</v>
      </c>
      <c r="T5" s="92" t="s">
        <v>73</v>
      </c>
    </row>
    <row r="6" spans="1:20" x14ac:dyDescent="0.3">
      <c r="B6" s="92">
        <v>1.7999999999999999E-2</v>
      </c>
      <c r="C6" s="92">
        <f>2.303*B6</f>
        <v>4.1453999999999998E-2</v>
      </c>
      <c r="D6" s="92">
        <v>6.5000000000000002E-2</v>
      </c>
      <c r="E6" s="92">
        <f>POWER(10,D6)</f>
        <v>1.1614486138403428</v>
      </c>
      <c r="F6" s="92">
        <v>0.91500000000000004</v>
      </c>
      <c r="G6" s="92">
        <v>0.223</v>
      </c>
      <c r="H6" s="92">
        <f>1/G6</f>
        <v>4.4843049327354256</v>
      </c>
      <c r="I6" s="92">
        <v>0.51800000000000002</v>
      </c>
      <c r="J6" s="92">
        <f>1/(I6*H6*H6)</f>
        <v>9.6001930501930496E-2</v>
      </c>
      <c r="K6" s="92">
        <v>0.999</v>
      </c>
      <c r="L6" s="92">
        <v>0.38700000000000001</v>
      </c>
      <c r="M6" s="92">
        <f>1/L6</f>
        <v>2.5839793281653747</v>
      </c>
      <c r="N6" s="92">
        <v>2.609</v>
      </c>
      <c r="O6" s="92">
        <f>(M6*N6)-LN(M6)</f>
        <v>5.7922714812311078</v>
      </c>
      <c r="P6" s="92">
        <f>POWER(10,O6/2.303)</f>
        <v>327.41482643889191</v>
      </c>
      <c r="Q6" s="92">
        <v>0.754</v>
      </c>
      <c r="R6" s="92">
        <v>3.9E-2</v>
      </c>
      <c r="S6" s="92">
        <v>3.992</v>
      </c>
      <c r="T6" s="92">
        <v>0.91600000000000004</v>
      </c>
    </row>
    <row r="8" spans="1:20" x14ac:dyDescent="0.3">
      <c r="B8" s="80" t="s">
        <v>151</v>
      </c>
      <c r="C8" s="33"/>
      <c r="D8" s="33"/>
      <c r="E8" s="33"/>
      <c r="F8" s="33"/>
      <c r="G8" s="80" t="s">
        <v>150</v>
      </c>
      <c r="H8" s="33"/>
      <c r="I8" s="33"/>
      <c r="J8" s="33"/>
      <c r="K8" s="33"/>
      <c r="L8" s="80" t="s">
        <v>144</v>
      </c>
      <c r="M8" s="33"/>
      <c r="N8" s="33"/>
      <c r="O8" s="33"/>
      <c r="P8" s="33"/>
      <c r="Q8" s="33"/>
      <c r="R8" s="80" t="s">
        <v>87</v>
      </c>
      <c r="S8" s="33"/>
      <c r="T8" s="33"/>
    </row>
    <row r="9" spans="1:20" x14ac:dyDescent="0.3">
      <c r="A9" s="89" t="s">
        <v>92</v>
      </c>
      <c r="B9" s="92" t="s">
        <v>141</v>
      </c>
      <c r="C9" s="92" t="s">
        <v>110</v>
      </c>
      <c r="D9" s="92" t="s">
        <v>142</v>
      </c>
      <c r="E9" s="92" t="s">
        <v>143</v>
      </c>
      <c r="F9" s="92" t="s">
        <v>73</v>
      </c>
      <c r="G9" s="92" t="s">
        <v>61</v>
      </c>
      <c r="H9" s="92" t="s">
        <v>143</v>
      </c>
      <c r="I9" s="92" t="s">
        <v>142</v>
      </c>
      <c r="J9" s="92" t="s">
        <v>46</v>
      </c>
      <c r="K9" s="92" t="s">
        <v>73</v>
      </c>
      <c r="L9" s="92" t="s">
        <v>61</v>
      </c>
      <c r="M9" s="92" t="s">
        <v>145</v>
      </c>
      <c r="N9" s="92" t="s">
        <v>142</v>
      </c>
      <c r="O9" s="92" t="s">
        <v>146</v>
      </c>
      <c r="P9" s="92" t="s">
        <v>147</v>
      </c>
      <c r="Q9" s="92" t="s">
        <v>73</v>
      </c>
      <c r="R9" s="92" t="s">
        <v>148</v>
      </c>
      <c r="S9" s="92" t="s">
        <v>149</v>
      </c>
      <c r="T9" s="92" t="s">
        <v>73</v>
      </c>
    </row>
    <row r="10" spans="1:20" x14ac:dyDescent="0.3">
      <c r="B10" s="92">
        <v>1.7000000000000001E-2</v>
      </c>
      <c r="C10" s="92">
        <f>2.303*B10</f>
        <v>3.9150999999999998E-2</v>
      </c>
      <c r="D10" s="92">
        <v>-0.04</v>
      </c>
      <c r="E10" s="92">
        <f>POWER(10,D10)</f>
        <v>0.91201083935590965</v>
      </c>
      <c r="F10" s="92">
        <v>0.88</v>
      </c>
      <c r="G10" s="92">
        <v>0.24399999999999999</v>
      </c>
      <c r="H10" s="92">
        <f>1/G10</f>
        <v>4.0983606557377046</v>
      </c>
      <c r="I10" s="92">
        <v>0.442</v>
      </c>
      <c r="J10" s="92">
        <f>1/(I10*H10*H10)</f>
        <v>0.13469683257918555</v>
      </c>
      <c r="K10" s="92">
        <v>0.999</v>
      </c>
      <c r="L10" s="92">
        <v>0.32200000000000001</v>
      </c>
      <c r="M10" s="92">
        <f>1/L10</f>
        <v>3.1055900621118013</v>
      </c>
      <c r="N10" s="92">
        <v>2.5529999999999999</v>
      </c>
      <c r="O10" s="92">
        <f>(M10*N10)-LN(M10)</f>
        <v>6.7953676951337005</v>
      </c>
      <c r="P10" s="92">
        <f>POWER(10,O10/2.303)</f>
        <v>892.60436825582781</v>
      </c>
      <c r="Q10" s="92">
        <v>0.74399999999999999</v>
      </c>
      <c r="R10" s="92">
        <v>3.5000000000000003E-2</v>
      </c>
      <c r="S10" s="92">
        <v>3.6789999999999998</v>
      </c>
      <c r="T10" s="92">
        <v>0.96399999999999997</v>
      </c>
    </row>
    <row r="12" spans="1:20" x14ac:dyDescent="0.3">
      <c r="B12" s="80" t="s">
        <v>151</v>
      </c>
      <c r="C12" s="33"/>
      <c r="D12" s="33"/>
      <c r="E12" s="33"/>
      <c r="F12" s="33"/>
      <c r="G12" s="80" t="s">
        <v>150</v>
      </c>
      <c r="H12" s="33"/>
      <c r="I12" s="33"/>
      <c r="J12" s="33"/>
      <c r="K12" s="33"/>
      <c r="L12" s="80" t="s">
        <v>144</v>
      </c>
      <c r="M12" s="33"/>
      <c r="N12" s="33"/>
      <c r="O12" s="33"/>
      <c r="P12" s="33"/>
      <c r="Q12" s="33"/>
      <c r="R12" s="80" t="s">
        <v>87</v>
      </c>
      <c r="S12" s="33"/>
      <c r="T12" s="33"/>
    </row>
    <row r="13" spans="1:20" x14ac:dyDescent="0.3">
      <c r="A13" s="89" t="s">
        <v>93</v>
      </c>
      <c r="B13" s="92" t="s">
        <v>141</v>
      </c>
      <c r="C13" s="92" t="s">
        <v>110</v>
      </c>
      <c r="D13" s="92" t="s">
        <v>142</v>
      </c>
      <c r="E13" s="92" t="s">
        <v>143</v>
      </c>
      <c r="F13" s="92" t="s">
        <v>73</v>
      </c>
      <c r="G13" s="92" t="s">
        <v>61</v>
      </c>
      <c r="H13" s="92" t="s">
        <v>143</v>
      </c>
      <c r="I13" s="92" t="s">
        <v>142</v>
      </c>
      <c r="J13" s="92" t="s">
        <v>46</v>
      </c>
      <c r="K13" s="92" t="s">
        <v>73</v>
      </c>
      <c r="L13" s="92" t="s">
        <v>61</v>
      </c>
      <c r="M13" s="92" t="s">
        <v>145</v>
      </c>
      <c r="N13" s="92" t="s">
        <v>142</v>
      </c>
      <c r="O13" s="92" t="s">
        <v>146</v>
      </c>
      <c r="P13" s="92" t="s">
        <v>147</v>
      </c>
      <c r="Q13" s="92" t="s">
        <v>73</v>
      </c>
      <c r="R13" s="92" t="s">
        <v>148</v>
      </c>
      <c r="S13" s="92" t="s">
        <v>149</v>
      </c>
      <c r="T13" s="92" t="s">
        <v>73</v>
      </c>
    </row>
    <row r="14" spans="1:20" x14ac:dyDescent="0.3">
      <c r="B14" s="92">
        <v>3.7999999999999999E-2</v>
      </c>
      <c r="C14" s="92">
        <f>2.303*B14</f>
        <v>8.7513999999999995E-2</v>
      </c>
      <c r="D14" s="92">
        <v>0.497</v>
      </c>
      <c r="E14" s="92">
        <f>POWER(10,D14)</f>
        <v>3.1405086938762174</v>
      </c>
      <c r="F14" s="92">
        <v>0.97</v>
      </c>
      <c r="G14" s="92">
        <v>0.106</v>
      </c>
      <c r="H14" s="92">
        <f>1/G14</f>
        <v>9.433962264150944</v>
      </c>
      <c r="I14" s="92">
        <v>0.127</v>
      </c>
      <c r="J14" s="92">
        <f>1/(I14*H14*H14)</f>
        <v>8.847244094488188E-2</v>
      </c>
      <c r="K14" s="92">
        <v>0.999</v>
      </c>
      <c r="L14" s="92">
        <v>0.61699999999999999</v>
      </c>
      <c r="M14" s="92">
        <f>1/L14</f>
        <v>1.6207455429497568</v>
      </c>
      <c r="N14" s="92">
        <v>6.4950000000000001</v>
      </c>
      <c r="O14" s="92">
        <f>(M14*N14)-LN(M14)</f>
        <v>10.04385604638192</v>
      </c>
      <c r="P14" s="92">
        <f>POWER(10,O14/2.303)</f>
        <v>22972.348940921744</v>
      </c>
      <c r="Q14" s="92">
        <v>0.67300000000000004</v>
      </c>
      <c r="R14" s="92">
        <v>8.5000000000000006E-2</v>
      </c>
      <c r="S14" s="92">
        <v>8.6310000000000002</v>
      </c>
      <c r="T14" s="92">
        <v>0.96699999999999997</v>
      </c>
    </row>
    <row r="17" spans="1:30" x14ac:dyDescent="0.3">
      <c r="B17" s="90"/>
      <c r="C17" s="90" t="s">
        <v>161</v>
      </c>
    </row>
    <row r="18" spans="1:30" x14ac:dyDescent="0.3">
      <c r="V18" s="90" t="s">
        <v>176</v>
      </c>
    </row>
    <row r="19" spans="1:30" x14ac:dyDescent="0.3">
      <c r="B19" s="80" t="s">
        <v>154</v>
      </c>
      <c r="C19" s="33"/>
      <c r="D19" s="33"/>
      <c r="E19" s="33"/>
      <c r="F19" s="33"/>
      <c r="G19" s="80" t="s">
        <v>155</v>
      </c>
      <c r="H19" s="33"/>
      <c r="I19" s="33"/>
      <c r="J19" s="33"/>
      <c r="K19" s="33"/>
      <c r="L19" s="80" t="s">
        <v>158</v>
      </c>
      <c r="M19" s="33"/>
      <c r="N19" s="33"/>
      <c r="O19" s="33"/>
      <c r="P19" s="80" t="s">
        <v>159</v>
      </c>
      <c r="Q19" s="33"/>
      <c r="R19" s="36"/>
      <c r="S19" s="33"/>
      <c r="T19" s="75"/>
    </row>
    <row r="20" spans="1:30" x14ac:dyDescent="0.3">
      <c r="A20" s="89" t="s">
        <v>91</v>
      </c>
      <c r="B20" s="93" t="s">
        <v>34</v>
      </c>
      <c r="C20" s="93" t="s">
        <v>35</v>
      </c>
      <c r="D20" s="91" t="s">
        <v>142</v>
      </c>
      <c r="E20" s="93" t="s">
        <v>37</v>
      </c>
      <c r="F20" s="93" t="s">
        <v>73</v>
      </c>
      <c r="G20" s="94" t="s">
        <v>156</v>
      </c>
      <c r="H20" s="93" t="s">
        <v>33</v>
      </c>
      <c r="I20" s="94" t="s">
        <v>29</v>
      </c>
      <c r="J20" s="94" t="s">
        <v>30</v>
      </c>
      <c r="K20" s="91" t="s">
        <v>73</v>
      </c>
      <c r="L20" s="91" t="s">
        <v>157</v>
      </c>
      <c r="M20" s="91" t="s">
        <v>142</v>
      </c>
      <c r="N20" s="95" t="s">
        <v>99</v>
      </c>
      <c r="O20" s="91" t="s">
        <v>73</v>
      </c>
      <c r="P20" s="91" t="s">
        <v>157</v>
      </c>
      <c r="Q20" s="91" t="s">
        <v>142</v>
      </c>
      <c r="R20" s="91" t="s">
        <v>96</v>
      </c>
      <c r="S20" s="96" t="s">
        <v>73</v>
      </c>
      <c r="T20" s="75"/>
      <c r="U20" s="106" t="s">
        <v>91</v>
      </c>
      <c r="V20" s="33" t="s">
        <v>61</v>
      </c>
      <c r="W20" s="104" t="s">
        <v>186</v>
      </c>
      <c r="X20" s="33" t="s">
        <v>177</v>
      </c>
      <c r="Y20" s="104" t="s">
        <v>178</v>
      </c>
      <c r="Z20" s="104" t="s">
        <v>195</v>
      </c>
      <c r="AA20">
        <v>303</v>
      </c>
      <c r="AB20">
        <v>313</v>
      </c>
      <c r="AC20">
        <v>323</v>
      </c>
      <c r="AD20">
        <v>333</v>
      </c>
    </row>
    <row r="21" spans="1:30" x14ac:dyDescent="0.3">
      <c r="B21" s="92">
        <v>5.8000000000000003E-2</v>
      </c>
      <c r="C21" s="92">
        <f>1/B21</f>
        <v>17.241379310344826</v>
      </c>
      <c r="D21" s="92">
        <v>0.57899999999999996</v>
      </c>
      <c r="E21" s="92">
        <f>POWER(10,D21)</f>
        <v>3.7931498497368192</v>
      </c>
      <c r="F21" s="92">
        <v>0.83099999999999996</v>
      </c>
      <c r="G21" s="92">
        <v>0.218</v>
      </c>
      <c r="H21" s="92">
        <f>1/G21</f>
        <v>4.5871559633027523</v>
      </c>
      <c r="I21" s="92">
        <v>7.3999999999999996E-2</v>
      </c>
      <c r="J21" s="92">
        <f>1/(H21*I21)</f>
        <v>2.9459459459459461</v>
      </c>
      <c r="K21" s="92">
        <v>0.998</v>
      </c>
      <c r="L21" s="92">
        <v>0.245</v>
      </c>
      <c r="M21" s="92">
        <v>3.782</v>
      </c>
      <c r="N21" s="92">
        <f>POWER(10,M21/(2.303*L21))</f>
        <v>5045229.097973628</v>
      </c>
      <c r="O21" s="92">
        <v>0.82499999999999996</v>
      </c>
      <c r="P21" s="92">
        <v>0.94099999999999995</v>
      </c>
      <c r="Q21" s="92">
        <v>-0.57899999999999996</v>
      </c>
      <c r="R21" s="92">
        <f>POWER(10,Q21)</f>
        <v>0.26363313858253801</v>
      </c>
      <c r="S21" s="97">
        <v>0.999</v>
      </c>
      <c r="T21" s="75"/>
      <c r="V21" s="33">
        <v>1136</v>
      </c>
      <c r="W21" s="33">
        <f>-8.314*V21</f>
        <v>-9444.7039999999997</v>
      </c>
      <c r="X21" s="33">
        <v>-5.4320000000000004</v>
      </c>
      <c r="Y21" s="33">
        <f>8.314*X21</f>
        <v>-45.161648000000007</v>
      </c>
      <c r="Z21" s="104" t="s">
        <v>179</v>
      </c>
      <c r="AA21">
        <f>(-9444.7-(AA20*-45.162))/1000</f>
        <v>4.2393859999999988</v>
      </c>
      <c r="AB21">
        <f t="shared" ref="AB21:AD21" si="0">(-9444.7-(AB20*-45.162))/1000</f>
        <v>4.6910059999999998</v>
      </c>
      <c r="AC21">
        <f t="shared" si="0"/>
        <v>5.1426259999999981</v>
      </c>
      <c r="AD21">
        <f t="shared" si="0"/>
        <v>5.5942459999999992</v>
      </c>
    </row>
    <row r="22" spans="1:30" x14ac:dyDescent="0.3">
      <c r="V22" s="90"/>
    </row>
    <row r="23" spans="1:30" x14ac:dyDescent="0.3">
      <c r="B23" s="80" t="s">
        <v>154</v>
      </c>
      <c r="C23" s="33"/>
      <c r="D23" s="33"/>
      <c r="E23" s="33"/>
      <c r="F23" s="33"/>
      <c r="G23" s="80" t="s">
        <v>155</v>
      </c>
      <c r="H23" s="33"/>
      <c r="I23" s="33"/>
      <c r="J23" s="33"/>
      <c r="K23" s="33"/>
      <c r="L23" s="80" t="s">
        <v>158</v>
      </c>
      <c r="M23" s="33"/>
      <c r="N23" s="33"/>
      <c r="O23" s="33"/>
      <c r="P23" s="80" t="s">
        <v>159</v>
      </c>
      <c r="Q23" s="33"/>
      <c r="R23" s="36"/>
      <c r="S23" s="33"/>
    </row>
    <row r="24" spans="1:30" x14ac:dyDescent="0.3">
      <c r="A24" s="89" t="s">
        <v>92</v>
      </c>
      <c r="B24" s="93" t="s">
        <v>34</v>
      </c>
      <c r="C24" s="93" t="s">
        <v>35</v>
      </c>
      <c r="D24" s="91" t="s">
        <v>142</v>
      </c>
      <c r="E24" s="93" t="s">
        <v>37</v>
      </c>
      <c r="F24" s="93" t="s">
        <v>73</v>
      </c>
      <c r="G24" s="94" t="s">
        <v>156</v>
      </c>
      <c r="H24" s="93" t="s">
        <v>33</v>
      </c>
      <c r="I24" s="94" t="s">
        <v>29</v>
      </c>
      <c r="J24" s="94" t="s">
        <v>30</v>
      </c>
      <c r="K24" s="91" t="s">
        <v>73</v>
      </c>
      <c r="L24" s="91" t="s">
        <v>157</v>
      </c>
      <c r="M24" s="91" t="s">
        <v>142</v>
      </c>
      <c r="N24" s="95" t="s">
        <v>99</v>
      </c>
      <c r="O24" s="91" t="s">
        <v>73</v>
      </c>
      <c r="P24" s="91" t="s">
        <v>157</v>
      </c>
      <c r="Q24" s="91" t="s">
        <v>142</v>
      </c>
      <c r="R24" s="91" t="s">
        <v>96</v>
      </c>
      <c r="S24" s="91" t="s">
        <v>73</v>
      </c>
      <c r="U24" s="106" t="s">
        <v>92</v>
      </c>
      <c r="V24" s="33" t="s">
        <v>61</v>
      </c>
      <c r="W24" s="104" t="s">
        <v>186</v>
      </c>
      <c r="X24" s="33" t="s">
        <v>177</v>
      </c>
      <c r="Y24" s="104" t="s">
        <v>178</v>
      </c>
      <c r="Z24" s="104" t="s">
        <v>195</v>
      </c>
      <c r="AA24">
        <v>303</v>
      </c>
      <c r="AB24">
        <v>313</v>
      </c>
      <c r="AC24">
        <v>323</v>
      </c>
      <c r="AD24">
        <v>333</v>
      </c>
    </row>
    <row r="25" spans="1:30" x14ac:dyDescent="0.3">
      <c r="B25" s="92">
        <v>6.7000000000000004E-2</v>
      </c>
      <c r="C25" s="92">
        <f>1/B25</f>
        <v>14.925373134328357</v>
      </c>
      <c r="D25" s="92">
        <v>0.53800000000000003</v>
      </c>
      <c r="E25" s="92">
        <f>POWER(10,D25)</f>
        <v>3.4514373933585629</v>
      </c>
      <c r="F25" s="92">
        <v>0.72699999999999998</v>
      </c>
      <c r="G25" s="92">
        <v>0.23300000000000001</v>
      </c>
      <c r="H25" s="92">
        <f>1/G25</f>
        <v>4.2918454935622314</v>
      </c>
      <c r="I25" s="92">
        <v>9.8000000000000004E-2</v>
      </c>
      <c r="J25" s="92">
        <f>1/(H25*I25)</f>
        <v>2.3775510204081631</v>
      </c>
      <c r="K25" s="92">
        <v>0.998</v>
      </c>
      <c r="L25" s="92">
        <v>0.26100000000000001</v>
      </c>
      <c r="M25" s="92">
        <v>3.4359999999999999</v>
      </c>
      <c r="N25" s="92">
        <f>POWER(10,M25/(2.303*L25))</f>
        <v>520413.62379628519</v>
      </c>
      <c r="O25" s="92">
        <v>0.72799999999999998</v>
      </c>
      <c r="P25" s="92">
        <v>0.93200000000000005</v>
      </c>
      <c r="Q25" s="92">
        <v>-0.53800000000000003</v>
      </c>
      <c r="R25" s="92">
        <f>POWER(10,Q25)</f>
        <v>0.28973435877013226</v>
      </c>
      <c r="S25" s="92">
        <v>0.998</v>
      </c>
      <c r="V25" s="33">
        <v>1114</v>
      </c>
      <c r="W25" s="33">
        <f>-8.314*V25</f>
        <v>-9261.7960000000003</v>
      </c>
      <c r="X25" s="33">
        <v>-5.4379999999999997</v>
      </c>
      <c r="Y25" s="33">
        <f>8.314*X25</f>
        <v>-45.211531999999998</v>
      </c>
      <c r="Z25" s="104" t="s">
        <v>179</v>
      </c>
      <c r="AA25">
        <f>(-9261.8-(AA24*-45.212))/1000</f>
        <v>4.4374360000000017</v>
      </c>
      <c r="AB25">
        <f t="shared" ref="AB25:AD25" si="1">(-9261.8-(AB24*-45.212))/1000</f>
        <v>4.8895560000000025</v>
      </c>
      <c r="AC25">
        <f t="shared" si="1"/>
        <v>5.3416760000000014</v>
      </c>
      <c r="AD25">
        <f t="shared" si="1"/>
        <v>5.7937960000000022</v>
      </c>
    </row>
    <row r="27" spans="1:30" x14ac:dyDescent="0.3">
      <c r="B27" s="80" t="s">
        <v>154</v>
      </c>
      <c r="C27" s="33"/>
      <c r="D27" s="33"/>
      <c r="E27" s="33"/>
      <c r="F27" s="33"/>
      <c r="G27" s="80" t="s">
        <v>155</v>
      </c>
      <c r="H27" s="33"/>
      <c r="I27" s="33"/>
      <c r="J27" s="33"/>
      <c r="K27" s="33"/>
      <c r="L27" s="80" t="s">
        <v>158</v>
      </c>
      <c r="M27" s="33"/>
      <c r="N27" s="33"/>
      <c r="O27" s="33"/>
      <c r="P27" s="80" t="s">
        <v>159</v>
      </c>
      <c r="Q27" s="33"/>
      <c r="R27" s="36"/>
      <c r="S27" s="33"/>
      <c r="U27" s="106" t="s">
        <v>93</v>
      </c>
      <c r="V27" s="33" t="s">
        <v>61</v>
      </c>
      <c r="W27" s="104" t="s">
        <v>186</v>
      </c>
      <c r="X27" s="33" t="s">
        <v>177</v>
      </c>
      <c r="Y27" s="104" t="s">
        <v>178</v>
      </c>
      <c r="Z27" s="104" t="s">
        <v>195</v>
      </c>
      <c r="AA27">
        <v>303</v>
      </c>
      <c r="AB27">
        <v>313</v>
      </c>
      <c r="AC27">
        <v>323</v>
      </c>
      <c r="AD27">
        <v>333</v>
      </c>
    </row>
    <row r="28" spans="1:30" x14ac:dyDescent="0.3">
      <c r="A28" s="89" t="s">
        <v>93</v>
      </c>
      <c r="B28" s="93" t="s">
        <v>34</v>
      </c>
      <c r="C28" s="93" t="s">
        <v>35</v>
      </c>
      <c r="D28" s="91" t="s">
        <v>142</v>
      </c>
      <c r="E28" s="93" t="s">
        <v>37</v>
      </c>
      <c r="F28" s="93" t="s">
        <v>73</v>
      </c>
      <c r="G28" s="94" t="s">
        <v>156</v>
      </c>
      <c r="H28" s="93" t="s">
        <v>33</v>
      </c>
      <c r="I28" s="94" t="s">
        <v>29</v>
      </c>
      <c r="J28" s="94" t="s">
        <v>30</v>
      </c>
      <c r="K28" s="91" t="s">
        <v>73</v>
      </c>
      <c r="L28" s="91" t="s">
        <v>157</v>
      </c>
      <c r="M28" s="91" t="s">
        <v>142</v>
      </c>
      <c r="N28" s="95" t="s">
        <v>99</v>
      </c>
      <c r="O28" s="91" t="s">
        <v>73</v>
      </c>
      <c r="P28" s="91" t="s">
        <v>157</v>
      </c>
      <c r="Q28" s="91" t="s">
        <v>142</v>
      </c>
      <c r="R28" s="91" t="s">
        <v>96</v>
      </c>
      <c r="S28" s="91" t="s">
        <v>73</v>
      </c>
      <c r="V28" s="33">
        <v>3296</v>
      </c>
      <c r="W28" s="33">
        <f>-8.314*V28</f>
        <v>-27402.944</v>
      </c>
      <c r="X28" s="33">
        <v>-10.49</v>
      </c>
      <c r="Y28" s="33">
        <f>8.314*X28</f>
        <v>-87.213859999999997</v>
      </c>
      <c r="Z28" s="104" t="s">
        <v>179</v>
      </c>
      <c r="AA28">
        <f>(-27403-(AA27*-87.214))/1000</f>
        <v>-0.97715799999999942</v>
      </c>
      <c r="AB28">
        <f t="shared" ref="AB28:AD28" si="2">(-27403-(AB27*-87.214))/1000</f>
        <v>-0.10501800000000003</v>
      </c>
      <c r="AC28">
        <f t="shared" si="2"/>
        <v>0.76712199999999942</v>
      </c>
      <c r="AD28">
        <f t="shared" si="2"/>
        <v>1.6392619999999989</v>
      </c>
    </row>
    <row r="29" spans="1:30" x14ac:dyDescent="0.3">
      <c r="B29" s="92">
        <v>0.16</v>
      </c>
      <c r="C29" s="92">
        <f>1/B29</f>
        <v>6.25</v>
      </c>
      <c r="D29" s="92">
        <v>1.026</v>
      </c>
      <c r="E29" s="92">
        <f>POWER(10,D29)</f>
        <v>10.616955571987249</v>
      </c>
      <c r="F29" s="92">
        <v>0.84399999999999997</v>
      </c>
      <c r="G29" s="92">
        <v>6.3E-2</v>
      </c>
      <c r="H29" s="92">
        <f>1/G29</f>
        <v>15.873015873015873</v>
      </c>
      <c r="I29" s="92">
        <v>3.2000000000000001E-2</v>
      </c>
      <c r="J29" s="92">
        <f>1/(H29*I29)</f>
        <v>1.96875</v>
      </c>
      <c r="K29" s="92">
        <v>0.94699999999999995</v>
      </c>
      <c r="L29" s="92">
        <v>1.67</v>
      </c>
      <c r="M29" s="92">
        <v>10.99</v>
      </c>
      <c r="N29" s="92">
        <f>POWER(10,M29/(2.303*L29))</f>
        <v>720.28914648449347</v>
      </c>
      <c r="O29" s="92">
        <v>0.76400000000000001</v>
      </c>
      <c r="P29" s="92">
        <v>0.83899999999999997</v>
      </c>
      <c r="Q29" s="92">
        <v>-1.026</v>
      </c>
      <c r="R29" s="92">
        <f>POWER(10,Q29)</f>
        <v>9.4188959652284104E-2</v>
      </c>
      <c r="S29" s="92">
        <v>0.99299999999999999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01"/>
  <sheetViews>
    <sheetView topLeftCell="C1" zoomScale="98" zoomScaleNormal="98" workbookViewId="0">
      <selection activeCell="K1" sqref="K1"/>
    </sheetView>
  </sheetViews>
  <sheetFormatPr defaultRowHeight="14.4" x14ac:dyDescent="0.3"/>
  <sheetData>
    <row r="1" spans="1:37" x14ac:dyDescent="0.3">
      <c r="A1" s="32" t="s">
        <v>91</v>
      </c>
      <c r="B1" s="56" t="s">
        <v>58</v>
      </c>
      <c r="C1" s="54"/>
      <c r="D1" s="57"/>
      <c r="E1" s="58"/>
      <c r="F1" s="9"/>
      <c r="G1" s="9"/>
      <c r="H1" s="9"/>
      <c r="I1" s="9" t="s">
        <v>45</v>
      </c>
      <c r="J1" s="9"/>
      <c r="K1" s="9" t="s">
        <v>46</v>
      </c>
      <c r="L1" s="9" t="s">
        <v>47</v>
      </c>
      <c r="M1" s="9"/>
      <c r="N1" s="32" t="s">
        <v>48</v>
      </c>
      <c r="P1" s="32" t="s">
        <v>49</v>
      </c>
      <c r="Q1" s="32" t="s">
        <v>50</v>
      </c>
      <c r="Z1" s="47" t="s">
        <v>54</v>
      </c>
      <c r="AA1" s="32" t="s">
        <v>104</v>
      </c>
    </row>
    <row r="2" spans="1:37" x14ac:dyDescent="0.3">
      <c r="A2" s="32" t="s">
        <v>49</v>
      </c>
      <c r="B2" s="32" t="s">
        <v>2</v>
      </c>
      <c r="C2" s="32" t="s">
        <v>3</v>
      </c>
      <c r="D2" s="32" t="s">
        <v>50</v>
      </c>
      <c r="E2" s="47" t="s">
        <v>4</v>
      </c>
      <c r="F2" s="47" t="s">
        <v>22</v>
      </c>
      <c r="G2" s="32" t="s">
        <v>24</v>
      </c>
      <c r="H2" s="32" t="s">
        <v>25</v>
      </c>
      <c r="I2" s="47" t="s">
        <v>51</v>
      </c>
      <c r="J2" s="47" t="s">
        <v>52</v>
      </c>
      <c r="K2" s="47" t="s">
        <v>53</v>
      </c>
      <c r="L2" s="47" t="s">
        <v>54</v>
      </c>
      <c r="M2" s="48" t="s">
        <v>55</v>
      </c>
      <c r="N2" s="47" t="s">
        <v>56</v>
      </c>
      <c r="P2" s="33">
        <v>0</v>
      </c>
      <c r="Q2" s="10">
        <v>0</v>
      </c>
      <c r="Z2" s="10"/>
      <c r="AA2" s="49"/>
    </row>
    <row r="3" spans="1:37" x14ac:dyDescent="0.3">
      <c r="A3" s="33">
        <v>0</v>
      </c>
      <c r="B3" s="9">
        <v>0</v>
      </c>
      <c r="C3" s="49">
        <v>0</v>
      </c>
      <c r="D3" s="10" t="e">
        <f>(B3-C3)*100/B3</f>
        <v>#DIV/0!</v>
      </c>
      <c r="E3" s="10" t="e">
        <f>(20*C3)/B3</f>
        <v>#DIV/0!</v>
      </c>
      <c r="F3" s="9">
        <v>2</v>
      </c>
      <c r="G3" s="10" t="e">
        <f>20-E3</f>
        <v>#DIV/0!</v>
      </c>
      <c r="H3" s="49" t="e">
        <f>G3/F3</f>
        <v>#DIV/0!</v>
      </c>
      <c r="I3" s="10" t="e">
        <f>LOG(4.409-H3)</f>
        <v>#DIV/0!</v>
      </c>
      <c r="J3" s="49" t="e">
        <f>LOG(H3)</f>
        <v>#DIV/0!</v>
      </c>
      <c r="K3" s="10" t="e">
        <f t="shared" ref="K3:K15" si="0">A3/H3</f>
        <v>#DIV/0!</v>
      </c>
      <c r="L3" s="10">
        <f t="shared" ref="L3:L15" si="1">SQRT(A3)</f>
        <v>0</v>
      </c>
      <c r="M3" s="50" t="e">
        <f>LOG(A3)</f>
        <v>#NUM!</v>
      </c>
      <c r="N3" s="10" t="e">
        <f>LN(A3)</f>
        <v>#NUM!</v>
      </c>
      <c r="P3" s="9">
        <v>5</v>
      </c>
      <c r="Q3" s="10">
        <v>26.77</v>
      </c>
      <c r="Z3" s="10">
        <v>2.2360679774997898</v>
      </c>
      <c r="AA3" s="49">
        <v>2.6771653543307092</v>
      </c>
    </row>
    <row r="4" spans="1:37" x14ac:dyDescent="0.3">
      <c r="A4" s="9">
        <v>5</v>
      </c>
      <c r="B4" s="9">
        <v>0.254</v>
      </c>
      <c r="C4" s="49">
        <v>0.186</v>
      </c>
      <c r="D4" s="10">
        <f t="shared" ref="D4:D15" si="2">(B4-C4)*100/B4</f>
        <v>26.771653543307089</v>
      </c>
      <c r="E4" s="10">
        <f t="shared" ref="E4:E15" si="3">(20*C4)/B4</f>
        <v>14.645669291338582</v>
      </c>
      <c r="F4" s="9">
        <v>2</v>
      </c>
      <c r="G4" s="10">
        <f t="shared" ref="G4:G15" si="4">20-E4</f>
        <v>5.3543307086614185</v>
      </c>
      <c r="H4" s="49">
        <f t="shared" ref="H4:H11" si="5">G4/F4</f>
        <v>2.6771653543307092</v>
      </c>
      <c r="I4" s="10">
        <f t="shared" ref="I4:I15" si="6">LOG(4.409-H4)</f>
        <v>0.23850642353491991</v>
      </c>
      <c r="J4" s="49">
        <f t="shared" ref="J4:J15" si="7">LOG(H4)</f>
        <v>0.42767519608629834</v>
      </c>
      <c r="K4" s="10">
        <f t="shared" si="0"/>
        <v>1.867647058823529</v>
      </c>
      <c r="L4" s="10">
        <f t="shared" si="1"/>
        <v>2.2360679774997898</v>
      </c>
      <c r="M4" s="50">
        <f t="shared" ref="M4:M15" si="8">LOG(A4)</f>
        <v>0.69897000433601886</v>
      </c>
      <c r="N4" s="10">
        <f t="shared" ref="N4:N15" si="9">LN(A4)</f>
        <v>1.6094379124341003</v>
      </c>
      <c r="P4" s="9">
        <v>10</v>
      </c>
      <c r="Q4" s="10">
        <v>33.86</v>
      </c>
      <c r="Z4" s="10">
        <v>3.1622776601683795</v>
      </c>
      <c r="AA4" s="49">
        <v>3.3858267716535426</v>
      </c>
    </row>
    <row r="5" spans="1:37" x14ac:dyDescent="0.3">
      <c r="A5" s="9">
        <v>10</v>
      </c>
      <c r="B5" s="9">
        <v>0.254</v>
      </c>
      <c r="C5" s="49">
        <v>0.16800000000000001</v>
      </c>
      <c r="D5" s="10">
        <f t="shared" si="2"/>
        <v>33.85826771653543</v>
      </c>
      <c r="E5" s="10">
        <f t="shared" si="3"/>
        <v>13.228346456692915</v>
      </c>
      <c r="F5" s="9">
        <v>2</v>
      </c>
      <c r="G5" s="10">
        <f t="shared" si="4"/>
        <v>6.7716535433070852</v>
      </c>
      <c r="H5" s="49">
        <f t="shared" si="5"/>
        <v>3.3858267716535426</v>
      </c>
      <c r="I5" s="10">
        <f t="shared" si="6"/>
        <v>9.9491681657568488E-3</v>
      </c>
      <c r="J5" s="49">
        <f t="shared" si="7"/>
        <v>0.52966473462362962</v>
      </c>
      <c r="K5" s="10">
        <f t="shared" si="0"/>
        <v>2.9534883720930241</v>
      </c>
      <c r="L5" s="10">
        <f t="shared" si="1"/>
        <v>3.1622776601683795</v>
      </c>
      <c r="M5" s="50">
        <f t="shared" si="8"/>
        <v>1</v>
      </c>
      <c r="N5" s="10">
        <f t="shared" si="9"/>
        <v>2.3025850929940459</v>
      </c>
      <c r="P5" s="9">
        <v>15</v>
      </c>
      <c r="Q5" s="10">
        <v>38.58</v>
      </c>
      <c r="Z5" s="10">
        <v>3.872983346207417</v>
      </c>
      <c r="AA5" s="49">
        <v>3.8582677165354333</v>
      </c>
      <c r="AJ5" s="10">
        <v>5.4772255750516612</v>
      </c>
      <c r="AK5" s="49">
        <v>4.1732283464566935</v>
      </c>
    </row>
    <row r="6" spans="1:37" x14ac:dyDescent="0.3">
      <c r="A6" s="9">
        <v>15</v>
      </c>
      <c r="B6" s="9">
        <v>0.254</v>
      </c>
      <c r="C6" s="49">
        <v>0.156</v>
      </c>
      <c r="D6" s="10">
        <f t="shared" si="2"/>
        <v>38.582677165354333</v>
      </c>
      <c r="E6" s="10">
        <f t="shared" si="3"/>
        <v>12.283464566929133</v>
      </c>
      <c r="F6" s="9">
        <v>2</v>
      </c>
      <c r="G6" s="10">
        <f t="shared" si="4"/>
        <v>7.7165354330708666</v>
      </c>
      <c r="H6" s="49">
        <f t="shared" si="5"/>
        <v>3.8582677165354333</v>
      </c>
      <c r="I6" s="10">
        <f t="shared" si="6"/>
        <v>-0.2590594647942322</v>
      </c>
      <c r="J6" s="49">
        <f t="shared" si="7"/>
        <v>0.58639235907255682</v>
      </c>
      <c r="K6" s="10">
        <f t="shared" si="0"/>
        <v>3.8877551020408161</v>
      </c>
      <c r="L6" s="10">
        <f t="shared" si="1"/>
        <v>3.872983346207417</v>
      </c>
      <c r="M6" s="50">
        <f t="shared" si="8"/>
        <v>1.1760912590556813</v>
      </c>
      <c r="N6" s="10">
        <f t="shared" si="9"/>
        <v>2.7080502011022101</v>
      </c>
      <c r="P6" s="9">
        <v>20</v>
      </c>
      <c r="Q6" s="10">
        <v>40.549999999999997</v>
      </c>
      <c r="Z6" s="10">
        <v>4.4721359549995796</v>
      </c>
      <c r="AA6" s="49">
        <v>4.0551181102362204</v>
      </c>
      <c r="AJ6" s="10">
        <v>6.324555320336759</v>
      </c>
      <c r="AK6" s="49">
        <v>4.2519685039370083</v>
      </c>
    </row>
    <row r="7" spans="1:37" x14ac:dyDescent="0.3">
      <c r="A7" s="9">
        <v>20</v>
      </c>
      <c r="B7" s="9">
        <v>0.254</v>
      </c>
      <c r="C7" s="49">
        <v>0.151</v>
      </c>
      <c r="D7" s="10">
        <f t="shared" si="2"/>
        <v>40.551181102362207</v>
      </c>
      <c r="E7" s="10">
        <f t="shared" si="3"/>
        <v>11.889763779527559</v>
      </c>
      <c r="F7" s="9">
        <v>2</v>
      </c>
      <c r="G7" s="10">
        <f t="shared" si="4"/>
        <v>8.1102362204724407</v>
      </c>
      <c r="H7" s="49">
        <f t="shared" si="5"/>
        <v>4.0551181102362204</v>
      </c>
      <c r="I7" s="10">
        <f t="shared" si="6"/>
        <v>-0.45114166221952662</v>
      </c>
      <c r="J7" s="49">
        <f t="shared" si="7"/>
        <v>0.60800350808523418</v>
      </c>
      <c r="K7" s="10">
        <f t="shared" si="0"/>
        <v>4.9320388349514568</v>
      </c>
      <c r="L7" s="10">
        <f t="shared" si="1"/>
        <v>4.4721359549995796</v>
      </c>
      <c r="M7" s="50">
        <f t="shared" si="8"/>
        <v>1.3010299956639813</v>
      </c>
      <c r="N7" s="10">
        <f t="shared" si="9"/>
        <v>2.9957322735539909</v>
      </c>
      <c r="P7" s="9">
        <v>30</v>
      </c>
      <c r="Q7" s="10">
        <v>41.732283464566933</v>
      </c>
      <c r="Z7" s="10">
        <v>5.4772255750516612</v>
      </c>
      <c r="AA7" s="49">
        <v>4.1732283464566935</v>
      </c>
      <c r="AJ7" s="10">
        <v>7.0710678118654755</v>
      </c>
      <c r="AK7" s="49">
        <v>4.2913385826771657</v>
      </c>
    </row>
    <row r="8" spans="1:37" x14ac:dyDescent="0.3">
      <c r="A8" s="9">
        <v>30</v>
      </c>
      <c r="B8" s="9">
        <v>0.254</v>
      </c>
      <c r="C8" s="49">
        <v>0.14799999999999999</v>
      </c>
      <c r="D8" s="10">
        <f t="shared" si="2"/>
        <v>41.732283464566933</v>
      </c>
      <c r="E8" s="10">
        <f t="shared" si="3"/>
        <v>11.653543307086613</v>
      </c>
      <c r="F8" s="9">
        <v>2</v>
      </c>
      <c r="G8" s="10">
        <f t="shared" si="4"/>
        <v>8.346456692913387</v>
      </c>
      <c r="H8" s="49">
        <f t="shared" si="5"/>
        <v>4.1732283464566935</v>
      </c>
      <c r="I8" s="10">
        <f t="shared" si="6"/>
        <v>-0.62750841064781093</v>
      </c>
      <c r="J8" s="49">
        <f t="shared" si="7"/>
        <v>0.62047214864483224</v>
      </c>
      <c r="K8" s="10">
        <f t="shared" si="0"/>
        <v>7.1886792452830175</v>
      </c>
      <c r="L8" s="10">
        <f t="shared" si="1"/>
        <v>5.4772255750516612</v>
      </c>
      <c r="M8" s="50">
        <f t="shared" si="8"/>
        <v>1.4771212547196624</v>
      </c>
      <c r="N8" s="10">
        <f t="shared" si="9"/>
        <v>3.4011973816621555</v>
      </c>
      <c r="P8" s="9">
        <v>40</v>
      </c>
      <c r="Q8" s="10">
        <v>42.519685039370081</v>
      </c>
      <c r="Z8" s="10">
        <v>6.324555320336759</v>
      </c>
      <c r="AA8" s="49">
        <v>4.2519685039370083</v>
      </c>
      <c r="AJ8" s="10">
        <v>7.745966692414834</v>
      </c>
      <c r="AK8" s="49">
        <v>4.3307086614173231</v>
      </c>
    </row>
    <row r="9" spans="1:37" x14ac:dyDescent="0.3">
      <c r="A9" s="9">
        <v>40</v>
      </c>
      <c r="B9" s="9">
        <v>0.254</v>
      </c>
      <c r="C9" s="49">
        <v>0.14599999999999999</v>
      </c>
      <c r="D9" s="10">
        <f t="shared" si="2"/>
        <v>42.519685039370081</v>
      </c>
      <c r="E9" s="10">
        <f t="shared" si="3"/>
        <v>11.496062992125983</v>
      </c>
      <c r="F9" s="9">
        <v>2</v>
      </c>
      <c r="G9" s="10">
        <f t="shared" si="4"/>
        <v>8.5039370078740166</v>
      </c>
      <c r="H9" s="49">
        <f t="shared" si="5"/>
        <v>4.2519685039370083</v>
      </c>
      <c r="I9" s="10">
        <f t="shared" si="6"/>
        <v>-0.80401323170222494</v>
      </c>
      <c r="J9" s="49">
        <f t="shared" si="7"/>
        <v>0.6285900388670117</v>
      </c>
      <c r="K9" s="10">
        <f t="shared" si="0"/>
        <v>9.4074074074074066</v>
      </c>
      <c r="L9" s="10">
        <f t="shared" si="1"/>
        <v>6.324555320336759</v>
      </c>
      <c r="M9" s="50">
        <f t="shared" si="8"/>
        <v>1.6020599913279623</v>
      </c>
      <c r="N9" s="10">
        <f t="shared" si="9"/>
        <v>3.6888794541139363</v>
      </c>
      <c r="P9" s="9">
        <v>50</v>
      </c>
      <c r="Q9" s="10">
        <v>42.913385826771659</v>
      </c>
      <c r="Z9" s="10">
        <v>7.0710678118654755</v>
      </c>
      <c r="AA9" s="49">
        <v>4.2913385826771657</v>
      </c>
      <c r="AJ9" s="10">
        <v>9.4868329805051381</v>
      </c>
      <c r="AK9" s="49">
        <v>4.3700787401574805</v>
      </c>
    </row>
    <row r="10" spans="1:37" x14ac:dyDescent="0.3">
      <c r="A10" s="9">
        <v>50</v>
      </c>
      <c r="B10" s="9">
        <v>0.254</v>
      </c>
      <c r="C10" s="49">
        <v>0.14499999999999999</v>
      </c>
      <c r="D10" s="10">
        <f t="shared" si="2"/>
        <v>42.913385826771659</v>
      </c>
      <c r="E10" s="10">
        <f t="shared" si="3"/>
        <v>11.417322834645669</v>
      </c>
      <c r="F10" s="9">
        <v>2</v>
      </c>
      <c r="G10" s="10">
        <f t="shared" si="4"/>
        <v>8.5826771653543314</v>
      </c>
      <c r="H10" s="49">
        <f t="shared" si="5"/>
        <v>4.2913385826771657</v>
      </c>
      <c r="I10" s="10">
        <f t="shared" si="6"/>
        <v>-0.92936592450391309</v>
      </c>
      <c r="J10" s="49">
        <f t="shared" si="7"/>
        <v>0.63259278132068564</v>
      </c>
      <c r="K10" s="10">
        <f t="shared" si="0"/>
        <v>11.651376146788991</v>
      </c>
      <c r="L10" s="10">
        <f t="shared" si="1"/>
        <v>7.0710678118654755</v>
      </c>
      <c r="M10" s="50">
        <f t="shared" si="8"/>
        <v>1.6989700043360187</v>
      </c>
      <c r="N10" s="10">
        <f t="shared" si="9"/>
        <v>3.912023005428146</v>
      </c>
      <c r="P10" s="9">
        <v>60</v>
      </c>
      <c r="Q10" s="10">
        <v>43.307086614173237</v>
      </c>
      <c r="Z10" s="10">
        <v>7.745966692414834</v>
      </c>
      <c r="AA10" s="49">
        <v>4.3307086614173231</v>
      </c>
      <c r="AJ10" s="10">
        <v>10.954451150103322</v>
      </c>
      <c r="AK10" s="49">
        <v>4.409448818897638</v>
      </c>
    </row>
    <row r="11" spans="1:37" x14ac:dyDescent="0.3">
      <c r="A11" s="9">
        <v>60</v>
      </c>
      <c r="B11" s="9">
        <v>0.254</v>
      </c>
      <c r="C11" s="49">
        <v>0.14399999999999999</v>
      </c>
      <c r="D11" s="10">
        <f t="shared" si="2"/>
        <v>43.307086614173237</v>
      </c>
      <c r="E11" s="10">
        <f t="shared" si="3"/>
        <v>11.338582677165354</v>
      </c>
      <c r="F11" s="9">
        <v>2</v>
      </c>
      <c r="G11" s="10">
        <f t="shared" si="4"/>
        <v>8.6614173228346463</v>
      </c>
      <c r="H11" s="49">
        <f t="shared" si="5"/>
        <v>4.3307086614173231</v>
      </c>
      <c r="I11" s="10">
        <f t="shared" si="6"/>
        <v>-1.1062862815412347</v>
      </c>
      <c r="J11" s="49">
        <f t="shared" si="7"/>
        <v>0.63655896853828697</v>
      </c>
      <c r="K11" s="10">
        <f t="shared" si="0"/>
        <v>13.854545454545454</v>
      </c>
      <c r="L11" s="10">
        <f t="shared" si="1"/>
        <v>7.745966692414834</v>
      </c>
      <c r="M11" s="50">
        <f t="shared" si="8"/>
        <v>1.7781512503836436</v>
      </c>
      <c r="N11" s="10">
        <f t="shared" si="9"/>
        <v>4.0943445622221004</v>
      </c>
      <c r="P11" s="9">
        <v>90</v>
      </c>
      <c r="Q11" s="10">
        <v>43.700787401574807</v>
      </c>
      <c r="Z11" s="10">
        <v>9.4868329805051381</v>
      </c>
      <c r="AA11" s="49">
        <v>4.3700787401574805</v>
      </c>
    </row>
    <row r="12" spans="1:37" x14ac:dyDescent="0.3">
      <c r="A12" s="9">
        <v>90</v>
      </c>
      <c r="B12" s="9">
        <v>0.254</v>
      </c>
      <c r="C12" s="49">
        <v>0.14299999999999999</v>
      </c>
      <c r="D12" s="10">
        <f t="shared" si="2"/>
        <v>43.700787401574807</v>
      </c>
      <c r="E12" s="10">
        <f t="shared" si="3"/>
        <v>11.259842519685039</v>
      </c>
      <c r="F12" s="9">
        <v>2</v>
      </c>
      <c r="G12" s="10">
        <f t="shared" si="4"/>
        <v>8.7401574803149611</v>
      </c>
      <c r="H12" s="49">
        <f>G12/F12</f>
        <v>4.3700787401574805</v>
      </c>
      <c r="I12" s="10">
        <f t="shared" si="6"/>
        <v>-1.4098131104951848</v>
      </c>
      <c r="J12" s="49">
        <f t="shared" si="7"/>
        <v>0.64048926216671942</v>
      </c>
      <c r="K12" s="10">
        <f t="shared" si="0"/>
        <v>20.594594594594593</v>
      </c>
      <c r="L12" s="10">
        <f t="shared" si="1"/>
        <v>9.4868329805051381</v>
      </c>
      <c r="M12" s="50">
        <f t="shared" si="8"/>
        <v>1.954242509439325</v>
      </c>
      <c r="N12" s="10">
        <f t="shared" si="9"/>
        <v>4.499809670330265</v>
      </c>
      <c r="P12" s="9">
        <v>120</v>
      </c>
      <c r="Q12" s="10">
        <v>44.094488188976385</v>
      </c>
      <c r="Z12" s="10">
        <v>10.954451150103322</v>
      </c>
      <c r="AA12" s="49">
        <v>4.409448818897638</v>
      </c>
    </row>
    <row r="13" spans="1:37" x14ac:dyDescent="0.3">
      <c r="A13" s="9">
        <v>120</v>
      </c>
      <c r="B13" s="9">
        <v>0.254</v>
      </c>
      <c r="C13" s="49">
        <v>0.14199999999999999</v>
      </c>
      <c r="D13" s="10">
        <f t="shared" si="2"/>
        <v>44.094488188976385</v>
      </c>
      <c r="E13" s="10">
        <f t="shared" si="3"/>
        <v>11.181102362204724</v>
      </c>
      <c r="F13" s="9">
        <v>2</v>
      </c>
      <c r="G13" s="10">
        <f t="shared" si="4"/>
        <v>8.8188976377952759</v>
      </c>
      <c r="H13" s="49">
        <f t="shared" ref="H13:H15" si="10">G13/F13</f>
        <v>4.409448818897638</v>
      </c>
      <c r="I13" s="10" t="e">
        <f t="shared" si="6"/>
        <v>#NUM!</v>
      </c>
      <c r="J13" s="49">
        <f t="shared" si="7"/>
        <v>0.64438430605024355</v>
      </c>
      <c r="K13" s="10">
        <f t="shared" si="0"/>
        <v>27.214285714285712</v>
      </c>
      <c r="L13" s="10">
        <f t="shared" si="1"/>
        <v>10.954451150103322</v>
      </c>
      <c r="M13" s="50">
        <f t="shared" si="8"/>
        <v>2.0791812460476247</v>
      </c>
      <c r="N13" s="10">
        <f t="shared" si="9"/>
        <v>4.7874917427820458</v>
      </c>
      <c r="P13" s="51">
        <v>180</v>
      </c>
      <c r="Q13" s="10">
        <v>44.094488188976385</v>
      </c>
      <c r="Z13" s="10">
        <v>13.416407864998739</v>
      </c>
      <c r="AA13" s="49">
        <v>4.409448818897638</v>
      </c>
    </row>
    <row r="14" spans="1:37" x14ac:dyDescent="0.3">
      <c r="A14" s="51">
        <v>180</v>
      </c>
      <c r="B14" s="9">
        <v>0.254</v>
      </c>
      <c r="C14" s="49">
        <v>0.14199999999999999</v>
      </c>
      <c r="D14" s="10">
        <f t="shared" si="2"/>
        <v>44.094488188976385</v>
      </c>
      <c r="E14" s="10">
        <f t="shared" si="3"/>
        <v>11.181102362204724</v>
      </c>
      <c r="F14" s="9">
        <v>2</v>
      </c>
      <c r="G14" s="10">
        <f t="shared" si="4"/>
        <v>8.8188976377952759</v>
      </c>
      <c r="H14" s="49">
        <f t="shared" si="10"/>
        <v>4.409448818897638</v>
      </c>
      <c r="I14" s="10" t="e">
        <f t="shared" si="6"/>
        <v>#NUM!</v>
      </c>
      <c r="J14" s="49">
        <f t="shared" si="7"/>
        <v>0.64438430605024355</v>
      </c>
      <c r="K14" s="10">
        <f t="shared" si="0"/>
        <v>40.821428571428569</v>
      </c>
      <c r="L14" s="10">
        <f t="shared" si="1"/>
        <v>13.416407864998739</v>
      </c>
      <c r="M14" s="50">
        <f t="shared" si="8"/>
        <v>2.255272505103306</v>
      </c>
      <c r="N14" s="10">
        <f t="shared" si="9"/>
        <v>5.1929568508902104</v>
      </c>
      <c r="P14" s="51">
        <v>240</v>
      </c>
      <c r="Q14" s="10">
        <v>44.094488188976385</v>
      </c>
      <c r="Z14" s="10">
        <v>15.491933384829668</v>
      </c>
      <c r="AA14" s="49">
        <v>4.409448818897638</v>
      </c>
    </row>
    <row r="15" spans="1:37" x14ac:dyDescent="0.3">
      <c r="A15" s="51">
        <v>240</v>
      </c>
      <c r="B15" s="9">
        <v>0.254</v>
      </c>
      <c r="C15" s="49">
        <v>0.14199999999999999</v>
      </c>
      <c r="D15" s="10">
        <f t="shared" si="2"/>
        <v>44.094488188976385</v>
      </c>
      <c r="E15" s="10">
        <f t="shared" si="3"/>
        <v>11.181102362204724</v>
      </c>
      <c r="F15" s="9">
        <v>2</v>
      </c>
      <c r="G15" s="10">
        <f t="shared" si="4"/>
        <v>8.8188976377952759</v>
      </c>
      <c r="H15" s="49">
        <f t="shared" si="10"/>
        <v>4.409448818897638</v>
      </c>
      <c r="I15" s="10" t="e">
        <f t="shared" si="6"/>
        <v>#NUM!</v>
      </c>
      <c r="J15" s="49">
        <f t="shared" si="7"/>
        <v>0.64438430605024355</v>
      </c>
      <c r="K15" s="10">
        <f t="shared" si="0"/>
        <v>54.428571428571423</v>
      </c>
      <c r="L15" s="10">
        <f t="shared" si="1"/>
        <v>15.491933384829668</v>
      </c>
      <c r="M15" s="50">
        <f t="shared" si="8"/>
        <v>2.3802112417116059</v>
      </c>
      <c r="N15" s="10">
        <f t="shared" si="9"/>
        <v>5.4806389233419912</v>
      </c>
    </row>
    <row r="17" spans="1:22" x14ac:dyDescent="0.3">
      <c r="C17" s="98">
        <v>1</v>
      </c>
    </row>
    <row r="18" spans="1:22" x14ac:dyDescent="0.3">
      <c r="A18" s="32" t="s">
        <v>49</v>
      </c>
      <c r="B18" s="47" t="s">
        <v>51</v>
      </c>
      <c r="K18" s="32" t="s">
        <v>49</v>
      </c>
      <c r="L18" s="47" t="s">
        <v>53</v>
      </c>
      <c r="U18" s="47" t="s">
        <v>56</v>
      </c>
      <c r="V18" s="32" t="s">
        <v>104</v>
      </c>
    </row>
    <row r="19" spans="1:22" x14ac:dyDescent="0.3">
      <c r="A19" s="33"/>
      <c r="B19" s="10"/>
      <c r="K19" s="33"/>
      <c r="L19" s="10"/>
      <c r="U19" s="10"/>
      <c r="V19" s="49"/>
    </row>
    <row r="20" spans="1:22" x14ac:dyDescent="0.3">
      <c r="A20" s="9">
        <v>5</v>
      </c>
      <c r="B20" s="10">
        <v>0.23850642353491991</v>
      </c>
      <c r="K20" s="9">
        <v>5</v>
      </c>
      <c r="L20" s="10">
        <v>1.867647058823529</v>
      </c>
      <c r="U20" s="10">
        <v>1.6094379124341003</v>
      </c>
      <c r="V20" s="49">
        <v>2.6771653543307092</v>
      </c>
    </row>
    <row r="21" spans="1:22" x14ac:dyDescent="0.3">
      <c r="A21" s="9">
        <v>10</v>
      </c>
      <c r="B21" s="10">
        <v>9.9491681657568488E-3</v>
      </c>
      <c r="K21" s="9">
        <v>10</v>
      </c>
      <c r="L21" s="10">
        <v>2.9534883720930241</v>
      </c>
      <c r="U21" s="10">
        <v>2.3025850929940459</v>
      </c>
      <c r="V21" s="49">
        <v>3.3858267716535426</v>
      </c>
    </row>
    <row r="22" spans="1:22" x14ac:dyDescent="0.3">
      <c r="A22" s="9">
        <v>15</v>
      </c>
      <c r="B22" s="10">
        <v>-0.2590594647942322</v>
      </c>
      <c r="K22" s="9">
        <v>15</v>
      </c>
      <c r="L22" s="10">
        <v>3.8877551020408161</v>
      </c>
      <c r="U22" s="10">
        <v>2.7080502011022101</v>
      </c>
      <c r="V22" s="49">
        <v>3.8582677165354333</v>
      </c>
    </row>
    <row r="23" spans="1:22" x14ac:dyDescent="0.3">
      <c r="A23" s="9">
        <v>20</v>
      </c>
      <c r="B23" s="10">
        <v>-0.45114166221952662</v>
      </c>
      <c r="K23" s="9">
        <v>20</v>
      </c>
      <c r="L23" s="10">
        <v>4.9320388349514568</v>
      </c>
      <c r="U23" s="10">
        <v>2.9957322735539909</v>
      </c>
      <c r="V23" s="49">
        <v>4.0551181102362204</v>
      </c>
    </row>
    <row r="24" spans="1:22" x14ac:dyDescent="0.3">
      <c r="A24" s="9">
        <v>30</v>
      </c>
      <c r="B24" s="10">
        <v>-0.62750841064781093</v>
      </c>
      <c r="K24" s="9">
        <v>30</v>
      </c>
      <c r="L24" s="10">
        <v>7.1886792452830175</v>
      </c>
      <c r="U24" s="10">
        <v>3.4011973816621555</v>
      </c>
      <c r="V24" s="49">
        <v>4.1732283464566935</v>
      </c>
    </row>
    <row r="25" spans="1:22" x14ac:dyDescent="0.3">
      <c r="A25" s="9">
        <v>40</v>
      </c>
      <c r="B25" s="10">
        <v>-0.80401323170222494</v>
      </c>
      <c r="K25" s="9">
        <v>40</v>
      </c>
      <c r="L25" s="10">
        <v>9.4074074074074066</v>
      </c>
      <c r="U25" s="10">
        <v>3.6888794541139363</v>
      </c>
      <c r="V25" s="49">
        <v>4.2519685039370083</v>
      </c>
    </row>
    <row r="26" spans="1:22" x14ac:dyDescent="0.3">
      <c r="A26" s="9">
        <v>50</v>
      </c>
      <c r="B26" s="10">
        <v>-0.92936592450391309</v>
      </c>
      <c r="K26" s="9">
        <v>50</v>
      </c>
      <c r="L26" s="10">
        <v>11.651376146788991</v>
      </c>
      <c r="U26" s="10">
        <v>3.912023005428146</v>
      </c>
      <c r="V26" s="49">
        <v>4.2913385826771657</v>
      </c>
    </row>
    <row r="27" spans="1:22" x14ac:dyDescent="0.3">
      <c r="A27" s="9">
        <v>60</v>
      </c>
      <c r="B27" s="10">
        <v>-1.1062862815412347</v>
      </c>
      <c r="K27" s="9">
        <v>60</v>
      </c>
      <c r="L27" s="10">
        <v>13.854545454545454</v>
      </c>
      <c r="U27" s="10">
        <v>4.0943445622221004</v>
      </c>
      <c r="V27" s="49">
        <v>4.3307086614173231</v>
      </c>
    </row>
    <row r="28" spans="1:22" x14ac:dyDescent="0.3">
      <c r="A28" s="9">
        <v>90</v>
      </c>
      <c r="B28" s="10">
        <v>-1.4098131104951848</v>
      </c>
      <c r="K28" s="9">
        <v>90</v>
      </c>
      <c r="L28" s="10">
        <v>20.594594594594593</v>
      </c>
      <c r="U28" s="10">
        <v>4.499809670330265</v>
      </c>
      <c r="V28" s="49">
        <v>4.3700787401574805</v>
      </c>
    </row>
    <row r="29" spans="1:22" x14ac:dyDescent="0.3">
      <c r="A29" s="9">
        <v>120</v>
      </c>
      <c r="B29" s="10"/>
      <c r="K29" s="9">
        <v>120</v>
      </c>
      <c r="L29" s="10">
        <v>27.214285714285712</v>
      </c>
      <c r="U29" s="10">
        <v>4.7874917427820458</v>
      </c>
      <c r="V29" s="49">
        <v>4.409448818897638</v>
      </c>
    </row>
    <row r="30" spans="1:22" x14ac:dyDescent="0.3">
      <c r="A30" s="51">
        <v>180</v>
      </c>
      <c r="B30" s="10"/>
      <c r="K30" s="51">
        <v>180</v>
      </c>
      <c r="L30" s="10">
        <v>40.821428571428569</v>
      </c>
      <c r="U30" s="10">
        <v>5.1929568508902104</v>
      </c>
      <c r="V30" s="49">
        <v>4.409448818897638</v>
      </c>
    </row>
    <row r="31" spans="1:22" x14ac:dyDescent="0.3">
      <c r="A31" s="51">
        <v>240</v>
      </c>
      <c r="B31" s="10"/>
      <c r="K31" s="51">
        <v>240</v>
      </c>
      <c r="L31" s="10">
        <v>54.428571428571423</v>
      </c>
      <c r="U31" s="10">
        <v>5.4806389233419912</v>
      </c>
      <c r="V31" s="49">
        <v>4.409448818897638</v>
      </c>
    </row>
    <row r="32" spans="1:22" x14ac:dyDescent="0.3">
      <c r="L32" s="88"/>
    </row>
    <row r="36" spans="1:38" x14ac:dyDescent="0.3">
      <c r="A36" s="32" t="s">
        <v>92</v>
      </c>
      <c r="B36" s="56" t="s">
        <v>102</v>
      </c>
      <c r="C36" s="54"/>
      <c r="D36" s="57"/>
      <c r="E36" s="58"/>
      <c r="F36" s="9"/>
      <c r="G36" s="9"/>
      <c r="H36" s="9"/>
      <c r="I36" s="9" t="s">
        <v>45</v>
      </c>
      <c r="J36" s="9"/>
      <c r="K36" s="9" t="s">
        <v>46</v>
      </c>
      <c r="L36" s="9" t="s">
        <v>47</v>
      </c>
      <c r="M36" s="9"/>
      <c r="N36" s="32" t="s">
        <v>48</v>
      </c>
      <c r="Z36" s="9" t="s">
        <v>47</v>
      </c>
    </row>
    <row r="37" spans="1:38" x14ac:dyDescent="0.3">
      <c r="A37" s="32" t="s">
        <v>49</v>
      </c>
      <c r="B37" s="32" t="s">
        <v>2</v>
      </c>
      <c r="C37" s="32" t="s">
        <v>3</v>
      </c>
      <c r="D37" s="32" t="s">
        <v>50</v>
      </c>
      <c r="E37" s="47" t="s">
        <v>4</v>
      </c>
      <c r="F37" s="47" t="s">
        <v>22</v>
      </c>
      <c r="G37" s="32" t="s">
        <v>24</v>
      </c>
      <c r="H37" s="32" t="s">
        <v>25</v>
      </c>
      <c r="I37" s="47" t="s">
        <v>51</v>
      </c>
      <c r="J37" s="47" t="s">
        <v>52</v>
      </c>
      <c r="K37" s="47" t="s">
        <v>53</v>
      </c>
      <c r="L37" s="47" t="s">
        <v>54</v>
      </c>
      <c r="M37" s="48" t="s">
        <v>55</v>
      </c>
      <c r="N37" s="47" t="s">
        <v>56</v>
      </c>
      <c r="P37" s="32" t="s">
        <v>49</v>
      </c>
      <c r="Q37" s="32" t="s">
        <v>50</v>
      </c>
      <c r="Z37" s="47" t="s">
        <v>54</v>
      </c>
      <c r="AA37" s="32" t="s">
        <v>104</v>
      </c>
    </row>
    <row r="38" spans="1:38" x14ac:dyDescent="0.3">
      <c r="A38" s="33">
        <v>0</v>
      </c>
      <c r="B38" s="9">
        <v>0</v>
      </c>
      <c r="C38" s="49">
        <v>0</v>
      </c>
      <c r="D38" s="10" t="e">
        <f>(B38-C38)*100/B38</f>
        <v>#DIV/0!</v>
      </c>
      <c r="E38" s="10" t="e">
        <f>(20*C38)/B38</f>
        <v>#DIV/0!</v>
      </c>
      <c r="F38" s="9">
        <v>2</v>
      </c>
      <c r="G38" s="10" t="e">
        <f>20-E38</f>
        <v>#DIV/0!</v>
      </c>
      <c r="H38" s="49" t="e">
        <f>G38/F38</f>
        <v>#DIV/0!</v>
      </c>
      <c r="I38" s="10" t="e">
        <f>LOG(4.055-H38)</f>
        <v>#DIV/0!</v>
      </c>
      <c r="J38" s="49" t="e">
        <f>LOG(H38)</f>
        <v>#DIV/0!</v>
      </c>
      <c r="K38" s="10" t="e">
        <f t="shared" ref="K38:K50" si="11">A38/H38</f>
        <v>#DIV/0!</v>
      </c>
      <c r="L38" s="10">
        <f t="shared" ref="L38:L50" si="12">SQRT(A38)</f>
        <v>0</v>
      </c>
      <c r="M38" s="50" t="e">
        <f>LOG(A38)</f>
        <v>#NUM!</v>
      </c>
      <c r="N38" s="10" t="e">
        <f>LN(A38)</f>
        <v>#NUM!</v>
      </c>
      <c r="P38" s="33">
        <v>0</v>
      </c>
      <c r="Q38" s="10">
        <v>0</v>
      </c>
      <c r="Z38" s="10"/>
      <c r="AA38" s="49"/>
    </row>
    <row r="39" spans="1:38" x14ac:dyDescent="0.3">
      <c r="A39" s="9">
        <v>5</v>
      </c>
      <c r="B39" s="9">
        <v>0.254</v>
      </c>
      <c r="C39" s="49">
        <v>0.187</v>
      </c>
      <c r="D39" s="10">
        <f t="shared" ref="D39:D50" si="13">(B39-C39)*100/B39</f>
        <v>26.377952755905511</v>
      </c>
      <c r="E39" s="10">
        <f t="shared" ref="E39:E50" si="14">(20*C39)/B39</f>
        <v>14.724409448818898</v>
      </c>
      <c r="F39" s="9">
        <v>2</v>
      </c>
      <c r="G39" s="10">
        <f t="shared" ref="G39:G50" si="15">20-E39</f>
        <v>5.2755905511811019</v>
      </c>
      <c r="H39" s="49">
        <f t="shared" ref="H39:H46" si="16">G39/F39</f>
        <v>2.6377952755905509</v>
      </c>
      <c r="I39" s="10">
        <f t="shared" ref="I39:I50" si="17">LOG(4.055-H39)</f>
        <v>0.1514325914324732</v>
      </c>
      <c r="J39" s="49">
        <f t="shared" ref="J39:J50" si="18">LOG(H39)</f>
        <v>0.42124108608088834</v>
      </c>
      <c r="K39" s="10">
        <f t="shared" si="11"/>
        <v>1.8955223880597016</v>
      </c>
      <c r="L39" s="10">
        <f t="shared" si="12"/>
        <v>2.2360679774997898</v>
      </c>
      <c r="M39" s="50">
        <f t="shared" ref="M39:M50" si="19">LOG(A39)</f>
        <v>0.69897000433601886</v>
      </c>
      <c r="N39" s="10">
        <f t="shared" ref="N39:N50" si="20">LN(A39)</f>
        <v>1.6094379124341003</v>
      </c>
      <c r="P39" s="9">
        <v>5</v>
      </c>
      <c r="Q39" s="10">
        <v>26.38</v>
      </c>
      <c r="Z39" s="10">
        <v>2.2360679774997898</v>
      </c>
      <c r="AA39" s="49">
        <v>2.6377952755905509</v>
      </c>
    </row>
    <row r="40" spans="1:38" x14ac:dyDescent="0.3">
      <c r="A40" s="9">
        <v>10</v>
      </c>
      <c r="B40" s="9">
        <v>0.254</v>
      </c>
      <c r="C40" s="49">
        <v>0.17499999999999999</v>
      </c>
      <c r="D40" s="10">
        <f t="shared" si="13"/>
        <v>31.102362204724415</v>
      </c>
      <c r="E40" s="10">
        <f t="shared" si="14"/>
        <v>13.779527559055119</v>
      </c>
      <c r="F40" s="9">
        <v>2</v>
      </c>
      <c r="G40" s="10">
        <f t="shared" si="15"/>
        <v>6.2204724409448815</v>
      </c>
      <c r="H40" s="49">
        <f t="shared" si="16"/>
        <v>3.1102362204724407</v>
      </c>
      <c r="I40" s="10">
        <f t="shared" si="17"/>
        <v>-2.4676765111778395E-2</v>
      </c>
      <c r="J40" s="49">
        <f t="shared" si="18"/>
        <v>0.49279337467050333</v>
      </c>
      <c r="K40" s="10">
        <f t="shared" si="11"/>
        <v>3.2151898734177218</v>
      </c>
      <c r="L40" s="10">
        <f t="shared" si="12"/>
        <v>3.1622776601683795</v>
      </c>
      <c r="M40" s="50">
        <f t="shared" si="19"/>
        <v>1</v>
      </c>
      <c r="N40" s="10">
        <f t="shared" si="20"/>
        <v>2.3025850929940459</v>
      </c>
      <c r="P40" s="9">
        <v>10</v>
      </c>
      <c r="Q40" s="10">
        <v>31.1</v>
      </c>
      <c r="Z40" s="10">
        <v>3.1622776601683795</v>
      </c>
      <c r="AA40" s="49">
        <v>3.1102362204724407</v>
      </c>
    </row>
    <row r="41" spans="1:38" x14ac:dyDescent="0.3">
      <c r="A41" s="9">
        <v>15</v>
      </c>
      <c r="B41" s="9">
        <v>0.254</v>
      </c>
      <c r="C41" s="49">
        <v>0.16200000000000001</v>
      </c>
      <c r="D41" s="10">
        <f t="shared" si="13"/>
        <v>36.220472440944881</v>
      </c>
      <c r="E41" s="10">
        <f t="shared" si="14"/>
        <v>12.755905511811024</v>
      </c>
      <c r="F41" s="9">
        <v>2</v>
      </c>
      <c r="G41" s="10">
        <f t="shared" si="15"/>
        <v>7.2440944881889759</v>
      </c>
      <c r="H41" s="49">
        <f t="shared" si="16"/>
        <v>3.622047244094488</v>
      </c>
      <c r="I41" s="10">
        <f t="shared" si="17"/>
        <v>-0.36355949156570799</v>
      </c>
      <c r="J41" s="49">
        <f t="shared" si="18"/>
        <v>0.55895411072561718</v>
      </c>
      <c r="K41" s="10">
        <f t="shared" si="11"/>
        <v>4.1413043478260869</v>
      </c>
      <c r="L41" s="10">
        <f t="shared" si="12"/>
        <v>3.872983346207417</v>
      </c>
      <c r="M41" s="50">
        <f t="shared" si="19"/>
        <v>1.1760912590556813</v>
      </c>
      <c r="N41" s="10">
        <f t="shared" si="20"/>
        <v>2.7080502011022101</v>
      </c>
      <c r="P41" s="9">
        <v>15</v>
      </c>
      <c r="Q41" s="10">
        <v>36.22</v>
      </c>
      <c r="Z41" s="10">
        <v>3.872983346207417</v>
      </c>
      <c r="AA41" s="49">
        <v>3.622047244094488</v>
      </c>
      <c r="AK41" s="10">
        <v>5.4772255750516612</v>
      </c>
      <c r="AL41" s="49">
        <v>3.8582677165354333</v>
      </c>
    </row>
    <row r="42" spans="1:38" x14ac:dyDescent="0.3">
      <c r="A42" s="9">
        <v>20</v>
      </c>
      <c r="B42" s="9">
        <v>0.254</v>
      </c>
      <c r="C42" s="49">
        <v>0.157</v>
      </c>
      <c r="D42" s="10">
        <f t="shared" si="13"/>
        <v>38.188976377952763</v>
      </c>
      <c r="E42" s="10">
        <f t="shared" si="14"/>
        <v>12.36220472440945</v>
      </c>
      <c r="F42" s="9">
        <v>2</v>
      </c>
      <c r="G42" s="10">
        <f t="shared" si="15"/>
        <v>7.63779527559055</v>
      </c>
      <c r="H42" s="49">
        <f t="shared" si="16"/>
        <v>3.818897637795275</v>
      </c>
      <c r="I42" s="10">
        <f t="shared" si="17"/>
        <v>-0.62689966778215811</v>
      </c>
      <c r="J42" s="49">
        <f t="shared" si="18"/>
        <v>0.5819380176463067</v>
      </c>
      <c r="K42" s="10">
        <f t="shared" si="11"/>
        <v>5.2371134020618566</v>
      </c>
      <c r="L42" s="10">
        <f t="shared" si="12"/>
        <v>4.4721359549995796</v>
      </c>
      <c r="M42" s="50">
        <f t="shared" si="19"/>
        <v>1.3010299956639813</v>
      </c>
      <c r="N42" s="10">
        <f t="shared" si="20"/>
        <v>2.9957322735539909</v>
      </c>
      <c r="P42" s="9">
        <v>20</v>
      </c>
      <c r="Q42" s="10">
        <v>38.188976377952763</v>
      </c>
      <c r="Z42" s="10">
        <v>4.4721359549995796</v>
      </c>
      <c r="AA42" s="49">
        <v>3.818897637795275</v>
      </c>
      <c r="AK42" s="10">
        <v>6.324555320336759</v>
      </c>
      <c r="AL42" s="49">
        <v>3.8976377952755907</v>
      </c>
    </row>
    <row r="43" spans="1:38" x14ac:dyDescent="0.3">
      <c r="A43" s="9">
        <v>30</v>
      </c>
      <c r="B43" s="9">
        <v>0.254</v>
      </c>
      <c r="C43" s="49">
        <v>0.156</v>
      </c>
      <c r="D43" s="10">
        <f t="shared" si="13"/>
        <v>38.582677165354333</v>
      </c>
      <c r="E43" s="10">
        <f t="shared" si="14"/>
        <v>12.283464566929133</v>
      </c>
      <c r="F43" s="9">
        <v>2</v>
      </c>
      <c r="G43" s="10">
        <f t="shared" si="15"/>
        <v>7.7165354330708666</v>
      </c>
      <c r="H43" s="49">
        <f t="shared" si="16"/>
        <v>3.8582677165354333</v>
      </c>
      <c r="I43" s="10">
        <f t="shared" si="17"/>
        <v>-0.70612436717735239</v>
      </c>
      <c r="J43" s="49">
        <f t="shared" si="18"/>
        <v>0.58639235907255682</v>
      </c>
      <c r="K43" s="10">
        <f t="shared" si="11"/>
        <v>7.7755102040816322</v>
      </c>
      <c r="L43" s="10">
        <f t="shared" si="12"/>
        <v>5.4772255750516612</v>
      </c>
      <c r="M43" s="50">
        <f t="shared" si="19"/>
        <v>1.4771212547196624</v>
      </c>
      <c r="N43" s="10">
        <f t="shared" si="20"/>
        <v>3.4011973816621555</v>
      </c>
      <c r="P43" s="9">
        <v>30</v>
      </c>
      <c r="Q43" s="10">
        <v>38.582677165354333</v>
      </c>
      <c r="Z43" s="10">
        <v>5.4772255750516612</v>
      </c>
      <c r="AA43" s="49">
        <v>3.8582677165354333</v>
      </c>
      <c r="AK43" s="10">
        <v>7.0710678118654755</v>
      </c>
      <c r="AL43" s="49">
        <v>3.9370078740157481</v>
      </c>
    </row>
    <row r="44" spans="1:38" x14ac:dyDescent="0.3">
      <c r="A44" s="9">
        <v>40</v>
      </c>
      <c r="B44" s="9">
        <v>0.254</v>
      </c>
      <c r="C44" s="49">
        <v>0.155</v>
      </c>
      <c r="D44" s="10">
        <f t="shared" si="13"/>
        <v>38.976377952755904</v>
      </c>
      <c r="E44" s="10">
        <f t="shared" si="14"/>
        <v>12.204724409448819</v>
      </c>
      <c r="F44" s="9">
        <v>2</v>
      </c>
      <c r="G44" s="10">
        <f t="shared" si="15"/>
        <v>7.7952755905511815</v>
      </c>
      <c r="H44" s="49">
        <f t="shared" si="16"/>
        <v>3.8976377952755907</v>
      </c>
      <c r="I44" s="10">
        <f t="shared" si="17"/>
        <v>-0.80309956835983443</v>
      </c>
      <c r="J44" s="49">
        <f t="shared" si="18"/>
        <v>0.59080147797761184</v>
      </c>
      <c r="K44" s="10">
        <f t="shared" si="11"/>
        <v>10.262626262626263</v>
      </c>
      <c r="L44" s="10">
        <f t="shared" si="12"/>
        <v>6.324555320336759</v>
      </c>
      <c r="M44" s="50">
        <f t="shared" si="19"/>
        <v>1.6020599913279623</v>
      </c>
      <c r="N44" s="10">
        <f t="shared" si="20"/>
        <v>3.6888794541139363</v>
      </c>
      <c r="P44" s="9">
        <v>40</v>
      </c>
      <c r="Q44" s="10">
        <v>38.976377952755904</v>
      </c>
      <c r="Z44" s="10">
        <v>6.324555320336759</v>
      </c>
      <c r="AA44" s="49">
        <v>3.8976377952755907</v>
      </c>
      <c r="AK44" s="10">
        <v>7.745966692414834</v>
      </c>
      <c r="AL44" s="49">
        <v>3.9763779527559056</v>
      </c>
    </row>
    <row r="45" spans="1:38" x14ac:dyDescent="0.3">
      <c r="A45" s="9">
        <v>50</v>
      </c>
      <c r="B45" s="9">
        <v>0.254</v>
      </c>
      <c r="C45" s="49">
        <v>0.154</v>
      </c>
      <c r="D45" s="10">
        <f t="shared" si="13"/>
        <v>39.370078740157481</v>
      </c>
      <c r="E45" s="10">
        <f t="shared" si="14"/>
        <v>12.125984251968504</v>
      </c>
      <c r="F45" s="9">
        <v>2</v>
      </c>
      <c r="G45" s="10">
        <f t="shared" si="15"/>
        <v>7.8740157480314963</v>
      </c>
      <c r="H45" s="49">
        <f t="shared" si="16"/>
        <v>3.9370078740157481</v>
      </c>
      <c r="I45" s="10">
        <f t="shared" si="17"/>
        <v>-0.92814697367429477</v>
      </c>
      <c r="J45" s="49">
        <f t="shared" si="18"/>
        <v>0.59516628338006194</v>
      </c>
      <c r="K45" s="10">
        <f t="shared" si="11"/>
        <v>12.7</v>
      </c>
      <c r="L45" s="10">
        <f t="shared" si="12"/>
        <v>7.0710678118654755</v>
      </c>
      <c r="M45" s="50">
        <f t="shared" si="19"/>
        <v>1.6989700043360187</v>
      </c>
      <c r="N45" s="10">
        <f t="shared" si="20"/>
        <v>3.912023005428146</v>
      </c>
      <c r="P45" s="9">
        <v>50</v>
      </c>
      <c r="Q45" s="10">
        <v>39.370078740157481</v>
      </c>
      <c r="Z45" s="10">
        <v>7.0710678118654755</v>
      </c>
      <c r="AA45" s="49">
        <v>3.9370078740157481</v>
      </c>
      <c r="AK45" s="10">
        <v>9.4868329805051381</v>
      </c>
      <c r="AL45" s="49">
        <v>4.015748031496063</v>
      </c>
    </row>
    <row r="46" spans="1:38" x14ac:dyDescent="0.3">
      <c r="A46" s="9">
        <v>60</v>
      </c>
      <c r="B46" s="9">
        <v>0.254</v>
      </c>
      <c r="C46" s="49">
        <v>0.153</v>
      </c>
      <c r="D46" s="10">
        <f t="shared" si="13"/>
        <v>39.763779527559059</v>
      </c>
      <c r="E46" s="10">
        <f t="shared" si="14"/>
        <v>12.047244094488189</v>
      </c>
      <c r="F46" s="9">
        <v>2</v>
      </c>
      <c r="G46" s="10">
        <f t="shared" si="15"/>
        <v>7.9527559055118111</v>
      </c>
      <c r="H46" s="49">
        <f t="shared" si="16"/>
        <v>3.9763779527559056</v>
      </c>
      <c r="I46" s="10">
        <f t="shared" si="17"/>
        <v>-1.1044556517492372</v>
      </c>
      <c r="J46" s="49">
        <f t="shared" si="18"/>
        <v>0.59948765716270447</v>
      </c>
      <c r="K46" s="10">
        <f t="shared" si="11"/>
        <v>15.089108910891088</v>
      </c>
      <c r="L46" s="10">
        <f t="shared" si="12"/>
        <v>7.745966692414834</v>
      </c>
      <c r="M46" s="50">
        <f t="shared" si="19"/>
        <v>1.7781512503836436</v>
      </c>
      <c r="N46" s="10">
        <f t="shared" si="20"/>
        <v>4.0943445622221004</v>
      </c>
      <c r="P46" s="9">
        <v>60</v>
      </c>
      <c r="Q46" s="10">
        <v>39.763779527559059</v>
      </c>
      <c r="Z46" s="10">
        <v>7.745966692414834</v>
      </c>
      <c r="AA46" s="49">
        <v>3.9763779527559056</v>
      </c>
      <c r="AK46" s="10">
        <v>10.954451150103322</v>
      </c>
      <c r="AL46" s="49">
        <v>4.0551181102362204</v>
      </c>
    </row>
    <row r="47" spans="1:38" x14ac:dyDescent="0.3">
      <c r="A47" s="9">
        <v>90</v>
      </c>
      <c r="B47" s="9">
        <v>0.254</v>
      </c>
      <c r="C47" s="49">
        <v>0.152</v>
      </c>
      <c r="D47" s="10">
        <f t="shared" si="13"/>
        <v>40.157480314960637</v>
      </c>
      <c r="E47" s="10">
        <f t="shared" si="14"/>
        <v>11.968503937007874</v>
      </c>
      <c r="F47" s="9">
        <v>2</v>
      </c>
      <c r="G47" s="10">
        <f t="shared" si="15"/>
        <v>8.0314960629921259</v>
      </c>
      <c r="H47" s="49">
        <f>G47/F47</f>
        <v>4.015748031496063</v>
      </c>
      <c r="I47" s="10">
        <f t="shared" si="17"/>
        <v>-1.4061385583082853</v>
      </c>
      <c r="J47" s="49">
        <f t="shared" si="18"/>
        <v>0.60376645514197946</v>
      </c>
      <c r="K47" s="10">
        <f t="shared" si="11"/>
        <v>22.411764705882351</v>
      </c>
      <c r="L47" s="10">
        <f t="shared" si="12"/>
        <v>9.4868329805051381</v>
      </c>
      <c r="M47" s="50">
        <f t="shared" si="19"/>
        <v>1.954242509439325</v>
      </c>
      <c r="N47" s="10">
        <f t="shared" si="20"/>
        <v>4.499809670330265</v>
      </c>
      <c r="P47" s="9">
        <v>90</v>
      </c>
      <c r="Q47" s="10">
        <v>40.157480314960637</v>
      </c>
      <c r="Z47" s="10">
        <v>9.4868329805051381</v>
      </c>
      <c r="AA47" s="49">
        <v>4.015748031496063</v>
      </c>
    </row>
    <row r="48" spans="1:38" x14ac:dyDescent="0.3">
      <c r="A48" s="9">
        <v>120</v>
      </c>
      <c r="B48" s="9">
        <v>0.254</v>
      </c>
      <c r="C48" s="49">
        <v>0.151</v>
      </c>
      <c r="D48" s="10">
        <f t="shared" si="13"/>
        <v>40.551181102362207</v>
      </c>
      <c r="E48" s="10">
        <f t="shared" si="14"/>
        <v>11.889763779527559</v>
      </c>
      <c r="F48" s="9">
        <v>2</v>
      </c>
      <c r="G48" s="10">
        <f t="shared" si="15"/>
        <v>8.1102362204724407</v>
      </c>
      <c r="H48" s="49">
        <f t="shared" ref="H48:H50" si="21">G48/F48</f>
        <v>4.0551181102362204</v>
      </c>
      <c r="I48" s="10" t="e">
        <f t="shared" si="17"/>
        <v>#NUM!</v>
      </c>
      <c r="J48" s="49">
        <f t="shared" si="18"/>
        <v>0.60800350808523418</v>
      </c>
      <c r="K48" s="10">
        <f t="shared" si="11"/>
        <v>29.592233009708739</v>
      </c>
      <c r="L48" s="10">
        <f t="shared" si="12"/>
        <v>10.954451150103322</v>
      </c>
      <c r="M48" s="50">
        <f t="shared" si="19"/>
        <v>2.0791812460476247</v>
      </c>
      <c r="N48" s="10">
        <f t="shared" si="20"/>
        <v>4.7874917427820458</v>
      </c>
      <c r="P48" s="9">
        <v>120</v>
      </c>
      <c r="Q48" s="10">
        <v>40.551181102362207</v>
      </c>
      <c r="Z48" s="10">
        <v>10.954451150103322</v>
      </c>
      <c r="AA48" s="49">
        <v>4.0551181102362204</v>
      </c>
    </row>
    <row r="49" spans="1:27" x14ac:dyDescent="0.3">
      <c r="A49" s="51">
        <v>180</v>
      </c>
      <c r="B49" s="9">
        <v>0.254</v>
      </c>
      <c r="C49" s="49">
        <v>0.151</v>
      </c>
      <c r="D49" s="10">
        <f t="shared" si="13"/>
        <v>40.551181102362207</v>
      </c>
      <c r="E49" s="10">
        <f t="shared" si="14"/>
        <v>11.889763779527559</v>
      </c>
      <c r="F49" s="9">
        <v>2</v>
      </c>
      <c r="G49" s="10">
        <f t="shared" si="15"/>
        <v>8.1102362204724407</v>
      </c>
      <c r="H49" s="49">
        <f t="shared" si="21"/>
        <v>4.0551181102362204</v>
      </c>
      <c r="I49" s="10" t="e">
        <f>LOG(4.055-H49)</f>
        <v>#NUM!</v>
      </c>
      <c r="J49" s="49">
        <f t="shared" si="18"/>
        <v>0.60800350808523418</v>
      </c>
      <c r="K49" s="10">
        <f t="shared" si="11"/>
        <v>44.38834951456311</v>
      </c>
      <c r="L49" s="10">
        <f t="shared" si="12"/>
        <v>13.416407864998739</v>
      </c>
      <c r="M49" s="50">
        <f t="shared" si="19"/>
        <v>2.255272505103306</v>
      </c>
      <c r="N49" s="10">
        <f t="shared" si="20"/>
        <v>5.1929568508902104</v>
      </c>
      <c r="P49" s="51">
        <v>180</v>
      </c>
      <c r="Q49" s="10">
        <v>40.551181102362207</v>
      </c>
      <c r="Z49" s="10">
        <v>13.416407864998739</v>
      </c>
      <c r="AA49" s="49">
        <v>4.0551181102362204</v>
      </c>
    </row>
    <row r="50" spans="1:27" x14ac:dyDescent="0.3">
      <c r="A50" s="51">
        <v>240</v>
      </c>
      <c r="B50" s="9">
        <v>0.254</v>
      </c>
      <c r="C50" s="49">
        <v>0.151</v>
      </c>
      <c r="D50" s="10">
        <f t="shared" si="13"/>
        <v>40.551181102362207</v>
      </c>
      <c r="E50" s="10">
        <f t="shared" si="14"/>
        <v>11.889763779527559</v>
      </c>
      <c r="F50" s="9">
        <v>2</v>
      </c>
      <c r="G50" s="10">
        <f t="shared" si="15"/>
        <v>8.1102362204724407</v>
      </c>
      <c r="H50" s="49">
        <f t="shared" si="21"/>
        <v>4.0551181102362204</v>
      </c>
      <c r="I50" s="10" t="e">
        <f t="shared" si="17"/>
        <v>#NUM!</v>
      </c>
      <c r="J50" s="49">
        <f t="shared" si="18"/>
        <v>0.60800350808523418</v>
      </c>
      <c r="K50" s="10">
        <f t="shared" si="11"/>
        <v>59.184466019417478</v>
      </c>
      <c r="L50" s="10">
        <f t="shared" si="12"/>
        <v>15.491933384829668</v>
      </c>
      <c r="M50" s="50">
        <f t="shared" si="19"/>
        <v>2.3802112417116059</v>
      </c>
      <c r="N50" s="10">
        <f t="shared" si="20"/>
        <v>5.4806389233419912</v>
      </c>
      <c r="P50" s="51">
        <v>240</v>
      </c>
      <c r="Q50" s="10">
        <v>40.551181102362207</v>
      </c>
      <c r="Z50" s="10">
        <v>15.491933384829668</v>
      </c>
      <c r="AA50" s="49">
        <v>4.0551181102362204</v>
      </c>
    </row>
    <row r="51" spans="1:27" x14ac:dyDescent="0.3">
      <c r="L51" s="9" t="s">
        <v>46</v>
      </c>
    </row>
    <row r="52" spans="1:27" x14ac:dyDescent="0.3">
      <c r="A52" s="32" t="s">
        <v>49</v>
      </c>
      <c r="B52" s="47" t="s">
        <v>51</v>
      </c>
      <c r="K52" s="32" t="s">
        <v>49</v>
      </c>
      <c r="L52" s="47" t="s">
        <v>53</v>
      </c>
      <c r="U52" s="32" t="s">
        <v>48</v>
      </c>
    </row>
    <row r="53" spans="1:27" x14ac:dyDescent="0.3">
      <c r="A53" s="33"/>
      <c r="B53" s="10"/>
      <c r="K53" s="33">
        <v>0</v>
      </c>
      <c r="L53" s="10">
        <v>0</v>
      </c>
      <c r="U53" s="47" t="s">
        <v>56</v>
      </c>
      <c r="V53" s="32" t="s">
        <v>104</v>
      </c>
    </row>
    <row r="54" spans="1:27" x14ac:dyDescent="0.3">
      <c r="A54" s="9">
        <v>5</v>
      </c>
      <c r="B54" s="10">
        <v>0.1514325914324732</v>
      </c>
      <c r="K54" s="9">
        <v>5</v>
      </c>
      <c r="L54" s="10">
        <v>1.8955223880597016</v>
      </c>
      <c r="U54" s="10"/>
      <c r="V54" s="49"/>
    </row>
    <row r="55" spans="1:27" x14ac:dyDescent="0.3">
      <c r="A55" s="9">
        <v>10</v>
      </c>
      <c r="B55" s="10">
        <v>-2.4676765111778395E-2</v>
      </c>
      <c r="K55" s="9">
        <v>10</v>
      </c>
      <c r="L55" s="10">
        <v>3.2151898734177218</v>
      </c>
      <c r="U55" s="10">
        <v>1.6094379124341003</v>
      </c>
      <c r="V55" s="49">
        <v>2.6377952755905509</v>
      </c>
    </row>
    <row r="56" spans="1:27" x14ac:dyDescent="0.3">
      <c r="A56" s="9">
        <v>15</v>
      </c>
      <c r="B56" s="10">
        <v>-0.36355949156570799</v>
      </c>
      <c r="K56" s="9">
        <v>15</v>
      </c>
      <c r="L56" s="10">
        <v>4.1413043478260869</v>
      </c>
      <c r="U56" s="10">
        <v>2.3025850929940459</v>
      </c>
      <c r="V56" s="49">
        <v>3.1102362204724407</v>
      </c>
    </row>
    <row r="57" spans="1:27" x14ac:dyDescent="0.3">
      <c r="A57" s="9">
        <v>20</v>
      </c>
      <c r="B57" s="10">
        <v>-0.62689966778215811</v>
      </c>
      <c r="K57" s="9">
        <v>20</v>
      </c>
      <c r="L57" s="10">
        <v>5.2371134020618566</v>
      </c>
      <c r="U57" s="10">
        <v>2.7080502011022101</v>
      </c>
      <c r="V57" s="49">
        <v>3.622047244094488</v>
      </c>
    </row>
    <row r="58" spans="1:27" x14ac:dyDescent="0.3">
      <c r="A58" s="9">
        <v>30</v>
      </c>
      <c r="B58" s="10">
        <v>-0.70612436717735239</v>
      </c>
      <c r="K58" s="9">
        <v>30</v>
      </c>
      <c r="L58" s="10">
        <v>7.7755102040816322</v>
      </c>
      <c r="U58" s="10">
        <v>2.9957322735539909</v>
      </c>
      <c r="V58" s="49">
        <v>3.818897637795275</v>
      </c>
    </row>
    <row r="59" spans="1:27" x14ac:dyDescent="0.3">
      <c r="A59" s="9">
        <v>40</v>
      </c>
      <c r="B59" s="10">
        <v>-0.80309956835983443</v>
      </c>
      <c r="K59" s="9">
        <v>40</v>
      </c>
      <c r="L59" s="10">
        <v>10.262626262626263</v>
      </c>
      <c r="U59" s="10">
        <v>3.4011973816621555</v>
      </c>
      <c r="V59" s="49">
        <v>3.8582677165354333</v>
      </c>
    </row>
    <row r="60" spans="1:27" x14ac:dyDescent="0.3">
      <c r="A60" s="9">
        <v>50</v>
      </c>
      <c r="B60" s="10">
        <v>-0.92814697367429477</v>
      </c>
      <c r="K60" s="9">
        <v>50</v>
      </c>
      <c r="L60" s="10">
        <v>12.7</v>
      </c>
      <c r="U60" s="10">
        <v>3.6888794541139363</v>
      </c>
      <c r="V60" s="49">
        <v>3.8976377952755907</v>
      </c>
    </row>
    <row r="61" spans="1:27" x14ac:dyDescent="0.3">
      <c r="A61" s="9">
        <v>60</v>
      </c>
      <c r="B61" s="10">
        <v>-1.1044556517492372</v>
      </c>
      <c r="K61" s="9">
        <v>60</v>
      </c>
      <c r="L61" s="10">
        <v>15.089108910891088</v>
      </c>
      <c r="U61" s="10">
        <v>3.912023005428146</v>
      </c>
      <c r="V61" s="49">
        <v>3.9370078740157481</v>
      </c>
    </row>
    <row r="62" spans="1:27" x14ac:dyDescent="0.3">
      <c r="A62" s="9">
        <v>90</v>
      </c>
      <c r="B62" s="10">
        <v>-1.4061385583082853</v>
      </c>
      <c r="K62" s="9">
        <v>90</v>
      </c>
      <c r="L62" s="10">
        <v>22.411764705882351</v>
      </c>
      <c r="U62" s="10">
        <v>4.0943445622221004</v>
      </c>
      <c r="V62" s="49">
        <v>3.9763779527559056</v>
      </c>
    </row>
    <row r="63" spans="1:27" x14ac:dyDescent="0.3">
      <c r="A63" s="9">
        <v>120</v>
      </c>
      <c r="B63" s="10"/>
      <c r="K63" s="9">
        <v>120</v>
      </c>
      <c r="L63" s="10">
        <v>29.592233009708739</v>
      </c>
      <c r="U63" s="10">
        <v>4.499809670330265</v>
      </c>
      <c r="V63" s="49">
        <v>4.015748031496063</v>
      </c>
    </row>
    <row r="64" spans="1:27" x14ac:dyDescent="0.3">
      <c r="A64" s="51">
        <v>180</v>
      </c>
      <c r="K64" s="51">
        <v>180</v>
      </c>
      <c r="L64" s="10">
        <v>44.38834951456311</v>
      </c>
      <c r="U64" s="10">
        <v>4.7874917427820458</v>
      </c>
      <c r="V64" s="49">
        <v>4.0551181102362204</v>
      </c>
    </row>
    <row r="65" spans="1:37" x14ac:dyDescent="0.3">
      <c r="A65" s="51">
        <v>240</v>
      </c>
      <c r="K65" s="51">
        <v>240</v>
      </c>
      <c r="L65" s="10">
        <v>59.184466019417478</v>
      </c>
      <c r="U65" s="10">
        <v>5.1929568508902104</v>
      </c>
      <c r="V65" s="49">
        <v>4.0551181102362204</v>
      </c>
    </row>
    <row r="66" spans="1:37" x14ac:dyDescent="0.3">
      <c r="U66" s="10">
        <v>5.4806389233419912</v>
      </c>
      <c r="V66" s="49">
        <v>4.0551181102362204</v>
      </c>
    </row>
    <row r="71" spans="1:37" x14ac:dyDescent="0.3">
      <c r="A71" s="32" t="s">
        <v>93</v>
      </c>
      <c r="B71" s="56" t="s">
        <v>103</v>
      </c>
      <c r="C71" s="54"/>
      <c r="D71" s="57"/>
      <c r="E71" s="58"/>
      <c r="F71" s="9"/>
      <c r="G71" s="9"/>
      <c r="H71" s="9"/>
      <c r="I71" s="9" t="s">
        <v>45</v>
      </c>
      <c r="J71" s="9"/>
      <c r="K71" s="9" t="s">
        <v>46</v>
      </c>
      <c r="L71" s="9" t="s">
        <v>47</v>
      </c>
      <c r="M71" s="9"/>
      <c r="N71" s="32" t="s">
        <v>48</v>
      </c>
      <c r="Z71" s="9" t="s">
        <v>47</v>
      </c>
    </row>
    <row r="72" spans="1:37" x14ac:dyDescent="0.3">
      <c r="A72" s="32" t="s">
        <v>49</v>
      </c>
      <c r="B72" s="32" t="s">
        <v>2</v>
      </c>
      <c r="C72" s="32" t="s">
        <v>3</v>
      </c>
      <c r="D72" s="32" t="s">
        <v>50</v>
      </c>
      <c r="E72" s="47" t="s">
        <v>4</v>
      </c>
      <c r="F72" s="47" t="s">
        <v>22</v>
      </c>
      <c r="G72" s="32" t="s">
        <v>24</v>
      </c>
      <c r="H72" s="32" t="s">
        <v>25</v>
      </c>
      <c r="I72" s="47" t="s">
        <v>51</v>
      </c>
      <c r="J72" s="47" t="s">
        <v>52</v>
      </c>
      <c r="K72" s="47" t="s">
        <v>53</v>
      </c>
      <c r="L72" s="47" t="s">
        <v>54</v>
      </c>
      <c r="M72" s="48" t="s">
        <v>55</v>
      </c>
      <c r="N72" s="47" t="s">
        <v>56</v>
      </c>
      <c r="P72" s="32" t="s">
        <v>49</v>
      </c>
      <c r="Q72" s="32" t="s">
        <v>50</v>
      </c>
      <c r="Z72" s="47" t="s">
        <v>54</v>
      </c>
      <c r="AA72" s="32" t="s">
        <v>104</v>
      </c>
    </row>
    <row r="73" spans="1:37" x14ac:dyDescent="0.3">
      <c r="A73" s="33">
        <v>0</v>
      </c>
      <c r="B73" s="9">
        <v>0</v>
      </c>
      <c r="C73" s="49">
        <v>0</v>
      </c>
      <c r="D73" s="10" t="e">
        <f>(B73-C73)*100/B73</f>
        <v>#DIV/0!</v>
      </c>
      <c r="E73" s="10" t="e">
        <f>(10*C73)/B73</f>
        <v>#DIV/0!</v>
      </c>
      <c r="F73" s="9">
        <v>2</v>
      </c>
      <c r="G73" s="10" t="e">
        <f>20-E73</f>
        <v>#DIV/0!</v>
      </c>
      <c r="H73" s="49" t="e">
        <f>G73/F73</f>
        <v>#DIV/0!</v>
      </c>
      <c r="I73" s="10" t="e">
        <f>LOG(9.291-H73)</f>
        <v>#DIV/0!</v>
      </c>
      <c r="J73" s="49" t="e">
        <f>LOG(H73)</f>
        <v>#DIV/0!</v>
      </c>
      <c r="K73" s="10" t="e">
        <f t="shared" ref="K73:K85" si="22">A73/H73</f>
        <v>#DIV/0!</v>
      </c>
      <c r="L73" s="10">
        <f t="shared" ref="L73:L85" si="23">SQRT(A73)</f>
        <v>0</v>
      </c>
      <c r="M73" s="50" t="e">
        <f>LOG(A73)</f>
        <v>#NUM!</v>
      </c>
      <c r="N73" s="10" t="e">
        <f>LN(A73)</f>
        <v>#NUM!</v>
      </c>
      <c r="P73" s="33">
        <v>0</v>
      </c>
      <c r="Q73" s="10">
        <v>0</v>
      </c>
      <c r="Z73" s="10"/>
      <c r="AA73" s="49"/>
    </row>
    <row r="74" spans="1:37" x14ac:dyDescent="0.3">
      <c r="A74" s="9">
        <v>5</v>
      </c>
      <c r="B74" s="9">
        <v>0.254</v>
      </c>
      <c r="C74" s="49">
        <v>0.17799999999999999</v>
      </c>
      <c r="D74" s="10">
        <f t="shared" ref="D74:D85" si="24">(B74-C74)*100/B74</f>
        <v>29.921259842519689</v>
      </c>
      <c r="E74" s="10">
        <f>(20*C74)/B74</f>
        <v>14.015748031496061</v>
      </c>
      <c r="F74" s="9">
        <v>2</v>
      </c>
      <c r="G74" s="10">
        <f t="shared" ref="G74:G85" si="25">20-E74</f>
        <v>5.9842519685039388</v>
      </c>
      <c r="H74" s="49">
        <f t="shared" ref="H74:H81" si="26">G74/F74</f>
        <v>2.9921259842519694</v>
      </c>
      <c r="I74" s="10">
        <f t="shared" ref="I74:I81" si="27">LOG(9.291-H74)</f>
        <v>0.79926292208020999</v>
      </c>
      <c r="J74" s="49">
        <f t="shared" ref="J74:J85" si="28">LOG(H74)</f>
        <v>0.47597987566085342</v>
      </c>
      <c r="K74" s="10">
        <f t="shared" si="22"/>
        <v>1.6710526315789469</v>
      </c>
      <c r="L74" s="10">
        <f t="shared" si="23"/>
        <v>2.2360679774997898</v>
      </c>
      <c r="M74" s="50">
        <f t="shared" ref="M74:M85" si="29">LOG(A74)</f>
        <v>0.69897000433601886</v>
      </c>
      <c r="N74" s="10">
        <f t="shared" ref="N74:N85" si="30">LN(A74)</f>
        <v>1.6094379124341003</v>
      </c>
      <c r="P74" s="9">
        <v>5</v>
      </c>
      <c r="Q74" s="10">
        <v>29.921259842519689</v>
      </c>
      <c r="Z74" s="10">
        <v>2.2360679774997898</v>
      </c>
      <c r="AA74" s="49">
        <v>6.4960629921259851</v>
      </c>
    </row>
    <row r="75" spans="1:37" x14ac:dyDescent="0.3">
      <c r="A75" s="9">
        <v>10</v>
      </c>
      <c r="B75" s="9">
        <v>0.254</v>
      </c>
      <c r="C75" s="49">
        <v>0.125</v>
      </c>
      <c r="D75" s="10">
        <f t="shared" si="24"/>
        <v>50.787401574803148</v>
      </c>
      <c r="E75" s="10">
        <f t="shared" ref="E75:E85" si="31">(10*C75)/B75</f>
        <v>4.9212598425196852</v>
      </c>
      <c r="F75" s="9">
        <v>2</v>
      </c>
      <c r="G75" s="10">
        <f t="shared" si="25"/>
        <v>15.078740157480315</v>
      </c>
      <c r="H75" s="49">
        <f t="shared" si="26"/>
        <v>7.5393700787401574</v>
      </c>
      <c r="I75" s="10">
        <f t="shared" si="27"/>
        <v>0.24344235518134269</v>
      </c>
      <c r="J75" s="49">
        <f t="shared" si="28"/>
        <v>0.87733506168470343</v>
      </c>
      <c r="K75" s="10">
        <f t="shared" si="22"/>
        <v>1.3263707571801566</v>
      </c>
      <c r="L75" s="10">
        <f t="shared" si="23"/>
        <v>3.1622776601683795</v>
      </c>
      <c r="M75" s="50">
        <f t="shared" si="29"/>
        <v>1</v>
      </c>
      <c r="N75" s="10">
        <f t="shared" si="30"/>
        <v>2.3025850929940459</v>
      </c>
      <c r="P75" s="9">
        <v>10</v>
      </c>
      <c r="Q75" s="10">
        <v>50.787401574803148</v>
      </c>
      <c r="Z75" s="10">
        <v>3.1622776601683795</v>
      </c>
      <c r="AA75" s="49">
        <v>7.5393700787401574</v>
      </c>
    </row>
    <row r="76" spans="1:37" x14ac:dyDescent="0.3">
      <c r="A76" s="9">
        <v>15</v>
      </c>
      <c r="B76" s="9">
        <v>0.254</v>
      </c>
      <c r="C76" s="49">
        <v>7.5999999999999998E-2</v>
      </c>
      <c r="D76" s="10">
        <f t="shared" si="24"/>
        <v>70.078740157480311</v>
      </c>
      <c r="E76" s="10">
        <f t="shared" si="31"/>
        <v>2.9921259842519685</v>
      </c>
      <c r="F76" s="9">
        <v>2</v>
      </c>
      <c r="G76" s="10">
        <f t="shared" si="25"/>
        <v>17.00787401574803</v>
      </c>
      <c r="H76" s="49">
        <f t="shared" si="26"/>
        <v>8.5039370078740149</v>
      </c>
      <c r="I76" s="10">
        <f t="shared" si="27"/>
        <v>-0.10399050774521294</v>
      </c>
      <c r="J76" s="49">
        <f t="shared" si="28"/>
        <v>0.92962003453099284</v>
      </c>
      <c r="K76" s="10">
        <f t="shared" si="22"/>
        <v>1.7638888888888891</v>
      </c>
      <c r="L76" s="10">
        <f t="shared" si="23"/>
        <v>3.872983346207417</v>
      </c>
      <c r="M76" s="50">
        <f t="shared" si="29"/>
        <v>1.1760912590556813</v>
      </c>
      <c r="N76" s="10">
        <f t="shared" si="30"/>
        <v>2.7080502011022101</v>
      </c>
      <c r="P76" s="9">
        <v>15</v>
      </c>
      <c r="Q76" s="10">
        <v>70.078740157480311</v>
      </c>
      <c r="Z76" s="10">
        <v>3.872983346207417</v>
      </c>
      <c r="AA76" s="49">
        <v>8.5039370078740149</v>
      </c>
      <c r="AJ76" s="10">
        <v>4.4721359549995796</v>
      </c>
      <c r="AK76" s="49">
        <v>8.9960629921259851</v>
      </c>
    </row>
    <row r="77" spans="1:37" x14ac:dyDescent="0.3">
      <c r="A77" s="9">
        <v>20</v>
      </c>
      <c r="B77" s="9">
        <v>0.254</v>
      </c>
      <c r="C77" s="49">
        <v>5.0999999999999997E-2</v>
      </c>
      <c r="D77" s="10">
        <f t="shared" si="24"/>
        <v>79.921259842519689</v>
      </c>
      <c r="E77" s="10">
        <f t="shared" si="31"/>
        <v>2.0078740157480315</v>
      </c>
      <c r="F77" s="9">
        <v>2</v>
      </c>
      <c r="G77" s="10">
        <f t="shared" si="25"/>
        <v>17.99212598425197</v>
      </c>
      <c r="H77" s="49">
        <f t="shared" si="26"/>
        <v>8.9960629921259851</v>
      </c>
      <c r="I77" s="10">
        <f t="shared" si="27"/>
        <v>-0.53027072996744606</v>
      </c>
      <c r="J77" s="49">
        <f t="shared" si="28"/>
        <v>0.95405248778593099</v>
      </c>
      <c r="K77" s="10">
        <f t="shared" si="22"/>
        <v>2.2231947483588619</v>
      </c>
      <c r="L77" s="10">
        <f t="shared" si="23"/>
        <v>4.4721359549995796</v>
      </c>
      <c r="M77" s="50">
        <f t="shared" si="29"/>
        <v>1.3010299956639813</v>
      </c>
      <c r="N77" s="10">
        <f t="shared" si="30"/>
        <v>2.9957322735539909</v>
      </c>
      <c r="P77" s="9">
        <v>20</v>
      </c>
      <c r="Q77" s="10">
        <v>79.921259842519689</v>
      </c>
      <c r="Z77" s="10">
        <v>4.4721359549995796</v>
      </c>
      <c r="AA77" s="49">
        <v>8.9960629921259851</v>
      </c>
      <c r="AJ77" s="10">
        <v>5.4772255750516612</v>
      </c>
      <c r="AK77" s="49">
        <v>9.1141732283464574</v>
      </c>
    </row>
    <row r="78" spans="1:37" x14ac:dyDescent="0.3">
      <c r="A78" s="9">
        <v>30</v>
      </c>
      <c r="B78" s="9">
        <v>0.254</v>
      </c>
      <c r="C78" s="49">
        <v>4.4999999999999998E-2</v>
      </c>
      <c r="D78" s="10">
        <f t="shared" si="24"/>
        <v>82.28346456692914</v>
      </c>
      <c r="E78" s="10">
        <f t="shared" si="31"/>
        <v>1.7716535433070864</v>
      </c>
      <c r="F78" s="9">
        <v>2</v>
      </c>
      <c r="G78" s="10">
        <f t="shared" si="25"/>
        <v>18.228346456692915</v>
      </c>
      <c r="H78" s="49">
        <f t="shared" si="26"/>
        <v>9.1141732283464574</v>
      </c>
      <c r="I78" s="10">
        <f t="shared" si="27"/>
        <v>-0.75245198196315655</v>
      </c>
      <c r="J78" s="49">
        <f t="shared" si="28"/>
        <v>0.9597172787340339</v>
      </c>
      <c r="K78" s="10">
        <f t="shared" si="22"/>
        <v>3.2915766738660905</v>
      </c>
      <c r="L78" s="10">
        <f t="shared" si="23"/>
        <v>5.4772255750516612</v>
      </c>
      <c r="M78" s="50">
        <f t="shared" si="29"/>
        <v>1.4771212547196624</v>
      </c>
      <c r="N78" s="10">
        <f t="shared" si="30"/>
        <v>3.4011973816621555</v>
      </c>
      <c r="P78" s="9">
        <v>30</v>
      </c>
      <c r="Q78" s="10">
        <v>82.28346456692914</v>
      </c>
      <c r="Z78" s="10">
        <v>5.4772255750516612</v>
      </c>
      <c r="AA78" s="49">
        <v>9.1141732283464574</v>
      </c>
      <c r="AJ78" s="10">
        <v>6.324555320336759</v>
      </c>
      <c r="AK78" s="49">
        <v>9.1929133858267722</v>
      </c>
    </row>
    <row r="79" spans="1:37" x14ac:dyDescent="0.3">
      <c r="A79" s="9">
        <v>40</v>
      </c>
      <c r="B79" s="9">
        <v>0.254</v>
      </c>
      <c r="C79" s="49">
        <v>4.1000000000000002E-2</v>
      </c>
      <c r="D79" s="10">
        <f t="shared" si="24"/>
        <v>83.858267716535437</v>
      </c>
      <c r="E79" s="10">
        <f t="shared" si="31"/>
        <v>1.6141732283464567</v>
      </c>
      <c r="F79" s="9">
        <v>2</v>
      </c>
      <c r="G79" s="10">
        <f t="shared" si="25"/>
        <v>18.385826771653544</v>
      </c>
      <c r="H79" s="49">
        <f t="shared" si="26"/>
        <v>9.1929133858267722</v>
      </c>
      <c r="I79" s="10">
        <f t="shared" si="27"/>
        <v>-1.0083902565075114</v>
      </c>
      <c r="J79" s="49">
        <f t="shared" si="28"/>
        <v>0.96345316828219296</v>
      </c>
      <c r="K79" s="10">
        <f t="shared" si="22"/>
        <v>4.3511777301927195</v>
      </c>
      <c r="L79" s="10">
        <f t="shared" si="23"/>
        <v>6.324555320336759</v>
      </c>
      <c r="M79" s="50">
        <f t="shared" si="29"/>
        <v>1.6020599913279623</v>
      </c>
      <c r="N79" s="10">
        <f t="shared" si="30"/>
        <v>3.6888794541139363</v>
      </c>
      <c r="P79" s="9">
        <v>40</v>
      </c>
      <c r="Q79" s="10">
        <v>83.858267716535437</v>
      </c>
      <c r="Z79" s="10">
        <v>6.324555320336759</v>
      </c>
      <c r="AA79" s="49">
        <v>9.1929133858267722</v>
      </c>
      <c r="AJ79" s="10">
        <v>7.0710678118654755</v>
      </c>
      <c r="AK79" s="49">
        <v>9.2519685039370074</v>
      </c>
    </row>
    <row r="80" spans="1:37" x14ac:dyDescent="0.3">
      <c r="A80" s="9">
        <v>50</v>
      </c>
      <c r="B80" s="9">
        <v>0.254</v>
      </c>
      <c r="C80" s="49">
        <v>3.7999999999999999E-2</v>
      </c>
      <c r="D80" s="10">
        <f t="shared" si="24"/>
        <v>85.039370078740163</v>
      </c>
      <c r="E80" s="10">
        <f t="shared" si="31"/>
        <v>1.4960629921259843</v>
      </c>
      <c r="F80" s="9">
        <v>2</v>
      </c>
      <c r="G80" s="10">
        <f t="shared" si="25"/>
        <v>18.503937007874015</v>
      </c>
      <c r="H80" s="49">
        <f t="shared" si="26"/>
        <v>9.2519685039370074</v>
      </c>
      <c r="I80" s="10">
        <f t="shared" si="27"/>
        <v>-1.4085848020507969</v>
      </c>
      <c r="J80" s="49">
        <f t="shared" si="28"/>
        <v>0.96623414565179822</v>
      </c>
      <c r="K80" s="10">
        <f t="shared" si="22"/>
        <v>5.4042553191489366</v>
      </c>
      <c r="L80" s="10">
        <f t="shared" si="23"/>
        <v>7.0710678118654755</v>
      </c>
      <c r="M80" s="50">
        <f t="shared" si="29"/>
        <v>1.6989700043360187</v>
      </c>
      <c r="N80" s="10">
        <f t="shared" si="30"/>
        <v>3.912023005428146</v>
      </c>
      <c r="P80" s="9">
        <v>50</v>
      </c>
      <c r="Q80" s="10">
        <v>85.039370078740163</v>
      </c>
      <c r="Z80" s="10">
        <v>7.0710678118654755</v>
      </c>
      <c r="AA80" s="49">
        <v>9.2519685039370074</v>
      </c>
      <c r="AJ80" s="10">
        <v>7.745966692414834</v>
      </c>
      <c r="AK80" s="49">
        <v>9.271653543307087</v>
      </c>
    </row>
    <row r="81" spans="1:37" x14ac:dyDescent="0.3">
      <c r="A81" s="9">
        <v>60</v>
      </c>
      <c r="B81" s="9">
        <v>0.254</v>
      </c>
      <c r="C81" s="49">
        <v>3.6999999999999998E-2</v>
      </c>
      <c r="D81" s="10">
        <f t="shared" si="24"/>
        <v>85.433070866141733</v>
      </c>
      <c r="E81" s="10">
        <f t="shared" si="31"/>
        <v>1.4566929133858266</v>
      </c>
      <c r="F81" s="9">
        <v>2</v>
      </c>
      <c r="G81" s="10">
        <f t="shared" si="25"/>
        <v>18.543307086614174</v>
      </c>
      <c r="H81" s="49">
        <f t="shared" si="26"/>
        <v>9.271653543307087</v>
      </c>
      <c r="I81" s="10">
        <f t="shared" si="27"/>
        <v>-1.7133985644758767</v>
      </c>
      <c r="J81" s="49">
        <f t="shared" si="28"/>
        <v>0.96715719484497698</v>
      </c>
      <c r="K81" s="10">
        <f t="shared" si="22"/>
        <v>6.4713375796178338</v>
      </c>
      <c r="L81" s="10">
        <f t="shared" si="23"/>
        <v>7.745966692414834</v>
      </c>
      <c r="M81" s="50">
        <f t="shared" si="29"/>
        <v>1.7781512503836436</v>
      </c>
      <c r="N81" s="10">
        <f t="shared" si="30"/>
        <v>4.0943445622221004</v>
      </c>
      <c r="P81" s="9">
        <v>60</v>
      </c>
      <c r="Q81" s="10">
        <v>85.433070866141733</v>
      </c>
      <c r="Z81" s="10">
        <v>7.745966692414834</v>
      </c>
      <c r="AA81" s="49">
        <v>9.271653543307087</v>
      </c>
      <c r="AJ81" s="10"/>
      <c r="AK81" s="49"/>
    </row>
    <row r="82" spans="1:37" x14ac:dyDescent="0.3">
      <c r="A82" s="9">
        <v>90</v>
      </c>
      <c r="B82" s="9">
        <v>0.254</v>
      </c>
      <c r="C82" s="49">
        <v>3.5999999999999997E-2</v>
      </c>
      <c r="D82" s="10">
        <f t="shared" si="24"/>
        <v>85.826771653543304</v>
      </c>
      <c r="E82" s="10">
        <f t="shared" si="31"/>
        <v>1.4173228346456692</v>
      </c>
      <c r="F82" s="9">
        <v>2</v>
      </c>
      <c r="G82" s="10">
        <f t="shared" si="25"/>
        <v>18.58267716535433</v>
      </c>
      <c r="H82" s="49">
        <f>G82/F82</f>
        <v>9.2913385826771648</v>
      </c>
      <c r="I82" s="10"/>
      <c r="J82" s="49">
        <f t="shared" si="28"/>
        <v>0.96807828635016846</v>
      </c>
      <c r="K82" s="10">
        <f t="shared" si="22"/>
        <v>9.6864406779661021</v>
      </c>
      <c r="L82" s="10">
        <f t="shared" si="23"/>
        <v>9.4868329805051381</v>
      </c>
      <c r="M82" s="50">
        <f t="shared" si="29"/>
        <v>1.954242509439325</v>
      </c>
      <c r="N82" s="10">
        <f t="shared" si="30"/>
        <v>4.499809670330265</v>
      </c>
      <c r="P82" s="9">
        <v>90</v>
      </c>
      <c r="Q82" s="10">
        <v>85.826771653543304</v>
      </c>
      <c r="Z82" s="10">
        <v>9.4868329805051381</v>
      </c>
      <c r="AA82" s="49">
        <v>9.2913385826771648</v>
      </c>
    </row>
    <row r="83" spans="1:37" x14ac:dyDescent="0.3">
      <c r="A83" s="9">
        <v>120</v>
      </c>
      <c r="B83" s="9">
        <v>0.254</v>
      </c>
      <c r="C83" s="49">
        <v>3.5999999999999997E-2</v>
      </c>
      <c r="D83" s="10">
        <f t="shared" si="24"/>
        <v>85.826771653543304</v>
      </c>
      <c r="E83" s="10">
        <f t="shared" si="31"/>
        <v>1.4173228346456692</v>
      </c>
      <c r="F83" s="9">
        <v>2</v>
      </c>
      <c r="G83" s="10">
        <f t="shared" si="25"/>
        <v>18.58267716535433</v>
      </c>
      <c r="H83" s="49">
        <f t="shared" ref="H83:H85" si="32">G83/F83</f>
        <v>9.2913385826771648</v>
      </c>
      <c r="I83" s="10"/>
      <c r="J83" s="49">
        <f t="shared" si="28"/>
        <v>0.96807828635016846</v>
      </c>
      <c r="K83" s="10">
        <f t="shared" si="22"/>
        <v>12.915254237288137</v>
      </c>
      <c r="L83" s="10">
        <f t="shared" si="23"/>
        <v>10.954451150103322</v>
      </c>
      <c r="M83" s="50">
        <f t="shared" si="29"/>
        <v>2.0791812460476247</v>
      </c>
      <c r="N83" s="10">
        <f t="shared" si="30"/>
        <v>4.7874917427820458</v>
      </c>
      <c r="P83" s="9">
        <v>120</v>
      </c>
      <c r="Q83" s="10">
        <v>85.826771653543304</v>
      </c>
      <c r="Z83" s="10">
        <v>10.954451150103322</v>
      </c>
      <c r="AA83" s="49">
        <v>9.2913385826771648</v>
      </c>
    </row>
    <row r="84" spans="1:37" x14ac:dyDescent="0.3">
      <c r="A84" s="51">
        <v>180</v>
      </c>
      <c r="B84" s="9">
        <v>0.254</v>
      </c>
      <c r="C84" s="49">
        <v>3.5999999999999997E-2</v>
      </c>
      <c r="D84" s="10">
        <f t="shared" si="24"/>
        <v>85.826771653543304</v>
      </c>
      <c r="E84" s="10">
        <f t="shared" si="31"/>
        <v>1.4173228346456692</v>
      </c>
      <c r="F84" s="9">
        <v>2</v>
      </c>
      <c r="G84" s="10">
        <f t="shared" si="25"/>
        <v>18.58267716535433</v>
      </c>
      <c r="H84" s="49">
        <f t="shared" si="32"/>
        <v>9.2913385826771648</v>
      </c>
      <c r="I84" s="10"/>
      <c r="J84" s="49">
        <f t="shared" si="28"/>
        <v>0.96807828635016846</v>
      </c>
      <c r="K84" s="10">
        <f t="shared" si="22"/>
        <v>19.372881355932204</v>
      </c>
      <c r="L84" s="10">
        <f t="shared" si="23"/>
        <v>13.416407864998739</v>
      </c>
      <c r="M84" s="50">
        <f t="shared" si="29"/>
        <v>2.255272505103306</v>
      </c>
      <c r="N84" s="10">
        <f t="shared" si="30"/>
        <v>5.1929568508902104</v>
      </c>
      <c r="P84" s="51">
        <v>180</v>
      </c>
      <c r="Q84" s="10">
        <v>85.826771653543304</v>
      </c>
      <c r="Z84" s="10">
        <v>13.416407864998739</v>
      </c>
      <c r="AA84" s="49">
        <v>9.2913385826771648</v>
      </c>
    </row>
    <row r="85" spans="1:37" x14ac:dyDescent="0.3">
      <c r="A85" s="51">
        <v>240</v>
      </c>
      <c r="B85" s="9">
        <v>0.254</v>
      </c>
      <c r="C85" s="49">
        <v>3.5999999999999997E-2</v>
      </c>
      <c r="D85" s="10">
        <f t="shared" si="24"/>
        <v>85.826771653543304</v>
      </c>
      <c r="E85" s="10">
        <f t="shared" si="31"/>
        <v>1.4173228346456692</v>
      </c>
      <c r="F85" s="9">
        <v>2</v>
      </c>
      <c r="G85" s="10">
        <f t="shared" si="25"/>
        <v>18.58267716535433</v>
      </c>
      <c r="H85" s="49">
        <f t="shared" si="32"/>
        <v>9.2913385826771648</v>
      </c>
      <c r="I85" s="10"/>
      <c r="J85" s="49">
        <f t="shared" si="28"/>
        <v>0.96807828635016846</v>
      </c>
      <c r="K85" s="10">
        <f t="shared" si="22"/>
        <v>25.830508474576273</v>
      </c>
      <c r="L85" s="10">
        <f t="shared" si="23"/>
        <v>15.491933384829668</v>
      </c>
      <c r="M85" s="50">
        <f t="shared" si="29"/>
        <v>2.3802112417116059</v>
      </c>
      <c r="N85" s="10">
        <f t="shared" si="30"/>
        <v>5.4806389233419912</v>
      </c>
      <c r="P85" s="51">
        <v>240</v>
      </c>
      <c r="Q85" s="10">
        <v>85.826771653543304</v>
      </c>
      <c r="Z85" s="10">
        <v>15.491933384829668</v>
      </c>
      <c r="AA85" s="49">
        <v>9.2913385826771648</v>
      </c>
    </row>
    <row r="87" spans="1:37" x14ac:dyDescent="0.3">
      <c r="L87" s="9" t="s">
        <v>46</v>
      </c>
      <c r="U87" s="32" t="s">
        <v>48</v>
      </c>
    </row>
    <row r="88" spans="1:37" x14ac:dyDescent="0.3">
      <c r="A88" s="32" t="s">
        <v>49</v>
      </c>
      <c r="B88" s="47" t="s">
        <v>51</v>
      </c>
      <c r="K88" s="32" t="s">
        <v>49</v>
      </c>
      <c r="L88" s="47" t="s">
        <v>53</v>
      </c>
      <c r="U88" s="47" t="s">
        <v>56</v>
      </c>
      <c r="V88" s="32" t="s">
        <v>104</v>
      </c>
    </row>
    <row r="89" spans="1:37" x14ac:dyDescent="0.3">
      <c r="A89" s="33"/>
      <c r="B89" s="10"/>
      <c r="K89" s="33"/>
      <c r="L89" s="10"/>
      <c r="U89" s="10"/>
      <c r="V89" s="49"/>
    </row>
    <row r="90" spans="1:37" x14ac:dyDescent="0.3">
      <c r="A90" s="9">
        <v>5</v>
      </c>
      <c r="B90" s="10">
        <v>0.44637202422923888</v>
      </c>
      <c r="K90" s="9">
        <v>5</v>
      </c>
      <c r="L90" s="10">
        <v>0.76969696969696955</v>
      </c>
      <c r="U90" s="10">
        <v>1.6094379124341003</v>
      </c>
      <c r="V90" s="49">
        <v>6.4960629921259851</v>
      </c>
    </row>
    <row r="91" spans="1:37" x14ac:dyDescent="0.3">
      <c r="A91" s="9">
        <v>10</v>
      </c>
      <c r="B91" s="10">
        <v>0.24344235518134269</v>
      </c>
      <c r="K91" s="9">
        <v>10</v>
      </c>
      <c r="L91" s="10">
        <v>1.3263707571801566</v>
      </c>
      <c r="U91" s="10">
        <v>2.3025850929940459</v>
      </c>
      <c r="V91" s="49">
        <v>7.5393700787401574</v>
      </c>
    </row>
    <row r="92" spans="1:37" x14ac:dyDescent="0.3">
      <c r="A92" s="9">
        <v>15</v>
      </c>
      <c r="B92" s="10">
        <v>-0.10399050774521294</v>
      </c>
      <c r="K92" s="9">
        <v>15</v>
      </c>
      <c r="L92" s="10">
        <v>1.7638888888888891</v>
      </c>
      <c r="U92" s="10">
        <v>2.7080502011022101</v>
      </c>
      <c r="V92" s="49">
        <v>8.5039370078740149</v>
      </c>
    </row>
    <row r="93" spans="1:37" x14ac:dyDescent="0.3">
      <c r="A93" s="9">
        <v>20</v>
      </c>
      <c r="B93" s="10">
        <v>-0.53027072996744606</v>
      </c>
      <c r="K93" s="9">
        <v>20</v>
      </c>
      <c r="L93" s="10">
        <v>2.2231947483588619</v>
      </c>
      <c r="U93" s="10">
        <v>2.9957322735539909</v>
      </c>
      <c r="V93" s="49">
        <v>8.9960629921259851</v>
      </c>
    </row>
    <row r="94" spans="1:37" x14ac:dyDescent="0.3">
      <c r="A94" s="9">
        <v>30</v>
      </c>
      <c r="B94" s="10">
        <v>-0.75245198196315655</v>
      </c>
      <c r="K94" s="9">
        <v>30</v>
      </c>
      <c r="L94" s="10">
        <v>3.2915766738660905</v>
      </c>
      <c r="U94" s="10">
        <v>3.4011973816621555</v>
      </c>
      <c r="V94" s="49">
        <v>9.1141732283464574</v>
      </c>
    </row>
    <row r="95" spans="1:37" x14ac:dyDescent="0.3">
      <c r="A95" s="9">
        <v>40</v>
      </c>
      <c r="B95" s="10">
        <v>-1.0083902565075114</v>
      </c>
      <c r="K95" s="9">
        <v>40</v>
      </c>
      <c r="L95" s="10">
        <v>4.3511777301927195</v>
      </c>
      <c r="U95" s="10">
        <v>3.6888794541139363</v>
      </c>
      <c r="V95" s="49">
        <v>9.1929133858267722</v>
      </c>
    </row>
    <row r="96" spans="1:37" x14ac:dyDescent="0.3">
      <c r="A96" s="9">
        <v>50</v>
      </c>
      <c r="B96" s="10">
        <v>-1.4085848020507969</v>
      </c>
      <c r="K96" s="9">
        <v>50</v>
      </c>
      <c r="L96" s="10">
        <v>5.4042553191489366</v>
      </c>
      <c r="U96" s="10">
        <v>3.912023005428146</v>
      </c>
      <c r="V96" s="49">
        <v>9.2519685039370074</v>
      </c>
    </row>
    <row r="97" spans="1:22" x14ac:dyDescent="0.3">
      <c r="A97" s="9">
        <v>60</v>
      </c>
      <c r="B97" s="10">
        <v>-1.7133985644758767</v>
      </c>
      <c r="K97" s="9">
        <v>60</v>
      </c>
      <c r="L97" s="10">
        <v>6.4713375796178338</v>
      </c>
      <c r="U97" s="10">
        <v>4.0943445622221004</v>
      </c>
      <c r="V97" s="49">
        <v>9.271653543307087</v>
      </c>
    </row>
    <row r="98" spans="1:22" x14ac:dyDescent="0.3">
      <c r="A98" s="9">
        <v>90</v>
      </c>
      <c r="B98" s="10"/>
      <c r="K98" s="9">
        <v>90</v>
      </c>
      <c r="L98" s="10">
        <v>9.6864406779661021</v>
      </c>
      <c r="U98" s="10">
        <v>4.499809670330265</v>
      </c>
      <c r="V98" s="49">
        <v>9.2913385826771648</v>
      </c>
    </row>
    <row r="99" spans="1:22" x14ac:dyDescent="0.3">
      <c r="A99" s="9">
        <v>120</v>
      </c>
      <c r="B99" s="103"/>
      <c r="K99" s="9">
        <v>120</v>
      </c>
      <c r="L99" s="10">
        <v>12.915254237288137</v>
      </c>
      <c r="U99" s="10">
        <v>4.7874917427820458</v>
      </c>
      <c r="V99" s="49">
        <v>9.2913385826771648</v>
      </c>
    </row>
    <row r="100" spans="1:22" x14ac:dyDescent="0.3">
      <c r="A100" s="51">
        <v>180</v>
      </c>
      <c r="B100" s="103"/>
      <c r="K100" s="51">
        <v>180</v>
      </c>
      <c r="L100" s="10">
        <v>19.372881355932204</v>
      </c>
      <c r="U100" s="10">
        <v>5.1929568508902104</v>
      </c>
      <c r="V100" s="49">
        <v>9.2913385826771648</v>
      </c>
    </row>
    <row r="101" spans="1:22" x14ac:dyDescent="0.3">
      <c r="A101" s="51">
        <v>240</v>
      </c>
      <c r="B101" s="103"/>
      <c r="K101" s="51">
        <v>240</v>
      </c>
      <c r="L101" s="10">
        <v>25.830508474576273</v>
      </c>
      <c r="U101" s="10">
        <v>5.4806389233419912</v>
      </c>
      <c r="V101" s="49">
        <v>9.2913385826771648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Adsorption</vt:lpstr>
      <vt:lpstr>Isotherms</vt:lpstr>
      <vt:lpstr>Tables</vt:lpstr>
      <vt:lpstr>Figures</vt:lpstr>
      <vt:lpstr>Calculation</vt:lpstr>
      <vt:lpstr>kinetics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2021-12-25T01:35:32Z</dcterms:modified>
</cp:coreProperties>
</file>