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mel\Desktop\BASSIN\AVG\"/>
    </mc:Choice>
  </mc:AlternateContent>
  <xr:revisionPtr revIDLastSave="0" documentId="13_ncr:1_{3F22B399-B0E9-4E52-A61F-750823878D76}" xr6:coauthVersionLast="47" xr6:coauthVersionMax="47" xr10:uidLastSave="{00000000-0000-0000-0000-000000000000}"/>
  <bookViews>
    <workbookView xWindow="-120" yWindow="-120" windowWidth="24240" windowHeight="13020" activeTab="2" xr2:uid="{26D0DE74-994F-49AA-8BA9-CE4287BCF9CE}"/>
  </bookViews>
  <sheets>
    <sheet name="PONCTUELLE" sheetId="1" r:id="rId1"/>
    <sheet name="REOARTIE + PONCTUELLE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3" i="3"/>
  <c r="N11" i="3"/>
  <c r="N13" i="3" s="1"/>
  <c r="N9" i="3"/>
  <c r="J15" i="2"/>
  <c r="J5" i="2"/>
  <c r="L5" i="2" s="1"/>
  <c r="E23" i="2"/>
  <c r="E34" i="2"/>
  <c r="E40" i="2"/>
  <c r="E38" i="2"/>
  <c r="E28" i="2"/>
  <c r="B2" i="2"/>
  <c r="E14" i="2" s="1"/>
  <c r="D5" i="2"/>
  <c r="C14" i="2"/>
  <c r="B4" i="2"/>
  <c r="E9" i="2"/>
  <c r="B7" i="2"/>
  <c r="J6" i="2"/>
  <c r="C3" i="2"/>
  <c r="J12" i="1"/>
  <c r="B14" i="1"/>
  <c r="C10" i="1"/>
  <c r="J13" i="1"/>
  <c r="E20" i="1"/>
  <c r="N14" i="3" l="1"/>
  <c r="O13" i="3"/>
  <c r="J14" i="1"/>
  <c r="E22" i="1" s="1"/>
  <c r="E11" i="2"/>
  <c r="E10" i="2"/>
  <c r="E39" i="2"/>
  <c r="J7" i="2"/>
  <c r="L12" i="1"/>
  <c r="E19" i="1"/>
  <c r="E18" i="1"/>
  <c r="E17" i="1"/>
  <c r="E16" i="1"/>
  <c r="B8" i="1"/>
  <c r="E21" i="2" l="1"/>
  <c r="E17" i="2" s="1"/>
  <c r="G17" i="2" s="1"/>
  <c r="E22" i="2"/>
  <c r="E21" i="1"/>
  <c r="G21" i="1" s="1"/>
  <c r="E35" i="2"/>
  <c r="E33" i="2"/>
  <c r="E13" i="2"/>
  <c r="E12" i="2"/>
  <c r="E23" i="1"/>
  <c r="G22" i="1"/>
  <c r="E16" i="2" l="1"/>
  <c r="G16" i="2" s="1"/>
</calcChain>
</file>

<file path=xl/sharedStrings.xml><?xml version="1.0" encoding="utf-8"?>
<sst xmlns="http://schemas.openxmlformats.org/spreadsheetml/2006/main" count="207" uniqueCount="125">
  <si>
    <t>joules</t>
  </si>
  <si>
    <t>Corps dur</t>
  </si>
  <si>
    <t>1 KG</t>
  </si>
  <si>
    <t>m</t>
  </si>
  <si>
    <t>E=m*g*h</t>
  </si>
  <si>
    <r>
      <rPr>
        <b/>
        <sz val="14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 xml:space="preserve"> (m) = </t>
    </r>
  </si>
  <si>
    <r>
      <rPr>
        <b/>
        <sz val="14"/>
        <color theme="1"/>
        <rFont val="Arial"/>
        <family val="2"/>
      </rPr>
      <t>Pds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(kg)</t>
    </r>
    <r>
      <rPr>
        <b/>
        <sz val="12"/>
        <color theme="1"/>
        <rFont val="Arial"/>
        <family val="2"/>
      </rPr>
      <t xml:space="preserve"> =</t>
    </r>
  </si>
  <si>
    <r>
      <rPr>
        <b/>
        <sz val="14"/>
        <color theme="1"/>
        <rFont val="Arial"/>
        <family val="2"/>
      </rPr>
      <t>E</t>
    </r>
    <r>
      <rPr>
        <b/>
        <sz val="11"/>
        <color theme="1"/>
        <rFont val="Arial"/>
        <family val="2"/>
      </rPr>
      <t>(joule)</t>
    </r>
    <r>
      <rPr>
        <b/>
        <sz val="12"/>
        <color theme="1"/>
        <rFont val="Arial"/>
        <family val="2"/>
      </rPr>
      <t xml:space="preserve"> =</t>
    </r>
  </si>
  <si>
    <t>Formule</t>
  </si>
  <si>
    <t>g = 10 m/s2</t>
  </si>
  <si>
    <t>donnee</t>
  </si>
  <si>
    <t>F (KN)</t>
  </si>
  <si>
    <t>L (m)</t>
  </si>
  <si>
    <t>x (m)</t>
  </si>
  <si>
    <t>y(x)</t>
  </si>
  <si>
    <t>fo</t>
  </si>
  <si>
    <t>appliqué en B</t>
  </si>
  <si>
    <t>RA</t>
  </si>
  <si>
    <t>Vx</t>
  </si>
  <si>
    <t>Mx</t>
  </si>
  <si>
    <t>Wd</t>
  </si>
  <si>
    <t>A</t>
  </si>
  <si>
    <t>B</t>
  </si>
  <si>
    <r>
      <t>M</t>
    </r>
    <r>
      <rPr>
        <sz val="11"/>
        <color theme="1"/>
        <rFont val="Tahoma"/>
        <family val="2"/>
      </rPr>
      <t>A</t>
    </r>
  </si>
  <si>
    <r>
      <t>M</t>
    </r>
    <r>
      <rPr>
        <sz val="12"/>
        <color theme="1"/>
        <rFont val="Tahoma"/>
        <family val="2"/>
      </rPr>
      <t>R</t>
    </r>
    <r>
      <rPr>
        <sz val="10"/>
        <color theme="1"/>
        <rFont val="Tahoma"/>
        <family val="2"/>
      </rPr>
      <t>A</t>
    </r>
  </si>
  <si>
    <t>h</t>
  </si>
  <si>
    <t>b</t>
  </si>
  <si>
    <t>I =bh3/12 : Moment d'inertie</t>
  </si>
  <si>
    <t>Module de Young</t>
  </si>
  <si>
    <t>Acier</t>
  </si>
  <si>
    <t>Béton</t>
  </si>
  <si>
    <t>Aluminium</t>
  </si>
  <si>
    <t>Bois</t>
  </si>
  <si>
    <r>
      <t>1 MPa = 1 N/mm</t>
    </r>
    <r>
      <rPr>
        <b/>
        <vertAlign val="superscript"/>
        <sz val="12"/>
        <color theme="1"/>
        <rFont val="Arial"/>
        <family val="2"/>
      </rPr>
      <t>2</t>
    </r>
  </si>
  <si>
    <t>Mpa</t>
  </si>
  <si>
    <t>E * I =</t>
  </si>
  <si>
    <t>KN</t>
  </si>
  <si>
    <t>KN.m</t>
  </si>
  <si>
    <t>1 N/mm2 = 1000KN/m2</t>
  </si>
  <si>
    <t>KN/m2</t>
  </si>
  <si>
    <t>m4</t>
  </si>
  <si>
    <t>KN.m3</t>
  </si>
  <si>
    <t>ELASTICITÉ</t>
  </si>
  <si>
    <t>mm</t>
  </si>
  <si>
    <t>kn/m2</t>
  </si>
  <si>
    <t>Densité</t>
  </si>
  <si>
    <t>Module d’élasticité E</t>
  </si>
  <si>
    <t>Coefficient de poisson</t>
  </si>
  <si>
    <t>Coefficient de dilatation thermale</t>
  </si>
  <si>
    <t>verre recuit</t>
  </si>
  <si>
    <t>Inox</t>
  </si>
  <si>
    <t>2500 Kg/m3</t>
  </si>
  <si>
    <t>2503 Kg/m3</t>
  </si>
  <si>
    <t>2504 Kg/m3</t>
  </si>
  <si>
    <t>7850 Kg/m3</t>
  </si>
  <si>
    <t>70000 Mpa</t>
  </si>
  <si>
    <t>200000 Mpa</t>
  </si>
  <si>
    <r>
      <t>(7.7a8.8) 10</t>
    </r>
    <r>
      <rPr>
        <u/>
        <sz val="9"/>
        <color theme="10"/>
        <rFont val="Arial"/>
        <family val="2"/>
      </rPr>
      <t>-6</t>
    </r>
    <r>
      <rPr>
        <sz val="12"/>
        <color theme="1"/>
        <rFont val="Arial"/>
        <family val="2"/>
      </rPr>
      <t>/C</t>
    </r>
  </si>
  <si>
    <t>11.7 10-6</t>
  </si>
  <si>
    <t>aluminium 6061 t6</t>
  </si>
  <si>
    <t>68900 Mpa</t>
  </si>
  <si>
    <t>2,7 g/cc</t>
  </si>
  <si>
    <t>2700 Kg/m3</t>
  </si>
  <si>
    <t>210000 Mpa</t>
  </si>
  <si>
    <t>10000 Mpa</t>
  </si>
  <si>
    <t>q (KN)</t>
  </si>
  <si>
    <t>b (m)</t>
  </si>
  <si>
    <t>RA = F + Q</t>
  </si>
  <si>
    <r>
      <t xml:space="preserve">Q= q </t>
    </r>
    <r>
      <rPr>
        <b/>
        <sz val="10"/>
        <color theme="1"/>
        <rFont val="Arial"/>
        <family val="2"/>
      </rPr>
      <t>x</t>
    </r>
    <r>
      <rPr>
        <b/>
        <sz val="12"/>
        <color theme="1"/>
        <rFont val="Arial"/>
        <family val="2"/>
      </rPr>
      <t xml:space="preserve"> L (KN)</t>
    </r>
  </si>
  <si>
    <t>C              B</t>
  </si>
  <si>
    <t>a (m)</t>
  </si>
  <si>
    <t xml:space="preserve">     x</t>
  </si>
  <si>
    <r>
      <t>V</t>
    </r>
    <r>
      <rPr>
        <sz val="11"/>
        <color theme="1"/>
        <rFont val="Tahoma"/>
        <family val="2"/>
      </rPr>
      <t>AC(x)</t>
    </r>
    <r>
      <rPr>
        <sz val="14"/>
        <color theme="1"/>
        <rFont val="Tahoma"/>
        <family val="2"/>
      </rPr>
      <t xml:space="preserve"> = F+Q(1-x/L)</t>
    </r>
  </si>
  <si>
    <r>
      <t>V</t>
    </r>
    <r>
      <rPr>
        <sz val="11"/>
        <color theme="1"/>
        <rFont val="Tahoma"/>
        <family val="2"/>
      </rPr>
      <t>CB(x)</t>
    </r>
    <r>
      <rPr>
        <sz val="14"/>
        <color theme="1"/>
        <rFont val="Tahoma"/>
        <family val="2"/>
      </rPr>
      <t xml:space="preserve"> = Q(1-x/L)</t>
    </r>
  </si>
  <si>
    <r>
      <t>M</t>
    </r>
    <r>
      <rPr>
        <sz val="12"/>
        <color theme="1"/>
        <rFont val="Tahoma"/>
        <family val="2"/>
      </rPr>
      <t xml:space="preserve">AC(x)= </t>
    </r>
    <r>
      <rPr>
        <b/>
        <sz val="12"/>
        <color theme="1"/>
        <rFont val="Tahoma"/>
        <family val="2"/>
      </rPr>
      <t>-F(a-x)-Q/2L (L-x)^2</t>
    </r>
  </si>
  <si>
    <r>
      <rPr>
        <sz val="12"/>
        <color theme="1"/>
        <rFont val="Tahoma"/>
        <family val="2"/>
      </rPr>
      <t xml:space="preserve"> </t>
    </r>
    <r>
      <rPr>
        <b/>
        <sz val="12"/>
        <color theme="1"/>
        <rFont val="Tahoma"/>
        <family val="2"/>
      </rPr>
      <t>-F(a-x)</t>
    </r>
  </si>
  <si>
    <t xml:space="preserve"> -Q/2L </t>
  </si>
  <si>
    <t xml:space="preserve"> (L-x)^2</t>
  </si>
  <si>
    <r>
      <t>M</t>
    </r>
    <r>
      <rPr>
        <sz val="12"/>
        <color theme="1"/>
        <rFont val="Tahoma"/>
        <family val="2"/>
      </rPr>
      <t xml:space="preserve">CB(x)= </t>
    </r>
    <r>
      <rPr>
        <b/>
        <sz val="12"/>
        <color theme="1"/>
        <rFont val="Tahoma"/>
        <family val="2"/>
      </rPr>
      <t>-Q/2L (L-x)^3</t>
    </r>
  </si>
  <si>
    <r>
      <t>M</t>
    </r>
    <r>
      <rPr>
        <sz val="11"/>
        <color theme="1"/>
        <rFont val="Tahoma"/>
        <family val="2"/>
      </rPr>
      <t>A</t>
    </r>
    <r>
      <rPr>
        <sz val="14"/>
        <color theme="1"/>
        <rFont val="Tahoma"/>
        <family val="2"/>
      </rPr>
      <t xml:space="preserve"> = -F.a - Q.L/2</t>
    </r>
  </si>
  <si>
    <r>
      <t>fo=f</t>
    </r>
    <r>
      <rPr>
        <sz val="11"/>
        <color theme="1"/>
        <rFont val="Tahoma"/>
        <family val="2"/>
      </rPr>
      <t>B</t>
    </r>
    <r>
      <rPr>
        <sz val="14"/>
        <color theme="1"/>
        <rFont val="Tahoma"/>
        <family val="2"/>
      </rPr>
      <t>=(F.a^2/6EI)*(3L-a)+QL^3/8EI</t>
    </r>
  </si>
  <si>
    <t>(F.a^2/6EI)</t>
  </si>
  <si>
    <t>(3L-a)</t>
  </si>
  <si>
    <t>QL^3/8EI</t>
  </si>
  <si>
    <t>(F.a^3/3EI</t>
  </si>
  <si>
    <t>Qa^2/24EIL</t>
  </si>
  <si>
    <t>a^2+6L^2-4La</t>
  </si>
  <si>
    <r>
      <t>f</t>
    </r>
    <r>
      <rPr>
        <sz val="11"/>
        <color theme="1"/>
        <rFont val="Tahoma"/>
        <family val="2"/>
      </rPr>
      <t>C</t>
    </r>
    <r>
      <rPr>
        <sz val="14"/>
        <color theme="1"/>
        <rFont val="Tahoma"/>
        <family val="2"/>
      </rPr>
      <t>= (F.a^3/3EI)+Qa^2/24EIL(a^2+6L^2-4La)</t>
    </r>
  </si>
  <si>
    <t>Verre recuit</t>
  </si>
  <si>
    <t>6mm</t>
  </si>
  <si>
    <t>F =</t>
  </si>
  <si>
    <t>P</t>
  </si>
  <si>
    <t>Cd</t>
  </si>
  <si>
    <t>SURFACE (LONG x HAUT)</t>
  </si>
  <si>
    <t>EXPLE</t>
  </si>
  <si>
    <t>PRESSION DU VENT</t>
  </si>
  <si>
    <t>L</t>
  </si>
  <si>
    <t>P=0.00256 x V2</t>
  </si>
  <si>
    <t>H</t>
  </si>
  <si>
    <t>V=70</t>
  </si>
  <si>
    <t>ANTENE DE 1M LONG ET 1.25CM DIAM</t>
  </si>
  <si>
    <t>SURFACE</t>
  </si>
  <si>
    <t>P=0.00256 x 70^2</t>
  </si>
  <si>
    <t>VITESSE VENT</t>
  </si>
  <si>
    <t>P=12.5 psf</t>
  </si>
  <si>
    <t>V =</t>
  </si>
  <si>
    <t>30 m/s</t>
  </si>
  <si>
    <t>vitesse du vent selon la region</t>
  </si>
  <si>
    <t>PRESSION</t>
  </si>
  <si>
    <t>S =</t>
  </si>
  <si>
    <t>1 x 0.0125</t>
  </si>
  <si>
    <t xml:space="preserve"> = 0.0125 M2</t>
  </si>
  <si>
    <t>COEFF</t>
  </si>
  <si>
    <t>P =</t>
  </si>
  <si>
    <t>0.613 V^2</t>
  </si>
  <si>
    <t xml:space="preserve"> =550 N/m^2</t>
  </si>
  <si>
    <t>PRESSION  DU VENT</t>
  </si>
  <si>
    <t>F</t>
  </si>
  <si>
    <t>Cx =</t>
  </si>
  <si>
    <t>0.8 car plaque plate courte</t>
  </si>
  <si>
    <t>COEFF DE TRAINÉE</t>
  </si>
  <si>
    <t>F=SxPxCx</t>
  </si>
  <si>
    <t>PRESSION DE VENT SUR L'ANTENNE</t>
  </si>
  <si>
    <t>1.4 car plaque plate courte</t>
  </si>
  <si>
    <t>Selon la norme NBN EN 1991-1-4, la pression nette du vent (wk ) à prendre en compte se calcule comme suit : wk = qp (ze ) . cp,net . cprob ² où : •qp (ze ) : la pression dynamique de pointe. Celle-ci est évaluée à la hauteur maximale du bâtiment •cp,net : le coefficient de pression nette. La norme NBN EN 1991-1-4 et, plus particulièrement, son annexe nationale prescrivent des coefficients de pression pour tenir compte des charges de vent sur les garde-corps. Des valeurs de 2,0 sont généralement recommandées •cprob ² : le coefficient de probabilité. Celui-ci tient comptre d’une période de retour adaptée de 25 ans et vaut 0,9216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</si>
</sst>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sz val="11"/>
      <color theme="1"/>
      <name val="Tahoma"/>
      <family val="2"/>
    </font>
    <font>
      <i/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sz val="12"/>
      <color theme="4"/>
      <name val="Arial"/>
      <family val="2"/>
    </font>
    <font>
      <sz val="18"/>
      <color theme="1"/>
      <name val="Arial"/>
      <family val="2"/>
    </font>
    <font>
      <sz val="8"/>
      <name val="Arial"/>
      <family val="2"/>
    </font>
    <font>
      <u/>
      <sz val="9"/>
      <color theme="10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3" borderId="0" xfId="0" applyFont="1" applyFill="1"/>
    <xf numFmtId="0" fontId="0" fillId="0" borderId="1" xfId="0" applyBorder="1"/>
    <xf numFmtId="0" fontId="1" fillId="0" borderId="0" xfId="0" applyFont="1" applyAlignment="1">
      <alignment horizontal="left"/>
    </xf>
    <xf numFmtId="0" fontId="1" fillId="0" borderId="0" xfId="0" applyFont="1"/>
    <xf numFmtId="0" fontId="12" fillId="5" borderId="0" xfId="0" applyFont="1" applyFill="1"/>
    <xf numFmtId="0" fontId="1" fillId="5" borderId="0" xfId="0" applyFont="1" applyFill="1"/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" fontId="0" fillId="0" borderId="0" xfId="0" applyNumberFormat="1"/>
    <xf numFmtId="0" fontId="14" fillId="0" borderId="0" xfId="0" applyFont="1"/>
    <xf numFmtId="0" fontId="0" fillId="5" borderId="0" xfId="0" applyFill="1"/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9" fillId="5" borderId="1" xfId="0" applyFont="1" applyFill="1" applyBorder="1"/>
    <xf numFmtId="0" fontId="0" fillId="5" borderId="1" xfId="0" applyFill="1" applyBorder="1"/>
    <xf numFmtId="0" fontId="6" fillId="6" borderId="1" xfId="0" applyFont="1" applyFill="1" applyBorder="1" applyAlignment="1">
      <alignment horizontal="center"/>
    </xf>
    <xf numFmtId="0" fontId="10" fillId="3" borderId="1" xfId="0" applyFont="1" applyFill="1" applyBorder="1"/>
    <xf numFmtId="1" fontId="1" fillId="3" borderId="3" xfId="0" applyNumberFormat="1" applyFont="1" applyFill="1" applyBorder="1"/>
    <xf numFmtId="0" fontId="1" fillId="3" borderId="4" xfId="0" applyFont="1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5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5" fillId="0" borderId="9" xfId="0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0" borderId="4" xfId="0" applyFont="1" applyBorder="1" applyAlignment="1">
      <alignment horizontal="center" wrapText="1"/>
    </xf>
    <xf numFmtId="0" fontId="0" fillId="5" borderId="0" xfId="0" applyFill="1" applyAlignment="1">
      <alignment horizontal="center" vertical="top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9" fillId="3" borderId="0" xfId="0" applyFont="1" applyFill="1" applyAlignment="1">
      <alignment horizontal="left"/>
    </xf>
    <xf numFmtId="0" fontId="20" fillId="3" borderId="1" xfId="0" applyFont="1" applyFill="1" applyBorder="1"/>
    <xf numFmtId="0" fontId="9" fillId="0" borderId="0" xfId="0" applyFont="1"/>
    <xf numFmtId="0" fontId="7" fillId="5" borderId="1" xfId="0" applyFont="1" applyFill="1" applyBorder="1"/>
    <xf numFmtId="0" fontId="21" fillId="5" borderId="1" xfId="0" applyFont="1" applyFill="1" applyBorder="1"/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right"/>
    </xf>
    <xf numFmtId="0" fontId="15" fillId="0" borderId="0" xfId="0" applyFont="1"/>
    <xf numFmtId="0" fontId="0" fillId="7" borderId="0" xfId="0" applyFill="1"/>
    <xf numFmtId="0" fontId="1" fillId="7" borderId="0" xfId="0" applyFont="1" applyFill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00CCFF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CCFF33"/>
        </patternFill>
      </fill>
    </dxf>
    <dxf>
      <fill>
        <patternFill>
          <bgColor rgb="FF00CCFF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CCFF33"/>
        </patternFill>
      </fill>
    </dxf>
  </dxfs>
  <tableStyles count="0" defaultTableStyle="TableStyleMedium2" defaultPivotStyle="PivotStyleLight16"/>
  <colors>
    <mruColors>
      <color rgb="FF66FF99"/>
      <color rgb="FFCCFF33"/>
      <color rgb="FFFF9900"/>
      <color rgb="FF00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</xdr:row>
      <xdr:rowOff>57150</xdr:rowOff>
    </xdr:from>
    <xdr:to>
      <xdr:col>1</xdr:col>
      <xdr:colOff>733425</xdr:colOff>
      <xdr:row>6</xdr:row>
      <xdr:rowOff>142875</xdr:rowOff>
    </xdr:to>
    <xdr:sp macro="" textlink="">
      <xdr:nvSpPr>
        <xdr:cNvPr id="2" name="Triangle isocèle 1">
          <a:extLst>
            <a:ext uri="{FF2B5EF4-FFF2-40B4-BE49-F238E27FC236}">
              <a16:creationId xmlns:a16="http://schemas.microsoft.com/office/drawing/2014/main" id="{BCCCAA75-9015-2E31-C151-62628F0C9ACF}"/>
            </a:ext>
          </a:extLst>
        </xdr:cNvPr>
        <xdr:cNvSpPr/>
      </xdr:nvSpPr>
      <xdr:spPr>
        <a:xfrm>
          <a:off x="1152525" y="819150"/>
          <a:ext cx="571500" cy="46672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</xdr:col>
      <xdr:colOff>447675</xdr:colOff>
      <xdr:row>0</xdr:row>
      <xdr:rowOff>152400</xdr:rowOff>
    </xdr:from>
    <xdr:to>
      <xdr:col>1</xdr:col>
      <xdr:colOff>457200</xdr:colOff>
      <xdr:row>4</xdr:row>
      <xdr:rowOff>57150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C1B9F3-AD0E-5B3E-634E-7FD530AE8D1E}"/>
            </a:ext>
          </a:extLst>
        </xdr:cNvPr>
        <xdr:cNvCxnSpPr>
          <a:endCxn id="2" idx="0"/>
        </xdr:cNvCxnSpPr>
      </xdr:nvCxnSpPr>
      <xdr:spPr>
        <a:xfrm flipH="1">
          <a:off x="1438275" y="152400"/>
          <a:ext cx="9525" cy="666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0</xdr:row>
      <xdr:rowOff>171450</xdr:rowOff>
    </xdr:from>
    <xdr:to>
      <xdr:col>1</xdr:col>
      <xdr:colOff>742950</xdr:colOff>
      <xdr:row>0</xdr:row>
      <xdr:rowOff>171450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2A2D2CA9-5A5D-EA17-0419-3A25AC8244E6}"/>
            </a:ext>
          </a:extLst>
        </xdr:cNvPr>
        <xdr:cNvCxnSpPr/>
      </xdr:nvCxnSpPr>
      <xdr:spPr>
        <a:xfrm>
          <a:off x="1219200" y="171450"/>
          <a:ext cx="5143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4</xdr:row>
      <xdr:rowOff>66675</xdr:rowOff>
    </xdr:from>
    <xdr:to>
      <xdr:col>4</xdr:col>
      <xdr:colOff>752475</xdr:colOff>
      <xdr:row>6</xdr:row>
      <xdr:rowOff>152400</xdr:rowOff>
    </xdr:to>
    <xdr:sp macro="" textlink="">
      <xdr:nvSpPr>
        <xdr:cNvPr id="7" name="Triangle isocèle 6">
          <a:extLst>
            <a:ext uri="{FF2B5EF4-FFF2-40B4-BE49-F238E27FC236}">
              <a16:creationId xmlns:a16="http://schemas.microsoft.com/office/drawing/2014/main" id="{242E56B6-0EA9-4E33-A5E0-D3434DDD45D7}"/>
            </a:ext>
          </a:extLst>
        </xdr:cNvPr>
        <xdr:cNvSpPr/>
      </xdr:nvSpPr>
      <xdr:spPr>
        <a:xfrm>
          <a:off x="4143375" y="838200"/>
          <a:ext cx="571500" cy="46672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4</xdr:col>
      <xdr:colOff>466725</xdr:colOff>
      <xdr:row>0</xdr:row>
      <xdr:rowOff>161925</xdr:rowOff>
    </xdr:from>
    <xdr:to>
      <xdr:col>4</xdr:col>
      <xdr:colOff>476250</xdr:colOff>
      <xdr:row>4</xdr:row>
      <xdr:rowOff>66675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9F44D657-32F1-4CF6-B73D-111E933419EE}"/>
            </a:ext>
          </a:extLst>
        </xdr:cNvPr>
        <xdr:cNvCxnSpPr>
          <a:endCxn id="7" idx="0"/>
        </xdr:cNvCxnSpPr>
      </xdr:nvCxnSpPr>
      <xdr:spPr>
        <a:xfrm flipH="1">
          <a:off x="4429125" y="161925"/>
          <a:ext cx="9525" cy="676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0</xdr:row>
      <xdr:rowOff>180975</xdr:rowOff>
    </xdr:from>
    <xdr:to>
      <xdr:col>4</xdr:col>
      <xdr:colOff>762000</xdr:colOff>
      <xdr:row>0</xdr:row>
      <xdr:rowOff>180975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C746933D-DD44-4E15-A41D-02CAAF51D34F}"/>
            </a:ext>
          </a:extLst>
        </xdr:cNvPr>
        <xdr:cNvCxnSpPr/>
      </xdr:nvCxnSpPr>
      <xdr:spPr>
        <a:xfrm>
          <a:off x="4210050" y="180975"/>
          <a:ext cx="5143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12</xdr:row>
      <xdr:rowOff>95250</xdr:rowOff>
    </xdr:from>
    <xdr:to>
      <xdr:col>2</xdr:col>
      <xdr:colOff>714375</xdr:colOff>
      <xdr:row>12</xdr:row>
      <xdr:rowOff>104775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808F291D-9749-A5B7-C546-F85CD614FC5F}"/>
            </a:ext>
          </a:extLst>
        </xdr:cNvPr>
        <xdr:cNvCxnSpPr/>
      </xdr:nvCxnSpPr>
      <xdr:spPr>
        <a:xfrm>
          <a:off x="1400175" y="2562225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123825</xdr:rowOff>
    </xdr:from>
    <xdr:to>
      <xdr:col>1</xdr:col>
      <xdr:colOff>28575</xdr:colOff>
      <xdr:row>13</xdr:row>
      <xdr:rowOff>47625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0E57AFDF-8B87-CF91-63E2-17DEA2923060}"/>
            </a:ext>
          </a:extLst>
        </xdr:cNvPr>
        <xdr:cNvCxnSpPr/>
      </xdr:nvCxnSpPr>
      <xdr:spPr>
        <a:xfrm>
          <a:off x="1362075" y="2400300"/>
          <a:ext cx="9525" cy="304800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9</xdr:row>
      <xdr:rowOff>190500</xdr:rowOff>
    </xdr:from>
    <xdr:to>
      <xdr:col>2</xdr:col>
      <xdr:colOff>695325</xdr:colOff>
      <xdr:row>12</xdr:row>
      <xdr:rowOff>76200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C2D7CC91-D80D-A5A2-B5E0-304926F3F4FE}"/>
            </a:ext>
          </a:extLst>
        </xdr:cNvPr>
        <xdr:cNvCxnSpPr/>
      </xdr:nvCxnSpPr>
      <xdr:spPr>
        <a:xfrm>
          <a:off x="3019425" y="2076450"/>
          <a:ext cx="9525" cy="4667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10</xdr:row>
      <xdr:rowOff>66675</xdr:rowOff>
    </xdr:from>
    <xdr:to>
      <xdr:col>5</xdr:col>
      <xdr:colOff>809625</xdr:colOff>
      <xdr:row>13</xdr:row>
      <xdr:rowOff>104775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5AB0601-E55B-0631-91A9-4EB31500BF74}"/>
            </a:ext>
          </a:extLst>
        </xdr:cNvPr>
        <xdr:cNvSpPr/>
      </xdr:nvSpPr>
      <xdr:spPr>
        <a:xfrm>
          <a:off x="5229225" y="2152650"/>
          <a:ext cx="571500" cy="6191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  <a:p>
          <a:pPr algn="ctr"/>
          <a:r>
            <a:rPr lang="fr-CA" sz="1600" b="1">
              <a:solidFill>
                <a:srgbClr val="FF0000"/>
              </a:solidFill>
            </a:rPr>
            <a:t>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161925</xdr:rowOff>
    </xdr:from>
    <xdr:to>
      <xdr:col>4</xdr:col>
      <xdr:colOff>476250</xdr:colOff>
      <xdr:row>1</xdr:row>
      <xdr:rowOff>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96B3DA56-F4D1-43CD-972D-A42FB230131B}"/>
            </a:ext>
          </a:extLst>
        </xdr:cNvPr>
        <xdr:cNvCxnSpPr>
          <a:cxnSpLocks/>
        </xdr:cNvCxnSpPr>
      </xdr:nvCxnSpPr>
      <xdr:spPr>
        <a:xfrm flipH="1">
          <a:off x="4467225" y="161925"/>
          <a:ext cx="9525" cy="752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5</xdr:row>
      <xdr:rowOff>47625</xdr:rowOff>
    </xdr:from>
    <xdr:to>
      <xdr:col>2</xdr:col>
      <xdr:colOff>790575</xdr:colOff>
      <xdr:row>5</xdr:row>
      <xdr:rowOff>57150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53CA85F9-DE31-4200-A4B7-C8084D010795}"/>
            </a:ext>
          </a:extLst>
        </xdr:cNvPr>
        <xdr:cNvCxnSpPr/>
      </xdr:nvCxnSpPr>
      <xdr:spPr>
        <a:xfrm flipV="1">
          <a:off x="1400175" y="1200150"/>
          <a:ext cx="1724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85725</xdr:rowOff>
    </xdr:from>
    <xdr:to>
      <xdr:col>1</xdr:col>
      <xdr:colOff>28575</xdr:colOff>
      <xdr:row>7</xdr:row>
      <xdr:rowOff>133350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03B282EA-4CC4-4A30-8321-3C0285D7EF3E}"/>
            </a:ext>
          </a:extLst>
        </xdr:cNvPr>
        <xdr:cNvCxnSpPr/>
      </xdr:nvCxnSpPr>
      <xdr:spPr>
        <a:xfrm>
          <a:off x="1362075" y="704850"/>
          <a:ext cx="9525" cy="11144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3</xdr:row>
      <xdr:rowOff>66675</xdr:rowOff>
    </xdr:from>
    <xdr:to>
      <xdr:col>5</xdr:col>
      <xdr:colOff>809625</xdr:colOff>
      <xdr:row>6</xdr:row>
      <xdr:rowOff>104775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3E4F0DC-82F0-4D93-88E7-E9D50CC5CC42}"/>
            </a:ext>
          </a:extLst>
        </xdr:cNvPr>
        <xdr:cNvSpPr/>
      </xdr:nvSpPr>
      <xdr:spPr>
        <a:xfrm>
          <a:off x="5229225" y="2152650"/>
          <a:ext cx="571500" cy="7239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  <a:p>
          <a:pPr algn="ctr"/>
          <a:r>
            <a:rPr lang="fr-CA" sz="1600" b="1">
              <a:solidFill>
                <a:srgbClr val="FF0000"/>
              </a:solidFill>
            </a:rPr>
            <a:t>m</a:t>
          </a:r>
        </a:p>
      </xdr:txBody>
    </xdr:sp>
    <xdr:clientData/>
  </xdr:twoCellAnchor>
  <xdr:twoCellAnchor>
    <xdr:from>
      <xdr:col>1</xdr:col>
      <xdr:colOff>95250</xdr:colOff>
      <xdr:row>4</xdr:row>
      <xdr:rowOff>38100</xdr:rowOff>
    </xdr:from>
    <xdr:to>
      <xdr:col>2</xdr:col>
      <xdr:colOff>771525</xdr:colOff>
      <xdr:row>5</xdr:row>
      <xdr:rowOff>57150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17285F2-3BA4-00C4-3E0C-03CF2F20016A}"/>
            </a:ext>
          </a:extLst>
        </xdr:cNvPr>
        <xdr:cNvSpPr/>
      </xdr:nvSpPr>
      <xdr:spPr>
        <a:xfrm>
          <a:off x="1438275" y="819150"/>
          <a:ext cx="1666875" cy="2667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</xdr:col>
      <xdr:colOff>228600</xdr:colOff>
      <xdr:row>2</xdr:row>
      <xdr:rowOff>171450</xdr:rowOff>
    </xdr:from>
    <xdr:to>
      <xdr:col>2</xdr:col>
      <xdr:colOff>238125</xdr:colOff>
      <xdr:row>5</xdr:row>
      <xdr:rowOff>57150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CF1FE1D-29AD-4E0C-BF3E-A195F98EE392}"/>
            </a:ext>
          </a:extLst>
        </xdr:cNvPr>
        <xdr:cNvCxnSpPr/>
      </xdr:nvCxnSpPr>
      <xdr:spPr>
        <a:xfrm>
          <a:off x="2562225" y="552450"/>
          <a:ext cx="9525" cy="5334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1314450</xdr:colOff>
      <xdr:row>3</xdr:row>
      <xdr:rowOff>209550</xdr:rowOff>
    </xdr:from>
    <xdr:to>
      <xdr:col>2</xdr:col>
      <xdr:colOff>238125</xdr:colOff>
      <xdr:row>3</xdr:row>
      <xdr:rowOff>219075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1856E954-C14A-48C7-B6B3-1BB6F810997F}"/>
            </a:ext>
          </a:extLst>
        </xdr:cNvPr>
        <xdr:cNvCxnSpPr/>
      </xdr:nvCxnSpPr>
      <xdr:spPr>
        <a:xfrm flipV="1">
          <a:off x="1314450" y="790575"/>
          <a:ext cx="1257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4</xdr:row>
      <xdr:rowOff>66675</xdr:rowOff>
    </xdr:from>
    <xdr:to>
      <xdr:col>1</xdr:col>
      <xdr:colOff>476250</xdr:colOff>
      <xdr:row>5</xdr:row>
      <xdr:rowOff>9525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B021EAA6-098A-5629-E6BF-E04401FAB763}"/>
            </a:ext>
          </a:extLst>
        </xdr:cNvPr>
        <xdr:cNvCxnSpPr/>
      </xdr:nvCxnSpPr>
      <xdr:spPr>
        <a:xfrm>
          <a:off x="1819275" y="93345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4</xdr:row>
      <xdr:rowOff>76200</xdr:rowOff>
    </xdr:from>
    <xdr:to>
      <xdr:col>1</xdr:col>
      <xdr:colOff>142875</xdr:colOff>
      <xdr:row>5</xdr:row>
      <xdr:rowOff>19050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AFF78ADB-7075-42B7-8BFA-6D17D85910CA}"/>
            </a:ext>
          </a:extLst>
        </xdr:cNvPr>
        <xdr:cNvCxnSpPr/>
      </xdr:nvCxnSpPr>
      <xdr:spPr>
        <a:xfrm>
          <a:off x="1485900" y="94297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</xdr:row>
      <xdr:rowOff>76200</xdr:rowOff>
    </xdr:from>
    <xdr:to>
      <xdr:col>2</xdr:col>
      <xdr:colOff>457200</xdr:colOff>
      <xdr:row>5</xdr:row>
      <xdr:rowOff>19050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B0708800-D0FD-441A-9353-15AF4BE1CF5F}"/>
            </a:ext>
          </a:extLst>
        </xdr:cNvPr>
        <xdr:cNvCxnSpPr/>
      </xdr:nvCxnSpPr>
      <xdr:spPr>
        <a:xfrm>
          <a:off x="2790825" y="94297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4</xdr:row>
      <xdr:rowOff>76200</xdr:rowOff>
    </xdr:from>
    <xdr:to>
      <xdr:col>1</xdr:col>
      <xdr:colOff>857250</xdr:colOff>
      <xdr:row>5</xdr:row>
      <xdr:rowOff>19050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469A6559-990E-4680-A159-BF867CA98240}"/>
            </a:ext>
          </a:extLst>
        </xdr:cNvPr>
        <xdr:cNvCxnSpPr/>
      </xdr:nvCxnSpPr>
      <xdr:spPr>
        <a:xfrm>
          <a:off x="2200275" y="94297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76200</xdr:rowOff>
    </xdr:from>
    <xdr:to>
      <xdr:col>2</xdr:col>
      <xdr:colOff>752475</xdr:colOff>
      <xdr:row>5</xdr:row>
      <xdr:rowOff>19050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0606021B-0404-411F-B524-5345FF15D33D}"/>
            </a:ext>
          </a:extLst>
        </xdr:cNvPr>
        <xdr:cNvCxnSpPr/>
      </xdr:nvCxnSpPr>
      <xdr:spPr>
        <a:xfrm>
          <a:off x="3086100" y="94297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590550</xdr:colOff>
      <xdr:row>6</xdr:row>
      <xdr:rowOff>9525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617BE09E-66AE-4675-A50D-CF7B80EE73A4}"/>
            </a:ext>
          </a:extLst>
        </xdr:cNvPr>
        <xdr:cNvCxnSpPr/>
      </xdr:nvCxnSpPr>
      <xdr:spPr>
        <a:xfrm flipV="1">
          <a:off x="1343025" y="1447800"/>
          <a:ext cx="5905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</xdr:row>
      <xdr:rowOff>114300</xdr:rowOff>
    </xdr:from>
    <xdr:to>
      <xdr:col>1</xdr:col>
      <xdr:colOff>600075</xdr:colOff>
      <xdr:row>6</xdr:row>
      <xdr:rowOff>85725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239E2D83-DE58-4425-A969-6E7483D4E4B6}"/>
            </a:ext>
          </a:extLst>
        </xdr:cNvPr>
        <xdr:cNvCxnSpPr/>
      </xdr:nvCxnSpPr>
      <xdr:spPr>
        <a:xfrm>
          <a:off x="1933575" y="1266825"/>
          <a:ext cx="9525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7</xdr:row>
      <xdr:rowOff>38100</xdr:rowOff>
    </xdr:from>
    <xdr:to>
      <xdr:col>2</xdr:col>
      <xdr:colOff>762000</xdr:colOff>
      <xdr:row>7</xdr:row>
      <xdr:rowOff>47625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567CEFC6-74E2-4C6F-BA8B-03185797F21E}"/>
            </a:ext>
          </a:extLst>
        </xdr:cNvPr>
        <xdr:cNvCxnSpPr/>
      </xdr:nvCxnSpPr>
      <xdr:spPr>
        <a:xfrm>
          <a:off x="1390650" y="1724025"/>
          <a:ext cx="17049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6</xdr:row>
      <xdr:rowOff>9525</xdr:rowOff>
    </xdr:from>
    <xdr:to>
      <xdr:col>2</xdr:col>
      <xdr:colOff>762000</xdr:colOff>
      <xdr:row>7</xdr:row>
      <xdr:rowOff>104775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30756CFE-B9A2-4958-BB9C-6129FC5C0524}"/>
            </a:ext>
          </a:extLst>
        </xdr:cNvPr>
        <xdr:cNvCxnSpPr/>
      </xdr:nvCxnSpPr>
      <xdr:spPr>
        <a:xfrm flipH="1">
          <a:off x="3086100" y="1457325"/>
          <a:ext cx="9525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7.7@8.8%2010-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.7@8.8%2010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1FD0-E895-4451-9D43-672175CED032}">
  <sheetPr codeName="Feuil1"/>
  <dimension ref="A1:O46"/>
  <sheetViews>
    <sheetView showGridLines="0" topLeftCell="A6" workbookViewId="0">
      <selection activeCell="C20" sqref="C20"/>
    </sheetView>
  </sheetViews>
  <sheetFormatPr baseColWidth="10" defaultRowHeight="15" x14ac:dyDescent="0.2"/>
  <cols>
    <col min="1" max="1" width="15.6640625" customWidth="1"/>
    <col min="4" max="4" width="7.88671875" customWidth="1"/>
    <col min="8" max="8" width="17.77734375" customWidth="1"/>
    <col min="9" max="9" width="12.109375" customWidth="1"/>
  </cols>
  <sheetData>
    <row r="1" spans="1:15" x14ac:dyDescent="0.2">
      <c r="A1" s="3"/>
      <c r="B1" s="3"/>
      <c r="C1" s="3"/>
      <c r="D1" s="3"/>
    </row>
    <row r="2" spans="1:15" ht="15.75" x14ac:dyDescent="0.25">
      <c r="A2" s="3"/>
      <c r="B2" s="3"/>
      <c r="C2" s="3" t="s">
        <v>8</v>
      </c>
      <c r="D2" s="3"/>
      <c r="F2" s="1">
        <v>10</v>
      </c>
      <c r="G2" t="s">
        <v>0</v>
      </c>
    </row>
    <row r="3" spans="1:15" ht="20.25" x14ac:dyDescent="0.3">
      <c r="A3" s="4" t="s">
        <v>5</v>
      </c>
      <c r="B3" s="5">
        <v>0.75</v>
      </c>
      <c r="C3" s="2" t="s">
        <v>4</v>
      </c>
      <c r="D3" s="3"/>
      <c r="E3">
        <v>1</v>
      </c>
      <c r="F3" t="s">
        <v>3</v>
      </c>
    </row>
    <row r="4" spans="1:15" ht="15.75" x14ac:dyDescent="0.25">
      <c r="A4" s="3"/>
      <c r="B4" s="3"/>
      <c r="C4" s="8" t="s">
        <v>9</v>
      </c>
      <c r="D4" s="3"/>
    </row>
    <row r="5" spans="1:15" ht="18" x14ac:dyDescent="0.25">
      <c r="A5" s="4" t="s">
        <v>6</v>
      </c>
      <c r="B5" s="6">
        <v>0.5</v>
      </c>
      <c r="C5" s="3"/>
      <c r="D5" s="3"/>
    </row>
    <row r="6" spans="1:15" x14ac:dyDescent="0.2">
      <c r="A6" s="3"/>
      <c r="B6" s="3"/>
      <c r="C6" s="3"/>
      <c r="D6" s="3"/>
      <c r="F6" t="s">
        <v>1</v>
      </c>
    </row>
    <row r="7" spans="1:15" ht="15.75" x14ac:dyDescent="0.25">
      <c r="A7" s="3"/>
      <c r="B7" s="3"/>
      <c r="C7" s="3"/>
      <c r="D7" s="3"/>
      <c r="F7" s="1" t="s">
        <v>2</v>
      </c>
    </row>
    <row r="8" spans="1:15" ht="18" x14ac:dyDescent="0.25">
      <c r="A8" s="4" t="s">
        <v>7</v>
      </c>
      <c r="B8" s="7">
        <f>B3*B5*10</f>
        <v>3.75</v>
      </c>
      <c r="C8" s="3"/>
      <c r="D8" s="3"/>
    </row>
    <row r="9" spans="1:15" x14ac:dyDescent="0.2">
      <c r="A9" s="3"/>
      <c r="B9" s="3"/>
      <c r="C9" s="3"/>
      <c r="D9" s="3"/>
    </row>
    <row r="10" spans="1:15" ht="15.75" x14ac:dyDescent="0.25">
      <c r="A10" s="18"/>
      <c r="B10" s="19"/>
      <c r="C10" s="20" t="str">
        <f>"F= "&amp;C17</f>
        <v>F= 1</v>
      </c>
      <c r="D10" s="18"/>
      <c r="E10" s="18"/>
      <c r="F10" s="21" t="s">
        <v>26</v>
      </c>
      <c r="G10" s="18"/>
      <c r="H10" s="13" t="s">
        <v>42</v>
      </c>
      <c r="I10" s="18"/>
      <c r="J10" s="18"/>
      <c r="K10" s="18"/>
    </row>
    <row r="11" spans="1:15" ht="15.75" thickBo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5" ht="19.5" thickBot="1" x14ac:dyDescent="0.35">
      <c r="A12" s="18"/>
      <c r="B12" s="18"/>
      <c r="C12" s="18"/>
      <c r="D12" s="18"/>
      <c r="E12" s="18"/>
      <c r="F12" s="18" t="s">
        <v>25</v>
      </c>
      <c r="G12" s="22">
        <v>0.04</v>
      </c>
      <c r="H12" s="12" t="s">
        <v>28</v>
      </c>
      <c r="I12" s="14" t="s">
        <v>31</v>
      </c>
      <c r="J12" s="15">
        <f>IF(I12="Acier",210000,IF(I12="Aluminium",390000,IF(I12="Bois",13000,IF(I12="Béton",69637.055))))</f>
        <v>390000</v>
      </c>
      <c r="K12" s="13" t="s">
        <v>34</v>
      </c>
      <c r="L12" s="17">
        <f>J12*1000</f>
        <v>390000000</v>
      </c>
      <c r="M12" t="s">
        <v>39</v>
      </c>
    </row>
    <row r="13" spans="1:15" ht="18.75" x14ac:dyDescent="0.3">
      <c r="A13" s="23" t="s">
        <v>21</v>
      </c>
      <c r="B13" s="18"/>
      <c r="C13" s="23" t="s">
        <v>22</v>
      </c>
      <c r="D13" s="18"/>
      <c r="E13" s="18"/>
      <c r="F13" s="18"/>
      <c r="G13" s="18"/>
      <c r="H13" s="58" t="s">
        <v>27</v>
      </c>
      <c r="I13" s="58"/>
      <c r="J13" s="15">
        <f>F15*G12*G12*G12/12</f>
        <v>1.5999999999999998E-7</v>
      </c>
      <c r="K13" s="13" t="s">
        <v>40</v>
      </c>
    </row>
    <row r="14" spans="1:15" ht="18.75" x14ac:dyDescent="0.3">
      <c r="A14" s="18"/>
      <c r="B14" s="23" t="str">
        <f>"L= "&amp;C18</f>
        <v>L= 2.5</v>
      </c>
      <c r="C14" s="18"/>
      <c r="D14" s="18"/>
      <c r="E14" s="18"/>
      <c r="F14" s="18"/>
      <c r="G14" s="18"/>
      <c r="H14" s="59" t="s">
        <v>35</v>
      </c>
      <c r="I14" s="59"/>
      <c r="J14" s="15">
        <f>J12*J13*1000</f>
        <v>62.399999999999991</v>
      </c>
      <c r="K14" s="13" t="s">
        <v>41</v>
      </c>
      <c r="M14" s="11" t="s">
        <v>29</v>
      </c>
      <c r="N14" s="11">
        <v>210000</v>
      </c>
      <c r="O14" s="11" t="s">
        <v>34</v>
      </c>
    </row>
    <row r="15" spans="1:15" ht="15.75" x14ac:dyDescent="0.25">
      <c r="A15" s="18"/>
      <c r="B15" s="18"/>
      <c r="C15" s="18"/>
      <c r="D15" s="18"/>
      <c r="E15" s="18"/>
      <c r="F15" s="21">
        <v>0.03</v>
      </c>
      <c r="G15" s="18"/>
      <c r="M15" s="11" t="s">
        <v>31</v>
      </c>
      <c r="N15" s="11">
        <v>390000</v>
      </c>
      <c r="O15" s="11" t="s">
        <v>34</v>
      </c>
    </row>
    <row r="16" spans="1:15" ht="18" x14ac:dyDescent="0.25">
      <c r="A16" s="18"/>
      <c r="B16" s="18" t="s">
        <v>10</v>
      </c>
      <c r="C16" s="18"/>
      <c r="D16" s="25" t="s">
        <v>17</v>
      </c>
      <c r="E16" s="28">
        <f>C17</f>
        <v>1</v>
      </c>
      <c r="F16" s="18"/>
      <c r="G16" s="18"/>
      <c r="M16" s="11" t="s">
        <v>32</v>
      </c>
      <c r="N16" s="11">
        <v>13000</v>
      </c>
      <c r="O16" s="11" t="s">
        <v>34</v>
      </c>
    </row>
    <row r="17" spans="1:15" ht="18" x14ac:dyDescent="0.25">
      <c r="A17" s="18" t="s">
        <v>16</v>
      </c>
      <c r="B17" s="26" t="s">
        <v>11</v>
      </c>
      <c r="C17" s="27">
        <v>1</v>
      </c>
      <c r="D17" s="25" t="s">
        <v>18</v>
      </c>
      <c r="E17" s="28">
        <f>C17</f>
        <v>1</v>
      </c>
      <c r="F17" s="18" t="s">
        <v>36</v>
      </c>
      <c r="G17" s="18"/>
      <c r="M17" s="11" t="s">
        <v>30</v>
      </c>
      <c r="N17" s="11">
        <v>69637.054999999993</v>
      </c>
      <c r="O17" s="11" t="s">
        <v>34</v>
      </c>
    </row>
    <row r="18" spans="1:15" ht="18" x14ac:dyDescent="0.25">
      <c r="A18" s="18"/>
      <c r="B18" s="26" t="s">
        <v>12</v>
      </c>
      <c r="C18" s="27">
        <v>2.5</v>
      </c>
      <c r="D18" s="25" t="s">
        <v>19</v>
      </c>
      <c r="E18" s="28">
        <f>-C17*(C18-C19)</f>
        <v>0</v>
      </c>
      <c r="F18" s="18" t="s">
        <v>37</v>
      </c>
      <c r="G18" s="18"/>
      <c r="J18" s="11">
        <v>69637055</v>
      </c>
      <c r="K18" t="s">
        <v>44</v>
      </c>
    </row>
    <row r="19" spans="1:15" ht="18" x14ac:dyDescent="0.25">
      <c r="A19" s="18"/>
      <c r="B19" s="26" t="s">
        <v>13</v>
      </c>
      <c r="C19" s="27">
        <v>2.5</v>
      </c>
      <c r="D19" s="25" t="s">
        <v>23</v>
      </c>
      <c r="E19" s="28">
        <f>-C17*C18</f>
        <v>-2.5</v>
      </c>
      <c r="F19" s="18" t="s">
        <v>37</v>
      </c>
      <c r="G19" s="18"/>
      <c r="L19" s="16">
        <v>45202</v>
      </c>
    </row>
    <row r="20" spans="1:15" ht="18" x14ac:dyDescent="0.25">
      <c r="A20" s="18"/>
      <c r="B20" s="18"/>
      <c r="C20" s="18"/>
      <c r="D20" s="25" t="s">
        <v>24</v>
      </c>
      <c r="E20" s="28">
        <f>C17*C18</f>
        <v>2.5</v>
      </c>
      <c r="F20" s="18" t="s">
        <v>37</v>
      </c>
      <c r="G20" s="18"/>
    </row>
    <row r="21" spans="1:15" ht="18" x14ac:dyDescent="0.25">
      <c r="A21" s="18"/>
      <c r="B21" s="18"/>
      <c r="C21" s="18"/>
      <c r="D21" s="25" t="s">
        <v>14</v>
      </c>
      <c r="E21" s="28">
        <f>(C17*C19*C19*(3*C17-C19))/(6*J14)</f>
        <v>8.346688034188034E-3</v>
      </c>
      <c r="F21" s="18" t="s">
        <v>3</v>
      </c>
      <c r="G21" s="29">
        <f>1000*E21</f>
        <v>8.3466880341880341</v>
      </c>
      <c r="H21" s="30" t="s">
        <v>43</v>
      </c>
      <c r="L21" t="s">
        <v>38</v>
      </c>
    </row>
    <row r="22" spans="1:15" ht="18.75" x14ac:dyDescent="0.25">
      <c r="A22" s="18"/>
      <c r="B22" s="18"/>
      <c r="C22" s="18"/>
      <c r="D22" s="25" t="s">
        <v>15</v>
      </c>
      <c r="E22" s="28">
        <f>C17*C18*C18*C18/(3*J14)</f>
        <v>8.3466880341880351E-2</v>
      </c>
      <c r="F22" s="18" t="s">
        <v>3</v>
      </c>
      <c r="G22" s="29">
        <f>1000*E22</f>
        <v>83.466880341880355</v>
      </c>
      <c r="H22" s="30" t="s">
        <v>43</v>
      </c>
      <c r="L22" s="11" t="s">
        <v>33</v>
      </c>
    </row>
    <row r="23" spans="1:15" ht="18" x14ac:dyDescent="0.25">
      <c r="A23" s="18"/>
      <c r="B23" s="18"/>
      <c r="C23" s="18"/>
      <c r="D23" s="25" t="s">
        <v>20</v>
      </c>
      <c r="E23" s="28">
        <f>0.5*E22*C17</f>
        <v>4.1733440170940175E-2</v>
      </c>
      <c r="F23" s="18" t="s">
        <v>37</v>
      </c>
      <c r="G23" s="18"/>
    </row>
    <row r="24" spans="1:15" x14ac:dyDescent="0.2">
      <c r="A24" s="18"/>
      <c r="B24" s="18"/>
      <c r="C24" s="18"/>
      <c r="D24" s="18"/>
      <c r="E24" s="18"/>
      <c r="F24" s="18"/>
      <c r="G24" s="18"/>
    </row>
    <row r="26" spans="1:15" ht="31.5" x14ac:dyDescent="0.25">
      <c r="F26" s="34"/>
      <c r="G26" s="35"/>
      <c r="H26" s="36"/>
      <c r="I26" s="45" t="s">
        <v>49</v>
      </c>
      <c r="J26" s="45" t="s">
        <v>29</v>
      </c>
      <c r="K26" s="49" t="s">
        <v>59</v>
      </c>
      <c r="L26" s="45" t="s">
        <v>50</v>
      </c>
      <c r="M26" s="46" t="s">
        <v>32</v>
      </c>
    </row>
    <row r="27" spans="1:15" ht="23.25" x14ac:dyDescent="0.2">
      <c r="F27" s="37" t="s">
        <v>45</v>
      </c>
      <c r="G27" s="38"/>
      <c r="H27" s="39"/>
      <c r="I27" s="47" t="s">
        <v>51</v>
      </c>
      <c r="J27" s="47" t="s">
        <v>54</v>
      </c>
      <c r="K27" s="47" t="s">
        <v>62</v>
      </c>
      <c r="L27" s="9" t="s">
        <v>52</v>
      </c>
      <c r="M27" s="9" t="s">
        <v>53</v>
      </c>
    </row>
    <row r="28" spans="1:15" ht="23.25" x14ac:dyDescent="0.2">
      <c r="F28" s="40" t="s">
        <v>46</v>
      </c>
      <c r="H28" s="41"/>
      <c r="I28" s="9" t="s">
        <v>55</v>
      </c>
      <c r="J28" s="9" t="s">
        <v>56</v>
      </c>
      <c r="K28" s="9" t="s">
        <v>60</v>
      </c>
      <c r="L28" s="9" t="s">
        <v>63</v>
      </c>
      <c r="M28" s="9" t="s">
        <v>64</v>
      </c>
    </row>
    <row r="29" spans="1:15" ht="23.25" x14ac:dyDescent="0.2">
      <c r="F29" s="40" t="s">
        <v>47</v>
      </c>
      <c r="H29" s="41"/>
      <c r="I29" s="9">
        <v>0.22</v>
      </c>
      <c r="J29" s="9">
        <v>0.27</v>
      </c>
      <c r="K29" s="9">
        <v>0.33</v>
      </c>
      <c r="L29" s="9"/>
      <c r="M29" s="9"/>
    </row>
    <row r="30" spans="1:15" ht="23.25" x14ac:dyDescent="0.2">
      <c r="F30" s="42" t="s">
        <v>48</v>
      </c>
      <c r="G30" s="43"/>
      <c r="H30" s="44"/>
      <c r="I30" s="9" t="s">
        <v>57</v>
      </c>
      <c r="J30" s="48" t="s">
        <v>58</v>
      </c>
      <c r="K30" s="9"/>
      <c r="L30" s="9"/>
      <c r="M30" s="9"/>
    </row>
    <row r="31" spans="1:15" x14ac:dyDescent="0.2">
      <c r="F31" s="31"/>
    </row>
    <row r="33" spans="6:9" ht="23.25" x14ac:dyDescent="0.2">
      <c r="F33" s="33"/>
      <c r="I33" s="32"/>
    </row>
    <row r="34" spans="6:9" ht="23.25" x14ac:dyDescent="0.2">
      <c r="F34" s="32"/>
      <c r="I34" t="s">
        <v>61</v>
      </c>
    </row>
    <row r="35" spans="6:9" ht="23.25" x14ac:dyDescent="0.2">
      <c r="F35" s="33"/>
      <c r="I35" s="32"/>
    </row>
    <row r="36" spans="6:9" ht="23.25" x14ac:dyDescent="0.2">
      <c r="F36" s="32"/>
      <c r="I36" s="32"/>
    </row>
    <row r="37" spans="6:9" x14ac:dyDescent="0.2">
      <c r="I37" s="31"/>
    </row>
    <row r="38" spans="6:9" ht="23.25" x14ac:dyDescent="0.2">
      <c r="F38" s="32"/>
      <c r="I38" s="32"/>
    </row>
    <row r="39" spans="6:9" ht="23.25" x14ac:dyDescent="0.2">
      <c r="F39" s="32"/>
    </row>
    <row r="41" spans="6:9" ht="23.25" x14ac:dyDescent="0.2">
      <c r="F41" s="32"/>
    </row>
    <row r="42" spans="6:9" x14ac:dyDescent="0.2">
      <c r="F42" s="31"/>
    </row>
    <row r="43" spans="6:9" ht="23.25" x14ac:dyDescent="0.2">
      <c r="F43" s="32"/>
    </row>
    <row r="44" spans="6:9" ht="23.25" x14ac:dyDescent="0.2">
      <c r="F44" s="32"/>
    </row>
    <row r="45" spans="6:9" x14ac:dyDescent="0.2">
      <c r="F45" s="31"/>
    </row>
    <row r="46" spans="6:9" ht="23.25" x14ac:dyDescent="0.2">
      <c r="F46" s="32"/>
    </row>
  </sheetData>
  <mergeCells count="2">
    <mergeCell ref="H13:I13"/>
    <mergeCell ref="H14:I14"/>
  </mergeCells>
  <phoneticPr fontId="16" type="noConversion"/>
  <conditionalFormatting sqref="I12">
    <cfRule type="containsText" dxfId="11" priority="1" operator="containsText" text="Aluminium">
      <formula>NOT(ISERROR(SEARCH("Aluminium",I12)))</formula>
    </cfRule>
    <cfRule type="containsText" dxfId="10" priority="2" operator="containsText" text="Aluminium">
      <formula>NOT(ISERROR(SEARCH("Aluminium",I12)))</formula>
    </cfRule>
    <cfRule type="containsText" dxfId="9" priority="3" operator="containsText" text="Béton">
      <formula>NOT(ISERROR(SEARCH("Béton",I12)))</formula>
    </cfRule>
    <cfRule type="containsText" dxfId="8" priority="4" operator="containsText" text="Bois">
      <formula>NOT(ISERROR(SEARCH("Bois",I12)))</formula>
    </cfRule>
    <cfRule type="containsText" dxfId="7" priority="5" operator="containsText" text="Aluminium">
      <formula>NOT(ISERROR(SEARCH("Aluminium",I12)))</formula>
    </cfRule>
    <cfRule type="containsText" dxfId="6" priority="6" operator="containsText" text="Acier">
      <formula>NOT(ISERROR(SEARCH("Acier",I12)))</formula>
    </cfRule>
  </conditionalFormatting>
  <dataValidations count="1">
    <dataValidation type="list" allowBlank="1" showInputMessage="1" showErrorMessage="1" sqref="I12" xr:uid="{5494EED4-D661-4561-AD58-8797EA7566DF}">
      <formula1>$M$14:$M$17</formula1>
    </dataValidation>
  </dataValidations>
  <hyperlinks>
    <hyperlink ref="I30" r:id="rId1" display="7.7@8.8 10-6" xr:uid="{B6DC6E4C-B693-4394-AA11-B30AF48DF531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55FF-7927-4861-9315-B4133BD7068F}">
  <sheetPr codeName="Feuil2"/>
  <dimension ref="A1:O45"/>
  <sheetViews>
    <sheetView showGridLines="0" workbookViewId="0">
      <selection activeCell="C11" sqref="C11"/>
    </sheetView>
  </sheetViews>
  <sheetFormatPr baseColWidth="10" defaultRowHeight="15" x14ac:dyDescent="0.2"/>
  <cols>
    <col min="1" max="1" width="15.6640625" customWidth="1"/>
    <col min="3" max="3" width="10.88671875" customWidth="1"/>
    <col min="4" max="4" width="43.5546875" customWidth="1"/>
    <col min="5" max="5" width="15.6640625" bestFit="1" customWidth="1"/>
    <col min="8" max="8" width="17.77734375" customWidth="1"/>
    <col min="9" max="9" width="12.109375" customWidth="1"/>
  </cols>
  <sheetData>
    <row r="1" spans="1:15" x14ac:dyDescent="0.2">
      <c r="A1" s="3"/>
      <c r="B1" s="3"/>
      <c r="C1" s="3"/>
      <c r="D1" s="3"/>
    </row>
    <row r="2" spans="1:15" ht="18" x14ac:dyDescent="0.25">
      <c r="A2" s="51" t="s">
        <v>68</v>
      </c>
      <c r="B2" s="53">
        <f>C12*C11</f>
        <v>0.79500000000000004</v>
      </c>
      <c r="C2" s="3"/>
      <c r="D2" s="3"/>
    </row>
    <row r="3" spans="1:15" ht="15.75" x14ac:dyDescent="0.25">
      <c r="B3" s="19"/>
      <c r="C3" s="20" t="str">
        <f>"F= "&amp;C10</f>
        <v>F= 1</v>
      </c>
      <c r="D3" s="18"/>
      <c r="E3" s="18"/>
      <c r="F3" s="21" t="s">
        <v>26</v>
      </c>
      <c r="G3" s="18"/>
      <c r="H3" s="13" t="s">
        <v>42</v>
      </c>
      <c r="I3" s="18"/>
      <c r="J3" s="18"/>
      <c r="K3" s="18"/>
      <c r="O3" t="s">
        <v>89</v>
      </c>
    </row>
    <row r="4" spans="1:15" ht="22.5" customHeight="1" thickBot="1" x14ac:dyDescent="0.25">
      <c r="A4" s="18"/>
      <c r="B4" s="50" t="str">
        <f>C13&amp;" m"</f>
        <v>1.06 m</v>
      </c>
      <c r="C4" s="18"/>
      <c r="D4" s="18"/>
      <c r="E4" s="18"/>
      <c r="F4" s="18"/>
      <c r="G4" s="18"/>
      <c r="H4" s="18"/>
      <c r="I4" s="18"/>
      <c r="J4" s="18"/>
      <c r="K4" s="18"/>
      <c r="O4">
        <v>1.06</v>
      </c>
    </row>
    <row r="5" spans="1:15" ht="19.5" thickBot="1" x14ac:dyDescent="0.35">
      <c r="A5" s="18"/>
      <c r="B5" s="18"/>
      <c r="C5" s="18"/>
      <c r="D5" s="13" t="str">
        <f>C11&amp;" KN/m"</f>
        <v>0.75 KN/m</v>
      </c>
      <c r="E5" s="18"/>
      <c r="F5" s="18" t="s">
        <v>25</v>
      </c>
      <c r="G5" s="22">
        <v>1.06</v>
      </c>
      <c r="H5" s="12" t="s">
        <v>28</v>
      </c>
      <c r="I5" s="14" t="s">
        <v>88</v>
      </c>
      <c r="J5" s="15">
        <f>IF(I5="Acier",210000,IF(I5="Aluminium",390000,IF(I5="Bois",13000,IF(I5="Béton",69637.055,IF(I5="Verre recuit",70000)))))</f>
        <v>70000</v>
      </c>
      <c r="K5" s="13" t="s">
        <v>34</v>
      </c>
      <c r="L5" s="17">
        <f>J5*1000</f>
        <v>70000000</v>
      </c>
      <c r="M5" t="s">
        <v>39</v>
      </c>
    </row>
    <row r="6" spans="1:15" ht="23.25" customHeight="1" x14ac:dyDescent="0.3">
      <c r="A6" s="23" t="s">
        <v>21</v>
      </c>
      <c r="B6" s="24" t="s">
        <v>71</v>
      </c>
      <c r="C6" s="23" t="s">
        <v>69</v>
      </c>
      <c r="D6" s="18"/>
      <c r="E6" s="18"/>
      <c r="F6" s="18"/>
      <c r="G6" s="18"/>
      <c r="H6" s="58" t="s">
        <v>27</v>
      </c>
      <c r="I6" s="58"/>
      <c r="J6" s="15">
        <f>F8*G5*G5*G5/12</f>
        <v>5.9550800000000013E-4</v>
      </c>
      <c r="K6" s="13" t="s">
        <v>40</v>
      </c>
    </row>
    <row r="7" spans="1:15" ht="18.75" x14ac:dyDescent="0.3">
      <c r="A7" s="18"/>
      <c r="B7" s="23" t="str">
        <f>"L= "&amp;C12</f>
        <v>L= 1.06</v>
      </c>
      <c r="C7" s="18"/>
      <c r="D7" s="18"/>
      <c r="E7" s="18"/>
      <c r="F7" s="18"/>
      <c r="G7" s="18"/>
      <c r="H7" s="59" t="s">
        <v>35</v>
      </c>
      <c r="I7" s="59"/>
      <c r="J7" s="15">
        <f>J5*J6*1000</f>
        <v>41685.560000000012</v>
      </c>
      <c r="K7" s="13" t="s">
        <v>41</v>
      </c>
      <c r="M7" s="11" t="s">
        <v>29</v>
      </c>
      <c r="N7" s="11">
        <v>210000</v>
      </c>
      <c r="O7" s="11" t="s">
        <v>34</v>
      </c>
    </row>
    <row r="8" spans="1:15" ht="15.75" x14ac:dyDescent="0.25">
      <c r="A8" s="18"/>
      <c r="B8" s="18"/>
      <c r="C8" s="18"/>
      <c r="D8" s="18"/>
      <c r="E8" s="18"/>
      <c r="F8" s="21">
        <v>6.0000000000000001E-3</v>
      </c>
      <c r="G8" s="18"/>
      <c r="M8" s="11" t="s">
        <v>31</v>
      </c>
      <c r="N8" s="11">
        <v>390000</v>
      </c>
      <c r="O8" s="11" t="s">
        <v>34</v>
      </c>
    </row>
    <row r="9" spans="1:15" ht="18" x14ac:dyDescent="0.25">
      <c r="A9" s="18"/>
      <c r="B9" s="18" t="s">
        <v>10</v>
      </c>
      <c r="C9" s="18"/>
      <c r="D9" s="25" t="s">
        <v>67</v>
      </c>
      <c r="E9" s="28">
        <f>C10</f>
        <v>1</v>
      </c>
      <c r="F9" s="18"/>
      <c r="G9" s="18"/>
      <c r="M9" s="11" t="s">
        <v>32</v>
      </c>
      <c r="N9" s="11">
        <v>13000</v>
      </c>
      <c r="O9" s="11" t="s">
        <v>34</v>
      </c>
    </row>
    <row r="10" spans="1:15" ht="18" x14ac:dyDescent="0.25">
      <c r="A10" s="18" t="s">
        <v>16</v>
      </c>
      <c r="B10" s="26" t="s">
        <v>11</v>
      </c>
      <c r="C10" s="27">
        <v>1</v>
      </c>
      <c r="D10" s="25" t="s">
        <v>72</v>
      </c>
      <c r="E10" s="54">
        <f>(C10+B2)*(1-C15/C12)</f>
        <v>0</v>
      </c>
      <c r="F10" s="18" t="s">
        <v>36</v>
      </c>
      <c r="G10" s="18"/>
      <c r="M10" s="11" t="s">
        <v>30</v>
      </c>
      <c r="N10" s="11">
        <v>69637.054999999993</v>
      </c>
      <c r="O10" s="11" t="s">
        <v>34</v>
      </c>
    </row>
    <row r="11" spans="1:15" ht="18" x14ac:dyDescent="0.25">
      <c r="A11" s="18"/>
      <c r="B11" s="26" t="s">
        <v>65</v>
      </c>
      <c r="C11" s="27">
        <v>0.75</v>
      </c>
      <c r="D11" s="25" t="s">
        <v>73</v>
      </c>
      <c r="E11" s="54">
        <f>B2*(1-C15/C12)</f>
        <v>0</v>
      </c>
      <c r="F11" s="18" t="s">
        <v>36</v>
      </c>
      <c r="G11" s="18"/>
      <c r="J11" s="11">
        <v>69637055</v>
      </c>
      <c r="K11" t="s">
        <v>44</v>
      </c>
      <c r="M11" s="11" t="s">
        <v>88</v>
      </c>
      <c r="N11" s="11">
        <v>70000</v>
      </c>
      <c r="O11" s="11" t="s">
        <v>34</v>
      </c>
    </row>
    <row r="12" spans="1:15" ht="18" x14ac:dyDescent="0.25">
      <c r="A12" s="18"/>
      <c r="B12" s="26" t="s">
        <v>12</v>
      </c>
      <c r="C12" s="27">
        <v>1.06</v>
      </c>
      <c r="D12" s="25" t="s">
        <v>74</v>
      </c>
      <c r="E12" s="54">
        <f>E38+E39+E40</f>
        <v>-0.375</v>
      </c>
      <c r="F12" s="18" t="s">
        <v>37</v>
      </c>
      <c r="G12" s="18"/>
      <c r="L12" s="16"/>
    </row>
    <row r="13" spans="1:15" ht="18" x14ac:dyDescent="0.25">
      <c r="A13" s="18"/>
      <c r="B13" s="26" t="s">
        <v>70</v>
      </c>
      <c r="C13" s="27">
        <v>1.06</v>
      </c>
      <c r="D13" s="25" t="s">
        <v>78</v>
      </c>
      <c r="E13" s="54">
        <f>E39+E40</f>
        <v>-0.375</v>
      </c>
      <c r="F13" s="18" t="s">
        <v>37</v>
      </c>
      <c r="G13" s="18"/>
    </row>
    <row r="14" spans="1:15" ht="18" x14ac:dyDescent="0.25">
      <c r="A14" s="18"/>
      <c r="B14" s="26" t="s">
        <v>66</v>
      </c>
      <c r="C14" s="52">
        <f>C12-C13</f>
        <v>0</v>
      </c>
      <c r="D14" s="25" t="s">
        <v>79</v>
      </c>
      <c r="E14" s="54">
        <f>-C10*C13-B2*C12/2</f>
        <v>-1.4813500000000002</v>
      </c>
      <c r="F14" s="18" t="s">
        <v>37</v>
      </c>
      <c r="G14" s="18"/>
      <c r="L14" t="s">
        <v>38</v>
      </c>
    </row>
    <row r="15" spans="1:15" ht="18.75" x14ac:dyDescent="0.25">
      <c r="A15" s="18"/>
      <c r="B15" s="26" t="s">
        <v>13</v>
      </c>
      <c r="C15" s="27">
        <v>1.06</v>
      </c>
      <c r="D15" s="25" t="s">
        <v>14</v>
      </c>
      <c r="E15" s="28"/>
      <c r="F15" s="18" t="s">
        <v>3</v>
      </c>
      <c r="G15" s="18"/>
      <c r="J15">
        <f>6/1000</f>
        <v>6.0000000000000001E-3</v>
      </c>
      <c r="L15" s="11" t="s">
        <v>33</v>
      </c>
    </row>
    <row r="16" spans="1:15" ht="18" x14ac:dyDescent="0.25">
      <c r="A16" s="18"/>
      <c r="B16" s="18"/>
      <c r="C16" s="18"/>
      <c r="D16" s="25" t="s">
        <v>80</v>
      </c>
      <c r="E16" s="28">
        <f>E33*E34+E35</f>
        <v>1.2363095238095237E-5</v>
      </c>
      <c r="F16" s="18" t="s">
        <v>3</v>
      </c>
      <c r="G16" s="29">
        <f>1000*E16</f>
        <v>1.2363095238095237E-2</v>
      </c>
      <c r="H16" s="30" t="s">
        <v>43</v>
      </c>
    </row>
    <row r="17" spans="1:13" ht="18" x14ac:dyDescent="0.25">
      <c r="A17" s="18"/>
      <c r="B17" s="18"/>
      <c r="C17" s="18"/>
      <c r="D17" s="25" t="s">
        <v>87</v>
      </c>
      <c r="E17" s="28">
        <f>E22*E23+E21</f>
        <v>1.2363095238095237E-5</v>
      </c>
      <c r="F17" s="18" t="s">
        <v>3</v>
      </c>
      <c r="G17" s="29">
        <f>1000*E17</f>
        <v>1.2363095238095237E-2</v>
      </c>
      <c r="H17" s="30" t="s">
        <v>43</v>
      </c>
    </row>
    <row r="18" spans="1:13" ht="18" x14ac:dyDescent="0.25">
      <c r="D18" s="25" t="s">
        <v>20</v>
      </c>
      <c r="E18" s="28"/>
      <c r="F18" s="18" t="s">
        <v>37</v>
      </c>
      <c r="G18" s="18"/>
    </row>
    <row r="21" spans="1:13" ht="18" x14ac:dyDescent="0.25">
      <c r="D21" s="25" t="s">
        <v>84</v>
      </c>
      <c r="E21">
        <f>C10*C13^3/(3*J7)</f>
        <v>9.5238095238095231E-6</v>
      </c>
    </row>
    <row r="22" spans="1:13" ht="18" x14ac:dyDescent="0.25">
      <c r="D22" s="25" t="s">
        <v>85</v>
      </c>
      <c r="E22">
        <f>B2*C13^2/(24*J7*C12)</f>
        <v>8.4231805929919124E-7</v>
      </c>
    </row>
    <row r="23" spans="1:13" ht="18" x14ac:dyDescent="0.25">
      <c r="D23" s="25" t="s">
        <v>86</v>
      </c>
      <c r="E23">
        <f>C13^2+6*C12^2-(4*C12*C13)</f>
        <v>3.3708000000000009</v>
      </c>
    </row>
    <row r="24" spans="1:13" ht="18" x14ac:dyDescent="0.25">
      <c r="D24" s="25"/>
    </row>
    <row r="25" spans="1:13" ht="31.5" x14ac:dyDescent="0.25">
      <c r="D25" s="25"/>
      <c r="F25" s="34"/>
      <c r="G25" s="35"/>
      <c r="H25" s="36"/>
      <c r="I25" s="45" t="s">
        <v>49</v>
      </c>
      <c r="J25" s="45" t="s">
        <v>29</v>
      </c>
      <c r="K25" s="49" t="s">
        <v>59</v>
      </c>
      <c r="L25" s="45" t="s">
        <v>50</v>
      </c>
      <c r="M25" s="46" t="s">
        <v>32</v>
      </c>
    </row>
    <row r="26" spans="1:13" ht="23.25" x14ac:dyDescent="0.25">
      <c r="D26" s="55"/>
      <c r="F26" s="37" t="s">
        <v>45</v>
      </c>
      <c r="G26" s="38"/>
      <c r="H26" s="39"/>
      <c r="I26" s="47" t="s">
        <v>51</v>
      </c>
      <c r="J26" s="47" t="s">
        <v>54</v>
      </c>
      <c r="K26" s="47" t="s">
        <v>62</v>
      </c>
      <c r="L26" s="9" t="s">
        <v>52</v>
      </c>
      <c r="M26" s="9" t="s">
        <v>53</v>
      </c>
    </row>
    <row r="27" spans="1:13" ht="23.25" x14ac:dyDescent="0.25">
      <c r="D27" s="55"/>
      <c r="F27" s="40" t="s">
        <v>46</v>
      </c>
      <c r="H27" s="41"/>
      <c r="I27" s="9" t="s">
        <v>55</v>
      </c>
      <c r="J27" s="9" t="s">
        <v>56</v>
      </c>
      <c r="K27" s="9" t="s">
        <v>60</v>
      </c>
      <c r="L27" s="9" t="s">
        <v>63</v>
      </c>
      <c r="M27" s="9" t="s">
        <v>64</v>
      </c>
    </row>
    <row r="28" spans="1:13" ht="23.25" x14ac:dyDescent="0.2">
      <c r="E28">
        <f>E27*E26</f>
        <v>0</v>
      </c>
      <c r="F28" s="40" t="s">
        <v>47</v>
      </c>
      <c r="H28" s="41"/>
      <c r="I28" s="9">
        <v>0.22</v>
      </c>
      <c r="J28" s="9">
        <v>0.27</v>
      </c>
      <c r="K28" s="9">
        <v>0.33</v>
      </c>
      <c r="L28" s="9"/>
      <c r="M28" s="9"/>
    </row>
    <row r="29" spans="1:13" ht="23.25" x14ac:dyDescent="0.2">
      <c r="F29" s="42" t="s">
        <v>48</v>
      </c>
      <c r="G29" s="43"/>
      <c r="H29" s="44"/>
      <c r="I29" s="9" t="s">
        <v>57</v>
      </c>
      <c r="J29" s="48" t="s">
        <v>58</v>
      </c>
      <c r="K29" s="9"/>
      <c r="L29" s="9"/>
      <c r="M29" s="9"/>
    </row>
    <row r="30" spans="1:13" x14ac:dyDescent="0.2">
      <c r="F30" s="31"/>
    </row>
    <row r="32" spans="1:13" ht="23.25" x14ac:dyDescent="0.2">
      <c r="F32" s="33"/>
      <c r="I32" s="32"/>
    </row>
    <row r="33" spans="4:9" ht="23.25" x14ac:dyDescent="0.25">
      <c r="D33" s="25" t="s">
        <v>81</v>
      </c>
      <c r="E33">
        <f>C10*C13^2/6/J7</f>
        <v>4.49236298292902E-6</v>
      </c>
      <c r="F33" s="32"/>
      <c r="I33" t="s">
        <v>61</v>
      </c>
    </row>
    <row r="34" spans="4:9" ht="23.25" x14ac:dyDescent="0.25">
      <c r="D34" s="25" t="s">
        <v>82</v>
      </c>
      <c r="E34">
        <f>3*C12-C13</f>
        <v>2.12</v>
      </c>
      <c r="F34" s="33"/>
      <c r="I34" s="32"/>
    </row>
    <row r="35" spans="4:9" ht="23.25" x14ac:dyDescent="0.25">
      <c r="D35" s="25" t="s">
        <v>83</v>
      </c>
      <c r="E35">
        <f>B2*C12^3/(8*J7)</f>
        <v>2.8392857142857141E-6</v>
      </c>
      <c r="F35" s="32"/>
      <c r="I35" s="32"/>
    </row>
    <row r="36" spans="4:9" ht="18" x14ac:dyDescent="0.25">
      <c r="D36" s="25"/>
      <c r="I36" s="31"/>
    </row>
    <row r="37" spans="4:9" ht="23.25" x14ac:dyDescent="0.2">
      <c r="F37" s="32"/>
      <c r="I37" s="32"/>
    </row>
    <row r="38" spans="4:9" ht="23.25" x14ac:dyDescent="0.25">
      <c r="D38" s="56" t="s">
        <v>75</v>
      </c>
      <c r="E38" s="10">
        <f>-C10*(C13-C15)</f>
        <v>0</v>
      </c>
      <c r="F38" s="32"/>
    </row>
    <row r="39" spans="4:9" ht="15.75" x14ac:dyDescent="0.25">
      <c r="D39" s="57" t="s">
        <v>76</v>
      </c>
      <c r="E39" s="10">
        <f>-B2/(2*C12)</f>
        <v>-0.375</v>
      </c>
    </row>
    <row r="40" spans="4:9" ht="23.25" x14ac:dyDescent="0.25">
      <c r="D40" s="57" t="s">
        <v>77</v>
      </c>
      <c r="E40" s="10">
        <f>(C12-C15)^2</f>
        <v>0</v>
      </c>
      <c r="F40" s="32"/>
    </row>
    <row r="41" spans="4:9" x14ac:dyDescent="0.2">
      <c r="F41" s="31"/>
    </row>
    <row r="42" spans="4:9" ht="23.25" x14ac:dyDescent="0.2">
      <c r="F42" s="32"/>
    </row>
    <row r="43" spans="4:9" ht="23.25" x14ac:dyDescent="0.2">
      <c r="F43" s="32"/>
    </row>
    <row r="44" spans="4:9" x14ac:dyDescent="0.2">
      <c r="F44" s="31"/>
    </row>
    <row r="45" spans="4:9" ht="23.25" x14ac:dyDescent="0.2">
      <c r="F45" s="32"/>
    </row>
  </sheetData>
  <mergeCells count="2">
    <mergeCell ref="H6:I6"/>
    <mergeCell ref="H7:I7"/>
  </mergeCells>
  <phoneticPr fontId="16" type="noConversion"/>
  <conditionalFormatting sqref="I5">
    <cfRule type="containsText" dxfId="5" priority="1" operator="containsText" text="Aluminium">
      <formula>NOT(ISERROR(SEARCH("Aluminium",I5)))</formula>
    </cfRule>
    <cfRule type="containsText" dxfId="4" priority="2" operator="containsText" text="Aluminium">
      <formula>NOT(ISERROR(SEARCH("Aluminium",I5)))</formula>
    </cfRule>
    <cfRule type="containsText" dxfId="3" priority="3" operator="containsText" text="Béton">
      <formula>NOT(ISERROR(SEARCH("Béton",I5)))</formula>
    </cfRule>
    <cfRule type="containsText" dxfId="2" priority="4" operator="containsText" text="Bois">
      <formula>NOT(ISERROR(SEARCH("Bois",I5)))</formula>
    </cfRule>
    <cfRule type="containsText" dxfId="1" priority="5" operator="containsText" text="Aluminium">
      <formula>NOT(ISERROR(SEARCH("Aluminium",I5)))</formula>
    </cfRule>
    <cfRule type="containsText" dxfId="0" priority="6" operator="containsText" text="Acier">
      <formula>NOT(ISERROR(SEARCH("Acier",I5)))</formula>
    </cfRule>
  </conditionalFormatting>
  <dataValidations count="1">
    <dataValidation type="list" allowBlank="1" showInputMessage="1" showErrorMessage="1" sqref="I5" xr:uid="{A93886BD-D645-48D1-9FD4-114168845F12}">
      <formula1>$M$7:$M$11</formula1>
    </dataValidation>
  </dataValidations>
  <hyperlinks>
    <hyperlink ref="I29" r:id="rId1" display="7.7@8.8 10-6" xr:uid="{83C1A913-D4D8-4827-A61D-08F48ACD52B7}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9CAB-7158-4E69-8699-DD8F55135349}">
  <dimension ref="A1:O22"/>
  <sheetViews>
    <sheetView tabSelected="1" workbookViewId="0">
      <selection sqref="A1:P25"/>
    </sheetView>
  </sheetViews>
  <sheetFormatPr baseColWidth="10" defaultRowHeight="15" x14ac:dyDescent="0.2"/>
  <sheetData>
    <row r="1" spans="1:15" ht="23.25" x14ac:dyDescent="0.35">
      <c r="A1" s="60"/>
    </row>
    <row r="3" spans="1:15" x14ac:dyDescent="0.2">
      <c r="C3" t="s">
        <v>90</v>
      </c>
      <c r="D3" t="s">
        <v>21</v>
      </c>
      <c r="E3" t="s">
        <v>91</v>
      </c>
      <c r="F3" t="s">
        <v>92</v>
      </c>
    </row>
    <row r="5" spans="1:15" x14ac:dyDescent="0.2">
      <c r="C5" t="s">
        <v>21</v>
      </c>
      <c r="D5" t="s">
        <v>93</v>
      </c>
    </row>
    <row r="7" spans="1:15" x14ac:dyDescent="0.2">
      <c r="A7" t="s">
        <v>94</v>
      </c>
      <c r="B7" t="s">
        <v>95</v>
      </c>
      <c r="M7" t="s">
        <v>96</v>
      </c>
      <c r="N7">
        <v>1.3</v>
      </c>
    </row>
    <row r="8" spans="1:15" x14ac:dyDescent="0.2">
      <c r="B8" t="s">
        <v>97</v>
      </c>
      <c r="M8" t="s">
        <v>98</v>
      </c>
      <c r="N8">
        <v>1.06</v>
      </c>
    </row>
    <row r="9" spans="1:15" x14ac:dyDescent="0.2">
      <c r="B9" t="s">
        <v>99</v>
      </c>
      <c r="E9" s="61" t="s">
        <v>100</v>
      </c>
      <c r="F9" s="61"/>
      <c r="G9" s="61"/>
      <c r="H9" s="61"/>
      <c r="I9" s="61"/>
      <c r="J9" s="61"/>
      <c r="L9" t="s">
        <v>101</v>
      </c>
      <c r="N9">
        <f>N7*N8</f>
        <v>1.3780000000000001</v>
      </c>
    </row>
    <row r="10" spans="1:15" x14ac:dyDescent="0.2">
      <c r="B10" t="s">
        <v>102</v>
      </c>
      <c r="E10" s="61"/>
      <c r="F10" s="61"/>
      <c r="G10" s="61"/>
      <c r="H10" s="61"/>
      <c r="I10" s="61"/>
      <c r="J10" s="61"/>
      <c r="L10" t="s">
        <v>103</v>
      </c>
      <c r="N10">
        <v>30</v>
      </c>
    </row>
    <row r="11" spans="1:15" ht="15.75" x14ac:dyDescent="0.25">
      <c r="B11" t="s">
        <v>104</v>
      </c>
      <c r="E11" s="61" t="s">
        <v>105</v>
      </c>
      <c r="F11" s="61" t="s">
        <v>106</v>
      </c>
      <c r="G11" s="62" t="s">
        <v>107</v>
      </c>
      <c r="H11" s="61"/>
      <c r="I11" s="61"/>
      <c r="J11" s="61">
        <v>30</v>
      </c>
      <c r="L11" t="s">
        <v>108</v>
      </c>
      <c r="N11">
        <f>0.613*N10*N10</f>
        <v>551.70000000000005</v>
      </c>
    </row>
    <row r="12" spans="1:15" ht="15.75" x14ac:dyDescent="0.25">
      <c r="E12" s="61" t="s">
        <v>109</v>
      </c>
      <c r="F12" s="61" t="s">
        <v>110</v>
      </c>
      <c r="G12" s="61" t="s">
        <v>111</v>
      </c>
      <c r="H12" s="62" t="s">
        <v>101</v>
      </c>
      <c r="I12" s="61"/>
      <c r="J12" s="61">
        <v>1.2500000000000001E-2</v>
      </c>
      <c r="L12" t="s">
        <v>112</v>
      </c>
      <c r="N12">
        <v>1.4</v>
      </c>
    </row>
    <row r="13" spans="1:15" ht="15.75" x14ac:dyDescent="0.25">
      <c r="E13" s="61" t="s">
        <v>113</v>
      </c>
      <c r="F13" s="61" t="s">
        <v>114</v>
      </c>
      <c r="G13" s="61" t="str">
        <f>0.613*30*30 &amp;" m^2/s^2"</f>
        <v>551.7 m^2/s^2</v>
      </c>
      <c r="H13" s="61" t="s">
        <v>115</v>
      </c>
      <c r="I13" s="62" t="s">
        <v>116</v>
      </c>
      <c r="J13" s="61">
        <v>552</v>
      </c>
      <c r="L13" t="s">
        <v>117</v>
      </c>
      <c r="N13">
        <f>N11*N12*N9</f>
        <v>1064.3396400000001</v>
      </c>
      <c r="O13" t="str">
        <f>N13/100&amp;" N"</f>
        <v>10.6433964 N</v>
      </c>
    </row>
    <row r="14" spans="1:15" ht="15.75" x14ac:dyDescent="0.25">
      <c r="E14" s="61" t="s">
        <v>118</v>
      </c>
      <c r="F14" s="61" t="s">
        <v>119</v>
      </c>
      <c r="G14" s="61"/>
      <c r="H14" s="62" t="s">
        <v>120</v>
      </c>
      <c r="I14" s="61"/>
      <c r="J14" s="61">
        <v>0.8</v>
      </c>
      <c r="N14">
        <f>N13/N9</f>
        <v>772.38</v>
      </c>
    </row>
    <row r="15" spans="1:15" ht="15.75" x14ac:dyDescent="0.25">
      <c r="E15" s="61" t="s">
        <v>121</v>
      </c>
      <c r="F15" s="61"/>
      <c r="G15" s="62" t="str">
        <f>J12*J13*J14&amp;" N"</f>
        <v>5.52 N</v>
      </c>
      <c r="H15" s="62" t="s">
        <v>122</v>
      </c>
      <c r="I15" s="61"/>
      <c r="J15" s="61"/>
    </row>
    <row r="18" spans="2:11" ht="15.75" x14ac:dyDescent="0.25">
      <c r="B18" t="s">
        <v>118</v>
      </c>
      <c r="C18" t="s">
        <v>123</v>
      </c>
      <c r="E18" s="11" t="s">
        <v>120</v>
      </c>
    </row>
    <row r="22" spans="2:11" ht="18" x14ac:dyDescent="0.2">
      <c r="I22" s="63" t="s">
        <v>124</v>
      </c>
      <c r="J22" s="63"/>
      <c r="K22" s="63"/>
    </row>
  </sheetData>
  <mergeCells count="1">
    <mergeCell ref="I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PONCTUELLE</vt:lpstr>
      <vt:lpstr>REOARTIE + PONCTUELLE</vt:lpstr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Rocco</dc:creator>
  <cp:lastModifiedBy>Kamel Rocco</cp:lastModifiedBy>
  <dcterms:created xsi:type="dcterms:W3CDTF">2023-08-25T16:31:27Z</dcterms:created>
  <dcterms:modified xsi:type="dcterms:W3CDTF">2023-08-30T03:14:59Z</dcterms:modified>
</cp:coreProperties>
</file>