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863IntroToAnalyticalModelling/"/>
    </mc:Choice>
  </mc:AlternateContent>
  <xr:revisionPtr revIDLastSave="1855" documentId="8_{560E9F72-C8B1-1C4D-ADB7-00CE2AB671E6}" xr6:coauthVersionLast="47" xr6:coauthVersionMax="47" xr10:uidLastSave="{9C297572-FA79-164B-9F40-BD2045540331}"/>
  <bookViews>
    <workbookView xWindow="0" yWindow="740" windowWidth="30240" windowHeight="18900" xr2:uid="{F0C91B26-9C45-9843-9C52-1E9DC18DE0C2}"/>
  </bookViews>
  <sheets>
    <sheet name="Distribution" sheetId="1" r:id="rId1"/>
    <sheet name="The Tree" sheetId="2" r:id="rId2"/>
    <sheet name="posisson brute force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L41" i="1"/>
  <c r="K173" i="1"/>
  <c r="K172" i="1"/>
  <c r="K171" i="1"/>
  <c r="J172" i="1"/>
  <c r="J171" i="1"/>
  <c r="I172" i="1"/>
  <c r="I171" i="1"/>
  <c r="L165" i="1"/>
  <c r="L168" i="1" s="1"/>
  <c r="K167" i="1"/>
  <c r="L167" i="1" s="1"/>
  <c r="J166" i="1"/>
  <c r="I167" i="1"/>
  <c r="K166" i="1"/>
  <c r="L166" i="1" s="1"/>
  <c r="I166" i="1"/>
  <c r="K165" i="1"/>
  <c r="J165" i="1"/>
  <c r="I165" i="1"/>
  <c r="U108" i="1" l="1"/>
  <c r="T104" i="1"/>
  <c r="T102" i="1"/>
  <c r="A36" i="2"/>
  <c r="A30" i="2"/>
  <c r="A25" i="2"/>
  <c r="F108" i="1" l="1"/>
  <c r="C108" i="1"/>
  <c r="F87" i="1"/>
  <c r="C87" i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3" i="5"/>
  <c r="I34" i="5"/>
  <c r="I35" i="5"/>
  <c r="I36" i="5"/>
  <c r="I37" i="5"/>
  <c r="I38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1" i="5"/>
  <c r="B30" i="1"/>
  <c r="B1" i="5" l="1"/>
  <c r="B4" i="5"/>
  <c r="B11" i="5"/>
  <c r="B13" i="5"/>
  <c r="B17" i="5"/>
  <c r="B18" i="5"/>
  <c r="B19" i="5"/>
  <c r="B25" i="5"/>
  <c r="B26" i="5"/>
  <c r="B27" i="5"/>
  <c r="B33" i="5"/>
  <c r="B34" i="5"/>
  <c r="B35" i="5"/>
  <c r="B41" i="5"/>
  <c r="B42" i="5"/>
  <c r="B43" i="5"/>
  <c r="B49" i="5"/>
  <c r="B50" i="5"/>
  <c r="B51" i="5"/>
  <c r="B57" i="5"/>
  <c r="B58" i="5"/>
  <c r="B59" i="5"/>
  <c r="B65" i="5"/>
  <c r="B66" i="5"/>
  <c r="B67" i="5"/>
  <c r="B73" i="5"/>
  <c r="B74" i="5"/>
  <c r="B75" i="5"/>
  <c r="B81" i="5"/>
  <c r="B82" i="5"/>
  <c r="B83" i="5"/>
  <c r="B89" i="5"/>
  <c r="B90" i="5"/>
  <c r="B91" i="5"/>
  <c r="B97" i="5"/>
  <c r="B98" i="5"/>
  <c r="B99" i="5"/>
  <c r="B105" i="5"/>
  <c r="B106" i="5"/>
  <c r="B107" i="5"/>
  <c r="B113" i="5"/>
  <c r="B114" i="5"/>
  <c r="B115" i="5"/>
  <c r="B121" i="5"/>
  <c r="B122" i="5"/>
  <c r="B123" i="5"/>
  <c r="B129" i="5"/>
  <c r="B130" i="5"/>
  <c r="B131" i="5"/>
  <c r="B136" i="5"/>
  <c r="B137" i="5"/>
  <c r="B138" i="5"/>
  <c r="B139" i="5"/>
  <c r="B144" i="5"/>
  <c r="B3" i="5"/>
  <c r="L45" i="1"/>
  <c r="S43" i="1"/>
  <c r="F47" i="1"/>
  <c r="E66" i="1"/>
  <c r="B10" i="5" l="1"/>
  <c r="B9" i="5"/>
  <c r="B7" i="5"/>
  <c r="B6" i="5"/>
  <c r="B128" i="5"/>
  <c r="B120" i="5"/>
  <c r="B112" i="5"/>
  <c r="B104" i="5"/>
  <c r="B96" i="5"/>
  <c r="B88" i="5"/>
  <c r="B80" i="5"/>
  <c r="B72" i="5"/>
  <c r="B64" i="5"/>
  <c r="B56" i="5"/>
  <c r="B48" i="5"/>
  <c r="B40" i="5"/>
  <c r="B32" i="5"/>
  <c r="B24" i="5"/>
  <c r="B16" i="5"/>
  <c r="B8" i="5"/>
  <c r="B143" i="5"/>
  <c r="B135" i="5"/>
  <c r="B127" i="5"/>
  <c r="B119" i="5"/>
  <c r="B111" i="5"/>
  <c r="B103" i="5"/>
  <c r="B95" i="5"/>
  <c r="B87" i="5"/>
  <c r="B79" i="5"/>
  <c r="B71" i="5"/>
  <c r="B63" i="5"/>
  <c r="B55" i="5"/>
  <c r="B47" i="5"/>
  <c r="B39" i="5"/>
  <c r="B31" i="5"/>
  <c r="B23" i="5"/>
  <c r="B15" i="5"/>
  <c r="B142" i="5"/>
  <c r="B134" i="5"/>
  <c r="B126" i="5"/>
  <c r="B118" i="5"/>
  <c r="B110" i="5"/>
  <c r="B102" i="5"/>
  <c r="B94" i="5"/>
  <c r="B86" i="5"/>
  <c r="B78" i="5"/>
  <c r="B70" i="5"/>
  <c r="B62" i="5"/>
  <c r="B54" i="5"/>
  <c r="B46" i="5"/>
  <c r="B38" i="5"/>
  <c r="B30" i="5"/>
  <c r="B22" i="5"/>
  <c r="B14" i="5"/>
  <c r="B141" i="5"/>
  <c r="B133" i="5"/>
  <c r="B125" i="5"/>
  <c r="B117" i="5"/>
  <c r="B109" i="5"/>
  <c r="B101" i="5"/>
  <c r="B93" i="5"/>
  <c r="B85" i="5"/>
  <c r="B77" i="5"/>
  <c r="B69" i="5"/>
  <c r="B61" i="5"/>
  <c r="B53" i="5"/>
  <c r="B45" i="5"/>
  <c r="B37" i="5"/>
  <c r="B29" i="5"/>
  <c r="B21" i="5"/>
  <c r="B5" i="5"/>
  <c r="B140" i="5"/>
  <c r="B132" i="5"/>
  <c r="B124" i="5"/>
  <c r="B116" i="5"/>
  <c r="B108" i="5"/>
  <c r="B100" i="5"/>
  <c r="B92" i="5"/>
  <c r="B84" i="5"/>
  <c r="B76" i="5"/>
  <c r="B68" i="5"/>
  <c r="B60" i="5"/>
  <c r="B52" i="5"/>
  <c r="B44" i="5"/>
  <c r="B36" i="5"/>
  <c r="B28" i="5"/>
  <c r="B20" i="5"/>
  <c r="B12" i="5"/>
  <c r="B62" i="1" l="1"/>
  <c r="E62" i="1"/>
  <c r="B66" i="1"/>
  <c r="G134" i="1" l="1"/>
  <c r="C101" i="1"/>
  <c r="C103" i="1" s="1"/>
  <c r="K6" i="1"/>
  <c r="I39" i="1"/>
  <c r="H14" i="1" l="1"/>
  <c r="C142" i="1"/>
  <c r="C129" i="1"/>
  <c r="C130" i="1"/>
  <c r="F160" i="1" l="1"/>
  <c r="C159" i="1"/>
  <c r="C158" i="1"/>
  <c r="C161" i="1" s="1"/>
  <c r="C143" i="1" l="1"/>
  <c r="E47" i="1"/>
  <c r="E48" i="1" s="1"/>
  <c r="G138" i="1"/>
  <c r="G140" i="1"/>
  <c r="G141" i="1"/>
  <c r="G126" i="1"/>
  <c r="G127" i="1" s="1"/>
  <c r="G128" i="1" s="1"/>
  <c r="C144" i="1"/>
  <c r="E30" i="1"/>
  <c r="C131" i="1"/>
  <c r="C134" i="1" s="1"/>
  <c r="C75" i="1"/>
  <c r="C126" i="1"/>
  <c r="F101" i="1"/>
  <c r="F103" i="1" s="1"/>
  <c r="F104" i="1" s="1"/>
  <c r="E16" i="2"/>
  <c r="F16" i="2"/>
  <c r="E17" i="2"/>
  <c r="H9" i="2"/>
  <c r="B12" i="2"/>
  <c r="B7" i="2"/>
  <c r="A11" i="2"/>
  <c r="B14" i="2"/>
  <c r="H5" i="2"/>
  <c r="A39" i="2"/>
  <c r="B37" i="2"/>
  <c r="B38" i="2"/>
  <c r="C35" i="2"/>
  <c r="B32" i="2"/>
  <c r="B31" i="2"/>
  <c r="C31" i="2"/>
  <c r="B29" i="2"/>
  <c r="C29" i="2"/>
  <c r="B26" i="2"/>
  <c r="B27" i="2"/>
  <c r="C24" i="2"/>
  <c r="A14" i="2"/>
  <c r="B8" i="2"/>
  <c r="C5" i="2"/>
  <c r="K87" i="1"/>
  <c r="K88" i="1" s="1"/>
  <c r="K78" i="1"/>
  <c r="K79" i="1" s="1"/>
  <c r="C127" i="1"/>
  <c r="C79" i="1"/>
  <c r="I46" i="1"/>
  <c r="F80" i="1"/>
  <c r="F79" i="1"/>
  <c r="C80" i="1"/>
  <c r="H6" i="2"/>
  <c r="C7" i="2"/>
  <c r="D5" i="2"/>
  <c r="D29" i="2"/>
  <c r="C12" i="2"/>
  <c r="C26" i="2"/>
  <c r="D24" i="2"/>
  <c r="C10" i="2"/>
  <c r="C37" i="2"/>
  <c r="D35" i="2" s="1"/>
  <c r="E24" i="2"/>
  <c r="E57" i="1"/>
  <c r="B57" i="1"/>
  <c r="N30" i="1"/>
  <c r="K30" i="1"/>
  <c r="H30" i="1"/>
  <c r="E40" i="1"/>
  <c r="E41" i="1" s="1"/>
  <c r="B40" i="1"/>
  <c r="N22" i="1"/>
  <c r="K22" i="1"/>
  <c r="H22" i="1"/>
  <c r="E22" i="1"/>
  <c r="B22" i="1"/>
  <c r="E14" i="1"/>
  <c r="B14" i="1"/>
  <c r="H5" i="1"/>
  <c r="H7" i="1"/>
  <c r="E5" i="1"/>
  <c r="E7" i="1" s="1"/>
  <c r="B7" i="1"/>
  <c r="D10" i="2"/>
  <c r="C14" i="2"/>
  <c r="F5" i="2"/>
  <c r="E25" i="2" l="1"/>
  <c r="F24" i="2" s="1"/>
  <c r="C39" i="2"/>
  <c r="C82" i="1"/>
  <c r="C83" i="1" s="1"/>
  <c r="J23" i="1"/>
  <c r="F82" i="1"/>
  <c r="F83" i="1" s="1"/>
  <c r="G143" i="1"/>
  <c r="G145" i="1" s="1"/>
  <c r="J31" i="1"/>
  <c r="C146" i="1"/>
  <c r="C147" i="1" s="1"/>
  <c r="C133" i="1"/>
  <c r="G146" i="1" l="1"/>
</calcChain>
</file>

<file path=xl/sharedStrings.xml><?xml version="1.0" encoding="utf-8"?>
<sst xmlns="http://schemas.openxmlformats.org/spreadsheetml/2006/main" count="263" uniqueCount="143">
  <si>
    <t>Binomial Distribution</t>
  </si>
  <si>
    <t>Probabilty Equal</t>
  </si>
  <si>
    <t>Probabilty &lt;=4</t>
  </si>
  <si>
    <t>Probabilty &gt;4</t>
  </si>
  <si>
    <t>Trials</t>
  </si>
  <si>
    <t>Success</t>
  </si>
  <si>
    <t>Formula Cumulative = False</t>
  </si>
  <si>
    <t>Working</t>
  </si>
  <si>
    <t>Poisson Distribution</t>
  </si>
  <si>
    <t>Probabilty &lt;=2</t>
  </si>
  <si>
    <t>Probabilty &gt;2</t>
  </si>
  <si>
    <t>1  &lt; x &lt; 4</t>
  </si>
  <si>
    <t>number of defects</t>
  </si>
  <si>
    <t>mean</t>
  </si>
  <si>
    <t>WORKING</t>
  </si>
  <si>
    <t>Normal Distibution - to Get Z score</t>
  </si>
  <si>
    <t>P(X&lt;365)</t>
  </si>
  <si>
    <t>P(X&gt;365)</t>
  </si>
  <si>
    <t>X</t>
  </si>
  <si>
    <t>Standard Deviation</t>
  </si>
  <si>
    <t>Formula Cumulative = True</t>
  </si>
  <si>
    <t>Normal Distibution - Inverse (Given the Probability)</t>
  </si>
  <si>
    <t>P(X&lt;350)</t>
  </si>
  <si>
    <t>mean(lambda)</t>
  </si>
  <si>
    <t>number</t>
  </si>
  <si>
    <t>top</t>
  </si>
  <si>
    <t>p hat</t>
  </si>
  <si>
    <t>p0</t>
  </si>
  <si>
    <t>n</t>
  </si>
  <si>
    <t>bottom</t>
  </si>
  <si>
    <t>z value</t>
  </si>
  <si>
    <t>probability</t>
  </si>
  <si>
    <t>Answer</t>
  </si>
  <si>
    <t>scale</t>
  </si>
  <si>
    <t>alpha</t>
  </si>
  <si>
    <t>phat</t>
  </si>
  <si>
    <t>p( X&gt;?)</t>
  </si>
  <si>
    <t>p( X&lt;?)</t>
  </si>
  <si>
    <t>Z Value for Proportions</t>
  </si>
  <si>
    <t>T statistic One Tail</t>
  </si>
  <si>
    <t xml:space="preserve">mu </t>
  </si>
  <si>
    <t>x bar</t>
  </si>
  <si>
    <t>std</t>
  </si>
  <si>
    <t>t statistic</t>
  </si>
  <si>
    <t>p-value</t>
  </si>
  <si>
    <t>P(x&lt;?)</t>
  </si>
  <si>
    <t>Confidence Interval</t>
  </si>
  <si>
    <t>alpa</t>
  </si>
  <si>
    <t xml:space="preserve">acceptance rate </t>
  </si>
  <si>
    <t>z</t>
  </si>
  <si>
    <t>p(z&lt;=-0.96448564) = p(z&gt;=0.96448564)</t>
  </si>
  <si>
    <t>p&gt;alpha</t>
  </si>
  <si>
    <t>assume alpha = 0.03</t>
  </si>
  <si>
    <t>do not reject H0</t>
  </si>
  <si>
    <t xml:space="preserve">do not lower expection rate </t>
  </si>
  <si>
    <t>probabilty</t>
  </si>
  <si>
    <t xml:space="preserve">P value </t>
  </si>
  <si>
    <t>P(B|A)</t>
  </si>
  <si>
    <t>(AnB)</t>
  </si>
  <si>
    <t>P(A)</t>
  </si>
  <si>
    <t>1.a</t>
  </si>
  <si>
    <t>P('B|A)</t>
  </si>
  <si>
    <t>(An'B)</t>
  </si>
  <si>
    <t>P(B|'A)</t>
  </si>
  <si>
    <t>('AnB)</t>
  </si>
  <si>
    <t>P('A)</t>
  </si>
  <si>
    <t>P('B|'A)</t>
  </si>
  <si>
    <t>('An'B)</t>
  </si>
  <si>
    <t>P(D|B)</t>
  </si>
  <si>
    <t>(BnD)</t>
  </si>
  <si>
    <t>P(B)</t>
  </si>
  <si>
    <t>P('D|B)</t>
  </si>
  <si>
    <t>(Bn'D)</t>
  </si>
  <si>
    <t>P(D|F)</t>
  </si>
  <si>
    <t>(FnD)</t>
  </si>
  <si>
    <t>P(F)</t>
  </si>
  <si>
    <t>P('D|F)</t>
  </si>
  <si>
    <t>(Fn'D)</t>
  </si>
  <si>
    <t>P(D|P)</t>
  </si>
  <si>
    <t>(PnD)</t>
  </si>
  <si>
    <t>P(P)</t>
  </si>
  <si>
    <t>P('D|P)</t>
  </si>
  <si>
    <t>(Pn'D)</t>
  </si>
  <si>
    <t xml:space="preserve">The rain example from the practice. We were missing P(B|'A) and P('B|'A) </t>
  </si>
  <si>
    <t>Bayes theorem</t>
  </si>
  <si>
    <t>Proportion (but use alpha to be conservative</t>
  </si>
  <si>
    <t>E (room for Error)</t>
  </si>
  <si>
    <t>za/2</t>
  </si>
  <si>
    <t xml:space="preserve">n = </t>
  </si>
  <si>
    <t>Regular Z test with proportion</t>
  </si>
  <si>
    <t>standard deviation</t>
  </si>
  <si>
    <t>Margin of Error</t>
  </si>
  <si>
    <t xml:space="preserve">lower bound </t>
  </si>
  <si>
    <t>average</t>
  </si>
  <si>
    <t>T Value</t>
  </si>
  <si>
    <t>standard error of the mean</t>
  </si>
  <si>
    <t>lambda</t>
  </si>
  <si>
    <t>n = sample size</t>
  </si>
  <si>
    <r>
      <t>Confidence interval to find N</t>
    </r>
    <r>
      <rPr>
        <sz val="12"/>
        <color theme="1"/>
        <rFont val="Calibri"/>
        <family val="2"/>
        <scheme val="minor"/>
      </rPr>
      <t xml:space="preserve"> (proportion)</t>
    </r>
  </si>
  <si>
    <t>E (Desired room for Error)</t>
  </si>
  <si>
    <t xml:space="preserve">upper bound </t>
  </si>
  <si>
    <t>Confidence interval (proportion using N from above)</t>
  </si>
  <si>
    <t xml:space="preserve">Phat +- </t>
  </si>
  <si>
    <t xml:space="preserve">upper bound = </t>
  </si>
  <si>
    <t xml:space="preserve">lower bound = </t>
  </si>
  <si>
    <t>Scaling the Standard Deviation</t>
  </si>
  <si>
    <t>P</t>
  </si>
  <si>
    <t>Finding Sample size (n) with Error</t>
  </si>
  <si>
    <t>Finding Sample size (n) without Error</t>
  </si>
  <si>
    <t>Linear Regression</t>
  </si>
  <si>
    <t>100,000 = Pe^0.03*5</t>
  </si>
  <si>
    <t>ln(100,000) = ln(p) + 0.15</t>
  </si>
  <si>
    <t>p = exp(ln(100,000)-0.15)</t>
  </si>
  <si>
    <t>Rate</t>
  </si>
  <si>
    <t>how long</t>
  </si>
  <si>
    <t>how much I want</t>
  </si>
  <si>
    <t xml:space="preserve">ln(how much I want) </t>
  </si>
  <si>
    <t>rate*how long</t>
  </si>
  <si>
    <t>how much</t>
  </si>
  <si>
    <t>Value target</t>
  </si>
  <si>
    <t>how much to start with</t>
  </si>
  <si>
    <t>two tail p</t>
  </si>
  <si>
    <t>T statistic Two Tail</t>
  </si>
  <si>
    <t>Trials (k)</t>
  </si>
  <si>
    <t>Success (%)</t>
  </si>
  <si>
    <t>t</t>
  </si>
  <si>
    <t>alpha two tailed</t>
  </si>
  <si>
    <t>roundup</t>
  </si>
  <si>
    <t>number (n)</t>
  </si>
  <si>
    <t>Expected Value</t>
  </si>
  <si>
    <t>"</t>
  </si>
  <si>
    <t>fixed number (there migh not be any)</t>
  </si>
  <si>
    <t>outcome:</t>
  </si>
  <si>
    <t>Scaling the Mean</t>
  </si>
  <si>
    <t>Mean</t>
  </si>
  <si>
    <t>P value</t>
  </si>
  <si>
    <t>Rejecting or accepting alpha</t>
  </si>
  <si>
    <t>P(X=&lt;365)</t>
  </si>
  <si>
    <t>p = if alpha is given 1-alpha</t>
  </si>
  <si>
    <t>alpa if given</t>
  </si>
  <si>
    <t>ye</t>
  </si>
  <si>
    <t>rolling a 4</t>
  </si>
  <si>
    <t>rolling 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</si>
</sst>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00"/>
    <numFmt numFmtId="165" formatCode="0.00000"/>
    <numFmt numFmtId="166" formatCode="0.000"/>
    <numFmt numFmtId="167" formatCode="0.0000"/>
    <numFmt numFmtId="168" formatCode="0.000000"/>
    <numFmt numFmtId="175" formatCode="0.0000000"/>
    <numFmt numFmtId="176" formatCode="0.00000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1F1F1F"/>
      <name val="Google Sans"/>
    </font>
    <font>
      <b/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Aptos Narrow"/>
      <family val="2"/>
    </font>
    <font>
      <sz val="16"/>
      <color rgb="FF333333"/>
      <name val="Inherit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9EAD3"/>
        <bgColor rgb="FFD9EAD3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4" xfId="0" applyBorder="1"/>
    <xf numFmtId="0" fontId="2" fillId="3" borderId="0" xfId="0" applyFont="1" applyFill="1"/>
    <xf numFmtId="0" fontId="2" fillId="3" borderId="5" xfId="0" applyFont="1" applyFill="1" applyBorder="1"/>
    <xf numFmtId="0" fontId="2" fillId="0" borderId="4" xfId="0" applyFont="1" applyBorder="1"/>
    <xf numFmtId="164" fontId="2" fillId="0" borderId="0" xfId="0" applyNumberFormat="1" applyFont="1"/>
    <xf numFmtId="0" fontId="0" fillId="0" borderId="5" xfId="0" applyBorder="1"/>
    <xf numFmtId="0" fontId="4" fillId="3" borderId="0" xfId="0" applyFont="1" applyFill="1"/>
    <xf numFmtId="0" fontId="2" fillId="2" borderId="0" xfId="0" applyFont="1" applyFill="1"/>
    <xf numFmtId="0" fontId="2" fillId="2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3" borderId="5" xfId="0" applyFont="1" applyFill="1" applyBorder="1"/>
    <xf numFmtId="0" fontId="4" fillId="3" borderId="5" xfId="0" applyFont="1" applyFill="1" applyBorder="1"/>
    <xf numFmtId="0" fontId="0" fillId="3" borderId="0" xfId="0" applyFill="1"/>
    <xf numFmtId="0" fontId="0" fillId="3" borderId="5" xfId="0" applyFill="1" applyBorder="1"/>
    <xf numFmtId="0" fontId="1" fillId="3" borderId="0" xfId="0" applyFont="1" applyFill="1"/>
    <xf numFmtId="0" fontId="1" fillId="0" borderId="5" xfId="0" applyFont="1" applyBorder="1" applyAlignment="1">
      <alignment horizontal="center"/>
    </xf>
    <xf numFmtId="0" fontId="0" fillId="2" borderId="0" xfId="0" applyFill="1"/>
    <xf numFmtId="0" fontId="0" fillId="2" borderId="5" xfId="0" applyFill="1" applyBorder="1"/>
    <xf numFmtId="0" fontId="5" fillId="3" borderId="5" xfId="0" applyFont="1" applyFill="1" applyBorder="1"/>
    <xf numFmtId="0" fontId="1" fillId="3" borderId="5" xfId="0" applyFont="1" applyFill="1" applyBorder="1"/>
    <xf numFmtId="0" fontId="1" fillId="0" borderId="0" xfId="0" applyFont="1"/>
    <xf numFmtId="0" fontId="1" fillId="2" borderId="0" xfId="0" applyFont="1" applyFill="1"/>
    <xf numFmtId="0" fontId="1" fillId="0" borderId="4" xfId="0" applyFont="1" applyBorder="1"/>
    <xf numFmtId="0" fontId="1" fillId="0" borderId="6" xfId="0" applyFont="1" applyBorder="1"/>
    <xf numFmtId="0" fontId="8" fillId="0" borderId="0" xfId="0" applyFont="1"/>
    <xf numFmtId="0" fontId="8" fillId="0" borderId="9" xfId="0" applyFont="1" applyBorder="1"/>
    <xf numFmtId="0" fontId="9" fillId="5" borderId="0" xfId="0" applyFont="1" applyFill="1"/>
    <xf numFmtId="0" fontId="9" fillId="0" borderId="0" xfId="0" applyFont="1"/>
    <xf numFmtId="2" fontId="8" fillId="5" borderId="0" xfId="0" applyNumberFormat="1" applyFont="1" applyFill="1"/>
    <xf numFmtId="0" fontId="8" fillId="0" borderId="11" xfId="0" applyFont="1" applyBorder="1"/>
    <xf numFmtId="166" fontId="9" fillId="5" borderId="0" xfId="0" applyNumberFormat="1" applyFont="1" applyFill="1"/>
    <xf numFmtId="166" fontId="9" fillId="0" borderId="0" xfId="0" applyNumberFormat="1" applyFont="1"/>
    <xf numFmtId="0" fontId="8" fillId="3" borderId="10" xfId="0" applyFont="1" applyFill="1" applyBorder="1"/>
    <xf numFmtId="0" fontId="8" fillId="2" borderId="10" xfId="0" applyFont="1" applyFill="1" applyBorder="1"/>
    <xf numFmtId="2" fontId="8" fillId="2" borderId="10" xfId="0" applyNumberFormat="1" applyFont="1" applyFill="1" applyBorder="1"/>
    <xf numFmtId="167" fontId="8" fillId="2" borderId="10" xfId="0" applyNumberFormat="1" applyFont="1" applyFill="1" applyBorder="1"/>
    <xf numFmtId="165" fontId="8" fillId="2" borderId="10" xfId="0" applyNumberFormat="1" applyFont="1" applyFill="1" applyBorder="1"/>
    <xf numFmtId="168" fontId="8" fillId="3" borderId="10" xfId="0" applyNumberFormat="1" applyFont="1" applyFill="1" applyBorder="1"/>
    <xf numFmtId="168" fontId="8" fillId="0" borderId="0" xfId="0" applyNumberFormat="1" applyFont="1"/>
    <xf numFmtId="168" fontId="4" fillId="3" borderId="0" xfId="0" applyNumberFormat="1" applyFont="1" applyFill="1"/>
    <xf numFmtId="168" fontId="4" fillId="3" borderId="5" xfId="0" applyNumberFormat="1" applyFont="1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0" xfId="0" applyFont="1"/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1" fillId="0" borderId="5" xfId="0" applyFont="1" applyBorder="1"/>
    <xf numFmtId="0" fontId="0" fillId="0" borderId="2" xfId="0" applyBorder="1"/>
    <xf numFmtId="0" fontId="7" fillId="0" borderId="0" xfId="0" applyFont="1"/>
    <xf numFmtId="0" fontId="6" fillId="0" borderId="0" xfId="0" applyFont="1"/>
    <xf numFmtId="168" fontId="0" fillId="3" borderId="0" xfId="0" applyNumberFormat="1" applyFill="1"/>
    <xf numFmtId="0" fontId="6" fillId="4" borderId="0" xfId="0" applyFont="1" applyFill="1"/>
    <xf numFmtId="2" fontId="0" fillId="3" borderId="0" xfId="0" applyNumberFormat="1" applyFill="1"/>
    <xf numFmtId="165" fontId="0" fillId="3" borderId="0" xfId="0" applyNumberFormat="1" applyFill="1"/>
    <xf numFmtId="168" fontId="1" fillId="3" borderId="0" xfId="0" applyNumberFormat="1" applyFont="1" applyFill="1"/>
    <xf numFmtId="9" fontId="0" fillId="2" borderId="0" xfId="1" applyFont="1" applyFill="1" applyBorder="1"/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3" borderId="0" xfId="0" applyFont="1" applyFill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2" borderId="4" xfId="0" applyFont="1" applyFill="1" applyBorder="1"/>
    <xf numFmtId="0" fontId="1" fillId="0" borderId="0" xfId="0" applyFont="1" applyAlignment="1">
      <alignment wrapText="1"/>
    </xf>
    <xf numFmtId="168" fontId="1" fillId="3" borderId="8" xfId="0" applyNumberFormat="1" applyFont="1" applyFill="1" applyBorder="1"/>
    <xf numFmtId="168" fontId="1" fillId="3" borderId="5" xfId="0" applyNumberFormat="1" applyFont="1" applyFill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168" fontId="1" fillId="3" borderId="0" xfId="0" applyNumberFormat="1" applyFont="1" applyFill="1" applyAlignment="1">
      <alignment horizontal="center"/>
    </xf>
    <xf numFmtId="168" fontId="1" fillId="3" borderId="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175" fontId="0" fillId="0" borderId="0" xfId="0" applyNumberFormat="1"/>
    <xf numFmtId="176" fontId="0" fillId="0" borderId="0" xfId="0" applyNumberFormat="1"/>
    <xf numFmtId="168" fontId="0" fillId="3" borderId="8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596900</xdr:colOff>
      <xdr:row>75</xdr:row>
      <xdr:rowOff>139700</xdr:rowOff>
    </xdr:from>
    <xdr:to>
      <xdr:col>7</xdr:col>
      <xdr:colOff>1493418</xdr:colOff>
      <xdr:row>81</xdr:row>
      <xdr:rowOff>1109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3E2AF6-878F-03B0-8FD5-63E1C058A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200" y="14465300"/>
          <a:ext cx="2647950" cy="1076325"/>
        </a:xfrm>
        <a:prstGeom prst="rect">
          <a:avLst/>
        </a:prstGeom>
      </xdr:spPr>
    </xdr:pic>
    <xdr:clientData/>
  </xdr:twoCellAnchor>
  <xdr:twoCellAnchor editAs="oneCell">
    <xdr:from>
      <xdr:col>1</xdr:col>
      <xdr:colOff>2561219</xdr:colOff>
      <xdr:row>108</xdr:row>
      <xdr:rowOff>124280</xdr:rowOff>
    </xdr:from>
    <xdr:to>
      <xdr:col>4</xdr:col>
      <xdr:colOff>690232</xdr:colOff>
      <xdr:row>114</xdr:row>
      <xdr:rowOff>114903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8F2C50-3DAA-7A06-1841-18EE517C3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9433" y="22122494"/>
          <a:ext cx="3662585" cy="1215266"/>
        </a:xfrm>
        <a:prstGeom prst="rect">
          <a:avLst/>
        </a:prstGeom>
      </xdr:spPr>
    </xdr:pic>
    <xdr:clientData/>
  </xdr:twoCellAnchor>
  <xdr:twoCellAnchor editAs="oneCell">
    <xdr:from>
      <xdr:col>3</xdr:col>
      <xdr:colOff>212030</xdr:colOff>
      <xdr:row>120</xdr:row>
      <xdr:rowOff>122745</xdr:rowOff>
    </xdr:from>
    <xdr:to>
      <xdr:col>4</xdr:col>
      <xdr:colOff>394138</xdr:colOff>
      <xdr:row>122</xdr:row>
      <xdr:rowOff>95219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D36E24-F43E-CA71-D4D0-E44713D2E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96398" y="29099182"/>
          <a:ext cx="1919234" cy="381209"/>
        </a:xfrm>
        <a:prstGeom prst="rect">
          <a:avLst/>
        </a:prstGeom>
      </xdr:spPr>
    </xdr:pic>
    <xdr:clientData/>
  </xdr:twoCellAnchor>
  <xdr:twoCellAnchor editAs="oneCell">
    <xdr:from>
      <xdr:col>12</xdr:col>
      <xdr:colOff>642298</xdr:colOff>
      <xdr:row>75</xdr:row>
      <xdr:rowOff>72988</xdr:rowOff>
    </xdr:from>
    <xdr:to>
      <xdr:col>21</xdr:col>
      <xdr:colOff>596607</xdr:colOff>
      <xdr:row>82</xdr:row>
      <xdr:rowOff>102913</xdr:rowOff>
    </xdr:to>
    <xdr:pic>
      <xdr:nvPicPr>
        <xdr:cNvPr id="5" name="Picture 4" descr="enter image source here">
          <a:extLst>
            <a:ext uri="{FF2B5EF4-FFF2-40B4-BE49-F238E27FC236}">
              <a16:creationId xmlns:a16="http://schemas.microsoft.com/office/drawing/2014/main" id="{BC8C62CF-8AAC-971B-BF42-35490E234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7241" y="14539310"/>
          <a:ext cx="8688990" cy="146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1212008</xdr:colOff>
      <xdr:row>121</xdr:row>
      <xdr:rowOff>49819</xdr:rowOff>
    </xdr:from>
    <xdr:to>
      <xdr:col>11</xdr:col>
      <xdr:colOff>178385</xdr:colOff>
      <xdr:row>126</xdr:row>
      <xdr:rowOff>143906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EA075B55-C63C-58BB-EAF0-DFFB4EC08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82742" y="25647892"/>
          <a:ext cx="4469711" cy="1067754"/>
        </a:xfrm>
        <a:prstGeom prst="rect">
          <a:avLst/>
        </a:prstGeom>
      </xdr:spPr>
    </xdr:pic>
    <xdr:clientData/>
  </xdr:twoCellAnchor>
  <xdr:twoCellAnchor editAs="oneCell">
    <xdr:from>
      <xdr:col>3</xdr:col>
      <xdr:colOff>209725</xdr:colOff>
      <xdr:row>137</xdr:row>
      <xdr:rowOff>180052</xdr:rowOff>
    </xdr:from>
    <xdr:to>
      <xdr:col>4</xdr:col>
      <xdr:colOff>581871</xdr:colOff>
      <xdr:row>141</xdr:row>
      <xdr:rowOff>170925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AC097669-FF6F-90EF-F961-320507125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09858" y="26375919"/>
          <a:ext cx="2141679" cy="769806"/>
        </a:xfrm>
        <a:prstGeom prst="rect">
          <a:avLst/>
        </a:prstGeom>
      </xdr:spPr>
    </xdr:pic>
    <xdr:clientData/>
  </xdr:twoCellAnchor>
  <xdr:twoCellAnchor editAs="oneCell">
    <xdr:from>
      <xdr:col>7</xdr:col>
      <xdr:colOff>1106881</xdr:colOff>
      <xdr:row>133</xdr:row>
      <xdr:rowOff>58257</xdr:rowOff>
    </xdr:from>
    <xdr:to>
      <xdr:col>9</xdr:col>
      <xdr:colOff>1682615</xdr:colOff>
      <xdr:row>138</xdr:row>
      <xdr:rowOff>113289</xdr:rowOff>
    </xdr:to>
    <xdr:pic>
      <xdr:nvPicPr>
        <xdr:cNvPr id="14" name="Picture 7">
          <a:extLst>
            <a:ext uri="{FF2B5EF4-FFF2-40B4-BE49-F238E27FC236}">
              <a16:creationId xmlns:a16="http://schemas.microsoft.com/office/drawing/2014/main" id="{D0E92A3A-6D7F-DFCB-0ED8-D11F5B887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77615" y="28033211"/>
          <a:ext cx="3314700" cy="10287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1677105</xdr:colOff>
      <xdr:row>46</xdr:row>
      <xdr:rowOff>194027</xdr:rowOff>
    </xdr:from>
    <xdr:to>
      <xdr:col>8</xdr:col>
      <xdr:colOff>840313</xdr:colOff>
      <xdr:row>49</xdr:row>
      <xdr:rowOff>83959</xdr:rowOff>
    </xdr:to>
    <xdr:pic>
      <xdr:nvPicPr>
        <xdr:cNvPr id="17" name="Picture 7">
          <a:extLst>
            <a:ext uri="{FF2B5EF4-FFF2-40B4-BE49-F238E27FC236}">
              <a16:creationId xmlns:a16="http://schemas.microsoft.com/office/drawing/2014/main" id="{D7C97510-802F-DDEB-7E89-978509015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78633" y="9930694"/>
          <a:ext cx="2660647" cy="524932"/>
        </a:xfrm>
        <a:prstGeom prst="rect">
          <a:avLst/>
        </a:prstGeom>
      </xdr:spPr>
    </xdr:pic>
    <xdr:clientData/>
  </xdr:twoCellAnchor>
  <xdr:twoCellAnchor editAs="oneCell">
    <xdr:from>
      <xdr:col>7</xdr:col>
      <xdr:colOff>1058333</xdr:colOff>
      <xdr:row>97</xdr:row>
      <xdr:rowOff>17639</xdr:rowOff>
    </xdr:from>
    <xdr:to>
      <xdr:col>11</xdr:col>
      <xdr:colOff>735834</xdr:colOff>
      <xdr:row>106</xdr:row>
      <xdr:rowOff>158751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2A2EA0-E383-B76B-A3BF-CF9CC9B18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206111" y="19526250"/>
          <a:ext cx="5118039" cy="2046112"/>
        </a:xfrm>
        <a:prstGeom prst="rect">
          <a:avLst/>
        </a:prstGeom>
      </xdr:spPr>
    </xdr:pic>
    <xdr:clientData/>
  </xdr:twoCellAnchor>
  <xdr:twoCellAnchor editAs="oneCell">
    <xdr:from>
      <xdr:col>7</xdr:col>
      <xdr:colOff>970138</xdr:colOff>
      <xdr:row>108</xdr:row>
      <xdr:rowOff>52916</xdr:rowOff>
    </xdr:from>
    <xdr:to>
      <xdr:col>13</xdr:col>
      <xdr:colOff>539749</xdr:colOff>
      <xdr:row>113</xdr:row>
      <xdr:rowOff>160443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1CE0A7-B4DB-0CE8-CA50-F6C3A51AB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17916" y="22101527"/>
          <a:ext cx="7772400" cy="1165860"/>
        </a:xfrm>
        <a:prstGeom prst="rect">
          <a:avLst/>
        </a:prstGeom>
      </xdr:spPr>
    </xdr:pic>
    <xdr:clientData/>
  </xdr:twoCellAnchor>
  <xdr:twoCellAnchor editAs="oneCell">
    <xdr:from>
      <xdr:col>11</xdr:col>
      <xdr:colOff>377030</xdr:colOff>
      <xdr:row>1</xdr:row>
      <xdr:rowOff>9922</xdr:rowOff>
    </xdr:from>
    <xdr:to>
      <xdr:col>17</xdr:col>
      <xdr:colOff>458257</xdr:colOff>
      <xdr:row>13</xdr:row>
      <xdr:rowOff>167109</xdr:rowOff>
    </xdr:to>
    <xdr:pic>
      <xdr:nvPicPr>
        <xdr:cNvPr id="10" name="Picture 36">
          <a:extLst>
            <a:ext uri="{FF2B5EF4-FFF2-40B4-BE49-F238E27FC236}">
              <a16:creationId xmlns:a16="http://schemas.microsoft.com/office/drawing/2014/main" id="{6365EF0A-A7CA-2B40-BBED-76943D4836B1}"/>
            </a:ext>
            <a:ext uri="{147F2762-F138-4A5C-976F-8EAC2B608ADB}">
              <a16:predDERef xmlns:a16="http://schemas.microsoft.com/office/drawing/2014/main" pred="{D51CE0A7-B4DB-0CE8-CA50-F6C3A51AB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767968" y="198438"/>
          <a:ext cx="6528594" cy="2595587"/>
        </a:xfrm>
        <a:prstGeom prst="rect">
          <a:avLst/>
        </a:prstGeom>
      </xdr:spPr>
    </xdr:pic>
    <xdr:clientData/>
  </xdr:twoCellAnchor>
  <xdr:twoCellAnchor editAs="oneCell">
    <xdr:from>
      <xdr:col>5</xdr:col>
      <xdr:colOff>314741</xdr:colOff>
      <xdr:row>54</xdr:row>
      <xdr:rowOff>70555</xdr:rowOff>
    </xdr:from>
    <xdr:to>
      <xdr:col>10</xdr:col>
      <xdr:colOff>155596</xdr:colOff>
      <xdr:row>67</xdr:row>
      <xdr:rowOff>156633</xdr:rowOff>
    </xdr:to>
    <xdr:pic>
      <xdr:nvPicPr>
        <xdr:cNvPr id="16" name="Picture 38">
          <a:extLst>
            <a:ext uri="{FF2B5EF4-FFF2-40B4-BE49-F238E27FC236}">
              <a16:creationId xmlns:a16="http://schemas.microsoft.com/office/drawing/2014/main" id="{6B461C48-0B86-F345-FCCB-C57D4E64C01F}"/>
            </a:ext>
            <a:ext uri="{147F2762-F138-4A5C-976F-8EAC2B608ADB}">
              <a16:predDERef xmlns:a16="http://schemas.microsoft.com/office/drawing/2014/main" pred="{6365EF0A-A7CA-2B40-BBED-76943D483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28630" y="11500555"/>
          <a:ext cx="7299283" cy="2837745"/>
        </a:xfrm>
        <a:prstGeom prst="rect">
          <a:avLst/>
        </a:prstGeom>
      </xdr:spPr>
    </xdr:pic>
    <xdr:clientData/>
  </xdr:twoCellAnchor>
  <xdr:twoCellAnchor editAs="oneCell">
    <xdr:from>
      <xdr:col>8</xdr:col>
      <xdr:colOff>135467</xdr:colOff>
      <xdr:row>150</xdr:row>
      <xdr:rowOff>0</xdr:rowOff>
    </xdr:from>
    <xdr:to>
      <xdr:col>10</xdr:col>
      <xdr:colOff>864362</xdr:colOff>
      <xdr:row>163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08D823A-1F78-48EC-158A-81EF510772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32949" b="30876"/>
        <a:stretch/>
      </xdr:blipFill>
      <xdr:spPr>
        <a:xfrm>
          <a:off x="13462000" y="31225067"/>
          <a:ext cx="3395895" cy="2658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3EB2-4DE3-424E-A0C5-D916E4FB0CA3}">
  <dimension ref="A1:AA177"/>
  <sheetViews>
    <sheetView tabSelected="1" topLeftCell="A3" zoomScaleNormal="80" workbookViewId="0">
      <selection activeCell="H28" sqref="H28"/>
    </sheetView>
  </sheetViews>
  <sheetFormatPr baseColWidth="10" defaultColWidth="11" defaultRowHeight="16"/>
  <cols>
    <col min="1" max="1" width="22.1640625" bestFit="1" customWidth="1"/>
    <col min="2" max="2" width="33.5" customWidth="1"/>
    <col min="3" max="3" width="16.1640625" customWidth="1"/>
    <col min="4" max="4" width="22.83203125" bestFit="1" customWidth="1"/>
    <col min="5" max="5" width="17" bestFit="1" customWidth="1"/>
    <col min="6" max="6" width="16.83203125" bestFit="1" customWidth="1"/>
    <col min="7" max="7" width="22.83203125" bestFit="1" customWidth="1"/>
    <col min="8" max="8" width="23" bestFit="1" customWidth="1"/>
    <col min="9" max="9" width="12.1640625" bestFit="1" customWidth="1"/>
    <col min="10" max="10" width="22.83203125" bestFit="1" customWidth="1"/>
    <col min="11" max="12" width="13.33203125" bestFit="1" customWidth="1"/>
    <col min="13" max="13" width="22.83203125" bestFit="1" customWidth="1"/>
    <col min="14" max="14" width="15.6640625" bestFit="1" customWidth="1"/>
  </cols>
  <sheetData>
    <row r="1" spans="1:11">
      <c r="A1" s="89" t="s">
        <v>0</v>
      </c>
      <c r="B1" s="90"/>
      <c r="C1" s="90"/>
      <c r="D1" s="90"/>
      <c r="E1" s="90"/>
      <c r="F1" s="90"/>
      <c r="G1" s="90"/>
      <c r="H1" s="91"/>
      <c r="J1" s="51"/>
      <c r="K1" s="52"/>
    </row>
    <row r="2" spans="1:11">
      <c r="A2" s="79" t="s">
        <v>1</v>
      </c>
      <c r="B2" s="78"/>
      <c r="D2" s="78" t="s">
        <v>2</v>
      </c>
      <c r="E2" s="78"/>
      <c r="G2" s="78" t="s">
        <v>3</v>
      </c>
      <c r="H2" s="80"/>
      <c r="J2" s="82" t="s">
        <v>129</v>
      </c>
      <c r="K2" s="84"/>
    </row>
    <row r="3" spans="1:11">
      <c r="A3" s="3" t="s">
        <v>24</v>
      </c>
      <c r="B3" s="4">
        <v>43</v>
      </c>
      <c r="D3" t="s">
        <v>24</v>
      </c>
      <c r="E3" s="4">
        <v>2</v>
      </c>
      <c r="G3" t="s">
        <v>24</v>
      </c>
      <c r="H3" s="5">
        <v>3</v>
      </c>
      <c r="J3" s="3" t="s">
        <v>128</v>
      </c>
      <c r="K3" s="22">
        <v>20</v>
      </c>
    </row>
    <row r="4" spans="1:11">
      <c r="A4" s="6" t="s">
        <v>123</v>
      </c>
      <c r="B4" s="4">
        <v>50</v>
      </c>
      <c r="C4" s="1"/>
      <c r="D4" s="1" t="s">
        <v>4</v>
      </c>
      <c r="E4" s="4">
        <v>4</v>
      </c>
      <c r="G4" s="1" t="s">
        <v>4</v>
      </c>
      <c r="H4" s="5">
        <v>4</v>
      </c>
      <c r="J4" s="3" t="s">
        <v>31</v>
      </c>
      <c r="K4" s="22">
        <v>0.3</v>
      </c>
    </row>
    <row r="5" spans="1:11">
      <c r="A5" s="6" t="s">
        <v>124</v>
      </c>
      <c r="B5" s="68">
        <v>0.86</v>
      </c>
      <c r="C5" s="1"/>
      <c r="D5" s="1" t="s">
        <v>5</v>
      </c>
      <c r="E5" s="68">
        <f>1/6</f>
        <v>0.16666666666666666</v>
      </c>
      <c r="G5" s="1" t="s">
        <v>5</v>
      </c>
      <c r="H5" s="15">
        <f>1/6</f>
        <v>0.16666666666666666</v>
      </c>
      <c r="J5" s="3" t="s">
        <v>131</v>
      </c>
      <c r="K5" s="22">
        <v>29</v>
      </c>
    </row>
    <row r="6" spans="1:11">
      <c r="A6" s="3"/>
      <c r="C6" s="7"/>
      <c r="H6" s="8"/>
      <c r="J6" s="27" t="s">
        <v>129</v>
      </c>
      <c r="K6" s="24">
        <f>(K3*K4)+K5</f>
        <v>35</v>
      </c>
    </row>
    <row r="7" spans="1:11">
      <c r="A7" s="6" t="s">
        <v>6</v>
      </c>
      <c r="B7" s="9">
        <f>_xlfn.BINOM.DIST(B3,B4,B5,FALSE)</f>
        <v>0.16063024375372348</v>
      </c>
      <c r="D7" s="1" t="s">
        <v>6</v>
      </c>
      <c r="E7" s="9">
        <f>_xlfn.BINOM.DIST(E3,E4,E5,TRUE)</f>
        <v>0.98379629629629628</v>
      </c>
      <c r="G7" s="1" t="s">
        <v>6</v>
      </c>
      <c r="H7" s="16">
        <f>1-_xlfn.BINOM.DIST(H3,H4,H5,TRUE)</f>
        <v>7.7160493827155285E-4</v>
      </c>
      <c r="J7" s="3"/>
      <c r="K7" s="8"/>
    </row>
    <row r="8" spans="1:11">
      <c r="A8" s="3"/>
      <c r="H8" s="8"/>
      <c r="J8" s="3"/>
      <c r="K8" s="8"/>
    </row>
    <row r="9" spans="1:11">
      <c r="A9" s="82" t="s">
        <v>7</v>
      </c>
      <c r="B9" s="83"/>
      <c r="C9" s="83"/>
      <c r="D9" s="83"/>
      <c r="E9" s="83"/>
      <c r="F9" s="83"/>
      <c r="G9" s="83"/>
      <c r="H9" s="84"/>
      <c r="J9" s="3"/>
      <c r="K9" s="8"/>
    </row>
    <row r="10" spans="1:11">
      <c r="A10" s="3" t="s">
        <v>24</v>
      </c>
      <c r="B10" s="10">
        <v>3</v>
      </c>
      <c r="D10" t="s">
        <v>24</v>
      </c>
      <c r="E10" s="11">
        <v>0</v>
      </c>
      <c r="G10" t="s">
        <v>24</v>
      </c>
      <c r="H10" s="11">
        <v>59</v>
      </c>
      <c r="J10" s="3"/>
      <c r="K10" s="8"/>
    </row>
    <row r="11" spans="1:11">
      <c r="A11" s="6" t="s">
        <v>4</v>
      </c>
      <c r="B11" s="10">
        <v>3</v>
      </c>
      <c r="C11" s="1"/>
      <c r="D11" s="1" t="s">
        <v>4</v>
      </c>
      <c r="E11" s="11">
        <v>100</v>
      </c>
      <c r="G11" s="1" t="s">
        <v>4</v>
      </c>
      <c r="H11" s="11">
        <v>200</v>
      </c>
      <c r="J11" s="3"/>
      <c r="K11" s="8"/>
    </row>
    <row r="12" spans="1:11">
      <c r="A12" s="6" t="s">
        <v>5</v>
      </c>
      <c r="B12" s="10">
        <v>0.25</v>
      </c>
      <c r="C12" s="1"/>
      <c r="D12" s="1" t="s">
        <v>5</v>
      </c>
      <c r="E12" s="10">
        <v>2E-3</v>
      </c>
      <c r="G12" s="1" t="s">
        <v>5</v>
      </c>
      <c r="H12" s="10">
        <v>0.69146246127401312</v>
      </c>
      <c r="J12" s="3"/>
      <c r="K12" s="8"/>
    </row>
    <row r="13" spans="1:11">
      <c r="A13" s="3"/>
      <c r="C13" s="7"/>
      <c r="H13" s="8"/>
      <c r="J13" s="3"/>
      <c r="K13" s="8"/>
    </row>
    <row r="14" spans="1:11">
      <c r="A14" s="6" t="s">
        <v>6</v>
      </c>
      <c r="B14" s="44">
        <f>_xlfn.BINOM.DIST(B10,B11,B12,FALSE)</f>
        <v>1.5625000000000007E-2</v>
      </c>
      <c r="D14" s="1" t="s">
        <v>6</v>
      </c>
      <c r="E14" s="44">
        <f>_xlfn.BINOM.DIST(E10,E11,E12,TRUE)</f>
        <v>0.8185668046884278</v>
      </c>
      <c r="G14" s="1" t="s">
        <v>6</v>
      </c>
      <c r="H14" s="45">
        <f>1-_xlfn.BINOM.DIST(H10,H11,H12,TRUE)</f>
        <v>1</v>
      </c>
      <c r="J14" s="3"/>
      <c r="K14" s="8"/>
    </row>
    <row r="15" spans="1:11" ht="17" thickBot="1">
      <c r="A15" s="12"/>
      <c r="B15" s="13"/>
      <c r="C15" s="13"/>
      <c r="D15" s="13"/>
      <c r="E15" s="13"/>
      <c r="F15" s="13"/>
      <c r="G15" s="13"/>
      <c r="H15" s="14"/>
      <c r="J15" s="12"/>
      <c r="K15" s="14"/>
    </row>
    <row r="16" spans="1:11" ht="17" thickBot="1"/>
    <row r="17" spans="1:15">
      <c r="A17" s="89" t="s">
        <v>8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1"/>
    </row>
    <row r="18" spans="1:15">
      <c r="A18" s="79" t="s">
        <v>1</v>
      </c>
      <c r="B18" s="78"/>
      <c r="D18" s="78" t="s">
        <v>9</v>
      </c>
      <c r="E18" s="78"/>
      <c r="G18" s="78" t="s">
        <v>10</v>
      </c>
      <c r="H18" s="78"/>
      <c r="J18" s="78" t="s">
        <v>11</v>
      </c>
      <c r="K18" s="78"/>
      <c r="L18" s="78"/>
      <c r="M18" s="78"/>
      <c r="N18" s="80"/>
    </row>
    <row r="19" spans="1:15">
      <c r="A19" s="3" t="s">
        <v>12</v>
      </c>
      <c r="B19" s="4">
        <v>0</v>
      </c>
      <c r="D19" t="s">
        <v>12</v>
      </c>
      <c r="E19" s="4">
        <v>2</v>
      </c>
      <c r="G19" t="s">
        <v>12</v>
      </c>
      <c r="H19" s="4">
        <v>2</v>
      </c>
      <c r="J19" t="s">
        <v>12</v>
      </c>
      <c r="K19" s="4">
        <v>0</v>
      </c>
      <c r="M19" t="s">
        <v>12</v>
      </c>
      <c r="N19" s="5">
        <v>4</v>
      </c>
      <c r="O19" s="1"/>
    </row>
    <row r="20" spans="1:15">
      <c r="A20" s="6" t="s">
        <v>23</v>
      </c>
      <c r="B20" s="4">
        <v>0.96</v>
      </c>
      <c r="C20" s="1"/>
      <c r="D20" s="1" t="s">
        <v>23</v>
      </c>
      <c r="E20" s="4">
        <v>2.2999999999999998</v>
      </c>
      <c r="G20" s="1" t="s">
        <v>130</v>
      </c>
      <c r="H20" s="4">
        <v>2.2999999999999998</v>
      </c>
      <c r="J20" s="1" t="s">
        <v>23</v>
      </c>
      <c r="K20" s="4">
        <v>2.2999999999999998</v>
      </c>
      <c r="M20" s="1" t="s">
        <v>23</v>
      </c>
      <c r="N20" s="5">
        <v>2.2999999999999998</v>
      </c>
      <c r="O20" s="1"/>
    </row>
    <row r="21" spans="1:15">
      <c r="A21" s="3"/>
      <c r="C21" s="7"/>
      <c r="N21" s="8"/>
    </row>
    <row r="22" spans="1:15">
      <c r="A22" s="6" t="s">
        <v>6</v>
      </c>
      <c r="B22" s="9">
        <f>_xlfn.POISSON.DIST(B19,B20,FALSE)</f>
        <v>0.38289288597511206</v>
      </c>
      <c r="D22" s="1" t="s">
        <v>6</v>
      </c>
      <c r="E22" s="9">
        <f>_xlfn.POISSON.DIST(E19,E20,TRUE)</f>
        <v>0.59603882593206814</v>
      </c>
      <c r="G22" s="1" t="s">
        <v>6</v>
      </c>
      <c r="H22" s="9">
        <f>1-_xlfn.POISSON.DIST(H19,H20,TRUE)</f>
        <v>0.40396117406793186</v>
      </c>
      <c r="J22" s="1" t="s">
        <v>6</v>
      </c>
      <c r="K22" s="4">
        <f>_xlfn.POISSON.DIST(K19,K20,TRUE)</f>
        <v>0.10025884372280375</v>
      </c>
      <c r="M22" s="1" t="s">
        <v>6</v>
      </c>
      <c r="N22" s="5">
        <f>_xlfn.POISSON.DIST(N19,N20,TRUE)</f>
        <v>0.91624928072059841</v>
      </c>
      <c r="O22" s="1"/>
    </row>
    <row r="23" spans="1:15">
      <c r="A23" s="3"/>
      <c r="J23" s="92">
        <f>N22-K22</f>
        <v>0.81599043699779461</v>
      </c>
      <c r="K23" s="92"/>
      <c r="L23" s="92"/>
      <c r="M23" s="92"/>
      <c r="N23" s="93"/>
    </row>
    <row r="24" spans="1:15" ht="16" customHeight="1">
      <c r="A24" s="3"/>
      <c r="N24" s="8"/>
    </row>
    <row r="25" spans="1:15">
      <c r="A25" s="82" t="s">
        <v>14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4"/>
    </row>
    <row r="26" spans="1:15">
      <c r="A26" s="79" t="s">
        <v>1</v>
      </c>
      <c r="B26" s="78"/>
      <c r="D26" s="78" t="s">
        <v>9</v>
      </c>
      <c r="E26" s="78"/>
      <c r="G26" s="78" t="s">
        <v>10</v>
      </c>
      <c r="H26" s="78"/>
      <c r="J26" s="78" t="s">
        <v>11</v>
      </c>
      <c r="K26" s="78"/>
      <c r="L26" s="78"/>
      <c r="M26" s="78"/>
      <c r="N26" s="80"/>
    </row>
    <row r="27" spans="1:15">
      <c r="A27" s="3" t="s">
        <v>12</v>
      </c>
      <c r="B27" s="10">
        <v>1</v>
      </c>
      <c r="D27" t="s">
        <v>12</v>
      </c>
      <c r="E27" s="10">
        <v>0</v>
      </c>
      <c r="G27" t="s">
        <v>12</v>
      </c>
      <c r="H27" s="10">
        <v>59</v>
      </c>
      <c r="J27" t="s">
        <v>12</v>
      </c>
      <c r="K27" s="10">
        <v>0</v>
      </c>
      <c r="M27" t="s">
        <v>12</v>
      </c>
      <c r="N27" s="11">
        <v>4</v>
      </c>
    </row>
    <row r="28" spans="1:15">
      <c r="A28" s="6" t="s">
        <v>23</v>
      </c>
      <c r="B28" s="10">
        <v>1.3333333000000001</v>
      </c>
      <c r="C28" s="1"/>
      <c r="D28" s="1" t="s">
        <v>23</v>
      </c>
      <c r="E28" s="10">
        <v>1.3333333000000001</v>
      </c>
      <c r="G28" s="1" t="s">
        <v>23</v>
      </c>
      <c r="H28" s="10">
        <v>64.8</v>
      </c>
      <c r="J28" s="1" t="s">
        <v>23</v>
      </c>
      <c r="K28" s="10">
        <v>2.2999999999999998</v>
      </c>
      <c r="M28" s="1" t="s">
        <v>23</v>
      </c>
      <c r="N28" s="11">
        <v>2.2999999999999998</v>
      </c>
    </row>
    <row r="29" spans="1:15">
      <c r="A29" s="3"/>
      <c r="B29" s="64"/>
      <c r="C29" s="7"/>
      <c r="E29" s="64"/>
      <c r="N29" s="8"/>
    </row>
    <row r="30" spans="1:15">
      <c r="A30" s="6" t="s">
        <v>6</v>
      </c>
      <c r="B30" s="44">
        <f>_xlfn.POISSON.DIST(B27,B28,FALSE)</f>
        <v>0.35146285374982605</v>
      </c>
      <c r="D30" s="1" t="s">
        <v>6</v>
      </c>
      <c r="E30" s="44">
        <f>_xlfn.POISSON.DIST(E27,E28,TRUE)</f>
        <v>0.26359714690229819</v>
      </c>
      <c r="G30" s="1" t="s">
        <v>6</v>
      </c>
      <c r="H30" s="44">
        <f>1-_xlfn.POISSON.DIST(H27,H28,TRUE)</f>
        <v>0.74107208237913724</v>
      </c>
      <c r="J30" s="1" t="s">
        <v>6</v>
      </c>
      <c r="K30" s="4">
        <f>_xlfn.POISSON.DIST(K27,K28,TRUE)</f>
        <v>0.10025884372280375</v>
      </c>
      <c r="M30" s="1" t="s">
        <v>6</v>
      </c>
      <c r="N30" s="5">
        <f>_xlfn.POISSON.DIST(N27,N28,TRUE)</f>
        <v>0.91624928072059841</v>
      </c>
    </row>
    <row r="31" spans="1:15">
      <c r="A31" s="3"/>
      <c r="J31" s="85">
        <f>N30-K30</f>
        <v>0.81599043699779461</v>
      </c>
      <c r="K31" s="85"/>
      <c r="L31" s="85"/>
      <c r="M31" s="85"/>
      <c r="N31" s="86"/>
    </row>
    <row r="32" spans="1:15">
      <c r="A32" s="3"/>
      <c r="N32" s="8"/>
    </row>
    <row r="33" spans="1:19" ht="17" thickBo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4"/>
    </row>
    <row r="34" spans="1:19" ht="17" thickBot="1"/>
    <row r="35" spans="1:19" ht="16" customHeight="1">
      <c r="A35" s="75" t="s">
        <v>15</v>
      </c>
      <c r="B35" s="76"/>
      <c r="C35" s="76"/>
      <c r="D35" s="76"/>
      <c r="E35" s="77"/>
      <c r="F35" s="72"/>
      <c r="G35" s="72"/>
      <c r="H35" s="87" t="s">
        <v>133</v>
      </c>
      <c r="I35" s="88"/>
      <c r="J35" s="72"/>
    </row>
    <row r="36" spans="1:19">
      <c r="A36" s="79" t="s">
        <v>137</v>
      </c>
      <c r="B36" s="78"/>
      <c r="D36" s="78" t="s">
        <v>17</v>
      </c>
      <c r="E36" s="80"/>
      <c r="H36" s="27" t="s">
        <v>33</v>
      </c>
      <c r="I36" s="22">
        <v>60</v>
      </c>
    </row>
    <row r="37" spans="1:19">
      <c r="A37" s="3" t="s">
        <v>18</v>
      </c>
      <c r="B37" s="17">
        <v>500</v>
      </c>
      <c r="D37" t="s">
        <v>18</v>
      </c>
      <c r="E37" s="18">
        <v>365</v>
      </c>
      <c r="H37" s="27" t="s">
        <v>134</v>
      </c>
      <c r="I37" s="22">
        <v>5</v>
      </c>
    </row>
    <row r="38" spans="1:19">
      <c r="A38" s="3" t="s">
        <v>13</v>
      </c>
      <c r="B38" s="17">
        <v>349</v>
      </c>
      <c r="D38" t="s">
        <v>13</v>
      </c>
      <c r="E38" s="18">
        <v>350</v>
      </c>
      <c r="H38" s="27"/>
      <c r="I38" s="8"/>
    </row>
    <row r="39" spans="1:19">
      <c r="A39" s="3" t="s">
        <v>19</v>
      </c>
      <c r="B39" s="17">
        <v>10</v>
      </c>
      <c r="D39" t="s">
        <v>19</v>
      </c>
      <c r="E39" s="18">
        <v>10</v>
      </c>
      <c r="H39" s="27" t="s">
        <v>32</v>
      </c>
      <c r="I39" s="18">
        <f>I36*I37</f>
        <v>300</v>
      </c>
    </row>
    <row r="40" spans="1:19">
      <c r="A40" s="6" t="s">
        <v>20</v>
      </c>
      <c r="B40" s="19">
        <f>_xlfn.NORM.DIST(B37,B38,B39,TRUE)</f>
        <v>1</v>
      </c>
      <c r="D40" s="1" t="s">
        <v>20</v>
      </c>
      <c r="E40" s="18">
        <f>_xlfn.NORM.DIST(E37,E38,E39,TRUE)</f>
        <v>0.93319279873114191</v>
      </c>
      <c r="H40" s="3"/>
      <c r="I40" s="8"/>
    </row>
    <row r="41" spans="1:19">
      <c r="A41" s="3"/>
      <c r="E41" s="24">
        <f>1-E40</f>
        <v>6.6807201268858085E-2</v>
      </c>
      <c r="H41" s="3"/>
      <c r="I41" s="8"/>
      <c r="L41">
        <f>77/60</f>
        <v>1.2833333333333334</v>
      </c>
    </row>
    <row r="42" spans="1:19">
      <c r="A42" s="3"/>
      <c r="E42" s="8"/>
      <c r="H42" s="82" t="s">
        <v>105</v>
      </c>
      <c r="I42" s="84"/>
    </row>
    <row r="43" spans="1:19">
      <c r="A43" s="82" t="s">
        <v>14</v>
      </c>
      <c r="B43" s="83"/>
      <c r="C43" s="83"/>
      <c r="D43" s="83"/>
      <c r="E43" s="84"/>
      <c r="F43" s="25"/>
      <c r="G43" s="25"/>
      <c r="H43" s="27" t="s">
        <v>33</v>
      </c>
      <c r="I43" s="22">
        <v>60</v>
      </c>
      <c r="J43" s="25"/>
      <c r="K43" s="25"/>
      <c r="S43">
        <f>10000/2</f>
        <v>5000</v>
      </c>
    </row>
    <row r="44" spans="1:19">
      <c r="A44" s="3" t="s">
        <v>18</v>
      </c>
      <c r="B44" s="21">
        <v>6</v>
      </c>
      <c r="D44" t="s">
        <v>18</v>
      </c>
      <c r="E44" s="22">
        <v>70</v>
      </c>
      <c r="H44" s="27" t="s">
        <v>19</v>
      </c>
      <c r="I44" s="22">
        <v>2</v>
      </c>
    </row>
    <row r="45" spans="1:19">
      <c r="A45" s="3" t="s">
        <v>13</v>
      </c>
      <c r="B45" s="21">
        <v>5</v>
      </c>
      <c r="D45" t="s">
        <v>13</v>
      </c>
      <c r="E45" s="22">
        <v>60</v>
      </c>
      <c r="H45" s="27"/>
      <c r="I45" s="8"/>
      <c r="L45">
        <f>3*20</f>
        <v>60</v>
      </c>
    </row>
    <row r="46" spans="1:19" ht="17" thickBot="1">
      <c r="A46" s="3" t="s">
        <v>19</v>
      </c>
      <c r="B46" s="21">
        <v>2</v>
      </c>
      <c r="D46" t="s">
        <v>19</v>
      </c>
      <c r="E46" s="22">
        <v>7.75</v>
      </c>
      <c r="H46" s="28" t="s">
        <v>32</v>
      </c>
      <c r="I46" s="96">
        <f>SQRT(I43)*I44</f>
        <v>15.491933384829668</v>
      </c>
      <c r="L46" t="s">
        <v>140</v>
      </c>
    </row>
    <row r="47" spans="1:19">
      <c r="A47" s="6" t="s">
        <v>20</v>
      </c>
      <c r="B47" s="62">
        <f>_xlfn.NORM.DIST(B44,B45,B46,TRUE)</f>
        <v>0.69146246127401312</v>
      </c>
      <c r="D47" s="1" t="s">
        <v>20</v>
      </c>
      <c r="E47" s="18">
        <f>_xlfn.NORM.DIST(E44,E45,E46,TRUE)</f>
        <v>0.90153066002397719</v>
      </c>
      <c r="F47">
        <f>1/3*4</f>
        <v>1.3333333333333333</v>
      </c>
    </row>
    <row r="48" spans="1:19" ht="17" thickBot="1">
      <c r="A48" s="12"/>
      <c r="B48" s="13"/>
      <c r="C48" s="13"/>
      <c r="D48" s="13" t="s">
        <v>106</v>
      </c>
      <c r="E48" s="73">
        <f>1-E47</f>
        <v>9.8469339976022807E-2</v>
      </c>
    </row>
    <row r="50" spans="1:11">
      <c r="B50">
        <v>0.99994624441163527</v>
      </c>
      <c r="H50" s="2"/>
      <c r="I50" s="2"/>
      <c r="J50" s="2"/>
      <c r="K50" s="2"/>
    </row>
    <row r="51" spans="1:11" ht="17" thickBot="1"/>
    <row r="52" spans="1:11" ht="16" customHeight="1">
      <c r="A52" s="75" t="s">
        <v>21</v>
      </c>
      <c r="B52" s="76"/>
      <c r="C52" s="76"/>
      <c r="D52" s="76"/>
      <c r="E52" s="76"/>
      <c r="F52" s="72"/>
      <c r="G52" s="72"/>
      <c r="H52" s="72"/>
    </row>
    <row r="53" spans="1:11" ht="16" customHeight="1">
      <c r="A53" s="50" t="s">
        <v>22</v>
      </c>
      <c r="B53" s="46"/>
      <c r="D53" s="46" t="s">
        <v>17</v>
      </c>
      <c r="E53" s="47"/>
    </row>
    <row r="54" spans="1:11">
      <c r="A54" s="3" t="s">
        <v>16</v>
      </c>
      <c r="B54" s="19">
        <v>0.93319279899999996</v>
      </c>
      <c r="D54" t="s">
        <v>18</v>
      </c>
      <c r="E54" s="23">
        <v>6.6807201268858085E-2</v>
      </c>
    </row>
    <row r="55" spans="1:11">
      <c r="A55" s="3" t="s">
        <v>13</v>
      </c>
      <c r="B55" s="17">
        <v>349</v>
      </c>
      <c r="D55" t="s">
        <v>13</v>
      </c>
      <c r="E55" s="18">
        <v>350</v>
      </c>
      <c r="I55" s="2"/>
      <c r="J55" s="2"/>
      <c r="K55" s="2"/>
    </row>
    <row r="56" spans="1:11">
      <c r="A56" s="3" t="s">
        <v>19</v>
      </c>
      <c r="B56" s="17">
        <v>10</v>
      </c>
      <c r="D56" t="s">
        <v>19</v>
      </c>
      <c r="E56" s="18">
        <v>10</v>
      </c>
    </row>
    <row r="57" spans="1:11">
      <c r="A57" s="6" t="s">
        <v>20</v>
      </c>
      <c r="B57" s="19">
        <f>_xlfn.NORM.INV(B54,B55,B56)</f>
        <v>364.00000002075842</v>
      </c>
      <c r="D57" s="1" t="s">
        <v>20</v>
      </c>
      <c r="E57" s="24">
        <f>_xlfn.NORM.INV(1-E54,E55,E56)</f>
        <v>365</v>
      </c>
    </row>
    <row r="58" spans="1:11">
      <c r="A58" s="3"/>
      <c r="D58" s="2"/>
      <c r="E58" s="20"/>
    </row>
    <row r="59" spans="1:11">
      <c r="A59" s="48"/>
      <c r="B59" s="46"/>
      <c r="C59" s="46"/>
      <c r="D59" s="46"/>
      <c r="E59" s="47"/>
      <c r="F59" s="46"/>
    </row>
    <row r="61" spans="1:11">
      <c r="A61" t="s">
        <v>139</v>
      </c>
      <c r="B61" s="21">
        <v>0.01</v>
      </c>
      <c r="D61" t="s">
        <v>139</v>
      </c>
      <c r="E61" s="21">
        <v>0.01</v>
      </c>
    </row>
    <row r="62" spans="1:11">
      <c r="A62" t="s">
        <v>138</v>
      </c>
      <c r="B62" s="17">
        <f>B61</f>
        <v>0.01</v>
      </c>
      <c r="D62" t="s">
        <v>138</v>
      </c>
      <c r="E62" s="17">
        <f>1-E61</f>
        <v>0.99</v>
      </c>
    </row>
    <row r="63" spans="1:11">
      <c r="A63" s="3"/>
      <c r="B63" s="26"/>
      <c r="D63" s="3"/>
      <c r="E63" s="26"/>
    </row>
    <row r="64" spans="1:11">
      <c r="A64" s="3" t="s">
        <v>13</v>
      </c>
      <c r="B64" s="21">
        <v>480</v>
      </c>
      <c r="D64" t="s">
        <v>13</v>
      </c>
      <c r="E64" s="22">
        <v>560</v>
      </c>
    </row>
    <row r="65" spans="1:27">
      <c r="A65" s="3" t="s">
        <v>19</v>
      </c>
      <c r="B65" s="21">
        <v>24.495000000000001</v>
      </c>
      <c r="D65" t="s">
        <v>19</v>
      </c>
      <c r="E65" s="22">
        <v>26.457513110645905</v>
      </c>
    </row>
    <row r="66" spans="1:27">
      <c r="A66" s="6" t="s">
        <v>20</v>
      </c>
      <c r="B66" s="19">
        <f>_xlfn.NORM.INV(B62,B64,B65)</f>
        <v>423.0161088253696</v>
      </c>
      <c r="D66" s="1" t="s">
        <v>20</v>
      </c>
      <c r="E66" s="74">
        <f>_xlfn.NORM.INV(E62,E64,E65)</f>
        <v>621.54937937735872</v>
      </c>
    </row>
    <row r="71" spans="1:27" ht="17" thickBot="1"/>
    <row r="72" spans="1:27">
      <c r="A72" s="51"/>
      <c r="B72" s="81" t="s">
        <v>38</v>
      </c>
      <c r="C72" s="81"/>
      <c r="D72" s="81"/>
      <c r="E72" s="81"/>
      <c r="F72" s="81"/>
      <c r="G72" s="55"/>
      <c r="H72" s="55"/>
      <c r="I72" s="55"/>
      <c r="J72" s="55" t="s">
        <v>89</v>
      </c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2"/>
    </row>
    <row r="73" spans="1:27">
      <c r="A73" s="3"/>
      <c r="AA73" s="8"/>
    </row>
    <row r="74" spans="1:27">
      <c r="A74" s="3"/>
      <c r="B74" s="78" t="s">
        <v>37</v>
      </c>
      <c r="C74" s="78"/>
      <c r="E74" s="78" t="s">
        <v>36</v>
      </c>
      <c r="F74" s="78"/>
      <c r="AA74" s="8"/>
    </row>
    <row r="75" spans="1:27" ht="20">
      <c r="A75" s="3"/>
      <c r="B75" t="s">
        <v>35</v>
      </c>
      <c r="C75" s="21">
        <f>271/1283</f>
        <v>0.2112236944660951</v>
      </c>
      <c r="E75" t="s">
        <v>26</v>
      </c>
      <c r="F75" s="21">
        <v>0.24</v>
      </c>
      <c r="J75" t="s">
        <v>28</v>
      </c>
      <c r="K75">
        <v>50</v>
      </c>
      <c r="O75" s="56"/>
      <c r="AA75" s="8"/>
    </row>
    <row r="76" spans="1:27">
      <c r="A76" s="3"/>
      <c r="B76" t="s">
        <v>27</v>
      </c>
      <c r="C76" s="21">
        <v>0.2</v>
      </c>
      <c r="E76" t="s">
        <v>27</v>
      </c>
      <c r="F76" s="21">
        <v>0.2</v>
      </c>
      <c r="J76" s="57" t="s">
        <v>48</v>
      </c>
      <c r="K76" s="57">
        <v>0.86</v>
      </c>
      <c r="AA76" s="8"/>
    </row>
    <row r="77" spans="1:27">
      <c r="A77" s="3"/>
      <c r="B77" t="s">
        <v>28</v>
      </c>
      <c r="C77" s="21">
        <v>1283</v>
      </c>
      <c r="E77" t="s">
        <v>28</v>
      </c>
      <c r="F77" s="21">
        <v>100</v>
      </c>
      <c r="J77" s="57" t="s">
        <v>55</v>
      </c>
      <c r="K77" s="57">
        <v>0.9</v>
      </c>
      <c r="AA77" s="8"/>
    </row>
    <row r="78" spans="1:27">
      <c r="A78" s="3"/>
      <c r="J78" s="57" t="s">
        <v>49</v>
      </c>
      <c r="K78" s="57">
        <f>(K76-K77)/((K77*(1-K77))/K75)^0.5</f>
        <v>-0.94280904158206436</v>
      </c>
      <c r="AA78" s="8"/>
    </row>
    <row r="79" spans="1:27">
      <c r="A79" s="3"/>
      <c r="B79" t="s">
        <v>25</v>
      </c>
      <c r="C79" s="17">
        <f>C75-C76</f>
        <v>1.1223694466095085E-2</v>
      </c>
      <c r="E79" t="s">
        <v>25</v>
      </c>
      <c r="F79" s="17">
        <f>F75-F76</f>
        <v>3.999999999999998E-2</v>
      </c>
      <c r="J79" s="57" t="s">
        <v>56</v>
      </c>
      <c r="K79">
        <f>_xlfn.NORM.S.DIST(K78,TRUE)</f>
        <v>0.17288929307557988</v>
      </c>
      <c r="AA79" s="8"/>
    </row>
    <row r="80" spans="1:27">
      <c r="A80" s="3"/>
      <c r="B80" t="s">
        <v>29</v>
      </c>
      <c r="C80" s="17">
        <f>SQRT((C76*(1-C76))/C77)</f>
        <v>1.1167260912593806E-2</v>
      </c>
      <c r="E80" t="s">
        <v>29</v>
      </c>
      <c r="F80" s="17">
        <f>SQRT((F76*(1-F76))/F77)</f>
        <v>0.04</v>
      </c>
      <c r="AA80" s="8"/>
    </row>
    <row r="81" spans="1:27">
      <c r="A81" s="3"/>
      <c r="AA81" s="8"/>
    </row>
    <row r="82" spans="1:27">
      <c r="A82" s="3"/>
      <c r="B82" t="s">
        <v>30</v>
      </c>
      <c r="C82" s="17">
        <f>C79/C80</f>
        <v>1.005053482133442</v>
      </c>
      <c r="E82" t="s">
        <v>30</v>
      </c>
      <c r="F82" s="17">
        <f>F79/F80</f>
        <v>0.99999999999999944</v>
      </c>
      <c r="J82" s="57" t="s">
        <v>50</v>
      </c>
      <c r="K82" s="57"/>
      <c r="AA82" s="8"/>
    </row>
    <row r="83" spans="1:27">
      <c r="A83" s="3"/>
      <c r="B83" t="s">
        <v>31</v>
      </c>
      <c r="C83" s="17">
        <f>_xlfn.NORM.S.DIST(C82,TRUE)</f>
        <v>0.84256445112918521</v>
      </c>
      <c r="E83" t="s">
        <v>31</v>
      </c>
      <c r="F83" s="58">
        <f>1-_xlfn.NORM.S.DIST(F82,TRUE)</f>
        <v>0.15865525393145719</v>
      </c>
      <c r="J83" s="57"/>
      <c r="K83" s="57"/>
      <c r="AA83" s="8"/>
    </row>
    <row r="84" spans="1:27">
      <c r="A84" s="3"/>
      <c r="J84" s="57" t="s">
        <v>51</v>
      </c>
      <c r="K84" s="57" t="s">
        <v>52</v>
      </c>
      <c r="AA84" s="8"/>
    </row>
    <row r="85" spans="1:27">
      <c r="A85" s="3"/>
      <c r="B85" s="26" t="s">
        <v>34</v>
      </c>
      <c r="C85" s="21">
        <v>0.03</v>
      </c>
      <c r="E85" s="26" t="s">
        <v>34</v>
      </c>
      <c r="F85" s="21">
        <v>0.05</v>
      </c>
      <c r="J85" s="57" t="s">
        <v>53</v>
      </c>
      <c r="K85" s="57"/>
      <c r="AA85" s="8"/>
    </row>
    <row r="86" spans="1:27">
      <c r="A86" s="3"/>
      <c r="J86" s="59" t="s">
        <v>54</v>
      </c>
      <c r="K86" s="57"/>
      <c r="AA86" s="8"/>
    </row>
    <row r="87" spans="1:27" ht="34">
      <c r="A87" s="3"/>
      <c r="B87" t="s">
        <v>132</v>
      </c>
      <c r="C87" s="70" t="str">
        <f>IF(C83&gt;C85,"Fail to reject H0, Do not Embrace H1"," Reject H0, Embrace H1")</f>
        <v>Fail to reject H0, Do not Embrace H1</v>
      </c>
      <c r="E87" t="s">
        <v>132</v>
      </c>
      <c r="F87" s="70" t="str">
        <f>IF(F83&gt;F85,"Fail to reject H0, Do not Embrace H1"," Reject H0, Embrace H1")</f>
        <v>Fail to reject H0, Do not Embrace H1</v>
      </c>
      <c r="K87">
        <f>1-(0.03*2)</f>
        <v>0.94</v>
      </c>
      <c r="AA87" s="8"/>
    </row>
    <row r="88" spans="1:27">
      <c r="A88" s="3"/>
      <c r="K88">
        <f>_xlfn.NORM.S.INV(K87)</f>
        <v>1.5547735945968528</v>
      </c>
      <c r="AA88" s="8"/>
    </row>
    <row r="89" spans="1:27">
      <c r="A89" s="3"/>
      <c r="AA89" s="8"/>
    </row>
    <row r="90" spans="1:27">
      <c r="A90" s="3"/>
      <c r="AA90" s="8"/>
    </row>
    <row r="91" spans="1:27" ht="17" thickBo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4"/>
    </row>
    <row r="93" spans="1:27" ht="17" thickBot="1"/>
    <row r="94" spans="1:27">
      <c r="B94" s="66" t="s">
        <v>39</v>
      </c>
      <c r="C94" s="65"/>
      <c r="D94" s="53"/>
      <c r="E94" s="65" t="s">
        <v>122</v>
      </c>
      <c r="F94" s="67"/>
    </row>
    <row r="95" spans="1:27">
      <c r="B95" s="50" t="s">
        <v>45</v>
      </c>
      <c r="C95" s="46"/>
      <c r="E95" s="46" t="s">
        <v>45</v>
      </c>
      <c r="F95" s="47"/>
    </row>
    <row r="96" spans="1:27">
      <c r="B96" s="3" t="s">
        <v>40</v>
      </c>
      <c r="C96" s="21">
        <v>26.388999999999999</v>
      </c>
      <c r="E96" t="s">
        <v>40</v>
      </c>
      <c r="F96" s="22">
        <v>3.2</v>
      </c>
      <c r="H96" s="46" t="s">
        <v>136</v>
      </c>
      <c r="I96" s="46"/>
      <c r="J96" s="46"/>
      <c r="K96" s="46"/>
      <c r="L96" s="46"/>
      <c r="M96" s="46"/>
    </row>
    <row r="97" spans="2:21">
      <c r="B97" s="3" t="s">
        <v>41</v>
      </c>
      <c r="C97" s="21">
        <v>25</v>
      </c>
      <c r="E97" t="s">
        <v>41</v>
      </c>
      <c r="F97" s="22">
        <v>3.52</v>
      </c>
    </row>
    <row r="98" spans="2:21">
      <c r="B98" s="3" t="s">
        <v>28</v>
      </c>
      <c r="C98" s="21">
        <v>36</v>
      </c>
      <c r="E98" t="s">
        <v>28</v>
      </c>
      <c r="F98" s="22">
        <v>50</v>
      </c>
    </row>
    <row r="99" spans="2:21">
      <c r="B99" s="3" t="s">
        <v>42</v>
      </c>
      <c r="C99" s="21">
        <v>6</v>
      </c>
      <c r="E99" t="s">
        <v>42</v>
      </c>
      <c r="F99" s="22">
        <v>1.110984</v>
      </c>
    </row>
    <row r="100" spans="2:21">
      <c r="B100" s="3"/>
      <c r="F100" s="8"/>
    </row>
    <row r="101" spans="2:21">
      <c r="B101" s="27" t="s">
        <v>43</v>
      </c>
      <c r="C101" s="19">
        <f>(C97-C96)/(C99/SQRT(C98))</f>
        <v>-1.3889999999999993</v>
      </c>
      <c r="E101" s="19" t="s">
        <v>43</v>
      </c>
      <c r="F101" s="24">
        <f>(F97-F96)/(F99/SQRT(F98))</f>
        <v>2.0367005283577</v>
      </c>
    </row>
    <row r="102" spans="2:21">
      <c r="B102" s="27"/>
      <c r="C102" s="25"/>
      <c r="E102" s="25"/>
      <c r="F102" s="54"/>
      <c r="S102" t="s">
        <v>141</v>
      </c>
      <c r="T102">
        <f>_xlfn.BINOM.DIST(0,5,1/6,TRUE)</f>
        <v>0.4018775720164609</v>
      </c>
    </row>
    <row r="103" spans="2:21">
      <c r="B103" s="27" t="s">
        <v>135</v>
      </c>
      <c r="C103" s="19">
        <f>_xlfn.NORM.S.DIST(C101,TRUE)</f>
        <v>8.2416375024084998E-2</v>
      </c>
      <c r="E103" s="19" t="s">
        <v>44</v>
      </c>
      <c r="F103" s="24">
        <f>_xlfn.T.DIST(F101,F98-1,TRUE)</f>
        <v>0.97644896920387081</v>
      </c>
      <c r="S103" t="s">
        <v>142</v>
      </c>
    </row>
    <row r="104" spans="2:21">
      <c r="B104" s="3"/>
      <c r="E104" s="19" t="s">
        <v>121</v>
      </c>
      <c r="F104" s="24">
        <f>F103*2</f>
        <v>1.9528979384077416</v>
      </c>
      <c r="S104" t="s">
        <v>142</v>
      </c>
      <c r="T104">
        <f>_xlfn.BINOM.DIST(0,5,1/8,TRUE)</f>
        <v>0.512908935546875</v>
      </c>
    </row>
    <row r="105" spans="2:21">
      <c r="B105" s="3"/>
      <c r="F105" s="8"/>
    </row>
    <row r="106" spans="2:21">
      <c r="B106" s="71" t="s">
        <v>34</v>
      </c>
      <c r="C106" s="21">
        <v>0.03</v>
      </c>
      <c r="E106" s="26" t="s">
        <v>34</v>
      </c>
      <c r="F106" s="22">
        <v>0.03</v>
      </c>
    </row>
    <row r="107" spans="2:21">
      <c r="B107" s="3"/>
      <c r="F107" s="8"/>
    </row>
    <row r="108" spans="2:21" ht="34">
      <c r="B108" s="3" t="s">
        <v>132</v>
      </c>
      <c r="C108" s="70" t="str">
        <f>IF(C103&gt;C106,"Fail to reject H0, Do not Embrace H1"," Reject H0, Embrace H1")</f>
        <v>Fail to reject H0, Do not Embrace H1</v>
      </c>
      <c r="E108" t="s">
        <v>132</v>
      </c>
      <c r="F108" s="69" t="str">
        <f>IF(F104&gt;F106,"Fail to reject H0, Do not Embrace H1"," Reject H0, Embrace H1")</f>
        <v>Fail to reject H0, Do not Embrace H1</v>
      </c>
      <c r="U108">
        <f>T104*T102</f>
        <v>0.20612659768312555</v>
      </c>
    </row>
    <row r="109" spans="2:21">
      <c r="B109" s="3"/>
      <c r="F109" s="8"/>
    </row>
    <row r="110" spans="2:21">
      <c r="B110" s="3"/>
      <c r="F110" s="8"/>
    </row>
    <row r="111" spans="2:21">
      <c r="B111" s="3"/>
      <c r="F111" s="8"/>
    </row>
    <row r="112" spans="2:21">
      <c r="B112" s="3"/>
      <c r="F112" s="8"/>
    </row>
    <row r="113" spans="1:13">
      <c r="B113" s="3"/>
      <c r="F113" s="8"/>
    </row>
    <row r="114" spans="1:13">
      <c r="B114" s="3"/>
      <c r="F114" s="8"/>
    </row>
    <row r="115" spans="1:13" ht="17" thickBot="1">
      <c r="B115" s="12"/>
      <c r="C115" s="13"/>
      <c r="D115" s="13"/>
      <c r="E115" s="13"/>
      <c r="F115" s="14"/>
    </row>
    <row r="117" spans="1:13" ht="17" thickBot="1"/>
    <row r="118" spans="1:13">
      <c r="A118" s="51"/>
      <c r="B118" s="65" t="s">
        <v>46</v>
      </c>
      <c r="C118" s="65"/>
      <c r="D118" s="65"/>
      <c r="E118" s="65"/>
      <c r="F118" s="65"/>
      <c r="G118" s="65"/>
      <c r="H118" s="55"/>
      <c r="I118" s="55"/>
      <c r="J118" s="55"/>
      <c r="K118" s="55"/>
      <c r="L118" s="55"/>
      <c r="M118" s="52"/>
    </row>
    <row r="119" spans="1:13">
      <c r="A119" s="3"/>
      <c r="M119" s="8"/>
    </row>
    <row r="120" spans="1:13">
      <c r="A120" s="3"/>
      <c r="B120" s="25" t="s">
        <v>108</v>
      </c>
      <c r="F120" s="25" t="s">
        <v>98</v>
      </c>
      <c r="M120" s="8"/>
    </row>
    <row r="121" spans="1:13">
      <c r="A121" s="3"/>
      <c r="M121" s="8"/>
    </row>
    <row r="122" spans="1:13">
      <c r="A122" s="3"/>
      <c r="B122" t="s">
        <v>97</v>
      </c>
      <c r="C122" s="21">
        <v>10</v>
      </c>
      <c r="F122" t="s">
        <v>85</v>
      </c>
      <c r="G122" s="21">
        <v>0.8</v>
      </c>
      <c r="M122" s="8"/>
    </row>
    <row r="123" spans="1:13">
      <c r="A123" s="3"/>
      <c r="B123" t="s">
        <v>93</v>
      </c>
      <c r="C123" s="21">
        <v>293.31700000000001</v>
      </c>
      <c r="F123" t="s">
        <v>86</v>
      </c>
      <c r="G123" s="21">
        <v>0.05</v>
      </c>
      <c r="M123" s="8"/>
    </row>
    <row r="124" spans="1:13">
      <c r="A124" s="3"/>
      <c r="B124" t="s">
        <v>90</v>
      </c>
      <c r="C124" s="21">
        <v>20.059999999999999</v>
      </c>
      <c r="F124" t="s">
        <v>34</v>
      </c>
      <c r="G124" s="21">
        <v>0.05</v>
      </c>
      <c r="M124" s="8"/>
    </row>
    <row r="125" spans="1:13">
      <c r="A125" s="3"/>
      <c r="M125" s="8"/>
    </row>
    <row r="126" spans="1:13">
      <c r="A126" s="3"/>
      <c r="B126" t="s">
        <v>47</v>
      </c>
      <c r="C126" s="21">
        <f>0.05</f>
        <v>0.05</v>
      </c>
      <c r="F126" t="s">
        <v>87</v>
      </c>
      <c r="G126" s="60">
        <f>_xlfn.NORM.S.INV(1-(G124/2))</f>
        <v>1.9599639845400536</v>
      </c>
      <c r="M126" s="8"/>
    </row>
    <row r="127" spans="1:13">
      <c r="A127" s="3"/>
      <c r="B127" t="s">
        <v>126</v>
      </c>
      <c r="C127" s="61">
        <f>1-(C126/2)</f>
        <v>0.97499999999999998</v>
      </c>
      <c r="F127" s="25" t="s">
        <v>88</v>
      </c>
      <c r="G127" s="19">
        <f>((G126*(SQRT(G122*(1-G122))))/G123)^2</f>
        <v>245.85336452442385</v>
      </c>
      <c r="M127" s="8"/>
    </row>
    <row r="128" spans="1:13">
      <c r="A128" s="3"/>
      <c r="C128" s="2"/>
      <c r="F128" t="s">
        <v>127</v>
      </c>
      <c r="G128" s="19">
        <f>CEILING(G127,1)</f>
        <v>246</v>
      </c>
      <c r="M128" s="8"/>
    </row>
    <row r="129" spans="1:13">
      <c r="A129" s="3"/>
      <c r="B129" t="s">
        <v>95</v>
      </c>
      <c r="C129" s="17">
        <f>C124/(SQRT(C122))</f>
        <v>6.343528986297768</v>
      </c>
      <c r="M129" s="8"/>
    </row>
    <row r="130" spans="1:13">
      <c r="A130" s="3"/>
      <c r="B130" t="s">
        <v>94</v>
      </c>
      <c r="C130" s="17">
        <f>_xlfn.T.INV.2T(0.05, C122-1)</f>
        <v>2.2621571627982053</v>
      </c>
      <c r="M130" s="8"/>
    </row>
    <row r="131" spans="1:13">
      <c r="A131" s="3"/>
      <c r="B131" t="s">
        <v>91</v>
      </c>
      <c r="C131" s="17">
        <f>C130* C129</f>
        <v>14.350059533771534</v>
      </c>
      <c r="F131" s="25" t="s">
        <v>101</v>
      </c>
      <c r="G131" s="25"/>
      <c r="M131" s="8"/>
    </row>
    <row r="132" spans="1:13">
      <c r="A132" s="3"/>
      <c r="M132" s="8"/>
    </row>
    <row r="133" spans="1:13">
      <c r="A133" s="3"/>
      <c r="B133" s="25" t="s">
        <v>92</v>
      </c>
      <c r="C133" s="19">
        <f>C123-C131</f>
        <v>278.96694046622849</v>
      </c>
      <c r="M133" s="8"/>
    </row>
    <row r="134" spans="1:13">
      <c r="A134" s="3"/>
      <c r="B134" s="25" t="s">
        <v>100</v>
      </c>
      <c r="C134" s="19">
        <f>C123+C131</f>
        <v>307.66705953377152</v>
      </c>
      <c r="F134" t="s">
        <v>26</v>
      </c>
      <c r="G134" s="21">
        <f>8/30</f>
        <v>0.26666666666666666</v>
      </c>
      <c r="M134" s="8"/>
    </row>
    <row r="135" spans="1:13">
      <c r="A135" s="3"/>
      <c r="F135" t="s">
        <v>28</v>
      </c>
      <c r="G135" s="21">
        <v>30</v>
      </c>
      <c r="M135" s="8"/>
    </row>
    <row r="136" spans="1:13">
      <c r="A136" s="3"/>
      <c r="B136" s="25" t="s">
        <v>107</v>
      </c>
      <c r="F136" t="s">
        <v>34</v>
      </c>
      <c r="G136" s="21">
        <v>0.05</v>
      </c>
      <c r="M136" s="8"/>
    </row>
    <row r="137" spans="1:13">
      <c r="A137" s="3"/>
      <c r="M137" s="8"/>
    </row>
    <row r="138" spans="1:13">
      <c r="A138" s="3"/>
      <c r="B138" t="s">
        <v>90</v>
      </c>
      <c r="C138" s="21">
        <v>21.192924900000001</v>
      </c>
      <c r="F138" s="25" t="s">
        <v>87</v>
      </c>
      <c r="G138" s="60">
        <f>_xlfn.NORM.S.INV(1-(G136/2))</f>
        <v>1.9599639845400536</v>
      </c>
      <c r="M138" s="8"/>
    </row>
    <row r="139" spans="1:13">
      <c r="A139" s="3"/>
      <c r="B139" t="s">
        <v>99</v>
      </c>
      <c r="C139" s="21">
        <v>5</v>
      </c>
      <c r="M139" s="8"/>
    </row>
    <row r="140" spans="1:13">
      <c r="A140" s="3"/>
      <c r="B140" t="s">
        <v>34</v>
      </c>
      <c r="C140" s="21">
        <v>0.05</v>
      </c>
      <c r="F140" t="s">
        <v>25</v>
      </c>
      <c r="G140" s="17">
        <f>G134*(1-G134)</f>
        <v>0.19555555555555557</v>
      </c>
      <c r="M140" s="8"/>
    </row>
    <row r="141" spans="1:13">
      <c r="A141" s="3"/>
      <c r="F141" t="s">
        <v>29</v>
      </c>
      <c r="G141" s="17">
        <f>G135</f>
        <v>30</v>
      </c>
      <c r="M141" s="8"/>
    </row>
    <row r="142" spans="1:13">
      <c r="A142" s="3"/>
      <c r="B142" s="25" t="s">
        <v>125</v>
      </c>
      <c r="C142" s="60">
        <f>_xlfn.NORM.S.INV(1-(C140)/2)</f>
        <v>1.9599639845400536</v>
      </c>
      <c r="M142" s="8"/>
    </row>
    <row r="143" spans="1:13">
      <c r="A143" s="3"/>
      <c r="B143" t="s">
        <v>25</v>
      </c>
      <c r="C143">
        <f>C142*C138</f>
        <v>41.537369531062119</v>
      </c>
      <c r="F143" t="s">
        <v>102</v>
      </c>
      <c r="G143" s="17">
        <f>G138*(SQRT(G140/G141))</f>
        <v>0.15824228404829396</v>
      </c>
      <c r="M143" s="8"/>
    </row>
    <row r="144" spans="1:13">
      <c r="A144" s="3"/>
      <c r="B144" t="s">
        <v>29</v>
      </c>
      <c r="C144">
        <f>C139</f>
        <v>5</v>
      </c>
      <c r="M144" s="8"/>
    </row>
    <row r="145" spans="1:13">
      <c r="A145" s="3"/>
      <c r="F145" s="25" t="s">
        <v>104</v>
      </c>
      <c r="G145" s="62">
        <f>G134-G143</f>
        <v>0.1084243826183727</v>
      </c>
      <c r="M145" s="8"/>
    </row>
    <row r="146" spans="1:13">
      <c r="A146" s="3"/>
      <c r="B146" s="25" t="s">
        <v>88</v>
      </c>
      <c r="C146" s="62">
        <f>(C143/C144)^2</f>
        <v>69.014122702400314</v>
      </c>
      <c r="F146" s="25" t="s">
        <v>103</v>
      </c>
      <c r="G146" s="62">
        <f>G134+G143</f>
        <v>0.4249089507149606</v>
      </c>
      <c r="M146" s="8"/>
    </row>
    <row r="147" spans="1:13">
      <c r="A147" s="3"/>
      <c r="C147" s="19">
        <f>CEILING(C146,1)</f>
        <v>70</v>
      </c>
      <c r="M147" s="8"/>
    </row>
    <row r="148" spans="1:13">
      <c r="A148" s="3"/>
      <c r="M148" s="8"/>
    </row>
    <row r="149" spans="1:13" ht="17" thickBo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4"/>
    </row>
    <row r="151" spans="1:13" ht="17" thickBot="1"/>
    <row r="152" spans="1:13">
      <c r="A152" s="51"/>
      <c r="B152" s="65" t="s">
        <v>109</v>
      </c>
      <c r="C152" s="65"/>
      <c r="D152" s="65"/>
      <c r="E152" s="65"/>
      <c r="F152" s="65"/>
      <c r="G152" s="52"/>
    </row>
    <row r="153" spans="1:13">
      <c r="A153" s="3"/>
      <c r="G153" s="8"/>
    </row>
    <row r="154" spans="1:13">
      <c r="A154" s="3"/>
      <c r="B154" t="s">
        <v>115</v>
      </c>
      <c r="C154" s="21">
        <v>100000</v>
      </c>
      <c r="E154" t="s">
        <v>118</v>
      </c>
      <c r="F154" s="21">
        <v>86070.797642505771</v>
      </c>
      <c r="G154" s="8"/>
    </row>
    <row r="155" spans="1:13">
      <c r="A155" s="3"/>
      <c r="B155" t="s">
        <v>113</v>
      </c>
      <c r="C155" s="63">
        <v>0.03</v>
      </c>
      <c r="E155" t="s">
        <v>113</v>
      </c>
      <c r="F155" s="63">
        <v>0.03</v>
      </c>
      <c r="G155" s="8"/>
    </row>
    <row r="156" spans="1:13">
      <c r="A156" s="3"/>
      <c r="B156" t="s">
        <v>114</v>
      </c>
      <c r="C156" s="21">
        <v>5</v>
      </c>
      <c r="E156" t="s">
        <v>114</v>
      </c>
      <c r="F156" s="21">
        <v>5</v>
      </c>
      <c r="G156" s="8"/>
    </row>
    <row r="157" spans="1:13">
      <c r="A157" s="3"/>
      <c r="G157" s="8"/>
    </row>
    <row r="158" spans="1:13">
      <c r="A158" s="3"/>
      <c r="B158" t="s">
        <v>116</v>
      </c>
      <c r="C158" s="17">
        <f>LN(C154)</f>
        <v>11.512925464970229</v>
      </c>
      <c r="G158" s="8"/>
    </row>
    <row r="159" spans="1:13">
      <c r="A159" s="3"/>
      <c r="B159" t="s">
        <v>117</v>
      </c>
      <c r="C159" s="17">
        <f>C156*C155</f>
        <v>0.15</v>
      </c>
      <c r="G159" s="8"/>
    </row>
    <row r="160" spans="1:13">
      <c r="A160" s="3"/>
      <c r="E160" t="s">
        <v>119</v>
      </c>
      <c r="F160">
        <f>F154*EXP(F155*F156)</f>
        <v>99999.999999999985</v>
      </c>
      <c r="G160" s="8"/>
    </row>
    <row r="161" spans="1:12">
      <c r="A161" s="3"/>
      <c r="B161" s="49" t="s">
        <v>120</v>
      </c>
      <c r="C161" s="19">
        <f>EXP(C158-C159)</f>
        <v>86070.797642505771</v>
      </c>
      <c r="G161" s="8"/>
    </row>
    <row r="162" spans="1:12">
      <c r="A162" s="3"/>
      <c r="G162" s="8"/>
    </row>
    <row r="163" spans="1:12">
      <c r="A163" s="3"/>
      <c r="B163" s="49"/>
      <c r="G163" s="8"/>
    </row>
    <row r="164" spans="1:12">
      <c r="A164" s="3"/>
      <c r="B164" s="49"/>
      <c r="C164" s="49" t="s">
        <v>110</v>
      </c>
      <c r="G164" s="8"/>
    </row>
    <row r="165" spans="1:12">
      <c r="A165" s="3"/>
      <c r="B165" s="49"/>
      <c r="C165" s="49" t="s">
        <v>111</v>
      </c>
      <c r="G165" s="8"/>
      <c r="I165">
        <f>1/3</f>
        <v>0.33333333333333331</v>
      </c>
      <c r="J165">
        <f>1/6</f>
        <v>0.16666666666666666</v>
      </c>
      <c r="K165">
        <f>J165^5</f>
        <v>1.2860082304526747E-4</v>
      </c>
      <c r="L165">
        <f>K165*I165</f>
        <v>4.2866941015089153E-5</v>
      </c>
    </row>
    <row r="166" spans="1:12">
      <c r="A166" s="3"/>
      <c r="B166" s="49"/>
      <c r="C166" s="49" t="s">
        <v>112</v>
      </c>
      <c r="G166" s="8"/>
      <c r="I166">
        <f>1/3</f>
        <v>0.33333333333333331</v>
      </c>
      <c r="J166">
        <f>1/8</f>
        <v>0.125</v>
      </c>
      <c r="K166">
        <f>J166^5</f>
        <v>3.0517578125E-5</v>
      </c>
      <c r="L166">
        <f t="shared" ref="L166:L167" si="0">K166*I166</f>
        <v>1.0172526041666666E-5</v>
      </c>
    </row>
    <row r="167" spans="1:12">
      <c r="A167" s="3"/>
      <c r="B167" s="49"/>
      <c r="G167" s="8"/>
      <c r="I167">
        <f>1/3</f>
        <v>0.33333333333333331</v>
      </c>
      <c r="J167">
        <v>0</v>
      </c>
      <c r="K167">
        <f>J167^5</f>
        <v>0</v>
      </c>
      <c r="L167">
        <f t="shared" si="0"/>
        <v>0</v>
      </c>
    </row>
    <row r="168" spans="1:12">
      <c r="A168" s="3"/>
      <c r="B168" s="49"/>
      <c r="G168" s="8"/>
      <c r="L168" s="95">
        <f>SUM(L165:L167)</f>
        <v>5.3039467056755818E-5</v>
      </c>
    </row>
    <row r="169" spans="1:12" ht="17" thickBot="1">
      <c r="A169" s="12"/>
      <c r="B169" s="13"/>
      <c r="C169" s="13"/>
      <c r="D169" s="13"/>
      <c r="E169" s="13"/>
      <c r="F169" s="13"/>
      <c r="G169" s="14"/>
    </row>
    <row r="171" spans="1:12">
      <c r="I171">
        <f>_xlfn.BINOM.DIST(5,5,1/6,FALSE)</f>
        <v>1.2860082304526758E-4</v>
      </c>
      <c r="J171" s="64">
        <f>1/3</f>
        <v>0.33333333333333331</v>
      </c>
      <c r="K171" s="94">
        <f>J171*I171</f>
        <v>4.2866941015089194E-5</v>
      </c>
    </row>
    <row r="172" spans="1:12">
      <c r="I172">
        <f>_xlfn.BINOM.DIST(5,5,1/8,FALSE)</f>
        <v>3.0517578125000014E-5</v>
      </c>
      <c r="J172" s="64">
        <f>1/3</f>
        <v>0.33333333333333331</v>
      </c>
      <c r="K172" s="94">
        <f>J172*I172</f>
        <v>1.0172526041666671E-5</v>
      </c>
    </row>
    <row r="173" spans="1:12">
      <c r="K173" s="94">
        <f>SUM(K171:K172)</f>
        <v>5.3039467056755865E-5</v>
      </c>
    </row>
    <row r="174" spans="1:12">
      <c r="K174" s="64"/>
    </row>
    <row r="176" spans="1:12">
      <c r="B176" s="49"/>
    </row>
    <row r="177" spans="2:2">
      <c r="B177" s="49"/>
    </row>
  </sheetData>
  <mergeCells count="28">
    <mergeCell ref="A1:H1"/>
    <mergeCell ref="A18:B18"/>
    <mergeCell ref="D18:E18"/>
    <mergeCell ref="G18:H18"/>
    <mergeCell ref="J18:N18"/>
    <mergeCell ref="A2:B2"/>
    <mergeCell ref="D2:E2"/>
    <mergeCell ref="G2:H2"/>
    <mergeCell ref="A17:N17"/>
    <mergeCell ref="A9:H9"/>
    <mergeCell ref="G26:H26"/>
    <mergeCell ref="J26:N26"/>
    <mergeCell ref="J31:N31"/>
    <mergeCell ref="H42:I42"/>
    <mergeCell ref="J2:K2"/>
    <mergeCell ref="H35:I35"/>
    <mergeCell ref="J23:N23"/>
    <mergeCell ref="A25:N25"/>
    <mergeCell ref="A26:B26"/>
    <mergeCell ref="D26:E26"/>
    <mergeCell ref="A35:E35"/>
    <mergeCell ref="A52:E52"/>
    <mergeCell ref="B74:C74"/>
    <mergeCell ref="E74:F74"/>
    <mergeCell ref="A36:B36"/>
    <mergeCell ref="D36:E36"/>
    <mergeCell ref="B72:F72"/>
    <mergeCell ref="A43:E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6696-85E5-6442-9BEB-F9AF839DE818}">
  <dimension ref="A1:H1000"/>
  <sheetViews>
    <sheetView topLeftCell="A2" workbookViewId="0">
      <selection activeCell="I28" sqref="I28"/>
    </sheetView>
  </sheetViews>
  <sheetFormatPr baseColWidth="10" defaultColWidth="12.6640625" defaultRowHeight="16"/>
  <sheetData>
    <row r="1" spans="1:8" ht="15.75" customHeight="1">
      <c r="A1" s="29"/>
      <c r="B1" s="29"/>
      <c r="C1" s="29"/>
    </row>
    <row r="2" spans="1:8" ht="15.75" customHeight="1">
      <c r="A2" s="29"/>
      <c r="B2" s="29"/>
      <c r="C2" s="29"/>
    </row>
    <row r="3" spans="1:8" ht="15.75" customHeight="1">
      <c r="A3" s="29"/>
      <c r="B3" s="29"/>
      <c r="C3" s="29"/>
    </row>
    <row r="4" spans="1:8" ht="15.75" customHeight="1">
      <c r="A4" s="29"/>
      <c r="B4" s="30" t="s">
        <v>57</v>
      </c>
      <c r="C4" s="30" t="s">
        <v>58</v>
      </c>
      <c r="H4" t="s">
        <v>83</v>
      </c>
    </row>
    <row r="5" spans="1:8" ht="15.75" customHeight="1">
      <c r="A5" s="30" t="s">
        <v>59</v>
      </c>
      <c r="B5" s="39">
        <v>0.8</v>
      </c>
      <c r="C5" s="37">
        <f>A6*B5</f>
        <v>0.4</v>
      </c>
      <c r="D5" s="31">
        <f>C5+C7</f>
        <v>0.5</v>
      </c>
      <c r="E5" s="32" t="s">
        <v>60</v>
      </c>
      <c r="F5" s="32">
        <f>C5+C10</f>
        <v>0.85000000000000009</v>
      </c>
      <c r="H5">
        <f>0.18-0.1</f>
        <v>7.9999999999999988E-2</v>
      </c>
    </row>
    <row r="6" spans="1:8" ht="15.75" customHeight="1">
      <c r="A6" s="38">
        <v>0.5</v>
      </c>
      <c r="B6" s="30" t="s">
        <v>61</v>
      </c>
      <c r="C6" s="30" t="s">
        <v>62</v>
      </c>
      <c r="H6">
        <f>H5/A11</f>
        <v>0.15999999999999998</v>
      </c>
    </row>
    <row r="7" spans="1:8" ht="15.75" customHeight="1">
      <c r="A7" s="29"/>
      <c r="B7" s="39">
        <f>1-B5</f>
        <v>0.19999999999999996</v>
      </c>
      <c r="C7" s="37">
        <f>A6*B7</f>
        <v>9.9999999999999978E-2</v>
      </c>
    </row>
    <row r="8" spans="1:8" ht="15.75" customHeight="1">
      <c r="A8" s="29"/>
      <c r="B8" s="33">
        <f>B5+B7</f>
        <v>1</v>
      </c>
      <c r="C8" s="29"/>
      <c r="H8" t="s">
        <v>84</v>
      </c>
    </row>
    <row r="9" spans="1:8" ht="15.75" customHeight="1">
      <c r="A9" s="29"/>
      <c r="B9" s="30" t="s">
        <v>63</v>
      </c>
      <c r="C9" s="30" t="s">
        <v>64</v>
      </c>
      <c r="H9">
        <f>(B5*A6)/A6</f>
        <v>0.8</v>
      </c>
    </row>
    <row r="10" spans="1:8" ht="15.75" customHeight="1">
      <c r="A10" s="30" t="s">
        <v>65</v>
      </c>
      <c r="B10" s="40">
        <v>0.9</v>
      </c>
      <c r="C10" s="37">
        <f>A11*B10</f>
        <v>0.45</v>
      </c>
      <c r="D10" s="31">
        <f>C10+C12</f>
        <v>0.5</v>
      </c>
    </row>
    <row r="11" spans="1:8" ht="15.75" customHeight="1">
      <c r="A11" s="38">
        <f>1-A6</f>
        <v>0.5</v>
      </c>
      <c r="B11" s="34" t="s">
        <v>66</v>
      </c>
      <c r="C11" s="30" t="s">
        <v>67</v>
      </c>
    </row>
    <row r="12" spans="1:8" ht="15.75" customHeight="1">
      <c r="A12" s="29"/>
      <c r="B12" s="41">
        <f>1-B10</f>
        <v>9.9999999999999978E-2</v>
      </c>
      <c r="C12" s="37">
        <f>A11*B12</f>
        <v>4.9999999999999989E-2</v>
      </c>
    </row>
    <row r="13" spans="1:8" ht="15.75" customHeight="1">
      <c r="A13" s="29"/>
      <c r="B13" s="29"/>
      <c r="C13" s="29"/>
    </row>
    <row r="14" spans="1:8" ht="15.75" customHeight="1">
      <c r="A14" s="33">
        <f>SUM(A6+A11)</f>
        <v>1</v>
      </c>
      <c r="B14" s="33">
        <f>B10+B12</f>
        <v>1</v>
      </c>
      <c r="C14" s="33">
        <f>SUM(C12,C10,C7,C5)</f>
        <v>1</v>
      </c>
    </row>
    <row r="15" spans="1:8" ht="15.75" customHeight="1"/>
    <row r="16" spans="1:8" ht="15.75" customHeight="1">
      <c r="E16">
        <f>C5</f>
        <v>0.4</v>
      </c>
      <c r="F16">
        <f>E16/E17</f>
        <v>0.47058823529411764</v>
      </c>
    </row>
    <row r="17" spans="1:6" ht="15.75" customHeight="1">
      <c r="E17">
        <f>0.4+0.45</f>
        <v>0.85000000000000009</v>
      </c>
    </row>
    <row r="18" spans="1:6" ht="15.75" customHeight="1"/>
    <row r="19" spans="1:6" ht="15.75" customHeight="1"/>
    <row r="20" spans="1:6" ht="15.75" customHeight="1"/>
    <row r="21" spans="1:6" ht="15.75" customHeight="1">
      <c r="A21" s="29"/>
      <c r="B21" s="29"/>
      <c r="C21" s="29"/>
    </row>
    <row r="22" spans="1:6" ht="15.75" customHeight="1">
      <c r="A22" s="29"/>
      <c r="B22" s="29"/>
      <c r="C22" s="29"/>
    </row>
    <row r="23" spans="1:6" ht="15.75" customHeight="1">
      <c r="A23" s="29"/>
      <c r="B23" s="30" t="s">
        <v>68</v>
      </c>
      <c r="C23" s="30" t="s">
        <v>69</v>
      </c>
    </row>
    <row r="24" spans="1:6" ht="15.75" customHeight="1">
      <c r="A24" s="30" t="s">
        <v>70</v>
      </c>
      <c r="B24" s="39">
        <v>0.95</v>
      </c>
      <c r="C24" s="42">
        <f>A25*B24</f>
        <v>0.31666666666666665</v>
      </c>
      <c r="D24" s="35">
        <f>C24+C26</f>
        <v>0.33333333333333331</v>
      </c>
      <c r="E24" s="36">
        <f>C24+C29+C35</f>
        <v>0.92333333333333334</v>
      </c>
      <c r="F24" s="32">
        <f>E24/E25</f>
        <v>1.385</v>
      </c>
    </row>
    <row r="25" spans="1:6" ht="15.75" customHeight="1">
      <c r="A25" s="38">
        <f>1/3</f>
        <v>0.33333333333333331</v>
      </c>
      <c r="B25" s="30" t="s">
        <v>71</v>
      </c>
      <c r="C25" s="30" t="s">
        <v>72</v>
      </c>
      <c r="E25" s="36">
        <f>C24+C26+C35+C37</f>
        <v>0.66666666666666663</v>
      </c>
    </row>
    <row r="26" spans="1:6" ht="15.75" customHeight="1">
      <c r="A26" s="29"/>
      <c r="B26" s="39">
        <f>1-B24</f>
        <v>5.0000000000000044E-2</v>
      </c>
      <c r="C26" s="42">
        <f>A25*B26</f>
        <v>1.666666666666668E-2</v>
      </c>
    </row>
    <row r="27" spans="1:6" ht="15.75" customHeight="1">
      <c r="A27" s="29"/>
      <c r="B27" s="33">
        <f>B24+B26</f>
        <v>1</v>
      </c>
      <c r="C27" s="29"/>
    </row>
    <row r="28" spans="1:6" ht="15.75" customHeight="1">
      <c r="A28" s="29"/>
      <c r="B28" s="30" t="s">
        <v>73</v>
      </c>
      <c r="C28" s="30" t="s">
        <v>74</v>
      </c>
    </row>
    <row r="29" spans="1:6" ht="15.75" customHeight="1">
      <c r="A29" s="30" t="s">
        <v>75</v>
      </c>
      <c r="B29" s="39">
        <f>1-B31</f>
        <v>0.92</v>
      </c>
      <c r="C29" s="42">
        <f>A30*B29</f>
        <v>0.30666666666666664</v>
      </c>
      <c r="D29" s="31">
        <f>C29+C31</f>
        <v>0.33333333333333331</v>
      </c>
    </row>
    <row r="30" spans="1:6" ht="15.75" customHeight="1">
      <c r="A30" s="38">
        <f>1/3</f>
        <v>0.33333333333333331</v>
      </c>
      <c r="B30" s="34" t="s">
        <v>76</v>
      </c>
      <c r="C30" s="30" t="s">
        <v>77</v>
      </c>
    </row>
    <row r="31" spans="1:6" ht="15.75" customHeight="1">
      <c r="A31" s="29"/>
      <c r="B31" s="39">
        <f>0.08</f>
        <v>0.08</v>
      </c>
      <c r="C31" s="42">
        <f>A30*B31</f>
        <v>2.6666666666666665E-2</v>
      </c>
    </row>
    <row r="32" spans="1:6" ht="15.75" customHeight="1">
      <c r="A32" s="29"/>
      <c r="B32" s="33">
        <f>B29+B31</f>
        <v>1</v>
      </c>
      <c r="C32" s="43"/>
    </row>
    <row r="33" spans="1:4" ht="15.75" customHeight="1">
      <c r="A33" s="29"/>
      <c r="B33" s="29"/>
      <c r="C33" s="29"/>
    </row>
    <row r="34" spans="1:4" ht="15.75" customHeight="1">
      <c r="A34" s="29"/>
      <c r="B34" s="30" t="s">
        <v>78</v>
      </c>
      <c r="C34" s="30" t="s">
        <v>79</v>
      </c>
    </row>
    <row r="35" spans="1:4" ht="15.75" customHeight="1">
      <c r="A35" s="30" t="s">
        <v>80</v>
      </c>
      <c r="B35" s="39">
        <v>0.9</v>
      </c>
      <c r="C35" s="42">
        <f>A36*B35</f>
        <v>0.3</v>
      </c>
      <c r="D35" s="35">
        <f>C35+C37</f>
        <v>0.33333333333333331</v>
      </c>
    </row>
    <row r="36" spans="1:4" ht="15.75" customHeight="1">
      <c r="A36" s="38">
        <f>1/3</f>
        <v>0.33333333333333331</v>
      </c>
      <c r="B36" s="34" t="s">
        <v>81</v>
      </c>
      <c r="C36" s="30" t="s">
        <v>82</v>
      </c>
    </row>
    <row r="37" spans="1:4" ht="15.75" customHeight="1">
      <c r="A37" s="29"/>
      <c r="B37" s="39">
        <f>1-B35</f>
        <v>9.9999999999999978E-2</v>
      </c>
      <c r="C37" s="42">
        <f>A36*B37</f>
        <v>3.3333333333333326E-2</v>
      </c>
    </row>
    <row r="38" spans="1:4" ht="15.75" customHeight="1">
      <c r="B38" s="33">
        <f>B35+B37</f>
        <v>1</v>
      </c>
    </row>
    <row r="39" spans="1:4" ht="15.75" customHeight="1">
      <c r="A39" s="31">
        <f>A25+A30+A36</f>
        <v>1</v>
      </c>
      <c r="C39" s="35">
        <f>C24+C26+C29+C31+C35+C37</f>
        <v>0.99999999999999989</v>
      </c>
    </row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3BF5-17D3-574B-82D6-8791C68661D8}">
  <dimension ref="A1:I144"/>
  <sheetViews>
    <sheetView zoomScaleNormal="150" zoomScaleSheetLayoutView="100" workbookViewId="0">
      <selection activeCell="I17" sqref="I17"/>
    </sheetView>
  </sheetViews>
  <sheetFormatPr baseColWidth="10" defaultColWidth="8.83203125" defaultRowHeight="16"/>
  <cols>
    <col min="2" max="2" width="14.6640625" customWidth="1"/>
    <col min="9" max="9" width="14.6640625" customWidth="1"/>
  </cols>
  <sheetData>
    <row r="1" spans="1:9">
      <c r="A1" t="s">
        <v>96</v>
      </c>
      <c r="B1">
        <f>3*20</f>
        <v>60</v>
      </c>
      <c r="H1" t="s">
        <v>96</v>
      </c>
      <c r="I1">
        <f>3*20</f>
        <v>60</v>
      </c>
    </row>
    <row r="3" spans="1:9">
      <c r="A3">
        <v>0</v>
      </c>
      <c r="B3">
        <f>_xlfn.POISSON.DIST(A3,$B$1,TRUE)</f>
        <v>8.75651076269652E-27</v>
      </c>
      <c r="G3">
        <v>0</v>
      </c>
      <c r="H3">
        <f>G3*3</f>
        <v>0</v>
      </c>
      <c r="I3">
        <f>1-_xlfn.POISSON.DIST(29,H3,TRUE)</f>
        <v>0</v>
      </c>
    </row>
    <row r="4" spans="1:9">
      <c r="A4">
        <v>1</v>
      </c>
      <c r="B4">
        <f t="shared" ref="B4:B67" si="0">_xlfn.POISSON.DIST(A4,$B$1,TRUE)</f>
        <v>5.341471565244849E-25</v>
      </c>
      <c r="G4">
        <v>1</v>
      </c>
      <c r="H4">
        <f t="shared" ref="H4:H34" si="1">G4*3</f>
        <v>3</v>
      </c>
      <c r="I4">
        <f t="shared" ref="I4:I20" si="2">1-_xlfn.POISSON.DIST(29,H4,TRUE)</f>
        <v>0</v>
      </c>
    </row>
    <row r="5" spans="1:9">
      <c r="A5">
        <v>2</v>
      </c>
      <c r="B5">
        <f t="shared" si="0"/>
        <v>1.629586652937821E-23</v>
      </c>
      <c r="G5">
        <v>2</v>
      </c>
      <c r="H5">
        <f t="shared" si="1"/>
        <v>6</v>
      </c>
      <c r="I5">
        <f t="shared" si="2"/>
        <v>2.5572877149215856E-12</v>
      </c>
    </row>
    <row r="6" spans="1:9">
      <c r="A6">
        <v>3</v>
      </c>
      <c r="B6">
        <f t="shared" si="0"/>
        <v>3.3153025398645368E-22</v>
      </c>
      <c r="G6">
        <v>3</v>
      </c>
      <c r="H6">
        <f t="shared" si="1"/>
        <v>9</v>
      </c>
      <c r="I6">
        <f t="shared" si="2"/>
        <v>2.7654184275860416E-8</v>
      </c>
    </row>
    <row r="7" spans="1:9">
      <c r="A7">
        <v>4</v>
      </c>
      <c r="B7">
        <f t="shared" si="0"/>
        <v>5.0600460658425897E-21</v>
      </c>
      <c r="G7">
        <v>4</v>
      </c>
      <c r="H7">
        <f t="shared" si="1"/>
        <v>12</v>
      </c>
      <c r="I7">
        <f t="shared" si="2"/>
        <v>8.8701387991330094E-6</v>
      </c>
    </row>
    <row r="8" spans="1:9">
      <c r="A8">
        <v>5</v>
      </c>
      <c r="B8">
        <f t="shared" si="0"/>
        <v>6.1802235808115995E-20</v>
      </c>
      <c r="G8">
        <v>5</v>
      </c>
      <c r="H8">
        <f t="shared" si="1"/>
        <v>15</v>
      </c>
      <c r="I8">
        <f t="shared" si="2"/>
        <v>4.1844966832771391E-4</v>
      </c>
    </row>
    <row r="9" spans="1:9">
      <c r="A9">
        <v>6</v>
      </c>
      <c r="B9">
        <f t="shared" si="0"/>
        <v>6.2922413323084994E-19</v>
      </c>
      <c r="G9">
        <v>6</v>
      </c>
      <c r="H9">
        <f t="shared" si="1"/>
        <v>18</v>
      </c>
      <c r="I9">
        <f t="shared" si="2"/>
        <v>5.9442778497929005E-3</v>
      </c>
    </row>
    <row r="10" spans="1:9">
      <c r="A10">
        <v>7</v>
      </c>
      <c r="B10">
        <f t="shared" si="0"/>
        <v>5.4928403968543058E-18</v>
      </c>
      <c r="G10">
        <v>7</v>
      </c>
      <c r="H10">
        <f t="shared" si="1"/>
        <v>21</v>
      </c>
      <c r="I10">
        <f t="shared" si="2"/>
        <v>3.7418797279233029E-2</v>
      </c>
    </row>
    <row r="11" spans="1:9">
      <c r="A11">
        <v>8</v>
      </c>
      <c r="B11">
        <f t="shared" si="0"/>
        <v>4.1969962374030021E-17</v>
      </c>
      <c r="G11">
        <v>8</v>
      </c>
      <c r="H11">
        <f t="shared" si="1"/>
        <v>24</v>
      </c>
      <c r="I11">
        <f t="shared" si="2"/>
        <v>0.13212358467196939</v>
      </c>
    </row>
    <row r="12" spans="1:9">
      <c r="A12">
        <v>9</v>
      </c>
      <c r="B12">
        <f t="shared" si="0"/>
        <v>2.8515077555520116E-16</v>
      </c>
      <c r="G12">
        <v>9</v>
      </c>
      <c r="H12">
        <f t="shared" si="1"/>
        <v>27</v>
      </c>
      <c r="I12">
        <f t="shared" si="2"/>
        <v>0.30653454547215742</v>
      </c>
    </row>
    <row r="13" spans="1:9">
      <c r="A13">
        <v>10</v>
      </c>
      <c r="B13">
        <f t="shared" si="0"/>
        <v>1.7442356546422361E-15</v>
      </c>
      <c r="G13">
        <v>10</v>
      </c>
      <c r="H13">
        <f t="shared" si="1"/>
        <v>30</v>
      </c>
      <c r="I13">
        <f t="shared" si="2"/>
        <v>0.52428301389368004</v>
      </c>
    </row>
    <row r="14" spans="1:9">
      <c r="A14">
        <v>11</v>
      </c>
      <c r="B14">
        <f t="shared" si="0"/>
        <v>9.7028804496623781E-15</v>
      </c>
      <c r="G14">
        <v>11</v>
      </c>
      <c r="H14">
        <f t="shared" si="1"/>
        <v>33</v>
      </c>
      <c r="I14">
        <f t="shared" si="2"/>
        <v>0.72269862906859283</v>
      </c>
    </row>
    <row r="15" spans="1:9">
      <c r="A15">
        <v>12</v>
      </c>
      <c r="B15">
        <f t="shared" si="0"/>
        <v>4.9496104424763295E-14</v>
      </c>
      <c r="G15">
        <v>12</v>
      </c>
      <c r="H15">
        <f t="shared" si="1"/>
        <v>36</v>
      </c>
      <c r="I15">
        <f t="shared" si="2"/>
        <v>0.8621123989750995</v>
      </c>
    </row>
    <row r="16" spans="1:9">
      <c r="A16">
        <v>13</v>
      </c>
      <c r="B16">
        <f t="shared" si="0"/>
        <v>2.331571381559976E-13</v>
      </c>
      <c r="G16">
        <v>13</v>
      </c>
      <c r="H16">
        <f t="shared" si="1"/>
        <v>39</v>
      </c>
      <c r="I16">
        <f t="shared" si="2"/>
        <v>0.94088272027646669</v>
      </c>
    </row>
    <row r="17" spans="1:9">
      <c r="A17">
        <v>14</v>
      </c>
      <c r="B17">
        <f t="shared" si="0"/>
        <v>1.0202758541470015E-12</v>
      </c>
      <c r="G17">
        <v>14</v>
      </c>
      <c r="H17">
        <f t="shared" si="1"/>
        <v>42</v>
      </c>
      <c r="I17">
        <f t="shared" si="2"/>
        <v>0.97786085205080786</v>
      </c>
    </row>
    <row r="18" spans="1:9">
      <c r="A18">
        <v>15</v>
      </c>
      <c r="B18">
        <f t="shared" si="0"/>
        <v>4.1687507181110335E-12</v>
      </c>
      <c r="G18">
        <v>15</v>
      </c>
      <c r="H18">
        <f t="shared" si="1"/>
        <v>45</v>
      </c>
      <c r="I18">
        <f t="shared" si="2"/>
        <v>0.99266280070220347</v>
      </c>
    </row>
    <row r="19" spans="1:9">
      <c r="A19">
        <v>16</v>
      </c>
      <c r="B19">
        <f t="shared" si="0"/>
        <v>1.5975531457976186E-11</v>
      </c>
      <c r="G19">
        <v>16</v>
      </c>
      <c r="H19">
        <f t="shared" si="1"/>
        <v>48</v>
      </c>
      <c r="I19">
        <f t="shared" si="2"/>
        <v>0.99782179481912958</v>
      </c>
    </row>
    <row r="20" spans="1:9">
      <c r="A20">
        <v>17</v>
      </c>
      <c r="B20">
        <f t="shared" si="0"/>
        <v>5.7646522304558852E-11</v>
      </c>
      <c r="G20">
        <v>17</v>
      </c>
      <c r="H20">
        <f t="shared" si="1"/>
        <v>51</v>
      </c>
      <c r="I20">
        <f t="shared" si="2"/>
        <v>0.99941438436270802</v>
      </c>
    </row>
    <row r="21" spans="1:9">
      <c r="A21">
        <v>18</v>
      </c>
      <c r="B21">
        <f t="shared" si="0"/>
        <v>1.9654982512650149E-10</v>
      </c>
      <c r="G21">
        <v>18</v>
      </c>
      <c r="H21">
        <f t="shared" si="1"/>
        <v>54</v>
      </c>
      <c r="I21">
        <f t="shared" ref="I4:I38" si="3">1-_xlfn.POISSON.DIST(29,G21,TRUE)</f>
        <v>5.9442778497929005E-3</v>
      </c>
    </row>
    <row r="22" spans="1:9">
      <c r="A22">
        <v>19</v>
      </c>
      <c r="B22">
        <f t="shared" si="0"/>
        <v>6.3519183403789874E-10</v>
      </c>
      <c r="G22">
        <v>19</v>
      </c>
      <c r="H22">
        <f t="shared" si="1"/>
        <v>57</v>
      </c>
      <c r="I22">
        <f t="shared" si="3"/>
        <v>1.1849875829842094E-2</v>
      </c>
    </row>
    <row r="23" spans="1:9">
      <c r="A23">
        <v>20</v>
      </c>
      <c r="B23">
        <f t="shared" si="0"/>
        <v>1.9511178607720947E-9</v>
      </c>
      <c r="G23">
        <v>20</v>
      </c>
      <c r="H23">
        <f t="shared" si="1"/>
        <v>60</v>
      </c>
      <c r="I23">
        <f t="shared" si="3"/>
        <v>2.181821752555746E-2</v>
      </c>
    </row>
    <row r="24" spans="1:9">
      <c r="A24">
        <v>21</v>
      </c>
      <c r="B24">
        <f t="shared" si="0"/>
        <v>5.7109065085840443E-9</v>
      </c>
      <c r="G24">
        <v>21</v>
      </c>
      <c r="H24">
        <f t="shared" si="1"/>
        <v>63</v>
      </c>
      <c r="I24">
        <f t="shared" si="3"/>
        <v>3.7418797279233029E-2</v>
      </c>
    </row>
    <row r="25" spans="1:9">
      <c r="A25">
        <v>22</v>
      </c>
      <c r="B25">
        <f t="shared" si="0"/>
        <v>1.5964875548071243E-8</v>
      </c>
      <c r="G25">
        <v>22</v>
      </c>
      <c r="H25">
        <f t="shared" si="1"/>
        <v>66</v>
      </c>
      <c r="I25">
        <f t="shared" si="3"/>
        <v>6.0217383998526719E-2</v>
      </c>
    </row>
    <row r="26" spans="1:9">
      <c r="A26">
        <v>23</v>
      </c>
      <c r="B26">
        <f t="shared" si="0"/>
        <v>4.2714359998907271E-8</v>
      </c>
      <c r="G26">
        <v>23</v>
      </c>
      <c r="H26">
        <f t="shared" si="1"/>
        <v>69</v>
      </c>
      <c r="I26">
        <f t="shared" si="3"/>
        <v>9.152141122702373E-2</v>
      </c>
    </row>
    <row r="27" spans="1:9">
      <c r="A27">
        <v>24</v>
      </c>
      <c r="B27">
        <f t="shared" si="0"/>
        <v>1.0958807112599739E-7</v>
      </c>
      <c r="G27">
        <v>24</v>
      </c>
      <c r="H27">
        <f t="shared" si="1"/>
        <v>72</v>
      </c>
      <c r="I27">
        <f t="shared" si="3"/>
        <v>0.13212358467196939</v>
      </c>
    </row>
    <row r="28" spans="1:9">
      <c r="A28">
        <v>25</v>
      </c>
      <c r="B28">
        <f t="shared" si="0"/>
        <v>2.7008497783101491E-7</v>
      </c>
      <c r="G28">
        <v>25</v>
      </c>
      <c r="H28">
        <f t="shared" si="1"/>
        <v>75</v>
      </c>
      <c r="I28">
        <f t="shared" si="3"/>
        <v>0.18210391597745512</v>
      </c>
    </row>
    <row r="29" spans="1:9">
      <c r="A29">
        <v>26</v>
      </c>
      <c r="B29">
        <f t="shared" si="0"/>
        <v>6.4046245484259281E-7</v>
      </c>
      <c r="G29">
        <v>26</v>
      </c>
      <c r="H29">
        <f t="shared" si="1"/>
        <v>78</v>
      </c>
      <c r="I29">
        <f t="shared" si="3"/>
        <v>0.24073816590139285</v>
      </c>
    </row>
    <row r="30" spans="1:9">
      <c r="A30">
        <v>27</v>
      </c>
      <c r="B30">
        <f t="shared" si="0"/>
        <v>1.4635235148683151E-6</v>
      </c>
      <c r="G30">
        <v>27</v>
      </c>
      <c r="H30">
        <f t="shared" si="1"/>
        <v>81</v>
      </c>
      <c r="I30">
        <f t="shared" si="3"/>
        <v>0.30653454547215742</v>
      </c>
    </row>
    <row r="31" spans="1:9">
      <c r="A31">
        <v>28</v>
      </c>
      <c r="B31">
        <f t="shared" si="0"/>
        <v>3.2272257863520154E-6</v>
      </c>
      <c r="G31">
        <v>28</v>
      </c>
      <c r="H31">
        <f t="shared" si="1"/>
        <v>84</v>
      </c>
      <c r="I31">
        <f t="shared" si="3"/>
        <v>0.37738969431439773</v>
      </c>
    </row>
    <row r="32" spans="1:9">
      <c r="A32">
        <v>29</v>
      </c>
      <c r="B32">
        <f t="shared" si="0"/>
        <v>6.8762649687320886E-6</v>
      </c>
      <c r="G32">
        <v>29</v>
      </c>
      <c r="H32">
        <f t="shared" si="1"/>
        <v>87</v>
      </c>
      <c r="I32">
        <f t="shared" si="3"/>
        <v>0.45082911471812392</v>
      </c>
    </row>
    <row r="33" spans="1:9">
      <c r="A33">
        <v>30</v>
      </c>
      <c r="B33">
        <f t="shared" si="0"/>
        <v>1.4174343333492201E-5</v>
      </c>
      <c r="G33">
        <v>30</v>
      </c>
      <c r="H33">
        <f t="shared" si="1"/>
        <v>90</v>
      </c>
      <c r="I33">
        <f t="shared" si="3"/>
        <v>0.52428301389368004</v>
      </c>
    </row>
    <row r="34" spans="1:9">
      <c r="A34">
        <v>31</v>
      </c>
      <c r="B34">
        <f t="shared" si="0"/>
        <v>2.8299656297544215E-5</v>
      </c>
      <c r="G34">
        <v>31</v>
      </c>
      <c r="H34">
        <f t="shared" si="1"/>
        <v>93</v>
      </c>
      <c r="I34">
        <f>1-_xlfn.POISSON.DIST(29,G34,TRUE)</f>
        <v>0.5953478209656109</v>
      </c>
    </row>
    <row r="35" spans="1:9">
      <c r="A35">
        <v>32</v>
      </c>
      <c r="B35">
        <f t="shared" si="0"/>
        <v>5.4784618105141441E-5</v>
      </c>
      <c r="H35">
        <v>32</v>
      </c>
      <c r="I35">
        <f t="shared" si="3"/>
        <v>0</v>
      </c>
    </row>
    <row r="36" spans="1:9">
      <c r="A36">
        <v>33</v>
      </c>
      <c r="B36">
        <f t="shared" si="0"/>
        <v>1.0293909411895477E-4</v>
      </c>
      <c r="H36">
        <v>33</v>
      </c>
      <c r="I36">
        <f t="shared" si="3"/>
        <v>0</v>
      </c>
    </row>
    <row r="37" spans="1:9">
      <c r="A37">
        <v>34</v>
      </c>
      <c r="B37">
        <f t="shared" si="0"/>
        <v>1.8791758120215385E-4</v>
      </c>
      <c r="H37">
        <v>34</v>
      </c>
      <c r="I37">
        <f t="shared" si="3"/>
        <v>0</v>
      </c>
    </row>
    <row r="38" spans="1:9">
      <c r="A38">
        <v>35</v>
      </c>
      <c r="B38">
        <f t="shared" si="0"/>
        <v>3.335949876304975E-4</v>
      </c>
      <c r="H38">
        <v>35</v>
      </c>
      <c r="I38">
        <f t="shared" si="3"/>
        <v>0</v>
      </c>
    </row>
    <row r="39" spans="1:9">
      <c r="A39">
        <v>36</v>
      </c>
      <c r="B39">
        <f t="shared" si="0"/>
        <v>5.7639066501106767E-4</v>
      </c>
      <c r="H39">
        <v>36</v>
      </c>
      <c r="I39">
        <f t="shared" ref="I4:I67" si="4">_xlfn.POISSON.DIST(H39,$B$1,TRUE)</f>
        <v>5.7639066501106767E-4</v>
      </c>
    </row>
    <row r="40" spans="1:9">
      <c r="A40">
        <v>37</v>
      </c>
      <c r="B40">
        <f t="shared" si="0"/>
        <v>9.7011338508767376E-4</v>
      </c>
      <c r="H40">
        <v>37</v>
      </c>
      <c r="I40">
        <f t="shared" si="4"/>
        <v>9.7011338508767376E-4</v>
      </c>
    </row>
    <row r="41" spans="1:9">
      <c r="A41">
        <v>38</v>
      </c>
      <c r="B41">
        <f t="shared" si="0"/>
        <v>1.5917808378401975E-3</v>
      </c>
      <c r="H41">
        <v>38</v>
      </c>
      <c r="I41">
        <f t="shared" si="4"/>
        <v>1.5917808378401975E-3</v>
      </c>
    </row>
    <row r="42" spans="1:9">
      <c r="A42">
        <v>39</v>
      </c>
      <c r="B42">
        <f t="shared" si="0"/>
        <v>2.5481923036133249E-3</v>
      </c>
      <c r="H42">
        <v>39</v>
      </c>
      <c r="I42">
        <f t="shared" si="4"/>
        <v>2.5481923036133249E-3</v>
      </c>
    </row>
    <row r="43" spans="1:9">
      <c r="A43">
        <v>40</v>
      </c>
      <c r="B43">
        <f t="shared" si="0"/>
        <v>3.9828095022730091E-3</v>
      </c>
      <c r="H43">
        <v>40</v>
      </c>
      <c r="I43">
        <f t="shared" si="4"/>
        <v>3.9828095022730091E-3</v>
      </c>
    </row>
    <row r="44" spans="1:9">
      <c r="A44">
        <v>41</v>
      </c>
      <c r="B44">
        <f t="shared" si="0"/>
        <v>6.0822493051896163E-3</v>
      </c>
      <c r="H44">
        <v>41</v>
      </c>
      <c r="I44">
        <f t="shared" si="4"/>
        <v>6.0822493051896163E-3</v>
      </c>
    </row>
    <row r="45" spans="1:9">
      <c r="A45">
        <v>42</v>
      </c>
      <c r="B45">
        <f t="shared" si="0"/>
        <v>9.0814490236419097E-3</v>
      </c>
      <c r="H45">
        <v>42</v>
      </c>
      <c r="I45">
        <f t="shared" si="4"/>
        <v>9.0814490236419097E-3</v>
      </c>
    </row>
    <row r="46" spans="1:9">
      <c r="A46">
        <v>43</v>
      </c>
      <c r="B46">
        <f t="shared" si="0"/>
        <v>1.3266378863342795E-2</v>
      </c>
      <c r="H46">
        <v>43</v>
      </c>
      <c r="I46">
        <f t="shared" si="4"/>
        <v>1.3266378863342795E-2</v>
      </c>
    </row>
    <row r="47" spans="1:9">
      <c r="A47">
        <v>44</v>
      </c>
      <c r="B47">
        <f t="shared" si="0"/>
        <v>1.8973101372025819E-2</v>
      </c>
      <c r="H47">
        <v>44</v>
      </c>
      <c r="I47">
        <f t="shared" si="4"/>
        <v>1.8973101372025819E-2</v>
      </c>
    </row>
    <row r="48" spans="1:9">
      <c r="A48">
        <v>45</v>
      </c>
      <c r="B48">
        <f t="shared" si="0"/>
        <v>2.6582064716936516E-2</v>
      </c>
      <c r="H48">
        <v>45</v>
      </c>
      <c r="I48">
        <f t="shared" si="4"/>
        <v>2.6582064716936516E-2</v>
      </c>
    </row>
    <row r="49" spans="1:9">
      <c r="A49">
        <v>46</v>
      </c>
      <c r="B49">
        <f t="shared" si="0"/>
        <v>3.6506799514646117E-2</v>
      </c>
      <c r="H49">
        <v>46</v>
      </c>
      <c r="I49">
        <f t="shared" si="4"/>
        <v>3.6506799514646117E-2</v>
      </c>
    </row>
    <row r="50" spans="1:9">
      <c r="A50">
        <v>47</v>
      </c>
      <c r="B50">
        <f t="shared" si="0"/>
        <v>4.9176673724488182E-2</v>
      </c>
      <c r="H50">
        <v>47</v>
      </c>
      <c r="I50">
        <f t="shared" si="4"/>
        <v>4.9176673724488182E-2</v>
      </c>
    </row>
    <row r="51" spans="1:9">
      <c r="A51">
        <v>48</v>
      </c>
      <c r="B51">
        <f t="shared" si="0"/>
        <v>6.5014016486790727E-2</v>
      </c>
      <c r="H51">
        <v>48</v>
      </c>
      <c r="I51">
        <f t="shared" si="4"/>
        <v>6.5014016486790727E-2</v>
      </c>
    </row>
    <row r="52" spans="1:9">
      <c r="A52">
        <v>49</v>
      </c>
      <c r="B52">
        <f t="shared" si="0"/>
        <v>8.4406681093691788E-2</v>
      </c>
      <c r="H52">
        <v>49</v>
      </c>
      <c r="I52">
        <f t="shared" si="4"/>
        <v>8.4406681093691788E-2</v>
      </c>
    </row>
    <row r="53" spans="1:9">
      <c r="A53">
        <v>50</v>
      </c>
      <c r="B53">
        <f t="shared" si="0"/>
        <v>0.10767787862197309</v>
      </c>
      <c r="H53">
        <v>50</v>
      </c>
      <c r="I53">
        <f t="shared" si="4"/>
        <v>0.10767787862197309</v>
      </c>
    </row>
    <row r="54" spans="1:9">
      <c r="A54">
        <v>51</v>
      </c>
      <c r="B54">
        <f t="shared" si="0"/>
        <v>0.13505575806700992</v>
      </c>
      <c r="H54">
        <v>51</v>
      </c>
      <c r="I54">
        <f t="shared" si="4"/>
        <v>0.13505575806700992</v>
      </c>
    </row>
    <row r="55" spans="1:9">
      <c r="A55">
        <v>52</v>
      </c>
      <c r="B55">
        <f t="shared" si="0"/>
        <v>0.16664561896512942</v>
      </c>
      <c r="H55">
        <v>52</v>
      </c>
      <c r="I55">
        <f t="shared" si="4"/>
        <v>0.16664561896512942</v>
      </c>
    </row>
    <row r="56" spans="1:9">
      <c r="A56">
        <v>53</v>
      </c>
      <c r="B56">
        <f t="shared" si="0"/>
        <v>0.20240772564224574</v>
      </c>
      <c r="H56">
        <v>53</v>
      </c>
      <c r="I56">
        <f t="shared" si="4"/>
        <v>0.20240772564224574</v>
      </c>
    </row>
    <row r="57" spans="1:9">
      <c r="A57">
        <v>54</v>
      </c>
      <c r="B57">
        <f t="shared" si="0"/>
        <v>0.24214339972793053</v>
      </c>
      <c r="H57">
        <v>54</v>
      </c>
      <c r="I57">
        <f t="shared" si="4"/>
        <v>0.24214339972793053</v>
      </c>
    </row>
    <row r="58" spans="1:9">
      <c r="A58">
        <v>55</v>
      </c>
      <c r="B58">
        <f t="shared" si="0"/>
        <v>0.28549140782140486</v>
      </c>
      <c r="H58">
        <v>55</v>
      </c>
      <c r="I58">
        <f t="shared" si="4"/>
        <v>0.28549140782140486</v>
      </c>
    </row>
    <row r="59" spans="1:9">
      <c r="A59">
        <v>56</v>
      </c>
      <c r="B59">
        <f t="shared" si="0"/>
        <v>0.33193570220727031</v>
      </c>
      <c r="H59">
        <v>56</v>
      </c>
      <c r="I59">
        <f t="shared" si="4"/>
        <v>0.33193570220727031</v>
      </c>
    </row>
    <row r="60" spans="1:9">
      <c r="A60">
        <v>57</v>
      </c>
      <c r="B60">
        <f t="shared" si="0"/>
        <v>0.38082443313976017</v>
      </c>
      <c r="H60">
        <v>57</v>
      </c>
      <c r="I60">
        <f t="shared" si="4"/>
        <v>0.38082443313976017</v>
      </c>
    </row>
    <row r="61" spans="1:9">
      <c r="A61">
        <v>58</v>
      </c>
      <c r="B61">
        <f t="shared" si="0"/>
        <v>0.43139898238026692</v>
      </c>
      <c r="H61">
        <v>58</v>
      </c>
      <c r="I61">
        <f t="shared" si="4"/>
        <v>0.43139898238026692</v>
      </c>
    </row>
    <row r="62" spans="1:9">
      <c r="A62">
        <v>59</v>
      </c>
      <c r="B62">
        <f t="shared" si="0"/>
        <v>0.48283072737061272</v>
      </c>
      <c r="H62">
        <v>59</v>
      </c>
      <c r="I62">
        <f t="shared" si="4"/>
        <v>0.48283072737061272</v>
      </c>
    </row>
    <row r="63" spans="1:9">
      <c r="A63">
        <v>60</v>
      </c>
      <c r="B63">
        <f t="shared" si="0"/>
        <v>0.5342624723609587</v>
      </c>
      <c r="H63">
        <v>60</v>
      </c>
      <c r="I63">
        <f t="shared" si="4"/>
        <v>0.5342624723609587</v>
      </c>
    </row>
    <row r="64" spans="1:9">
      <c r="A64">
        <v>61</v>
      </c>
      <c r="B64">
        <f t="shared" si="0"/>
        <v>0.58485107399080705</v>
      </c>
      <c r="H64">
        <v>61</v>
      </c>
      <c r="I64">
        <f t="shared" si="4"/>
        <v>0.58485107399080705</v>
      </c>
    </row>
    <row r="65" spans="1:9">
      <c r="A65">
        <v>62</v>
      </c>
      <c r="B65">
        <f t="shared" si="0"/>
        <v>0.63380778524549897</v>
      </c>
      <c r="H65">
        <v>62</v>
      </c>
      <c r="I65">
        <f t="shared" si="4"/>
        <v>0.63380778524549897</v>
      </c>
    </row>
    <row r="66" spans="1:9">
      <c r="A66">
        <v>63</v>
      </c>
      <c r="B66">
        <f t="shared" si="0"/>
        <v>0.68043322453568189</v>
      </c>
      <c r="H66">
        <v>63</v>
      </c>
      <c r="I66">
        <f t="shared" si="4"/>
        <v>0.68043322453568189</v>
      </c>
    </row>
    <row r="67" spans="1:9">
      <c r="A67">
        <v>64</v>
      </c>
      <c r="B67">
        <f t="shared" si="0"/>
        <v>0.72414457387022824</v>
      </c>
      <c r="H67">
        <v>64</v>
      </c>
      <c r="I67">
        <f t="shared" si="4"/>
        <v>0.72414457387022824</v>
      </c>
    </row>
    <row r="68" spans="1:9">
      <c r="A68">
        <v>65</v>
      </c>
      <c r="B68">
        <f t="shared" ref="B68:B131" si="5">_xlfn.POISSON.DIST(A68,$B$1,TRUE)</f>
        <v>0.76449351171750179</v>
      </c>
      <c r="H68">
        <v>65</v>
      </c>
      <c r="I68">
        <f t="shared" ref="I68:I131" si="6">_xlfn.POISSON.DIST(H68,$B$1,TRUE)</f>
        <v>0.76449351171750179</v>
      </c>
    </row>
    <row r="69" spans="1:9">
      <c r="A69">
        <v>66</v>
      </c>
      <c r="B69">
        <f t="shared" si="5"/>
        <v>0.80117436430593247</v>
      </c>
      <c r="H69">
        <v>66</v>
      </c>
      <c r="I69">
        <f t="shared" si="6"/>
        <v>0.80117436430593247</v>
      </c>
    </row>
    <row r="70" spans="1:9">
      <c r="A70">
        <v>67</v>
      </c>
      <c r="B70">
        <f t="shared" si="5"/>
        <v>0.83402288901198962</v>
      </c>
      <c r="H70">
        <v>67</v>
      </c>
      <c r="I70">
        <f t="shared" si="6"/>
        <v>0.83402288901198962</v>
      </c>
    </row>
    <row r="71" spans="1:9">
      <c r="A71">
        <v>68</v>
      </c>
      <c r="B71">
        <f t="shared" si="5"/>
        <v>0.86300688139968718</v>
      </c>
      <c r="H71">
        <v>68</v>
      </c>
      <c r="I71">
        <f t="shared" si="6"/>
        <v>0.86300688139968718</v>
      </c>
    </row>
    <row r="72" spans="1:9">
      <c r="A72">
        <v>69</v>
      </c>
      <c r="B72">
        <f t="shared" si="5"/>
        <v>0.88821035304116325</v>
      </c>
      <c r="H72">
        <v>69</v>
      </c>
      <c r="I72">
        <f t="shared" si="6"/>
        <v>0.88821035304116325</v>
      </c>
    </row>
    <row r="73" spans="1:9">
      <c r="A73">
        <v>70</v>
      </c>
      <c r="B73">
        <f t="shared" si="5"/>
        <v>0.90981332873385712</v>
      </c>
      <c r="H73">
        <v>70</v>
      </c>
      <c r="I73">
        <f t="shared" si="6"/>
        <v>0.90981332873385712</v>
      </c>
    </row>
    <row r="74" spans="1:9">
      <c r="A74">
        <v>71</v>
      </c>
      <c r="B74">
        <f t="shared" si="5"/>
        <v>0.92806936453049982</v>
      </c>
      <c r="H74">
        <v>71</v>
      </c>
      <c r="I74">
        <f t="shared" si="6"/>
        <v>0.92806936453049982</v>
      </c>
    </row>
    <row r="75" spans="1:9">
      <c r="A75">
        <v>72</v>
      </c>
      <c r="B75">
        <f t="shared" si="5"/>
        <v>0.94328272769436872</v>
      </c>
      <c r="H75">
        <v>72</v>
      </c>
      <c r="I75">
        <f t="shared" si="6"/>
        <v>0.94328272769436872</v>
      </c>
    </row>
    <row r="76" spans="1:9">
      <c r="A76">
        <v>73</v>
      </c>
      <c r="B76">
        <f t="shared" si="5"/>
        <v>0.95578686180165817</v>
      </c>
      <c r="H76">
        <v>73</v>
      </c>
      <c r="I76">
        <f t="shared" si="6"/>
        <v>0.95578686180165817</v>
      </c>
    </row>
    <row r="77" spans="1:9">
      <c r="A77">
        <v>74</v>
      </c>
      <c r="B77">
        <f t="shared" si="5"/>
        <v>0.96592534891567672</v>
      </c>
      <c r="H77">
        <v>74</v>
      </c>
      <c r="I77">
        <f t="shared" si="6"/>
        <v>0.96592534891567672</v>
      </c>
    </row>
    <row r="78" spans="1:9">
      <c r="A78">
        <v>75</v>
      </c>
      <c r="B78">
        <f t="shared" si="5"/>
        <v>0.97403613860689142</v>
      </c>
      <c r="H78">
        <v>75</v>
      </c>
      <c r="I78">
        <f t="shared" si="6"/>
        <v>0.97403613860689142</v>
      </c>
    </row>
    <row r="79" spans="1:9">
      <c r="A79">
        <v>76</v>
      </c>
      <c r="B79">
        <f t="shared" si="5"/>
        <v>0.98043939362627164</v>
      </c>
      <c r="H79">
        <v>76</v>
      </c>
      <c r="I79">
        <f t="shared" si="6"/>
        <v>0.98043939362627164</v>
      </c>
    </row>
    <row r="80" spans="1:9">
      <c r="A80">
        <v>77</v>
      </c>
      <c r="B80">
        <f t="shared" si="5"/>
        <v>0.98542894299202244</v>
      </c>
      <c r="H80">
        <v>77</v>
      </c>
      <c r="I80">
        <f t="shared" si="6"/>
        <v>0.98542894299202244</v>
      </c>
    </row>
    <row r="81" spans="1:9">
      <c r="A81">
        <v>78</v>
      </c>
      <c r="B81">
        <f t="shared" si="5"/>
        <v>0.98926705788875369</v>
      </c>
      <c r="H81">
        <v>78</v>
      </c>
      <c r="I81">
        <f t="shared" si="6"/>
        <v>0.98926705788875369</v>
      </c>
    </row>
    <row r="82" spans="1:9">
      <c r="A82">
        <v>79</v>
      </c>
      <c r="B82">
        <f t="shared" si="5"/>
        <v>0.99218208186095469</v>
      </c>
      <c r="H82">
        <v>79</v>
      </c>
      <c r="I82">
        <f t="shared" si="6"/>
        <v>0.99218208186095469</v>
      </c>
    </row>
    <row r="83" spans="1:9">
      <c r="A83">
        <v>80</v>
      </c>
      <c r="B83">
        <f t="shared" si="5"/>
        <v>0.99436834984010547</v>
      </c>
      <c r="H83">
        <v>80</v>
      </c>
      <c r="I83">
        <f t="shared" si="6"/>
        <v>0.99436834984010547</v>
      </c>
    </row>
    <row r="84" spans="1:9">
      <c r="A84">
        <v>81</v>
      </c>
      <c r="B84">
        <f t="shared" si="5"/>
        <v>0.99598780760243932</v>
      </c>
      <c r="H84">
        <v>81</v>
      </c>
      <c r="I84">
        <f t="shared" si="6"/>
        <v>0.99598780760243932</v>
      </c>
    </row>
    <row r="85" spans="1:9">
      <c r="A85">
        <v>82</v>
      </c>
      <c r="B85">
        <f t="shared" si="5"/>
        <v>0.99717277669683002</v>
      </c>
      <c r="H85">
        <v>82</v>
      </c>
      <c r="I85">
        <f t="shared" si="6"/>
        <v>0.99717277669683002</v>
      </c>
    </row>
    <row r="86" spans="1:9">
      <c r="A86">
        <v>83</v>
      </c>
      <c r="B86">
        <f t="shared" si="5"/>
        <v>0.99802938086144977</v>
      </c>
      <c r="H86">
        <v>83</v>
      </c>
      <c r="I86">
        <f t="shared" si="6"/>
        <v>0.99802938086144977</v>
      </c>
    </row>
    <row r="87" spans="1:9">
      <c r="A87">
        <v>84</v>
      </c>
      <c r="B87">
        <f t="shared" si="5"/>
        <v>0.99864124097903528</v>
      </c>
      <c r="H87">
        <v>84</v>
      </c>
      <c r="I87">
        <f t="shared" si="6"/>
        <v>0.99864124097903528</v>
      </c>
    </row>
    <row r="88" spans="1:9">
      <c r="A88">
        <v>85</v>
      </c>
      <c r="B88">
        <f t="shared" si="5"/>
        <v>0.99907314223850752</v>
      </c>
      <c r="H88">
        <v>85</v>
      </c>
      <c r="I88">
        <f t="shared" si="6"/>
        <v>0.99907314223850752</v>
      </c>
    </row>
    <row r="89" spans="1:9">
      <c r="A89">
        <v>86</v>
      </c>
      <c r="B89">
        <f t="shared" si="5"/>
        <v>0.99937446869860436</v>
      </c>
      <c r="H89">
        <v>86</v>
      </c>
      <c r="I89">
        <f t="shared" si="6"/>
        <v>0.99937446869860436</v>
      </c>
    </row>
    <row r="90" spans="1:9">
      <c r="A90">
        <v>87</v>
      </c>
      <c r="B90">
        <f t="shared" si="5"/>
        <v>0.99958228005039529</v>
      </c>
      <c r="H90">
        <v>87</v>
      </c>
      <c r="I90">
        <f t="shared" si="6"/>
        <v>0.99958228005039529</v>
      </c>
    </row>
    <row r="91" spans="1:9">
      <c r="A91">
        <v>88</v>
      </c>
      <c r="B91">
        <f t="shared" si="5"/>
        <v>0.99972396960843446</v>
      </c>
      <c r="H91">
        <v>88</v>
      </c>
      <c r="I91">
        <f t="shared" si="6"/>
        <v>0.99972396960843446</v>
      </c>
    </row>
    <row r="92" spans="1:9">
      <c r="A92">
        <v>89</v>
      </c>
      <c r="B92">
        <f t="shared" si="5"/>
        <v>0.99981949065879805</v>
      </c>
      <c r="H92">
        <v>89</v>
      </c>
      <c r="I92">
        <f t="shared" si="6"/>
        <v>0.99981949065879805</v>
      </c>
    </row>
    <row r="93" spans="1:9">
      <c r="A93">
        <v>90</v>
      </c>
      <c r="B93">
        <f t="shared" si="5"/>
        <v>0.99988317135904037</v>
      </c>
      <c r="H93">
        <v>90</v>
      </c>
      <c r="I93">
        <f t="shared" si="6"/>
        <v>0.99988317135904037</v>
      </c>
    </row>
    <row r="94" spans="1:9">
      <c r="A94">
        <v>91</v>
      </c>
      <c r="B94">
        <f t="shared" si="5"/>
        <v>0.9999251586339255</v>
      </c>
      <c r="H94">
        <v>91</v>
      </c>
      <c r="I94">
        <f t="shared" si="6"/>
        <v>0.9999251586339255</v>
      </c>
    </row>
    <row r="95" spans="1:9">
      <c r="A95">
        <v>92</v>
      </c>
      <c r="B95">
        <f t="shared" si="5"/>
        <v>0.99995254163928537</v>
      </c>
      <c r="H95">
        <v>92</v>
      </c>
      <c r="I95">
        <f t="shared" si="6"/>
        <v>0.99995254163928537</v>
      </c>
    </row>
    <row r="96" spans="1:9">
      <c r="A96">
        <v>93</v>
      </c>
      <c r="B96">
        <f t="shared" si="5"/>
        <v>0.99997020809435622</v>
      </c>
      <c r="H96">
        <v>93</v>
      </c>
      <c r="I96">
        <f t="shared" si="6"/>
        <v>0.99997020809435622</v>
      </c>
    </row>
    <row r="97" spans="1:9">
      <c r="A97">
        <v>94</v>
      </c>
      <c r="B97">
        <f t="shared" si="5"/>
        <v>0.99998148455503966</v>
      </c>
      <c r="H97">
        <v>94</v>
      </c>
      <c r="I97">
        <f t="shared" si="6"/>
        <v>0.99998148455503966</v>
      </c>
    </row>
    <row r="98" spans="1:9">
      <c r="A98">
        <v>95</v>
      </c>
      <c r="B98">
        <f t="shared" si="5"/>
        <v>0.99998860653020827</v>
      </c>
      <c r="H98">
        <v>95</v>
      </c>
      <c r="I98">
        <f t="shared" si="6"/>
        <v>0.99998860653020827</v>
      </c>
    </row>
    <row r="99" spans="1:9">
      <c r="A99">
        <v>96</v>
      </c>
      <c r="B99">
        <f t="shared" si="5"/>
        <v>0.99999305776468861</v>
      </c>
      <c r="H99">
        <v>96</v>
      </c>
      <c r="I99">
        <f t="shared" si="6"/>
        <v>0.99999305776468861</v>
      </c>
    </row>
    <row r="100" spans="1:9">
      <c r="A100">
        <v>97</v>
      </c>
      <c r="B100">
        <f t="shared" si="5"/>
        <v>0.9999958111056042</v>
      </c>
      <c r="H100">
        <v>97</v>
      </c>
      <c r="I100">
        <f t="shared" si="6"/>
        <v>0.9999958111056042</v>
      </c>
    </row>
    <row r="101" spans="1:9">
      <c r="A101">
        <v>98</v>
      </c>
      <c r="B101">
        <f t="shared" si="5"/>
        <v>0.99999749682453221</v>
      </c>
      <c r="H101">
        <v>98</v>
      </c>
      <c r="I101">
        <f t="shared" si="6"/>
        <v>0.99999749682453221</v>
      </c>
    </row>
    <row r="102" spans="1:9">
      <c r="A102">
        <v>99</v>
      </c>
      <c r="B102">
        <f t="shared" si="5"/>
        <v>0.99999851847236743</v>
      </c>
      <c r="H102">
        <v>99</v>
      </c>
      <c r="I102">
        <f t="shared" si="6"/>
        <v>0.99999851847236743</v>
      </c>
    </row>
    <row r="103" spans="1:9">
      <c r="A103">
        <v>100</v>
      </c>
      <c r="B103">
        <f t="shared" si="5"/>
        <v>0.99999913146106845</v>
      </c>
      <c r="H103">
        <v>100</v>
      </c>
      <c r="I103">
        <f t="shared" si="6"/>
        <v>0.99999913146106845</v>
      </c>
    </row>
    <row r="104" spans="1:9">
      <c r="A104">
        <v>101</v>
      </c>
      <c r="B104">
        <f t="shared" si="5"/>
        <v>0.99999949561277202</v>
      </c>
      <c r="H104">
        <v>101</v>
      </c>
      <c r="I104">
        <f t="shared" si="6"/>
        <v>0.99999949561277202</v>
      </c>
    </row>
    <row r="105" spans="1:9">
      <c r="A105">
        <v>102</v>
      </c>
      <c r="B105">
        <f t="shared" si="5"/>
        <v>0.99999970981965647</v>
      </c>
      <c r="H105">
        <v>102</v>
      </c>
      <c r="I105">
        <f t="shared" si="6"/>
        <v>0.99999970981965647</v>
      </c>
    </row>
    <row r="106" spans="1:9">
      <c r="A106">
        <v>103</v>
      </c>
      <c r="B106">
        <f t="shared" si="5"/>
        <v>0.9999998346003659</v>
      </c>
      <c r="H106">
        <v>103</v>
      </c>
      <c r="I106">
        <f t="shared" si="6"/>
        <v>0.9999998346003659</v>
      </c>
    </row>
    <row r="107" spans="1:9">
      <c r="A107">
        <v>104</v>
      </c>
      <c r="B107">
        <f t="shared" si="5"/>
        <v>0.99999990658923665</v>
      </c>
      <c r="H107">
        <v>104</v>
      </c>
      <c r="I107">
        <f t="shared" si="6"/>
        <v>0.99999990658923665</v>
      </c>
    </row>
    <row r="108" spans="1:9">
      <c r="A108">
        <v>105</v>
      </c>
      <c r="B108">
        <f t="shared" si="5"/>
        <v>0.99999994772573442</v>
      </c>
      <c r="H108">
        <v>105</v>
      </c>
      <c r="I108">
        <f t="shared" si="6"/>
        <v>0.99999994772573442</v>
      </c>
    </row>
    <row r="109" spans="1:9">
      <c r="A109">
        <v>106</v>
      </c>
      <c r="B109">
        <f t="shared" si="5"/>
        <v>0.99999997101054428</v>
      </c>
      <c r="H109">
        <v>106</v>
      </c>
      <c r="I109">
        <f t="shared" si="6"/>
        <v>0.99999997101054428</v>
      </c>
    </row>
    <row r="110" spans="1:9">
      <c r="A110">
        <v>107</v>
      </c>
      <c r="B110">
        <f t="shared" si="5"/>
        <v>0.99999998406744717</v>
      </c>
      <c r="H110">
        <v>107</v>
      </c>
      <c r="I110">
        <f t="shared" si="6"/>
        <v>0.99999998406744717</v>
      </c>
    </row>
    <row r="111" spans="1:9">
      <c r="A111">
        <v>108</v>
      </c>
      <c r="B111">
        <f t="shared" si="5"/>
        <v>0.99999999132128203</v>
      </c>
      <c r="H111">
        <v>108</v>
      </c>
      <c r="I111">
        <f t="shared" si="6"/>
        <v>0.99999999132128203</v>
      </c>
    </row>
    <row r="112" spans="1:9">
      <c r="A112">
        <v>109</v>
      </c>
      <c r="B112">
        <f t="shared" si="5"/>
        <v>0.99999999531421868</v>
      </c>
      <c r="H112">
        <v>109</v>
      </c>
      <c r="I112">
        <f t="shared" si="6"/>
        <v>0.99999999531421868</v>
      </c>
    </row>
    <row r="113" spans="1:9">
      <c r="A113">
        <v>110</v>
      </c>
      <c r="B113">
        <f t="shared" si="5"/>
        <v>0.99999999749218405</v>
      </c>
      <c r="H113">
        <v>110</v>
      </c>
      <c r="I113">
        <f t="shared" si="6"/>
        <v>0.99999999749218405</v>
      </c>
    </row>
    <row r="114" spans="1:9">
      <c r="A114">
        <v>111</v>
      </c>
      <c r="B114">
        <f t="shared" si="5"/>
        <v>0.99999999866946265</v>
      </c>
      <c r="H114">
        <v>111</v>
      </c>
      <c r="I114">
        <f t="shared" si="6"/>
        <v>0.99999999866946265</v>
      </c>
    </row>
    <row r="115" spans="1:9">
      <c r="A115">
        <v>112</v>
      </c>
      <c r="B115">
        <f t="shared" si="5"/>
        <v>0.9999999993001476</v>
      </c>
      <c r="H115">
        <v>112</v>
      </c>
      <c r="I115">
        <f t="shared" si="6"/>
        <v>0.9999999993001476</v>
      </c>
    </row>
    <row r="116" spans="1:9">
      <c r="A116">
        <v>113</v>
      </c>
      <c r="B116">
        <f t="shared" si="5"/>
        <v>0.99999999963502462</v>
      </c>
      <c r="H116">
        <v>113</v>
      </c>
      <c r="I116">
        <f t="shared" si="6"/>
        <v>0.99999999963502462</v>
      </c>
    </row>
    <row r="117" spans="1:9">
      <c r="A117">
        <v>114</v>
      </c>
      <c r="B117">
        <f t="shared" si="5"/>
        <v>0.99999999981127563</v>
      </c>
      <c r="H117">
        <v>114</v>
      </c>
      <c r="I117">
        <f t="shared" si="6"/>
        <v>0.99999999981127563</v>
      </c>
    </row>
    <row r="118" spans="1:9">
      <c r="A118">
        <v>115</v>
      </c>
      <c r="B118">
        <f t="shared" si="5"/>
        <v>0.99999999990323274</v>
      </c>
      <c r="H118">
        <v>115</v>
      </c>
      <c r="I118">
        <f t="shared" si="6"/>
        <v>0.99999999990323274</v>
      </c>
    </row>
    <row r="119" spans="1:9">
      <c r="A119">
        <v>116</v>
      </c>
      <c r="B119">
        <f t="shared" si="5"/>
        <v>0.99999999995079669</v>
      </c>
      <c r="H119">
        <v>116</v>
      </c>
      <c r="I119">
        <f t="shared" si="6"/>
        <v>0.99999999995079669</v>
      </c>
    </row>
    <row r="120" spans="1:9">
      <c r="A120">
        <v>117</v>
      </c>
      <c r="B120">
        <f t="shared" si="5"/>
        <v>0.99999999997518851</v>
      </c>
      <c r="H120">
        <v>117</v>
      </c>
      <c r="I120">
        <f t="shared" si="6"/>
        <v>0.99999999997518851</v>
      </c>
    </row>
    <row r="121" spans="1:9">
      <c r="A121">
        <v>118</v>
      </c>
      <c r="B121">
        <f t="shared" si="5"/>
        <v>0.99999999998759104</v>
      </c>
      <c r="H121">
        <v>118</v>
      </c>
      <c r="I121">
        <f t="shared" si="6"/>
        <v>0.99999999998759104</v>
      </c>
    </row>
    <row r="122" spans="1:9">
      <c r="A122">
        <v>119</v>
      </c>
      <c r="B122">
        <f t="shared" si="5"/>
        <v>0.99999999999384448</v>
      </c>
      <c r="H122">
        <v>119</v>
      </c>
      <c r="I122">
        <f t="shared" si="6"/>
        <v>0.99999999999384448</v>
      </c>
    </row>
    <row r="123" spans="1:9">
      <c r="A123">
        <v>120</v>
      </c>
      <c r="B123">
        <f t="shared" si="5"/>
        <v>0.9999999999969712</v>
      </c>
      <c r="H123">
        <v>120</v>
      </c>
      <c r="I123">
        <f t="shared" si="6"/>
        <v>0.9999999999969712</v>
      </c>
    </row>
    <row r="124" spans="1:9">
      <c r="A124">
        <v>121</v>
      </c>
      <c r="B124">
        <f t="shared" si="5"/>
        <v>0.99999999999852163</v>
      </c>
      <c r="H124">
        <v>121</v>
      </c>
      <c r="I124">
        <f t="shared" si="6"/>
        <v>0.99999999999852163</v>
      </c>
    </row>
    <row r="125" spans="1:9">
      <c r="A125">
        <v>122</v>
      </c>
      <c r="B125">
        <f t="shared" si="5"/>
        <v>0.99999999999928413</v>
      </c>
      <c r="H125">
        <v>122</v>
      </c>
      <c r="I125">
        <f t="shared" si="6"/>
        <v>0.99999999999928413</v>
      </c>
    </row>
    <row r="126" spans="1:9">
      <c r="A126">
        <v>123</v>
      </c>
      <c r="B126">
        <f t="shared" si="5"/>
        <v>0.99999999999965605</v>
      </c>
      <c r="H126">
        <v>123</v>
      </c>
      <c r="I126">
        <f t="shared" si="6"/>
        <v>0.99999999999965605</v>
      </c>
    </row>
    <row r="127" spans="1:9">
      <c r="A127">
        <v>124</v>
      </c>
      <c r="B127">
        <f t="shared" si="5"/>
        <v>0.99999999999983613</v>
      </c>
      <c r="H127">
        <v>124</v>
      </c>
      <c r="I127">
        <f t="shared" si="6"/>
        <v>0.99999999999983613</v>
      </c>
    </row>
    <row r="128" spans="1:9">
      <c r="A128">
        <v>125</v>
      </c>
      <c r="B128">
        <f t="shared" si="5"/>
        <v>0.99999999999992251</v>
      </c>
      <c r="H128">
        <v>125</v>
      </c>
      <c r="I128">
        <f t="shared" si="6"/>
        <v>0.99999999999992251</v>
      </c>
    </row>
    <row r="129" spans="1:9">
      <c r="A129">
        <v>126</v>
      </c>
      <c r="B129">
        <f t="shared" si="5"/>
        <v>0.99999999999996358</v>
      </c>
      <c r="H129">
        <v>126</v>
      </c>
      <c r="I129">
        <f t="shared" si="6"/>
        <v>0.99999999999996358</v>
      </c>
    </row>
    <row r="130" spans="1:9">
      <c r="A130">
        <v>127</v>
      </c>
      <c r="B130">
        <f t="shared" si="5"/>
        <v>0.99999999999998312</v>
      </c>
      <c r="H130">
        <v>127</v>
      </c>
      <c r="I130">
        <f t="shared" si="6"/>
        <v>0.99999999999998312</v>
      </c>
    </row>
    <row r="131" spans="1:9">
      <c r="A131">
        <v>128</v>
      </c>
      <c r="B131">
        <f t="shared" si="5"/>
        <v>0.99999999999999223</v>
      </c>
      <c r="H131">
        <v>128</v>
      </c>
      <c r="I131">
        <f t="shared" si="6"/>
        <v>0.99999999999999223</v>
      </c>
    </row>
    <row r="132" spans="1:9">
      <c r="A132">
        <v>129</v>
      </c>
      <c r="B132">
        <f t="shared" ref="B132:B144" si="7">_xlfn.POISSON.DIST(A132,$B$1,TRUE)</f>
        <v>0.99999999999999645</v>
      </c>
      <c r="H132">
        <v>129</v>
      </c>
      <c r="I132">
        <f t="shared" ref="I132:I144" si="8">_xlfn.POISSON.DIST(H132,$B$1,TRUE)</f>
        <v>0.99999999999999645</v>
      </c>
    </row>
    <row r="133" spans="1:9">
      <c r="A133">
        <v>130</v>
      </c>
      <c r="B133">
        <f t="shared" si="7"/>
        <v>0.99999999999999845</v>
      </c>
      <c r="H133">
        <v>130</v>
      </c>
      <c r="I133">
        <f t="shared" si="8"/>
        <v>0.99999999999999845</v>
      </c>
    </row>
    <row r="134" spans="1:9">
      <c r="A134">
        <v>131</v>
      </c>
      <c r="B134">
        <f t="shared" si="7"/>
        <v>0.99999999999999933</v>
      </c>
      <c r="H134">
        <v>131</v>
      </c>
      <c r="I134">
        <f t="shared" si="8"/>
        <v>0.99999999999999933</v>
      </c>
    </row>
    <row r="135" spans="1:9">
      <c r="A135">
        <v>132</v>
      </c>
      <c r="B135">
        <f t="shared" si="7"/>
        <v>0.99999999999999967</v>
      </c>
      <c r="H135">
        <v>132</v>
      </c>
      <c r="I135">
        <f t="shared" si="8"/>
        <v>0.99999999999999967</v>
      </c>
    </row>
    <row r="136" spans="1:9">
      <c r="A136">
        <v>133</v>
      </c>
      <c r="B136">
        <f t="shared" si="7"/>
        <v>0.99999999999999978</v>
      </c>
      <c r="H136">
        <v>133</v>
      </c>
      <c r="I136">
        <f t="shared" si="8"/>
        <v>0.99999999999999978</v>
      </c>
    </row>
    <row r="137" spans="1:9">
      <c r="A137">
        <v>134</v>
      </c>
      <c r="B137">
        <f t="shared" si="7"/>
        <v>1</v>
      </c>
      <c r="H137">
        <v>134</v>
      </c>
      <c r="I137">
        <f t="shared" si="8"/>
        <v>1</v>
      </c>
    </row>
    <row r="138" spans="1:9">
      <c r="A138">
        <v>135</v>
      </c>
      <c r="B138">
        <f t="shared" si="7"/>
        <v>1</v>
      </c>
      <c r="H138">
        <v>135</v>
      </c>
      <c r="I138">
        <f t="shared" si="8"/>
        <v>1</v>
      </c>
    </row>
    <row r="139" spans="1:9">
      <c r="A139">
        <v>136</v>
      </c>
      <c r="B139">
        <f t="shared" si="7"/>
        <v>1</v>
      </c>
      <c r="H139">
        <v>136</v>
      </c>
      <c r="I139">
        <f t="shared" si="8"/>
        <v>1</v>
      </c>
    </row>
    <row r="140" spans="1:9">
      <c r="A140">
        <v>137</v>
      </c>
      <c r="B140">
        <f t="shared" si="7"/>
        <v>1</v>
      </c>
      <c r="H140">
        <v>137</v>
      </c>
      <c r="I140">
        <f t="shared" si="8"/>
        <v>1</v>
      </c>
    </row>
    <row r="141" spans="1:9">
      <c r="A141">
        <v>138</v>
      </c>
      <c r="B141">
        <f t="shared" si="7"/>
        <v>1</v>
      </c>
      <c r="H141">
        <v>138</v>
      </c>
      <c r="I141">
        <f t="shared" si="8"/>
        <v>1</v>
      </c>
    </row>
    <row r="142" spans="1:9">
      <c r="A142">
        <v>139</v>
      </c>
      <c r="B142">
        <f t="shared" si="7"/>
        <v>1</v>
      </c>
      <c r="H142">
        <v>139</v>
      </c>
      <c r="I142">
        <f t="shared" si="8"/>
        <v>1</v>
      </c>
    </row>
    <row r="143" spans="1:9">
      <c r="A143">
        <v>140</v>
      </c>
      <c r="B143">
        <f t="shared" si="7"/>
        <v>1</v>
      </c>
      <c r="H143">
        <v>140</v>
      </c>
      <c r="I143">
        <f t="shared" si="8"/>
        <v>1</v>
      </c>
    </row>
    <row r="144" spans="1:9">
      <c r="A144">
        <v>141</v>
      </c>
      <c r="B144">
        <f t="shared" si="7"/>
        <v>1</v>
      </c>
      <c r="H144">
        <v>141</v>
      </c>
      <c r="I144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Distribution</vt:lpstr>
      <vt:lpstr>The Tree</vt:lpstr>
      <vt:lpstr>posisson brute force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Ramelo</dc:creator>
  <cp:keywords/>
  <dc:description/>
  <cp:lastModifiedBy>Anthony Ramelo</cp:lastModifiedBy>
  <cp:revision/>
  <dcterms:created xsi:type="dcterms:W3CDTF">2024-04-29T22:54:14Z</dcterms:created>
  <dcterms:modified xsi:type="dcterms:W3CDTF">2024-06-06T22:24:16Z</dcterms:modified>
  <cp:category/>
  <cp:contentStatus/>
</cp:coreProperties>
</file>