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ramelo/Downloads/"/>
    </mc:Choice>
  </mc:AlternateContent>
  <xr:revisionPtr revIDLastSave="0" documentId="8_{BF67C96B-722F-E642-966F-6F9FA19623A2}" xr6:coauthVersionLast="47" xr6:coauthVersionMax="47" xr10:uidLastSave="{00000000-0000-0000-0000-000000000000}"/>
  <bookViews>
    <workbookView xWindow="0" yWindow="760" windowWidth="30240" windowHeight="17980" xr2:uid="{F0C91B26-9C45-9843-9C52-1E9DC18DE0C2}"/>
  </bookViews>
  <sheets>
    <sheet name="Distribution" sheetId="1" r:id="rId1"/>
    <sheet name="posisson brute force" sheetId="5" r:id="rId2"/>
    <sheet name="Sheet1" sheetId="2" r:id="rId3"/>
    <sheet name="5" sheetId="3" r:id="rId4"/>
    <sheet name="Sheet2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6" i="1"/>
  <c r="G149" i="1"/>
  <c r="G148" i="1"/>
  <c r="G146" i="1"/>
  <c r="G151" i="1" s="1"/>
  <c r="C136" i="1"/>
  <c r="C134" i="1"/>
  <c r="C135" i="1" s="1"/>
  <c r="C138" i="1" s="1"/>
  <c r="E12" i="1"/>
  <c r="E28" i="1"/>
  <c r="B28" i="1"/>
  <c r="F70" i="1"/>
  <c r="C70" i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3" i="5"/>
  <c r="C120" i="1"/>
  <c r="C121" i="1"/>
  <c r="C3" i="4" a="1"/>
  <c r="C3" i="4" s="1"/>
  <c r="C4" i="4"/>
  <c r="C117" i="1"/>
  <c r="C118" i="1" s="1"/>
  <c r="F96" i="1"/>
  <c r="F98" i="1"/>
  <c r="C81" i="1"/>
  <c r="S26" i="1"/>
  <c r="O128" i="1"/>
  <c r="O129" i="1" s="1"/>
  <c r="O130" i="1" s="1"/>
  <c r="O131" i="1" s="1"/>
  <c r="O132" i="1" s="1"/>
  <c r="O133" i="1" s="1"/>
  <c r="M129" i="1"/>
  <c r="M130" i="1" s="1"/>
  <c r="M131" i="1" s="1"/>
  <c r="M132" i="1" s="1"/>
  <c r="G134" i="1"/>
  <c r="G135" i="1" s="1"/>
  <c r="E16" i="2"/>
  <c r="F16" i="2"/>
  <c r="E17" i="2"/>
  <c r="H9" i="2"/>
  <c r="B12" i="2"/>
  <c r="B7" i="2"/>
  <c r="A11" i="2"/>
  <c r="B14" i="2"/>
  <c r="H5" i="2"/>
  <c r="A39" i="2"/>
  <c r="B37" i="2"/>
  <c r="B38" i="2" s="1"/>
  <c r="C35" i="2"/>
  <c r="B32" i="2"/>
  <c r="B31" i="2"/>
  <c r="C31" i="2" s="1"/>
  <c r="B29" i="2"/>
  <c r="C29" i="2" s="1"/>
  <c r="B26" i="2"/>
  <c r="B27" i="2" s="1"/>
  <c r="C24" i="2"/>
  <c r="A14" i="2"/>
  <c r="B8" i="2"/>
  <c r="C5" i="2"/>
  <c r="K82" i="1"/>
  <c r="K83" i="1" s="1"/>
  <c r="K73" i="1"/>
  <c r="K74" i="1" s="1"/>
  <c r="I77" i="3"/>
  <c r="I76" i="3"/>
  <c r="I74" i="3"/>
  <c r="H74" i="3"/>
  <c r="I67" i="3"/>
  <c r="I66" i="3"/>
  <c r="I62" i="3"/>
  <c r="I71" i="3"/>
  <c r="I70" i="3"/>
  <c r="I73" i="3" s="1"/>
  <c r="I48" i="3"/>
  <c r="I52" i="3" s="1"/>
  <c r="H37" i="3"/>
  <c r="I53" i="3"/>
  <c r="I28" i="3"/>
  <c r="I21" i="3"/>
  <c r="I25" i="3" s="1"/>
  <c r="I27" i="3" s="1"/>
  <c r="I23" i="3"/>
  <c r="C96" i="1"/>
  <c r="C98" i="1" s="1"/>
  <c r="C74" i="1"/>
  <c r="J13" i="1"/>
  <c r="B12" i="1"/>
  <c r="N39" i="1"/>
  <c r="F75" i="1"/>
  <c r="F74" i="1"/>
  <c r="C75" i="1"/>
  <c r="E30" i="1"/>
  <c r="G153" i="1" l="1"/>
  <c r="G154" i="1"/>
  <c r="C122" i="1"/>
  <c r="C125" i="1"/>
  <c r="C124" i="1"/>
  <c r="F77" i="1"/>
  <c r="F78" i="1" s="1"/>
  <c r="H6" i="2"/>
  <c r="C7" i="2"/>
  <c r="D5" i="2" s="1"/>
  <c r="D29" i="2"/>
  <c r="D35" i="2"/>
  <c r="C12" i="2"/>
  <c r="C26" i="2"/>
  <c r="C39" i="2" s="1"/>
  <c r="D24" i="2"/>
  <c r="C10" i="2"/>
  <c r="C37" i="2"/>
  <c r="E24" i="2"/>
  <c r="I55" i="3"/>
  <c r="I56" i="3" s="1"/>
  <c r="C77" i="1"/>
  <c r="C78" i="1" s="1"/>
  <c r="H61" i="1"/>
  <c r="E61" i="1"/>
  <c r="B61" i="1"/>
  <c r="E55" i="1"/>
  <c r="H55" i="1"/>
  <c r="B55" i="1"/>
  <c r="N30" i="1"/>
  <c r="K30" i="1"/>
  <c r="H30" i="1"/>
  <c r="B30" i="1"/>
  <c r="K47" i="1"/>
  <c r="H47" i="1"/>
  <c r="E47" i="1"/>
  <c r="E48" i="1" s="1"/>
  <c r="B47" i="1"/>
  <c r="K40" i="1"/>
  <c r="H40" i="1"/>
  <c r="E40" i="1"/>
  <c r="E41" i="1" s="1"/>
  <c r="B40" i="1"/>
  <c r="N22" i="1"/>
  <c r="K22" i="1"/>
  <c r="H22" i="1"/>
  <c r="E22" i="1"/>
  <c r="B22" i="1"/>
  <c r="H14" i="1"/>
  <c r="E14" i="1"/>
  <c r="B14" i="1"/>
  <c r="H5" i="1"/>
  <c r="H7" i="1" s="1"/>
  <c r="E5" i="1"/>
  <c r="E7" i="1" s="1"/>
  <c r="B7" i="1"/>
  <c r="D10" i="2" l="1"/>
  <c r="E25" i="2"/>
  <c r="F24" i="2"/>
  <c r="C14" i="2"/>
  <c r="F5" i="2"/>
  <c r="J31" i="1"/>
  <c r="G48" i="1"/>
  <c r="G41" i="1"/>
  <c r="J23" i="1"/>
</calcChain>
</file>

<file path=xl/sharedStrings.xml><?xml version="1.0" encoding="utf-8"?>
<sst xmlns="http://schemas.openxmlformats.org/spreadsheetml/2006/main" count="309" uniqueCount="147">
  <si>
    <t>Binomial Distribution</t>
  </si>
  <si>
    <t>Probabilty Equal</t>
  </si>
  <si>
    <t>Probabilty &lt;=4</t>
  </si>
  <si>
    <t>Probabilty &gt;4</t>
  </si>
  <si>
    <t>number</t>
  </si>
  <si>
    <t>Trials</t>
  </si>
  <si>
    <t>Success</t>
  </si>
  <si>
    <t>Formula Cumulative = False</t>
  </si>
  <si>
    <t>Working</t>
  </si>
  <si>
    <t>Poisson Distribution</t>
  </si>
  <si>
    <t>Probabilty &lt;=2</t>
  </si>
  <si>
    <t>Probabilty &gt;2</t>
  </si>
  <si>
    <t>1  &lt; x &lt; 4</t>
  </si>
  <si>
    <t>number of defects</t>
  </si>
  <si>
    <t>mean(lambda)</t>
  </si>
  <si>
    <t>WORKING</t>
  </si>
  <si>
    <t>Normal Distibution - to Get Z score</t>
  </si>
  <si>
    <t>Scaling the Variance</t>
  </si>
  <si>
    <t>P(X&lt;365)</t>
  </si>
  <si>
    <t>P(X&gt;365)</t>
  </si>
  <si>
    <t>P(345&lt;X&lt;355)</t>
  </si>
  <si>
    <t>scale</t>
  </si>
  <si>
    <t>X</t>
  </si>
  <si>
    <t>variance</t>
  </si>
  <si>
    <t>mean</t>
  </si>
  <si>
    <t>Standard Deviation</t>
  </si>
  <si>
    <t>Answer</t>
  </si>
  <si>
    <t>Formula Cumulative = True</t>
  </si>
  <si>
    <t>Normal Distibution - Inverse (Given the Probability)</t>
  </si>
  <si>
    <t>P(X&lt;350)</t>
  </si>
  <si>
    <t>P(X&lt;=350)</t>
  </si>
  <si>
    <t>Z Value for Proportions</t>
  </si>
  <si>
    <t>Regular Z test</t>
  </si>
  <si>
    <t>p( X&lt;?)</t>
  </si>
  <si>
    <t>p( X&gt;?)</t>
  </si>
  <si>
    <t>phat</t>
  </si>
  <si>
    <t>p hat</t>
  </si>
  <si>
    <t>n</t>
  </si>
  <si>
    <t>p0</t>
  </si>
  <si>
    <t xml:space="preserve">acceptance rate </t>
  </si>
  <si>
    <t>probabilty</t>
  </si>
  <si>
    <t>z</t>
  </si>
  <si>
    <t>top</t>
  </si>
  <si>
    <t xml:space="preserve">P value </t>
  </si>
  <si>
    <t>bottom</t>
  </si>
  <si>
    <t>z value</t>
  </si>
  <si>
    <t>p(z&lt;=-0.96448564) = p(z&gt;=0.96448564)</t>
  </si>
  <si>
    <t>probability</t>
  </si>
  <si>
    <t>p&gt;alpha</t>
  </si>
  <si>
    <t>assume alpha = 0.03</t>
  </si>
  <si>
    <t>do not reject H0</t>
  </si>
  <si>
    <t xml:space="preserve">do not lower expection rate </t>
  </si>
  <si>
    <t>alpha</t>
  </si>
  <si>
    <t>acceptance</t>
  </si>
  <si>
    <t>T statistic One Tail</t>
  </si>
  <si>
    <t>P(x&lt;?)</t>
  </si>
  <si>
    <t xml:space="preserve">mu </t>
  </si>
  <si>
    <t>x bar</t>
  </si>
  <si>
    <t>std</t>
  </si>
  <si>
    <t>t statistic</t>
  </si>
  <si>
    <t>p-value</t>
  </si>
  <si>
    <t>Confidence Interval</t>
  </si>
  <si>
    <t>n = sample size</t>
  </si>
  <si>
    <t>average</t>
  </si>
  <si>
    <t>standard deviation</t>
  </si>
  <si>
    <t>alpa</t>
  </si>
  <si>
    <t>alpha one tailed</t>
  </si>
  <si>
    <t>standard error of the mean</t>
  </si>
  <si>
    <t>T Value</t>
  </si>
  <si>
    <t>Margin of Error</t>
  </si>
  <si>
    <t xml:space="preserve">lower bound </t>
  </si>
  <si>
    <t xml:space="preserve">upper bound </t>
  </si>
  <si>
    <t>Finding Sample size (n)</t>
  </si>
  <si>
    <r>
      <t>Confidence interval to find N</t>
    </r>
    <r>
      <rPr>
        <sz val="12"/>
        <color theme="1"/>
        <rFont val="Calibri"/>
        <family val="2"/>
        <scheme val="minor"/>
      </rPr>
      <t xml:space="preserve"> (proportion)</t>
    </r>
  </si>
  <si>
    <t>Proportion (but use alpha to be conservative</t>
  </si>
  <si>
    <t>E (Desired room for Error)</t>
  </si>
  <si>
    <t>E (room for Error)</t>
  </si>
  <si>
    <t>za/2</t>
  </si>
  <si>
    <t xml:space="preserve">n = </t>
  </si>
  <si>
    <t>Confidence interval (proportion using N from above)</t>
  </si>
  <si>
    <t xml:space="preserve">Phat +- </t>
  </si>
  <si>
    <t xml:space="preserve">lower bound = </t>
  </si>
  <si>
    <t xml:space="preserve">upper bound = </t>
  </si>
  <si>
    <t>lambda</t>
  </si>
  <si>
    <t>P(B|A)</t>
  </si>
  <si>
    <t>(AnB)</t>
  </si>
  <si>
    <t xml:space="preserve">The rain example from the practice. We were missing P(B|'A) and P('B|'A) </t>
  </si>
  <si>
    <t>P(A)</t>
  </si>
  <si>
    <t>1.a</t>
  </si>
  <si>
    <t>P('B|A)</t>
  </si>
  <si>
    <t>(An'B)</t>
  </si>
  <si>
    <t>Bayes theorem</t>
  </si>
  <si>
    <t>P(B|'A)</t>
  </si>
  <si>
    <t>('AnB)</t>
  </si>
  <si>
    <t>P('A)</t>
  </si>
  <si>
    <t>P('B|'A)</t>
  </si>
  <si>
    <t>('An'B)</t>
  </si>
  <si>
    <t>P(D|B)</t>
  </si>
  <si>
    <t>(BnD)</t>
  </si>
  <si>
    <t>P(B)</t>
  </si>
  <si>
    <t>P('D|B)</t>
  </si>
  <si>
    <t>(Bn'D)</t>
  </si>
  <si>
    <t>P(D|F)</t>
  </si>
  <si>
    <t>(FnD)</t>
  </si>
  <si>
    <t>P(F)</t>
  </si>
  <si>
    <t>P('D|F)</t>
  </si>
  <si>
    <t>(Fn'D)</t>
  </si>
  <si>
    <t>P(D|P)</t>
  </si>
  <si>
    <t>(PnD)</t>
  </si>
  <si>
    <t>P(P)</t>
  </si>
  <si>
    <t>P('D|P)</t>
  </si>
  <si>
    <t>(Pn'D)</t>
  </si>
  <si>
    <t>Codes for 'Satisfaction'</t>
  </si>
  <si>
    <t>Codes for 'Male'</t>
  </si>
  <si>
    <t>there is customer service satisfaction if there is a difference in this year and last years results</t>
  </si>
  <si>
    <t>Very Satisfied</t>
  </si>
  <si>
    <t>Male</t>
  </si>
  <si>
    <t>More than Satisfied</t>
  </si>
  <si>
    <t>Others</t>
  </si>
  <si>
    <t>Satisfied</t>
  </si>
  <si>
    <t>Partially Satisfied</t>
  </si>
  <si>
    <t>Not at All Satisfied</t>
  </si>
  <si>
    <t>Respondent</t>
  </si>
  <si>
    <t>Satisfaction</t>
  </si>
  <si>
    <t>a.</t>
  </si>
  <si>
    <t>H1 = Average has changed if the average is not 3.2</t>
  </si>
  <si>
    <t>H0 = Average has not changed if the average is 3.2</t>
  </si>
  <si>
    <t>H1 = mu &lt;&gt; 3.2</t>
  </si>
  <si>
    <t>H0 = Mu = 3.2</t>
  </si>
  <si>
    <t xml:space="preserve">two tailed = </t>
  </si>
  <si>
    <t>Since P Value is less than alpha we reject H0 and embrace H1</t>
  </si>
  <si>
    <t>b.</t>
  </si>
  <si>
    <t>Very Satisified</t>
  </si>
  <si>
    <t>More than Stisfied</t>
  </si>
  <si>
    <t>H1 = Historical rate has increased from  last years historical rate of 35%</t>
  </si>
  <si>
    <t>H0 = Historical rate is less than and equal from last years historical rate of 35%</t>
  </si>
  <si>
    <t>H1 = p0 &gt; 0.35</t>
  </si>
  <si>
    <t>H0 = p0 &lt;= 0.35</t>
  </si>
  <si>
    <t>Proportions</t>
  </si>
  <si>
    <t>P(X&gt;0.35)</t>
  </si>
  <si>
    <t>Since P-Value &gt; 0.03 we fail to reject the H0 and do not embrace H1</t>
  </si>
  <si>
    <t>c.</t>
  </si>
  <si>
    <t>30/50 are male</t>
  </si>
  <si>
    <t xml:space="preserve">It is unlikely that we will see a male ratio of 60%. 97% Confident that the mean is between –2.17 and 2.17, its very unlikely that the mean will lie outside of the range. </t>
  </si>
  <si>
    <t>historical</t>
  </si>
  <si>
    <t>Critical Range = +-</t>
  </si>
  <si>
    <t>A1: 275.80 A2: 272.52 A3: 296.38 A4: 322.18 A5: 278.52 A6: 280.08 A7: 321.99 A8: 314.39 A9: 267.18 A10: 304.13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</si>
</sst>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"/>
    <numFmt numFmtId="165" formatCode="0.0000000000000"/>
    <numFmt numFmtId="166" formatCode="0.00000"/>
    <numFmt numFmtId="167" formatCode="0.000"/>
    <numFmt numFmtId="168" formatCode="0.0000"/>
    <numFmt numFmtId="169" formatCode="0.00000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F1F1F"/>
      <name val="Google Sans"/>
    </font>
    <font>
      <b/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Aptos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6"/>
      <color rgb="FF333333"/>
      <name val="Inherit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FF0000"/>
      <name val="Monac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4" xfId="0" applyBorder="1"/>
    <xf numFmtId="0" fontId="2" fillId="3" borderId="0" xfId="0" applyFont="1" applyFill="1"/>
    <xf numFmtId="0" fontId="2" fillId="3" borderId="5" xfId="0" applyFont="1" applyFill="1" applyBorder="1"/>
    <xf numFmtId="0" fontId="2" fillId="0" borderId="4" xfId="0" applyFont="1" applyBorder="1"/>
    <xf numFmtId="164" fontId="2" fillId="0" borderId="0" xfId="0" applyNumberFormat="1" applyFont="1"/>
    <xf numFmtId="0" fontId="0" fillId="0" borderId="5" xfId="0" applyBorder="1"/>
    <xf numFmtId="0" fontId="4" fillId="3" borderId="0" xfId="0" applyFont="1" applyFill="1"/>
    <xf numFmtId="0" fontId="2" fillId="2" borderId="0" xfId="0" applyFont="1" applyFill="1"/>
    <xf numFmtId="0" fontId="2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3" borderId="0" xfId="0" applyFont="1" applyFill="1"/>
    <xf numFmtId="0" fontId="3" fillId="3" borderId="5" xfId="0" applyFont="1" applyFill="1" applyBorder="1"/>
    <xf numFmtId="0" fontId="4" fillId="3" borderId="5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0" fillId="3" borderId="0" xfId="0" applyFill="1"/>
    <xf numFmtId="0" fontId="0" fillId="3" borderId="5" xfId="0" applyFill="1" applyBorder="1"/>
    <xf numFmtId="0" fontId="1" fillId="3" borderId="0" xfId="0" applyFont="1" applyFill="1"/>
    <xf numFmtId="0" fontId="1" fillId="0" borderId="5" xfId="0" applyFont="1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1" fillId="3" borderId="7" xfId="0" applyFont="1" applyFill="1" applyBorder="1"/>
    <xf numFmtId="0" fontId="1" fillId="3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3" borderId="5" xfId="0" applyFont="1" applyFill="1" applyBorder="1"/>
    <xf numFmtId="0" fontId="1" fillId="3" borderId="5" xfId="0" applyFont="1" applyFill="1" applyBorder="1"/>
    <xf numFmtId="0" fontId="1" fillId="0" borderId="0" xfId="0" applyFont="1"/>
    <xf numFmtId="0" fontId="1" fillId="2" borderId="0" xfId="0" applyFont="1" applyFill="1"/>
    <xf numFmtId="0" fontId="5" fillId="2" borderId="5" xfId="0" applyFont="1" applyFill="1" applyBorder="1"/>
    <xf numFmtId="165" fontId="1" fillId="3" borderId="0" xfId="0" applyNumberFormat="1" applyFont="1" applyFill="1"/>
    <xf numFmtId="0" fontId="1" fillId="0" borderId="4" xfId="0" applyFont="1" applyBorder="1"/>
    <xf numFmtId="0" fontId="1" fillId="0" borderId="6" xfId="0" applyFont="1" applyBorder="1"/>
    <xf numFmtId="0" fontId="0" fillId="0" borderId="0" xfId="0" quotePrefix="1"/>
    <xf numFmtId="166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8" fillId="0" borderId="0" xfId="0" applyFont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10" fillId="0" borderId="9" xfId="0" applyFont="1" applyBorder="1"/>
    <xf numFmtId="0" fontId="11" fillId="5" borderId="0" xfId="0" applyFont="1" applyFill="1"/>
    <xf numFmtId="0" fontId="11" fillId="0" borderId="0" xfId="0" applyFont="1"/>
    <xf numFmtId="2" fontId="10" fillId="5" borderId="0" xfId="0" applyNumberFormat="1" applyFont="1" applyFill="1"/>
    <xf numFmtId="0" fontId="10" fillId="0" borderId="11" xfId="0" applyFont="1" applyBorder="1"/>
    <xf numFmtId="167" fontId="11" fillId="5" borderId="0" xfId="0" applyNumberFormat="1" applyFont="1" applyFill="1"/>
    <xf numFmtId="167" fontId="11" fillId="0" borderId="0" xfId="0" applyNumberFormat="1" applyFont="1"/>
    <xf numFmtId="0" fontId="10" fillId="3" borderId="10" xfId="0" applyFont="1" applyFill="1" applyBorder="1"/>
    <xf numFmtId="0" fontId="10" fillId="2" borderId="10" xfId="0" applyFont="1" applyFill="1" applyBorder="1"/>
    <xf numFmtId="2" fontId="10" fillId="2" borderId="10" xfId="0" applyNumberFormat="1" applyFont="1" applyFill="1" applyBorder="1"/>
    <xf numFmtId="168" fontId="10" fillId="2" borderId="10" xfId="0" applyNumberFormat="1" applyFont="1" applyFill="1" applyBorder="1"/>
    <xf numFmtId="166" fontId="10" fillId="2" borderId="10" xfId="0" applyNumberFormat="1" applyFont="1" applyFill="1" applyBorder="1"/>
    <xf numFmtId="169" fontId="10" fillId="3" borderId="10" xfId="0" applyNumberFormat="1" applyFont="1" applyFill="1" applyBorder="1"/>
    <xf numFmtId="169" fontId="10" fillId="0" borderId="0" xfId="0" applyNumberFormat="1" applyFont="1"/>
    <xf numFmtId="2" fontId="0" fillId="0" borderId="0" xfId="0" applyNumberFormat="1"/>
    <xf numFmtId="169" fontId="4" fillId="3" borderId="0" xfId="0" applyNumberFormat="1" applyFont="1" applyFill="1"/>
    <xf numFmtId="169" fontId="4" fillId="3" borderId="5" xfId="0" applyNumberFormat="1" applyFont="1" applyFill="1" applyBorder="1"/>
    <xf numFmtId="0" fontId="12" fillId="0" borderId="0" xfId="0" applyFont="1"/>
    <xf numFmtId="166" fontId="0" fillId="3" borderId="0" xfId="0" applyNumberFormat="1" applyFill="1"/>
    <xf numFmtId="169" fontId="0" fillId="3" borderId="0" xfId="0" applyNumberFormat="1" applyFill="1"/>
    <xf numFmtId="169" fontId="1" fillId="3" borderId="0" xfId="0" applyNumberFormat="1" applyFont="1" applyFill="1"/>
    <xf numFmtId="2" fontId="0" fillId="3" borderId="0" xfId="0" applyNumberFormat="1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169" fontId="1" fillId="3" borderId="0" xfId="0" applyNumberFormat="1" applyFont="1" applyFill="1" applyAlignment="1">
      <alignment horizontal="center"/>
    </xf>
    <xf numFmtId="169" fontId="1" fillId="3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596900</xdr:colOff>
      <xdr:row>70</xdr:row>
      <xdr:rowOff>139700</xdr:rowOff>
    </xdr:from>
    <xdr:to>
      <xdr:col>7</xdr:col>
      <xdr:colOff>1493418</xdr:colOff>
      <xdr:row>76</xdr:row>
      <xdr:rowOff>1109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3E2AF6-878F-03B0-8FD5-63E1C058A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1200" y="14465300"/>
          <a:ext cx="2647950" cy="10763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99</xdr:row>
      <xdr:rowOff>101600</xdr:rowOff>
    </xdr:from>
    <xdr:to>
      <xdr:col>5</xdr:col>
      <xdr:colOff>612812</xdr:colOff>
      <xdr:row>105</xdr:row>
      <xdr:rowOff>92223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8F2C50-3DAA-7A06-1841-18EE517C3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20320000"/>
          <a:ext cx="3657600" cy="1209822"/>
        </a:xfrm>
        <a:prstGeom prst="rect">
          <a:avLst/>
        </a:prstGeom>
      </xdr:spPr>
    </xdr:pic>
    <xdr:clientData/>
  </xdr:twoCellAnchor>
  <xdr:twoCellAnchor editAs="oneCell">
    <xdr:from>
      <xdr:col>4</xdr:col>
      <xdr:colOff>358008</xdr:colOff>
      <xdr:row>112</xdr:row>
      <xdr:rowOff>74265</xdr:rowOff>
    </xdr:from>
    <xdr:to>
      <xdr:col>6</xdr:col>
      <xdr:colOff>1433565</xdr:colOff>
      <xdr:row>115</xdr:row>
      <xdr:rowOff>95219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D36E24-F43E-CA71-D4D0-E44713D2E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79502" y="23124035"/>
          <a:ext cx="3192224" cy="634058"/>
        </a:xfrm>
        <a:prstGeom prst="rect">
          <a:avLst/>
        </a:prstGeom>
      </xdr:spPr>
    </xdr:pic>
    <xdr:clientData/>
  </xdr:twoCellAnchor>
  <xdr:twoCellAnchor editAs="oneCell">
    <xdr:from>
      <xdr:col>12</xdr:col>
      <xdr:colOff>642298</xdr:colOff>
      <xdr:row>70</xdr:row>
      <xdr:rowOff>72988</xdr:rowOff>
    </xdr:from>
    <xdr:to>
      <xdr:col>22</xdr:col>
      <xdr:colOff>105541</xdr:colOff>
      <xdr:row>77</xdr:row>
      <xdr:rowOff>102913</xdr:rowOff>
    </xdr:to>
    <xdr:pic>
      <xdr:nvPicPr>
        <xdr:cNvPr id="5" name="Picture 4" descr="enter image source here">
          <a:extLst>
            <a:ext uri="{FF2B5EF4-FFF2-40B4-BE49-F238E27FC236}">
              <a16:creationId xmlns:a16="http://schemas.microsoft.com/office/drawing/2014/main" id="{BC8C62CF-8AAC-971B-BF42-35490E234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7241" y="14539310"/>
          <a:ext cx="8688990" cy="146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1212008</xdr:colOff>
      <xdr:row>128</xdr:row>
      <xdr:rowOff>49819</xdr:rowOff>
    </xdr:from>
    <xdr:to>
      <xdr:col>11</xdr:col>
      <xdr:colOff>706581</xdr:colOff>
      <xdr:row>133</xdr:row>
      <xdr:rowOff>127206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A075B55-C63C-58BB-EAF0-DFFB4EC08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82742" y="25647892"/>
          <a:ext cx="4469711" cy="1067754"/>
        </a:xfrm>
        <a:prstGeom prst="rect">
          <a:avLst/>
        </a:prstGeom>
      </xdr:spPr>
    </xdr:pic>
    <xdr:clientData/>
  </xdr:twoCellAnchor>
  <xdr:twoCellAnchor editAs="oneCell">
    <xdr:from>
      <xdr:col>3</xdr:col>
      <xdr:colOff>209725</xdr:colOff>
      <xdr:row>127</xdr:row>
      <xdr:rowOff>163119</xdr:rowOff>
    </xdr:from>
    <xdr:to>
      <xdr:col>4</xdr:col>
      <xdr:colOff>607270</xdr:colOff>
      <xdr:row>131</xdr:row>
      <xdr:rowOff>120125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097669-FF6F-90EF-F961-32050712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7798" y="25563119"/>
          <a:ext cx="2133600" cy="749300"/>
        </a:xfrm>
        <a:prstGeom prst="rect">
          <a:avLst/>
        </a:prstGeom>
      </xdr:spPr>
    </xdr:pic>
    <xdr:clientData/>
  </xdr:twoCellAnchor>
  <xdr:twoCellAnchor editAs="oneCell">
    <xdr:from>
      <xdr:col>7</xdr:col>
      <xdr:colOff>1106881</xdr:colOff>
      <xdr:row>140</xdr:row>
      <xdr:rowOff>58257</xdr:rowOff>
    </xdr:from>
    <xdr:to>
      <xdr:col>10</xdr:col>
      <xdr:colOff>278206</xdr:colOff>
      <xdr:row>145</xdr:row>
      <xdr:rowOff>86832</xdr:rowOff>
    </xdr:to>
    <xdr:pic>
      <xdr:nvPicPr>
        <xdr:cNvPr id="9" name="Picture 7">
          <a:extLst>
            <a:ext uri="{FF2B5EF4-FFF2-40B4-BE49-F238E27FC236}">
              <a16:creationId xmlns:a16="http://schemas.microsoft.com/office/drawing/2014/main" id="{D0E92A3A-6D7F-DFCB-0ED8-D11F5B887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977615" y="28033211"/>
          <a:ext cx="3314700" cy="102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546100</xdr:colOff>
      <xdr:row>66</xdr:row>
      <xdr:rowOff>127000</xdr:rowOff>
    </xdr:from>
    <xdr:to>
      <xdr:col>15</xdr:col>
      <xdr:colOff>558800</xdr:colOff>
      <xdr:row>74</xdr:row>
      <xdr:rowOff>114300</xdr:rowOff>
    </xdr:to>
    <xdr:pic>
      <xdr:nvPicPr>
        <xdr:cNvPr id="4" name="Picture 3" descr="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">
          <a:extLst>
            <a:ext uri="{FF2B5EF4-FFF2-40B4-BE49-F238E27FC236}">
              <a16:creationId xmlns:a16="http://schemas.microsoft.com/office/drawing/2014/main" id="{750BED79-D5F0-F43A-EBC5-598B6CA1E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3538200"/>
          <a:ext cx="4140200" cy="161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368300</xdr:colOff>
      <xdr:row>44</xdr:row>
      <xdr:rowOff>139700</xdr:rowOff>
    </xdr:from>
    <xdr:to>
      <xdr:col>16</xdr:col>
      <xdr:colOff>762000</xdr:colOff>
      <xdr:row>55</xdr:row>
      <xdr:rowOff>177800</xdr:rowOff>
    </xdr:to>
    <xdr:pic>
      <xdr:nvPicPr>
        <xdr:cNvPr id="6" name="Picture 5" descr="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Ink Drawings&#10;">
          <a:extLst>
            <a:ext uri="{FF2B5EF4-FFF2-40B4-BE49-F238E27FC236}">
              <a16:creationId xmlns:a16="http://schemas.microsoft.com/office/drawing/2014/main" id="{E3EE2268-105D-E003-CBB2-1A6066567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9080500"/>
          <a:ext cx="4521200" cy="227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635000</xdr:colOff>
      <xdr:row>18</xdr:row>
      <xdr:rowOff>76200</xdr:rowOff>
    </xdr:from>
    <xdr:to>
      <xdr:col>15</xdr:col>
      <xdr:colOff>774700</xdr:colOff>
      <xdr:row>25</xdr:row>
      <xdr:rowOff>101600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69CF54E-66CF-3ECC-E279-61AA0145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0800" y="3733800"/>
          <a:ext cx="3441700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3EB2-4DE3-424E-A0C5-D916E4FB0CA3}">
  <dimension ref="A1:S154"/>
  <sheetViews>
    <sheetView tabSelected="1" topLeftCell="B114" zoomScale="109" zoomScaleNormal="80" workbookViewId="0">
      <selection activeCell="H122" sqref="H122"/>
    </sheetView>
  </sheetViews>
  <sheetFormatPr baseColWidth="10" defaultColWidth="11" defaultRowHeight="16"/>
  <cols>
    <col min="1" max="1" width="22.1640625" bestFit="1" customWidth="1"/>
    <col min="2" max="2" width="33.5" customWidth="1"/>
    <col min="3" max="3" width="13.6640625" bestFit="1" customWidth="1"/>
    <col min="4" max="4" width="22.83203125" bestFit="1" customWidth="1"/>
    <col min="6" max="6" width="16.83203125" bestFit="1" customWidth="1"/>
    <col min="7" max="7" width="22.83203125" bestFit="1" customWidth="1"/>
    <col min="8" max="8" width="23" bestFit="1" customWidth="1"/>
    <col min="9" max="9" width="8.5" customWidth="1"/>
    <col min="10" max="10" width="22.83203125" bestFit="1" customWidth="1"/>
    <col min="13" max="13" width="22.83203125" bestFit="1" customWidth="1"/>
  </cols>
  <sheetData>
    <row r="1" spans="1:10">
      <c r="A1" s="70" t="s">
        <v>0</v>
      </c>
      <c r="B1" s="71"/>
      <c r="C1" s="71"/>
      <c r="D1" s="71"/>
      <c r="E1" s="71"/>
      <c r="F1" s="71"/>
      <c r="G1" s="71"/>
      <c r="H1" s="72"/>
    </row>
    <row r="2" spans="1:10">
      <c r="A2" s="73" t="s">
        <v>1</v>
      </c>
      <c r="B2" s="74"/>
      <c r="D2" s="74" t="s">
        <v>2</v>
      </c>
      <c r="E2" s="74"/>
      <c r="G2" s="74" t="s">
        <v>3</v>
      </c>
      <c r="H2" s="75"/>
    </row>
    <row r="3" spans="1:10">
      <c r="A3" t="s">
        <v>4</v>
      </c>
      <c r="B3" s="5">
        <v>43</v>
      </c>
      <c r="D3" t="s">
        <v>4</v>
      </c>
      <c r="E3" s="5">
        <v>2</v>
      </c>
      <c r="G3" t="s">
        <v>4</v>
      </c>
      <c r="H3" s="6">
        <v>3</v>
      </c>
    </row>
    <row r="4" spans="1:10">
      <c r="A4" s="7" t="s">
        <v>5</v>
      </c>
      <c r="B4" s="5">
        <v>50</v>
      </c>
      <c r="C4" s="1"/>
      <c r="D4" s="1" t="s">
        <v>5</v>
      </c>
      <c r="E4" s="5">
        <v>4</v>
      </c>
      <c r="G4" s="1" t="s">
        <v>5</v>
      </c>
      <c r="H4" s="6">
        <v>4</v>
      </c>
    </row>
    <row r="5" spans="1:10">
      <c r="A5" s="7" t="s">
        <v>6</v>
      </c>
      <c r="B5" s="16">
        <v>0.86</v>
      </c>
      <c r="C5" s="1"/>
      <c r="D5" s="1" t="s">
        <v>6</v>
      </c>
      <c r="E5" s="16">
        <f>1/6</f>
        <v>0.16666666666666666</v>
      </c>
      <c r="G5" s="1" t="s">
        <v>6</v>
      </c>
      <c r="H5" s="17">
        <f>1/6</f>
        <v>0.16666666666666666</v>
      </c>
    </row>
    <row r="6" spans="1:10">
      <c r="A6" s="4"/>
      <c r="C6" s="8"/>
      <c r="H6" s="9"/>
      <c r="J6">
        <f>90*(1/10)*36</f>
        <v>324</v>
      </c>
    </row>
    <row r="7" spans="1:10">
      <c r="A7" s="7" t="s">
        <v>7</v>
      </c>
      <c r="B7" s="10">
        <f>_xlfn.BINOM.DIST(B3,B4,B5,FALSE)</f>
        <v>0.16063024375372348</v>
      </c>
      <c r="D7" s="1" t="s">
        <v>7</v>
      </c>
      <c r="E7" s="10">
        <f>_xlfn.BINOM.DIST(E3,E4,E5,TRUE)</f>
        <v>0.98379629629629628</v>
      </c>
      <c r="G7" s="1" t="s">
        <v>7</v>
      </c>
      <c r="H7" s="18">
        <f>1-_xlfn.BINOM.DIST(H3,H4,H5,TRUE)</f>
        <v>7.7160493827155285E-4</v>
      </c>
    </row>
    <row r="8" spans="1:10">
      <c r="A8" s="4"/>
      <c r="H8" s="9"/>
    </row>
    <row r="9" spans="1:10">
      <c r="A9" s="81" t="s">
        <v>8</v>
      </c>
      <c r="B9" s="82"/>
      <c r="C9" s="82"/>
      <c r="D9" s="82"/>
      <c r="E9" s="82"/>
      <c r="F9" s="82"/>
      <c r="G9" s="82"/>
      <c r="H9" s="83"/>
    </row>
    <row r="10" spans="1:10">
      <c r="A10" t="s">
        <v>4</v>
      </c>
      <c r="B10" s="11">
        <v>2</v>
      </c>
      <c r="D10" t="s">
        <v>4</v>
      </c>
      <c r="E10" s="11">
        <v>0</v>
      </c>
      <c r="G10" t="s">
        <v>4</v>
      </c>
      <c r="H10" s="12">
        <v>13</v>
      </c>
      <c r="J10">
        <f>20/2</f>
        <v>10</v>
      </c>
    </row>
    <row r="11" spans="1:10">
      <c r="A11" s="7" t="s">
        <v>5</v>
      </c>
      <c r="B11" s="11">
        <v>7</v>
      </c>
      <c r="C11" s="1"/>
      <c r="D11" s="1" t="s">
        <v>5</v>
      </c>
      <c r="E11" s="11">
        <v>36</v>
      </c>
      <c r="G11" s="1" t="s">
        <v>5</v>
      </c>
      <c r="H11" s="12">
        <v>38</v>
      </c>
    </row>
    <row r="12" spans="1:10">
      <c r="A12" s="7" t="s">
        <v>6</v>
      </c>
      <c r="B12" s="19">
        <f>3/10</f>
        <v>0.3</v>
      </c>
      <c r="C12" s="1"/>
      <c r="D12" s="1" t="s">
        <v>6</v>
      </c>
      <c r="E12" s="19">
        <f>1/90</f>
        <v>1.1111111111111112E-2</v>
      </c>
      <c r="G12" s="1" t="s">
        <v>6</v>
      </c>
      <c r="H12" s="20">
        <v>0.2</v>
      </c>
    </row>
    <row r="13" spans="1:10">
      <c r="A13" s="4"/>
      <c r="C13" s="8"/>
      <c r="H13" s="9"/>
      <c r="J13">
        <f>_xlfn.NORM.S.INV(0.985)</f>
        <v>2.1700903775845601</v>
      </c>
    </row>
    <row r="14" spans="1:10">
      <c r="A14" s="7" t="s">
        <v>7</v>
      </c>
      <c r="B14" s="63">
        <f>_xlfn.BINOM.DIST(B10,B11,B12,FALSE)</f>
        <v>0.31765230000000005</v>
      </c>
      <c r="D14" s="1" t="s">
        <v>7</v>
      </c>
      <c r="E14" s="63">
        <f>_xlfn.BINOM.DIST(E10,E11,E12,TRUE)</f>
        <v>0.66882099775982451</v>
      </c>
      <c r="G14" s="1" t="s">
        <v>7</v>
      </c>
      <c r="H14" s="64">
        <f>1-_xlfn.BINOM.DIST(H10,H11,H12,TRUE)</f>
        <v>1.2033646768274009E-2</v>
      </c>
    </row>
    <row r="15" spans="1:10" ht="17" thickBot="1">
      <c r="A15" s="13"/>
      <c r="B15" s="14"/>
      <c r="C15" s="14"/>
      <c r="D15" s="14"/>
      <c r="E15" s="14"/>
      <c r="F15" s="14"/>
      <c r="G15" s="14"/>
      <c r="H15" s="15"/>
    </row>
    <row r="16" spans="1:10" ht="17" thickBot="1"/>
    <row r="17" spans="1:19">
      <c r="A17" s="70" t="s">
        <v>9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2"/>
    </row>
    <row r="18" spans="1:19">
      <c r="A18" s="73" t="s">
        <v>1</v>
      </c>
      <c r="B18" s="74"/>
      <c r="D18" s="74" t="s">
        <v>10</v>
      </c>
      <c r="E18" s="74"/>
      <c r="G18" s="74" t="s">
        <v>11</v>
      </c>
      <c r="H18" s="74"/>
      <c r="J18" s="74" t="s">
        <v>12</v>
      </c>
      <c r="K18" s="74"/>
      <c r="L18" s="74"/>
      <c r="M18" s="74"/>
      <c r="N18" s="75"/>
    </row>
    <row r="19" spans="1:19">
      <c r="A19" s="4" t="s">
        <v>13</v>
      </c>
      <c r="B19" s="5">
        <v>0</v>
      </c>
      <c r="D19" t="s">
        <v>13</v>
      </c>
      <c r="E19" s="5">
        <v>2</v>
      </c>
      <c r="G19" t="s">
        <v>13</v>
      </c>
      <c r="H19" s="5">
        <v>2</v>
      </c>
      <c r="J19" t="s">
        <v>13</v>
      </c>
      <c r="K19" s="5">
        <v>1</v>
      </c>
      <c r="M19" t="s">
        <v>13</v>
      </c>
      <c r="N19" s="6">
        <v>4</v>
      </c>
      <c r="O19" s="1"/>
    </row>
    <row r="20" spans="1:19">
      <c r="A20" s="7" t="s">
        <v>14</v>
      </c>
      <c r="B20" s="5">
        <v>0.96</v>
      </c>
      <c r="C20" s="1"/>
      <c r="D20" s="7" t="s">
        <v>14</v>
      </c>
      <c r="E20" s="5">
        <v>2.2999999999999998</v>
      </c>
      <c r="G20" s="7" t="s">
        <v>14</v>
      </c>
      <c r="H20" s="5">
        <v>2.2999999999999998</v>
      </c>
      <c r="J20" s="7" t="s">
        <v>14</v>
      </c>
      <c r="K20" s="5">
        <v>2.2999999999999998</v>
      </c>
      <c r="M20" s="7" t="s">
        <v>14</v>
      </c>
      <c r="N20" s="6">
        <v>2.2999999999999998</v>
      </c>
      <c r="O20" s="1"/>
    </row>
    <row r="21" spans="1:19">
      <c r="A21" s="4"/>
      <c r="C21" s="8"/>
      <c r="N21" s="9"/>
    </row>
    <row r="22" spans="1:19">
      <c r="A22" s="7" t="s">
        <v>7</v>
      </c>
      <c r="B22" s="10">
        <f>_xlfn.POISSON.DIST(B19,B20,FALSE)</f>
        <v>0.38289288597511206</v>
      </c>
      <c r="D22" s="1" t="s">
        <v>7</v>
      </c>
      <c r="E22" s="10">
        <f>_xlfn.POISSON.DIST(E19,E20,TRUE)</f>
        <v>0.59603882593206814</v>
      </c>
      <c r="G22" s="1" t="s">
        <v>7</v>
      </c>
      <c r="H22" s="10">
        <f>1-_xlfn.POISSON.DIST(H19,H20,TRUE)</f>
        <v>0.40396117406793186</v>
      </c>
      <c r="J22" s="1" t="s">
        <v>7</v>
      </c>
      <c r="K22" s="5">
        <f>_xlfn.POISSON.DIST(K19,K20,TRUE)</f>
        <v>0.33085418428525237</v>
      </c>
      <c r="M22" s="1" t="s">
        <v>7</v>
      </c>
      <c r="N22" s="6">
        <f>_xlfn.POISSON.DIST(N19,N20,TRUE)</f>
        <v>0.91624928072059841</v>
      </c>
      <c r="O22" s="1"/>
    </row>
    <row r="23" spans="1:19">
      <c r="A23" s="4"/>
      <c r="J23" s="76">
        <f>N22-K22</f>
        <v>0.58539509643534604</v>
      </c>
      <c r="K23" s="76"/>
      <c r="L23" s="76"/>
      <c r="M23" s="76"/>
      <c r="N23" s="77"/>
    </row>
    <row r="24" spans="1:19" ht="16" customHeight="1">
      <c r="A24" s="4"/>
      <c r="N24" s="9"/>
    </row>
    <row r="25" spans="1:19">
      <c r="A25" s="81" t="s">
        <v>15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3"/>
    </row>
    <row r="26" spans="1:19">
      <c r="A26" s="73" t="s">
        <v>1</v>
      </c>
      <c r="B26" s="74"/>
      <c r="D26" s="74" t="s">
        <v>10</v>
      </c>
      <c r="E26" s="74"/>
      <c r="G26" s="74" t="s">
        <v>11</v>
      </c>
      <c r="H26" s="74"/>
      <c r="J26" s="74" t="s">
        <v>12</v>
      </c>
      <c r="K26" s="74"/>
      <c r="L26" s="74"/>
      <c r="M26" s="74"/>
      <c r="N26" s="75"/>
      <c r="S26">
        <f>_xlfn.POISSON.DIST(20,17,TRUE)</f>
        <v>0.80548054626680976</v>
      </c>
    </row>
    <row r="27" spans="1:19">
      <c r="A27" s="4" t="s">
        <v>13</v>
      </c>
      <c r="B27" s="11">
        <v>0</v>
      </c>
      <c r="D27" t="s">
        <v>13</v>
      </c>
      <c r="E27" s="11">
        <v>3</v>
      </c>
      <c r="G27" t="s">
        <v>13</v>
      </c>
      <c r="H27" s="11">
        <v>1</v>
      </c>
      <c r="J27" t="s">
        <v>13</v>
      </c>
      <c r="K27" s="11">
        <v>1</v>
      </c>
      <c r="M27" t="s">
        <v>13</v>
      </c>
      <c r="N27" s="12">
        <v>4</v>
      </c>
    </row>
    <row r="28" spans="1:19">
      <c r="A28" s="7" t="s">
        <v>14</v>
      </c>
      <c r="B28" s="11">
        <f>12*(1/90)</f>
        <v>0.13333333333333333</v>
      </c>
      <c r="C28" s="1"/>
      <c r="D28" s="7" t="s">
        <v>14</v>
      </c>
      <c r="E28" s="11">
        <f>12*(1/90)</f>
        <v>0.13333333333333333</v>
      </c>
      <c r="G28" s="7" t="s">
        <v>14</v>
      </c>
      <c r="H28" s="11">
        <v>0.4</v>
      </c>
      <c r="J28" s="7" t="s">
        <v>14</v>
      </c>
      <c r="K28" s="11">
        <v>2.2999999999999998</v>
      </c>
      <c r="M28" s="7" t="s">
        <v>14</v>
      </c>
      <c r="N28" s="12">
        <v>2.2999999999999998</v>
      </c>
    </row>
    <row r="29" spans="1:19">
      <c r="A29" s="4"/>
      <c r="C29" s="8"/>
      <c r="E29" s="62"/>
      <c r="N29" s="9"/>
    </row>
    <row r="30" spans="1:19">
      <c r="A30" s="7" t="s">
        <v>7</v>
      </c>
      <c r="B30" s="10">
        <f>_xlfn.POISSON.DIST(B27,B28,FALSE)</f>
        <v>0.87517331904294748</v>
      </c>
      <c r="D30" s="1" t="s">
        <v>7</v>
      </c>
      <c r="E30" s="63">
        <f>_xlfn.POISSON.DIST(E27,E28,TRUE)</f>
        <v>0.99998816079089958</v>
      </c>
      <c r="G30" s="1" t="s">
        <v>7</v>
      </c>
      <c r="H30" s="63">
        <f>1-_xlfn.POISSON.DIST(H27,H28,TRUE)</f>
        <v>6.1551935550104964E-2</v>
      </c>
      <c r="J30" s="1" t="s">
        <v>7</v>
      </c>
      <c r="K30" s="5">
        <f>_xlfn.POISSON.DIST(K27,K28,TRUE)</f>
        <v>0.33085418428525237</v>
      </c>
      <c r="M30" s="1" t="s">
        <v>7</v>
      </c>
      <c r="N30" s="6">
        <f>_xlfn.POISSON.DIST(N27,N28,TRUE)</f>
        <v>0.91624928072059841</v>
      </c>
    </row>
    <row r="31" spans="1:19">
      <c r="A31" s="4"/>
      <c r="J31" s="84">
        <f>N30-K30</f>
        <v>0.58539509643534604</v>
      </c>
      <c r="K31" s="84"/>
      <c r="L31" s="84"/>
      <c r="M31" s="84"/>
      <c r="N31" s="85"/>
    </row>
    <row r="32" spans="1:19">
      <c r="A32" s="4"/>
      <c r="N32" s="9"/>
    </row>
    <row r="33" spans="1:14" ht="17" thickBo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</row>
    <row r="34" spans="1:14" ht="17" thickBot="1"/>
    <row r="35" spans="1:14">
      <c r="A35" s="78" t="s">
        <v>16</v>
      </c>
      <c r="B35" s="79"/>
      <c r="C35" s="79"/>
      <c r="D35" s="79"/>
      <c r="E35" s="79"/>
      <c r="F35" s="79"/>
      <c r="G35" s="79"/>
      <c r="H35" s="79"/>
      <c r="I35" s="79"/>
      <c r="J35" s="79"/>
      <c r="K35" s="80"/>
      <c r="M35" s="86" t="s">
        <v>17</v>
      </c>
      <c r="N35" s="87"/>
    </row>
    <row r="36" spans="1:14">
      <c r="A36" s="73" t="s">
        <v>18</v>
      </c>
      <c r="B36" s="74"/>
      <c r="D36" s="74" t="s">
        <v>19</v>
      </c>
      <c r="E36" s="74"/>
      <c r="G36" s="74" t="s">
        <v>20</v>
      </c>
      <c r="H36" s="74"/>
      <c r="I36" s="74"/>
      <c r="J36" s="74"/>
      <c r="K36" s="75"/>
      <c r="M36" s="37" t="s">
        <v>21</v>
      </c>
      <c r="N36" s="9">
        <v>15</v>
      </c>
    </row>
    <row r="37" spans="1:14">
      <c r="A37" s="4" t="s">
        <v>22</v>
      </c>
      <c r="B37" s="21">
        <v>500</v>
      </c>
      <c r="D37" t="s">
        <v>22</v>
      </c>
      <c r="E37" s="21">
        <v>365</v>
      </c>
      <c r="G37" t="s">
        <v>22</v>
      </c>
      <c r="H37" s="21">
        <v>345</v>
      </c>
      <c r="J37" t="s">
        <v>22</v>
      </c>
      <c r="K37" s="22">
        <v>355</v>
      </c>
      <c r="M37" s="37" t="s">
        <v>23</v>
      </c>
      <c r="N37" s="9">
        <v>8</v>
      </c>
    </row>
    <row r="38" spans="1:14">
      <c r="A38" s="4" t="s">
        <v>24</v>
      </c>
      <c r="B38" s="21">
        <v>349</v>
      </c>
      <c r="D38" t="s">
        <v>24</v>
      </c>
      <c r="E38" s="21">
        <v>350</v>
      </c>
      <c r="G38" t="s">
        <v>24</v>
      </c>
      <c r="H38" s="21">
        <v>350</v>
      </c>
      <c r="J38" t="s">
        <v>24</v>
      </c>
      <c r="K38" s="22">
        <v>350</v>
      </c>
      <c r="M38" s="37"/>
      <c r="N38" s="9"/>
    </row>
    <row r="39" spans="1:14" ht="17" thickBot="1">
      <c r="A39" s="4" t="s">
        <v>25</v>
      </c>
      <c r="B39" s="21">
        <v>10</v>
      </c>
      <c r="D39" t="s">
        <v>25</v>
      </c>
      <c r="E39" s="21">
        <v>10</v>
      </c>
      <c r="G39" t="s">
        <v>25</v>
      </c>
      <c r="H39" s="21">
        <v>10</v>
      </c>
      <c r="J39" t="s">
        <v>25</v>
      </c>
      <c r="K39" s="22">
        <v>10</v>
      </c>
      <c r="M39" s="38" t="s">
        <v>26</v>
      </c>
      <c r="N39" s="15">
        <f>SQRT(N36)*N37</f>
        <v>30.983866769659336</v>
      </c>
    </row>
    <row r="40" spans="1:14">
      <c r="A40" s="7" t="s">
        <v>27</v>
      </c>
      <c r="B40" s="23">
        <f>_xlfn.NORM.DIST(B37,B38,B39,TRUE)</f>
        <v>1</v>
      </c>
      <c r="D40" s="1" t="s">
        <v>27</v>
      </c>
      <c r="E40" s="21">
        <f>_xlfn.NORM.DIST(E37,E38,E39,TRUE)</f>
        <v>0.93319279873114191</v>
      </c>
      <c r="G40" s="1" t="s">
        <v>27</v>
      </c>
      <c r="H40" s="21">
        <f>_xlfn.NORM.DIST(H37,H38,H39,TRUE)</f>
        <v>0.30853753872598688</v>
      </c>
      <c r="J40" s="1" t="s">
        <v>27</v>
      </c>
      <c r="K40" s="22">
        <f>_xlfn.NORM.DIST(K37,K38,K39,TRUE)</f>
        <v>0.69146246127401312</v>
      </c>
    </row>
    <row r="41" spans="1:14">
      <c r="A41" s="4"/>
      <c r="E41" s="23">
        <f>1-E40</f>
        <v>6.6807201268858085E-2</v>
      </c>
      <c r="G41" s="2">
        <f>K40-H40</f>
        <v>0.38292492254802624</v>
      </c>
      <c r="H41" s="2"/>
      <c r="I41" s="2"/>
      <c r="J41" s="2"/>
      <c r="K41" s="24"/>
    </row>
    <row r="42" spans="1:14">
      <c r="A42" s="4"/>
      <c r="K42" s="9"/>
    </row>
    <row r="43" spans="1:14">
      <c r="A43" s="81" t="s">
        <v>15</v>
      </c>
      <c r="B43" s="82"/>
      <c r="C43" s="82"/>
      <c r="D43" s="82"/>
      <c r="E43" s="82"/>
      <c r="F43" s="82"/>
      <c r="G43" s="82"/>
      <c r="H43" s="82"/>
      <c r="I43" s="82"/>
      <c r="J43" s="82"/>
      <c r="K43" s="83"/>
    </row>
    <row r="44" spans="1:14">
      <c r="A44" s="4" t="s">
        <v>22</v>
      </c>
      <c r="B44" s="25">
        <v>240</v>
      </c>
      <c r="D44" t="s">
        <v>22</v>
      </c>
      <c r="E44" s="25">
        <v>500</v>
      </c>
      <c r="G44" t="s">
        <v>22</v>
      </c>
      <c r="H44" s="25">
        <v>345</v>
      </c>
      <c r="J44" t="s">
        <v>22</v>
      </c>
      <c r="K44" s="26">
        <v>355</v>
      </c>
    </row>
    <row r="45" spans="1:14">
      <c r="A45" s="4" t="s">
        <v>24</v>
      </c>
      <c r="B45" s="25">
        <v>300</v>
      </c>
      <c r="D45" t="s">
        <v>24</v>
      </c>
      <c r="E45" s="25">
        <v>506</v>
      </c>
      <c r="G45" t="s">
        <v>24</v>
      </c>
      <c r="H45" s="25">
        <v>350</v>
      </c>
      <c r="J45" t="s">
        <v>24</v>
      </c>
      <c r="K45" s="26">
        <v>350</v>
      </c>
    </row>
    <row r="46" spans="1:14">
      <c r="A46" s="4" t="s">
        <v>25</v>
      </c>
      <c r="B46" s="25">
        <v>30</v>
      </c>
      <c r="D46" t="s">
        <v>25</v>
      </c>
      <c r="E46" s="25">
        <v>3</v>
      </c>
      <c r="G46" t="s">
        <v>25</v>
      </c>
      <c r="H46" s="25">
        <v>10</v>
      </c>
      <c r="J46" t="s">
        <v>25</v>
      </c>
      <c r="K46" s="26">
        <v>10</v>
      </c>
    </row>
    <row r="47" spans="1:14">
      <c r="A47" s="7" t="s">
        <v>27</v>
      </c>
      <c r="B47" s="36">
        <f>_xlfn.NORM.DIST(B44,B45,B46,TRUE)</f>
        <v>2.2750131948179191E-2</v>
      </c>
      <c r="D47" s="1" t="s">
        <v>27</v>
      </c>
      <c r="E47" s="21">
        <f>_xlfn.NORM.DIST(E44,E45,E46,TRUE)</f>
        <v>2.2750131948179191E-2</v>
      </c>
      <c r="G47" s="1" t="s">
        <v>27</v>
      </c>
      <c r="H47" s="21">
        <f>_xlfn.NORM.DIST(H44,H45,H46,TRUE)</f>
        <v>0.30853753872598688</v>
      </c>
      <c r="J47" s="1" t="s">
        <v>27</v>
      </c>
      <c r="K47" s="22">
        <f>_xlfn.NORM.DIST(K44,K45,K46,TRUE)</f>
        <v>0.69146246127401312</v>
      </c>
    </row>
    <row r="48" spans="1:14" ht="17" thickBot="1">
      <c r="A48" s="13"/>
      <c r="B48" s="14"/>
      <c r="C48" s="14"/>
      <c r="D48" s="14"/>
      <c r="E48" s="27">
        <f>1-E47</f>
        <v>0.97724986805182079</v>
      </c>
      <c r="F48" s="14"/>
      <c r="G48" s="28">
        <f>K47-H47</f>
        <v>0.38292492254802624</v>
      </c>
      <c r="H48" s="29"/>
      <c r="I48" s="29"/>
      <c r="J48" s="29"/>
      <c r="K48" s="30"/>
    </row>
    <row r="49" spans="1:11" ht="17" thickBot="1"/>
    <row r="50" spans="1:11" ht="16" customHeight="1">
      <c r="A50" s="78" t="s">
        <v>28</v>
      </c>
      <c r="B50" s="79"/>
      <c r="C50" s="79"/>
      <c r="D50" s="79"/>
      <c r="E50" s="79"/>
      <c r="F50" s="79"/>
      <c r="G50" s="79"/>
      <c r="H50" s="80"/>
      <c r="I50" s="3"/>
      <c r="J50" s="3"/>
      <c r="K50" s="3"/>
    </row>
    <row r="51" spans="1:11">
      <c r="A51" s="73" t="s">
        <v>29</v>
      </c>
      <c r="B51" s="74"/>
      <c r="D51" s="74" t="s">
        <v>30</v>
      </c>
      <c r="E51" s="74"/>
      <c r="G51" s="74" t="s">
        <v>19</v>
      </c>
      <c r="H51" s="75"/>
    </row>
    <row r="52" spans="1:11">
      <c r="A52" s="4" t="s">
        <v>18</v>
      </c>
      <c r="B52" s="23">
        <v>0.93319279899999996</v>
      </c>
      <c r="D52" t="s">
        <v>18</v>
      </c>
      <c r="E52" s="23">
        <v>0.93319279899999996</v>
      </c>
      <c r="G52" t="s">
        <v>22</v>
      </c>
      <c r="H52" s="31">
        <v>6.6807201268858085E-2</v>
      </c>
    </row>
    <row r="53" spans="1:11">
      <c r="A53" s="4" t="s">
        <v>24</v>
      </c>
      <c r="B53" s="21">
        <v>349</v>
      </c>
      <c r="D53" t="s">
        <v>24</v>
      </c>
      <c r="E53" s="21">
        <v>350</v>
      </c>
      <c r="G53" t="s">
        <v>24</v>
      </c>
      <c r="H53" s="22">
        <v>350</v>
      </c>
    </row>
    <row r="54" spans="1:11">
      <c r="A54" s="4" t="s">
        <v>25</v>
      </c>
      <c r="B54" s="21">
        <v>10</v>
      </c>
      <c r="D54" t="s">
        <v>25</v>
      </c>
      <c r="E54" s="21">
        <v>10</v>
      </c>
      <c r="G54" t="s">
        <v>25</v>
      </c>
      <c r="H54" s="22">
        <v>10</v>
      </c>
    </row>
    <row r="55" spans="1:11">
      <c r="A55" s="7" t="s">
        <v>27</v>
      </c>
      <c r="B55" s="23">
        <f>_xlfn.NORM.INV(B52,B53,B54)</f>
        <v>364.00000002075842</v>
      </c>
      <c r="D55" s="1" t="s">
        <v>27</v>
      </c>
      <c r="E55" s="23">
        <f>_xlfn.NORM.INV(E52,E53,E54)</f>
        <v>365.00000002075842</v>
      </c>
      <c r="G55" s="1" t="s">
        <v>27</v>
      </c>
      <c r="H55" s="32">
        <f>_xlfn.NORM.INV(1-H52,H53,H54)</f>
        <v>365</v>
      </c>
    </row>
    <row r="56" spans="1:11">
      <c r="A56" s="4"/>
      <c r="E56" s="33"/>
      <c r="G56" s="2"/>
      <c r="H56" s="24"/>
      <c r="I56" s="2"/>
      <c r="J56" s="2"/>
      <c r="K56" s="2"/>
    </row>
    <row r="57" spans="1:11">
      <c r="A57" s="81" t="s">
        <v>15</v>
      </c>
      <c r="B57" s="74"/>
      <c r="C57" s="74"/>
      <c r="D57" s="74"/>
      <c r="E57" s="74"/>
      <c r="F57" s="74"/>
      <c r="G57" s="74"/>
      <c r="H57" s="75"/>
    </row>
    <row r="58" spans="1:11">
      <c r="A58" s="4" t="s">
        <v>18</v>
      </c>
      <c r="B58" s="34">
        <v>0.93319279899999996</v>
      </c>
      <c r="D58" t="s">
        <v>18</v>
      </c>
      <c r="E58" s="34">
        <v>0.93319279899999996</v>
      </c>
      <c r="G58" t="s">
        <v>22</v>
      </c>
      <c r="H58" s="35">
        <v>6.6807201268858085E-2</v>
      </c>
    </row>
    <row r="59" spans="1:11">
      <c r="A59" s="4" t="s">
        <v>24</v>
      </c>
      <c r="B59" s="25">
        <v>349</v>
      </c>
      <c r="D59" t="s">
        <v>24</v>
      </c>
      <c r="E59" s="25">
        <v>350</v>
      </c>
      <c r="G59" t="s">
        <v>24</v>
      </c>
      <c r="H59" s="26">
        <v>350</v>
      </c>
    </row>
    <row r="60" spans="1:11">
      <c r="A60" s="4" t="s">
        <v>25</v>
      </c>
      <c r="B60" s="25">
        <v>10</v>
      </c>
      <c r="D60" t="s">
        <v>25</v>
      </c>
      <c r="E60" s="25">
        <v>10</v>
      </c>
      <c r="G60" t="s">
        <v>25</v>
      </c>
      <c r="H60" s="26">
        <v>10</v>
      </c>
    </row>
    <row r="61" spans="1:11">
      <c r="A61" s="7" t="s">
        <v>27</v>
      </c>
      <c r="B61" s="23">
        <f>_xlfn.NORM.INV(B58,B59,B60)</f>
        <v>364.00000002075842</v>
      </c>
      <c r="D61" s="1" t="s">
        <v>27</v>
      </c>
      <c r="E61" s="23">
        <f>_xlfn.NORM.INV(E58,E59,E60)</f>
        <v>365.00000002075842</v>
      </c>
      <c r="G61" s="1" t="s">
        <v>27</v>
      </c>
      <c r="H61" s="32">
        <f>_xlfn.NORM.INV(1-H58,H59,H60)</f>
        <v>365</v>
      </c>
    </row>
    <row r="62" spans="1:11" ht="17" thickBot="1">
      <c r="A62" s="13"/>
      <c r="B62" s="14"/>
      <c r="C62" s="14"/>
      <c r="D62" s="14"/>
      <c r="E62" s="14"/>
      <c r="F62" s="14"/>
      <c r="G62" s="14"/>
      <c r="H62" s="15"/>
    </row>
    <row r="67" spans="2:15">
      <c r="B67" s="74" t="s">
        <v>31</v>
      </c>
      <c r="C67" s="74"/>
      <c r="D67" s="74"/>
      <c r="E67" s="74"/>
      <c r="F67" s="74"/>
      <c r="J67" t="s">
        <v>32</v>
      </c>
    </row>
    <row r="69" spans="2:15">
      <c r="B69" s="74" t="s">
        <v>33</v>
      </c>
      <c r="C69" s="74"/>
      <c r="E69" s="74" t="s">
        <v>34</v>
      </c>
      <c r="F69" s="74"/>
    </row>
    <row r="70" spans="2:15" ht="20">
      <c r="B70" t="s">
        <v>35</v>
      </c>
      <c r="C70" s="25">
        <f>271/1283</f>
        <v>0.2112236944660951</v>
      </c>
      <c r="E70" t="s">
        <v>36</v>
      </c>
      <c r="F70" s="25">
        <f>28/100</f>
        <v>0.28000000000000003</v>
      </c>
      <c r="J70" t="s">
        <v>37</v>
      </c>
      <c r="K70">
        <v>50</v>
      </c>
      <c r="O70" s="46"/>
    </row>
    <row r="71" spans="2:15">
      <c r="B71" t="s">
        <v>38</v>
      </c>
      <c r="C71" s="25">
        <v>0.2</v>
      </c>
      <c r="E71" t="s">
        <v>38</v>
      </c>
      <c r="F71" s="25">
        <v>0.2</v>
      </c>
      <c r="J71" s="44" t="s">
        <v>39</v>
      </c>
      <c r="K71" s="44">
        <v>0.86</v>
      </c>
    </row>
    <row r="72" spans="2:15">
      <c r="B72" t="s">
        <v>37</v>
      </c>
      <c r="C72" s="25">
        <v>1283</v>
      </c>
      <c r="E72" t="s">
        <v>37</v>
      </c>
      <c r="F72" s="25">
        <v>100</v>
      </c>
      <c r="J72" s="44" t="s">
        <v>40</v>
      </c>
      <c r="K72" s="44">
        <v>0.9</v>
      </c>
    </row>
    <row r="73" spans="2:15">
      <c r="J73" s="44" t="s">
        <v>41</v>
      </c>
      <c r="K73" s="44">
        <f>(K71-K72)/((K72*(1-K72))/K70)^0.5</f>
        <v>-0.94280904158206436</v>
      </c>
    </row>
    <row r="74" spans="2:15">
      <c r="B74" t="s">
        <v>42</v>
      </c>
      <c r="C74" s="21">
        <f>C70-C71</f>
        <v>1.1223694466095085E-2</v>
      </c>
      <c r="E74" t="s">
        <v>42</v>
      </c>
      <c r="F74" s="21">
        <f>F70-F71</f>
        <v>8.0000000000000016E-2</v>
      </c>
      <c r="J74" s="44" t="s">
        <v>43</v>
      </c>
      <c r="K74">
        <f>_xlfn.NORM.S.DIST(K73,TRUE)</f>
        <v>0.17288929307557988</v>
      </c>
    </row>
    <row r="75" spans="2:15">
      <c r="B75" t="s">
        <v>44</v>
      </c>
      <c r="C75" s="21">
        <f>SQRT((C71*(1-C71))/C72)</f>
        <v>1.1167260912593806E-2</v>
      </c>
      <c r="E75" t="s">
        <v>44</v>
      </c>
      <c r="F75" s="21">
        <f>SQRT((F71*(1-F71))/F72)</f>
        <v>0.04</v>
      </c>
    </row>
    <row r="77" spans="2:15">
      <c r="B77" t="s">
        <v>45</v>
      </c>
      <c r="C77" s="21">
        <f>C74/C75</f>
        <v>1.005053482133442</v>
      </c>
      <c r="E77" t="s">
        <v>45</v>
      </c>
      <c r="F77" s="21">
        <f>F74/F75</f>
        <v>2.0000000000000004</v>
      </c>
      <c r="J77" s="44" t="s">
        <v>46</v>
      </c>
      <c r="K77" s="44"/>
    </row>
    <row r="78" spans="2:15">
      <c r="B78" t="s">
        <v>47</v>
      </c>
      <c r="C78" s="21">
        <f>_xlfn.NORM.S.DIST(C77,TRUE)</f>
        <v>0.84256445112918521</v>
      </c>
      <c r="E78" t="s">
        <v>47</v>
      </c>
      <c r="F78" s="67">
        <f>1-_xlfn.NORM.S.DIST(F77,TRUE)</f>
        <v>2.2750131948179209E-2</v>
      </c>
      <c r="J78" s="44"/>
      <c r="K78" s="44"/>
    </row>
    <row r="79" spans="2:15">
      <c r="J79" s="44" t="s">
        <v>48</v>
      </c>
      <c r="K79" s="44" t="s">
        <v>49</v>
      </c>
    </row>
    <row r="80" spans="2:15">
      <c r="J80" s="44" t="s">
        <v>50</v>
      </c>
      <c r="K80" s="44"/>
    </row>
    <row r="81" spans="2:11">
      <c r="C81" s="39">
        <f>(C70-C71)/SQRT((C71*(1-C71))/C72)</f>
        <v>1.005053482133442</v>
      </c>
      <c r="J81" s="45" t="s">
        <v>51</v>
      </c>
      <c r="K81" s="44"/>
    </row>
    <row r="82" spans="2:11">
      <c r="K82">
        <f>1-(0.03*2)</f>
        <v>0.94</v>
      </c>
    </row>
    <row r="83" spans="2:11">
      <c r="B83" t="s">
        <v>52</v>
      </c>
      <c r="C83">
        <v>0.05</v>
      </c>
      <c r="K83">
        <f>_xlfn.NORM.S.INV(K82)</f>
        <v>1.5547735945968528</v>
      </c>
    </row>
    <row r="84" spans="2:11">
      <c r="B84" t="s">
        <v>53</v>
      </c>
      <c r="C84">
        <v>0.86</v>
      </c>
    </row>
    <row r="85" spans="2:11">
      <c r="B85" t="s">
        <v>38</v>
      </c>
      <c r="C85">
        <v>0.9</v>
      </c>
    </row>
    <row r="89" spans="2:11">
      <c r="B89" s="82" t="s">
        <v>54</v>
      </c>
      <c r="C89" s="82"/>
      <c r="D89" s="82"/>
      <c r="E89" s="82"/>
      <c r="F89" s="82"/>
    </row>
    <row r="90" spans="2:11">
      <c r="B90" s="74" t="s">
        <v>55</v>
      </c>
      <c r="C90" s="74"/>
      <c r="E90" s="74" t="s">
        <v>55</v>
      </c>
      <c r="F90" s="74"/>
    </row>
    <row r="91" spans="2:11">
      <c r="B91" t="s">
        <v>56</v>
      </c>
      <c r="C91" s="25">
        <v>3.2</v>
      </c>
      <c r="E91" t="s">
        <v>56</v>
      </c>
      <c r="F91" s="25">
        <v>3.2</v>
      </c>
    </row>
    <row r="92" spans="2:11">
      <c r="B92" t="s">
        <v>57</v>
      </c>
      <c r="C92" s="25">
        <v>3.52</v>
      </c>
      <c r="E92" t="s">
        <v>57</v>
      </c>
      <c r="F92" s="25">
        <v>3.52</v>
      </c>
    </row>
    <row r="93" spans="2:11">
      <c r="B93" t="s">
        <v>37</v>
      </c>
      <c r="C93" s="25">
        <v>50</v>
      </c>
      <c r="E93" t="s">
        <v>37</v>
      </c>
      <c r="F93" s="25">
        <v>50</v>
      </c>
    </row>
    <row r="94" spans="2:11">
      <c r="B94" t="s">
        <v>58</v>
      </c>
      <c r="C94" s="25">
        <v>1.110984</v>
      </c>
      <c r="E94" t="s">
        <v>58</v>
      </c>
      <c r="F94" s="25">
        <v>1.110984</v>
      </c>
    </row>
    <row r="96" spans="2:11">
      <c r="B96" s="33" t="s">
        <v>59</v>
      </c>
      <c r="C96" s="23">
        <f>(C92-C91)/(C94/SQRT(C93))</f>
        <v>2.0367005283577</v>
      </c>
      <c r="E96" s="23" t="s">
        <v>59</v>
      </c>
      <c r="F96" s="23">
        <f>(F92-F91)/(F94/SQRT(F93))</f>
        <v>2.0367005283577</v>
      </c>
    </row>
    <row r="97" spans="2:6">
      <c r="B97" s="33"/>
      <c r="C97" s="33"/>
      <c r="E97" s="33"/>
      <c r="F97" s="33"/>
    </row>
    <row r="98" spans="2:6">
      <c r="B98" s="33" t="s">
        <v>60</v>
      </c>
      <c r="C98" s="23">
        <f>_xlfn.T.DIST(C96,C93-1,TRUE)</f>
        <v>0.97644896920387081</v>
      </c>
      <c r="E98" s="23" t="s">
        <v>60</v>
      </c>
      <c r="F98" s="23">
        <f>1-_xlfn.T.DIST(F96,F93-1,TRUE)</f>
        <v>2.3551030796129191E-2</v>
      </c>
    </row>
    <row r="111" spans="2:6">
      <c r="B111" s="2" t="s">
        <v>61</v>
      </c>
    </row>
    <row r="113" spans="2:15">
      <c r="B113" t="s">
        <v>62</v>
      </c>
      <c r="C113" s="25">
        <v>10</v>
      </c>
    </row>
    <row r="114" spans="2:15">
      <c r="B114" t="s">
        <v>63</v>
      </c>
      <c r="C114" s="25">
        <v>293.31699999999995</v>
      </c>
    </row>
    <row r="115" spans="2:15">
      <c r="B115" t="s">
        <v>64</v>
      </c>
      <c r="C115" s="25">
        <v>20.059999999999999</v>
      </c>
    </row>
    <row r="117" spans="2:15">
      <c r="B117" t="s">
        <v>65</v>
      </c>
      <c r="C117" s="25">
        <f>0.05</f>
        <v>0.05</v>
      </c>
    </row>
    <row r="118" spans="2:15">
      <c r="B118" t="s">
        <v>66</v>
      </c>
      <c r="C118" s="66">
        <f>1-(C117/2)</f>
        <v>0.97499999999999998</v>
      </c>
    </row>
    <row r="119" spans="2:15">
      <c r="C119" s="2"/>
    </row>
    <row r="120" spans="2:15">
      <c r="B120" t="s">
        <v>67</v>
      </c>
      <c r="C120" s="21">
        <f>C115/(SQRT(C113))</f>
        <v>6.343528986297768</v>
      </c>
    </row>
    <row r="121" spans="2:15">
      <c r="B121" t="s">
        <v>68</v>
      </c>
      <c r="C121" s="21">
        <f>_xlfn.T.INV.2T(0.05, 9)</f>
        <v>2.2621571627982053</v>
      </c>
    </row>
    <row r="122" spans="2:15">
      <c r="B122" t="s">
        <v>69</v>
      </c>
      <c r="C122" s="21">
        <f>C121* C120</f>
        <v>14.350059533771534</v>
      </c>
    </row>
    <row r="124" spans="2:15">
      <c r="B124" s="33" t="s">
        <v>70</v>
      </c>
      <c r="C124" s="23">
        <f>C114-C122</f>
        <v>278.96694046622844</v>
      </c>
    </row>
    <row r="125" spans="2:15">
      <c r="B125" s="33" t="s">
        <v>71</v>
      </c>
      <c r="C125" s="23">
        <f>C114+C122</f>
        <v>307.66705953377146</v>
      </c>
    </row>
    <row r="128" spans="2:15">
      <c r="B128" s="33" t="s">
        <v>72</v>
      </c>
      <c r="F128" s="33" t="s">
        <v>73</v>
      </c>
      <c r="O128">
        <f>15/36</f>
        <v>0.41666666666666669</v>
      </c>
    </row>
    <row r="129" spans="2:15">
      <c r="M129">
        <f>0.5*0.5</f>
        <v>0.25</v>
      </c>
      <c r="O129">
        <f>1-O128</f>
        <v>0.58333333333333326</v>
      </c>
    </row>
    <row r="130" spans="2:15">
      <c r="B130" t="s">
        <v>64</v>
      </c>
      <c r="C130" s="25">
        <v>21.210999999999999</v>
      </c>
      <c r="F130" t="s">
        <v>74</v>
      </c>
      <c r="G130" s="25">
        <v>0.125</v>
      </c>
      <c r="M130">
        <f>M129/2400</f>
        <v>1.0416666666666667E-4</v>
      </c>
      <c r="O130">
        <f>O129*O128</f>
        <v>0.24305555555555552</v>
      </c>
    </row>
    <row r="131" spans="2:15">
      <c r="B131" t="s">
        <v>75</v>
      </c>
      <c r="C131" s="25">
        <v>5</v>
      </c>
      <c r="F131" t="s">
        <v>76</v>
      </c>
      <c r="G131" s="25">
        <v>0.01</v>
      </c>
      <c r="M131">
        <f>SQRT(M130)</f>
        <v>1.0206207261596576E-2</v>
      </c>
      <c r="O131">
        <f>O130/36</f>
        <v>6.751543209876542E-3</v>
      </c>
    </row>
    <row r="132" spans="2:15">
      <c r="B132" t="s">
        <v>52</v>
      </c>
      <c r="C132" s="25">
        <v>0.1</v>
      </c>
      <c r="F132" t="s">
        <v>52</v>
      </c>
      <c r="G132" s="25">
        <v>0.1</v>
      </c>
      <c r="M132">
        <f>1.96*M131</f>
        <v>2.0004166232729288E-2</v>
      </c>
      <c r="O132">
        <f>SQRT(O131)</f>
        <v>8.2167774765272442E-2</v>
      </c>
    </row>
    <row r="133" spans="2:15">
      <c r="O133">
        <f>2.576*O132</f>
        <v>0.21166418779534182</v>
      </c>
    </row>
    <row r="134" spans="2:15">
      <c r="B134" s="33" t="s">
        <v>77</v>
      </c>
      <c r="C134" s="69">
        <f>_xlfn.NORM.S.INV(1-(C132/2))</f>
        <v>1.6448536269514715</v>
      </c>
      <c r="F134" t="s">
        <v>77</v>
      </c>
      <c r="G134" s="69">
        <f>_xlfn.NORM.S.INV(1-(G132/2))</f>
        <v>1.6448536269514715</v>
      </c>
    </row>
    <row r="135" spans="2:15">
      <c r="B135" t="s">
        <v>42</v>
      </c>
      <c r="C135">
        <f>C134*C130</f>
        <v>34.88899028126766</v>
      </c>
      <c r="F135" s="33" t="s">
        <v>78</v>
      </c>
      <c r="G135" s="23">
        <f>((G134*(SQRT(G130*(1-G130))))/G131)^2</f>
        <v>2959.1881529168554</v>
      </c>
    </row>
    <row r="136" spans="2:15">
      <c r="B136" t="s">
        <v>44</v>
      </c>
      <c r="C136">
        <f>C131</f>
        <v>5</v>
      </c>
    </row>
    <row r="138" spans="2:15">
      <c r="B138" s="33" t="s">
        <v>78</v>
      </c>
      <c r="C138" s="68">
        <f>(C135/C136)^2</f>
        <v>48.689665713855561</v>
      </c>
    </row>
    <row r="139" spans="2:15">
      <c r="F139" s="33" t="s">
        <v>79</v>
      </c>
      <c r="G139" s="33"/>
    </row>
    <row r="142" spans="2:15">
      <c r="F142" t="s">
        <v>36</v>
      </c>
      <c r="G142" s="25">
        <v>0.12</v>
      </c>
    </row>
    <row r="143" spans="2:15">
      <c r="F143" t="s">
        <v>37</v>
      </c>
      <c r="G143" s="25">
        <v>2959</v>
      </c>
    </row>
    <row r="144" spans="2:15">
      <c r="F144" t="s">
        <v>52</v>
      </c>
      <c r="G144" s="25">
        <v>0.1</v>
      </c>
    </row>
    <row r="146" spans="6:7">
      <c r="F146" s="33" t="s">
        <v>77</v>
      </c>
      <c r="G146" s="69">
        <f>_xlfn.NORM.S.INV(1-(G144/2))</f>
        <v>1.6448536269514715</v>
      </c>
    </row>
    <row r="148" spans="6:7">
      <c r="F148" t="s">
        <v>42</v>
      </c>
      <c r="G148" s="21">
        <f>G142*(1-G142)</f>
        <v>0.1056</v>
      </c>
    </row>
    <row r="149" spans="6:7">
      <c r="F149" t="s">
        <v>44</v>
      </c>
      <c r="G149" s="21">
        <f>G143</f>
        <v>2959</v>
      </c>
    </row>
    <row r="151" spans="6:7">
      <c r="F151" t="s">
        <v>80</v>
      </c>
      <c r="G151" s="21">
        <f>G146*(SQRT(G148/G149))</f>
        <v>9.8262256553280566E-3</v>
      </c>
    </row>
    <row r="153" spans="6:7">
      <c r="F153" s="33" t="s">
        <v>81</v>
      </c>
      <c r="G153" s="23">
        <f>G142-G151</f>
        <v>0.11017377434467193</v>
      </c>
    </row>
    <row r="154" spans="6:7">
      <c r="F154" s="33" t="s">
        <v>82</v>
      </c>
      <c r="G154" s="23">
        <f>G142+G151</f>
        <v>0.12982622565532806</v>
      </c>
    </row>
  </sheetData>
  <mergeCells count="34">
    <mergeCell ref="B90:C90"/>
    <mergeCell ref="E90:F90"/>
    <mergeCell ref="B69:C69"/>
    <mergeCell ref="E69:F69"/>
    <mergeCell ref="A43:K43"/>
    <mergeCell ref="B67:F67"/>
    <mergeCell ref="B89:F89"/>
    <mergeCell ref="A57:H57"/>
    <mergeCell ref="G36:K36"/>
    <mergeCell ref="A36:B36"/>
    <mergeCell ref="D36:E36"/>
    <mergeCell ref="D51:E51"/>
    <mergeCell ref="A50:H50"/>
    <mergeCell ref="A51:B51"/>
    <mergeCell ref="G51:H51"/>
    <mergeCell ref="J23:N23"/>
    <mergeCell ref="A35:K35"/>
    <mergeCell ref="A2:B2"/>
    <mergeCell ref="D2:E2"/>
    <mergeCell ref="G2:H2"/>
    <mergeCell ref="A17:N17"/>
    <mergeCell ref="A25:N25"/>
    <mergeCell ref="A9:H9"/>
    <mergeCell ref="A26:B26"/>
    <mergeCell ref="D26:E26"/>
    <mergeCell ref="G26:H26"/>
    <mergeCell ref="J26:N26"/>
    <mergeCell ref="J31:N31"/>
    <mergeCell ref="M35:N35"/>
    <mergeCell ref="A1:H1"/>
    <mergeCell ref="A18:B18"/>
    <mergeCell ref="D18:E18"/>
    <mergeCell ref="G18:H18"/>
    <mergeCell ref="J18:N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3BF5-17D3-574B-82D6-8791C68661D8}">
  <dimension ref="A1:B144"/>
  <sheetViews>
    <sheetView workbookViewId="0">
      <selection activeCell="B34" sqref="B34"/>
    </sheetView>
  </sheetViews>
  <sheetFormatPr baseColWidth="10" defaultColWidth="11" defaultRowHeight="16"/>
  <cols>
    <col min="2" max="2" width="12.1640625" bestFit="1" customWidth="1"/>
  </cols>
  <sheetData>
    <row r="1" spans="1:2">
      <c r="A1" t="s">
        <v>83</v>
      </c>
      <c r="B1">
        <v>24</v>
      </c>
    </row>
    <row r="3" spans="1:2">
      <c r="A3">
        <v>0</v>
      </c>
      <c r="B3">
        <f>_xlfn.POISSON.DIST(A3,$B$1,TRUE)</f>
        <v>3.7751345442790977E-11</v>
      </c>
    </row>
    <row r="4" spans="1:2">
      <c r="A4">
        <v>1</v>
      </c>
      <c r="B4">
        <f t="shared" ref="B4:B67" si="0">_xlfn.POISSON.DIST(A4,$B$1,TRUE)</f>
        <v>9.4378363606977447E-10</v>
      </c>
    </row>
    <row r="5" spans="1:2">
      <c r="A5">
        <v>2</v>
      </c>
      <c r="B5">
        <f t="shared" si="0"/>
        <v>1.1816171123593576E-8</v>
      </c>
    </row>
    <row r="6" spans="1:2">
      <c r="A6">
        <v>3</v>
      </c>
      <c r="B6">
        <f t="shared" si="0"/>
        <v>9.8795271023783993E-8</v>
      </c>
    </row>
    <row r="7" spans="1:2">
      <c r="A7">
        <v>4</v>
      </c>
      <c r="B7">
        <f t="shared" si="0"/>
        <v>6.2066987042492648E-7</v>
      </c>
    </row>
    <row r="8" spans="1:2">
      <c r="A8">
        <v>5</v>
      </c>
      <c r="B8">
        <f t="shared" si="0"/>
        <v>3.1256679475504103E-6</v>
      </c>
    </row>
    <row r="9" spans="1:2">
      <c r="A9">
        <v>6</v>
      </c>
      <c r="B9">
        <f t="shared" si="0"/>
        <v>1.3145660256052345E-5</v>
      </c>
    </row>
    <row r="10" spans="1:2">
      <c r="A10">
        <v>7</v>
      </c>
      <c r="B10">
        <f t="shared" si="0"/>
        <v>4.7499919599487569E-5</v>
      </c>
    </row>
    <row r="11" spans="1:2">
      <c r="A11">
        <v>8</v>
      </c>
      <c r="B11">
        <f t="shared" si="0"/>
        <v>1.5056269762979321E-4</v>
      </c>
    </row>
    <row r="12" spans="1:2">
      <c r="A12">
        <v>9</v>
      </c>
      <c r="B12">
        <f t="shared" si="0"/>
        <v>4.253967723772748E-4</v>
      </c>
    </row>
    <row r="13" spans="1:2">
      <c r="A13">
        <v>10</v>
      </c>
      <c r="B13">
        <f t="shared" si="0"/>
        <v>1.0849985517712305E-3</v>
      </c>
    </row>
    <row r="14" spans="1:2">
      <c r="A14">
        <v>11</v>
      </c>
      <c r="B14">
        <f t="shared" si="0"/>
        <v>2.5241297068125906E-3</v>
      </c>
    </row>
    <row r="15" spans="1:2">
      <c r="A15">
        <v>12</v>
      </c>
      <c r="B15">
        <f t="shared" si="0"/>
        <v>5.4023920168953061E-3</v>
      </c>
    </row>
    <row r="16" spans="1:2">
      <c r="A16">
        <v>13</v>
      </c>
      <c r="B16">
        <f t="shared" si="0"/>
        <v>1.071610705089417E-2</v>
      </c>
    </row>
    <row r="17" spans="1:2">
      <c r="A17">
        <v>14</v>
      </c>
      <c r="B17">
        <f t="shared" si="0"/>
        <v>1.9825332823463649E-2</v>
      </c>
    </row>
    <row r="18" spans="1:2">
      <c r="A18">
        <v>15</v>
      </c>
      <c r="B18">
        <f t="shared" si="0"/>
        <v>3.4400094059574816E-2</v>
      </c>
    </row>
    <row r="19" spans="1:2">
      <c r="A19">
        <v>16</v>
      </c>
      <c r="B19">
        <f t="shared" si="0"/>
        <v>5.6262235913741541E-2</v>
      </c>
    </row>
    <row r="20" spans="1:2">
      <c r="A20">
        <v>17</v>
      </c>
      <c r="B20">
        <f t="shared" si="0"/>
        <v>8.712643617844755E-2</v>
      </c>
    </row>
    <row r="21" spans="1:2">
      <c r="A21">
        <v>18</v>
      </c>
      <c r="B21">
        <f t="shared" si="0"/>
        <v>0.12827870319805557</v>
      </c>
    </row>
    <row r="22" spans="1:2">
      <c r="A22">
        <v>19</v>
      </c>
      <c r="B22">
        <f t="shared" si="0"/>
        <v>0.18026051417019193</v>
      </c>
    </row>
    <row r="23" spans="1:2">
      <c r="A23">
        <v>20</v>
      </c>
      <c r="B23">
        <f t="shared" si="0"/>
        <v>0.24263868733675562</v>
      </c>
    </row>
    <row r="24" spans="1:2">
      <c r="A24">
        <v>21</v>
      </c>
      <c r="B24">
        <f t="shared" si="0"/>
        <v>0.3139280280985427</v>
      </c>
    </row>
    <row r="25" spans="1:2">
      <c r="A25">
        <v>22</v>
      </c>
      <c r="B25">
        <f t="shared" si="0"/>
        <v>0.39169821802049226</v>
      </c>
    </row>
    <row r="26" spans="1:2">
      <c r="A26">
        <v>23</v>
      </c>
      <c r="B26">
        <f t="shared" si="0"/>
        <v>0.47284972054774399</v>
      </c>
    </row>
    <row r="27" spans="1:2">
      <c r="A27">
        <v>24</v>
      </c>
      <c r="B27">
        <f t="shared" si="0"/>
        <v>0.55400122307499577</v>
      </c>
    </row>
    <row r="28" spans="1:2">
      <c r="A28">
        <v>25</v>
      </c>
      <c r="B28">
        <f t="shared" si="0"/>
        <v>0.63190666550115726</v>
      </c>
    </row>
    <row r="29" spans="1:2">
      <c r="A29">
        <v>26</v>
      </c>
      <c r="B29">
        <f t="shared" si="0"/>
        <v>0.70381938158684498</v>
      </c>
    </row>
    <row r="30" spans="1:2">
      <c r="A30">
        <v>27</v>
      </c>
      <c r="B30">
        <f t="shared" si="0"/>
        <v>0.76774179588523395</v>
      </c>
    </row>
    <row r="31" spans="1:2">
      <c r="A31">
        <v>28</v>
      </c>
      <c r="B31">
        <f t="shared" si="0"/>
        <v>0.82253243671242471</v>
      </c>
    </row>
    <row r="32" spans="1:2">
      <c r="A32">
        <v>29</v>
      </c>
      <c r="B32">
        <f t="shared" si="0"/>
        <v>0.86787641532803061</v>
      </c>
    </row>
    <row r="33" spans="1:2">
      <c r="A33">
        <v>30</v>
      </c>
      <c r="B33">
        <f t="shared" si="0"/>
        <v>0.90415159822051538</v>
      </c>
    </row>
    <row r="34" spans="1:2">
      <c r="A34">
        <v>31</v>
      </c>
      <c r="B34">
        <f t="shared" si="0"/>
        <v>0.93223561078243922</v>
      </c>
    </row>
    <row r="35" spans="1:2">
      <c r="A35">
        <v>32</v>
      </c>
      <c r="B35">
        <f t="shared" si="0"/>
        <v>0.9532986202038819</v>
      </c>
    </row>
    <row r="36" spans="1:2">
      <c r="A36">
        <v>33</v>
      </c>
      <c r="B36">
        <f t="shared" si="0"/>
        <v>0.96861717251038582</v>
      </c>
    </row>
    <row r="37" spans="1:2">
      <c r="A37">
        <v>34</v>
      </c>
      <c r="B37">
        <f t="shared" si="0"/>
        <v>0.9794302682561532</v>
      </c>
    </row>
    <row r="38" spans="1:2">
      <c r="A38">
        <v>35</v>
      </c>
      <c r="B38">
        <f t="shared" si="0"/>
        <v>0.9868449624818223</v>
      </c>
    </row>
    <row r="39" spans="1:2">
      <c r="A39">
        <v>36</v>
      </c>
      <c r="B39">
        <f t="shared" si="0"/>
        <v>0.99178809196560169</v>
      </c>
    </row>
    <row r="40" spans="1:2">
      <c r="A40">
        <v>37</v>
      </c>
      <c r="B40">
        <f t="shared" si="0"/>
        <v>0.99499444622535049</v>
      </c>
    </row>
    <row r="41" spans="1:2">
      <c r="A41">
        <v>38</v>
      </c>
      <c r="B41">
        <f t="shared" si="0"/>
        <v>0.99701951207361295</v>
      </c>
    </row>
    <row r="42" spans="1:2">
      <c r="A42">
        <v>39</v>
      </c>
      <c r="B42">
        <f t="shared" si="0"/>
        <v>0.99826570644177437</v>
      </c>
    </row>
    <row r="43" spans="1:2">
      <c r="A43">
        <v>40</v>
      </c>
      <c r="B43">
        <f t="shared" si="0"/>
        <v>0.99901342306267127</v>
      </c>
    </row>
    <row r="44" spans="1:2">
      <c r="A44">
        <v>41</v>
      </c>
      <c r="B44">
        <f t="shared" si="0"/>
        <v>0.99945111084075722</v>
      </c>
    </row>
    <row r="45" spans="1:2">
      <c r="A45">
        <v>42</v>
      </c>
      <c r="B45">
        <f t="shared" si="0"/>
        <v>0.99970121814252066</v>
      </c>
    </row>
    <row r="46" spans="1:2">
      <c r="A46">
        <v>43</v>
      </c>
      <c r="B46">
        <f t="shared" si="0"/>
        <v>0.9998408129155979</v>
      </c>
    </row>
    <row r="47" spans="1:2">
      <c r="A47">
        <v>44</v>
      </c>
      <c r="B47">
        <f t="shared" si="0"/>
        <v>0.99991695551909454</v>
      </c>
    </row>
    <row r="48" spans="1:2">
      <c r="A48">
        <v>45</v>
      </c>
      <c r="B48">
        <f t="shared" si="0"/>
        <v>0.99995756490762622</v>
      </c>
    </row>
    <row r="49" spans="1:2">
      <c r="A49">
        <v>46</v>
      </c>
      <c r="B49">
        <f t="shared" si="0"/>
        <v>0.99997875241468615</v>
      </c>
    </row>
    <row r="50" spans="1:2">
      <c r="A50">
        <v>47</v>
      </c>
      <c r="B50">
        <f t="shared" si="0"/>
        <v>0.99998957156722734</v>
      </c>
    </row>
    <row r="51" spans="1:2">
      <c r="A51">
        <v>48</v>
      </c>
      <c r="B51">
        <f t="shared" si="0"/>
        <v>0.99999498114349805</v>
      </c>
    </row>
    <row r="52" spans="1:2">
      <c r="A52">
        <v>49</v>
      </c>
      <c r="B52">
        <f t="shared" si="0"/>
        <v>0.99999763073187542</v>
      </c>
    </row>
    <row r="53" spans="1:2">
      <c r="A53">
        <v>50</v>
      </c>
      <c r="B53">
        <f t="shared" si="0"/>
        <v>0.99999890253429657</v>
      </c>
    </row>
    <row r="54" spans="1:2">
      <c r="A54">
        <v>51</v>
      </c>
      <c r="B54">
        <f t="shared" si="0"/>
        <v>0.99999950102955371</v>
      </c>
    </row>
    <row r="55" spans="1:2">
      <c r="A55">
        <v>52</v>
      </c>
      <c r="B55">
        <f t="shared" si="0"/>
        <v>0.99999977725813372</v>
      </c>
    </row>
    <row r="56" spans="1:2">
      <c r="A56">
        <v>53</v>
      </c>
      <c r="B56">
        <f t="shared" si="0"/>
        <v>0.99999990234277392</v>
      </c>
    </row>
    <row r="57" spans="1:2">
      <c r="A57">
        <v>54</v>
      </c>
      <c r="B57">
        <f t="shared" si="0"/>
        <v>0.99999995793594731</v>
      </c>
    </row>
    <row r="58" spans="1:2">
      <c r="A58">
        <v>55</v>
      </c>
      <c r="B58">
        <f t="shared" si="0"/>
        <v>0.99999998219478647</v>
      </c>
    </row>
    <row r="59" spans="1:2">
      <c r="A59">
        <v>56</v>
      </c>
      <c r="B59">
        <f t="shared" si="0"/>
        <v>0.99999999259143191</v>
      </c>
    </row>
    <row r="60" spans="1:2">
      <c r="A60">
        <v>57</v>
      </c>
      <c r="B60">
        <f t="shared" si="0"/>
        <v>0.9999999969689668</v>
      </c>
    </row>
    <row r="61" spans="1:2">
      <c r="A61">
        <v>58</v>
      </c>
      <c r="B61">
        <f t="shared" si="0"/>
        <v>0.99999999878036061</v>
      </c>
    </row>
    <row r="62" spans="1:2">
      <c r="A62">
        <v>59</v>
      </c>
      <c r="B62">
        <f t="shared" si="0"/>
        <v>0.99999999951719876</v>
      </c>
    </row>
    <row r="63" spans="1:2">
      <c r="A63">
        <v>60</v>
      </c>
      <c r="B63">
        <f t="shared" si="0"/>
        <v>0.99999999981193399</v>
      </c>
    </row>
    <row r="64" spans="1:2">
      <c r="A64">
        <v>61</v>
      </c>
      <c r="B64">
        <f t="shared" si="0"/>
        <v>0.99999999992789546</v>
      </c>
    </row>
    <row r="65" spans="1:2">
      <c r="A65">
        <v>62</v>
      </c>
      <c r="B65">
        <f t="shared" si="0"/>
        <v>0.99999999997278366</v>
      </c>
    </row>
    <row r="66" spans="1:2">
      <c r="A66">
        <v>63</v>
      </c>
      <c r="B66">
        <f t="shared" si="0"/>
        <v>0.99999999998988398</v>
      </c>
    </row>
    <row r="67" spans="1:2">
      <c r="A67">
        <v>64</v>
      </c>
      <c r="B67">
        <f t="shared" si="0"/>
        <v>0.99999999999629652</v>
      </c>
    </row>
    <row r="68" spans="1:2">
      <c r="A68">
        <v>65</v>
      </c>
      <c r="B68">
        <f t="shared" ref="B68:B131" si="1">_xlfn.POISSON.DIST(A68,$B$1,TRUE)</f>
        <v>0.9999999999986644</v>
      </c>
    </row>
    <row r="69" spans="1:2">
      <c r="A69">
        <v>66</v>
      </c>
      <c r="B69">
        <f t="shared" si="1"/>
        <v>0.99999999999952527</v>
      </c>
    </row>
    <row r="70" spans="1:2">
      <c r="A70">
        <v>67</v>
      </c>
      <c r="B70">
        <f t="shared" si="1"/>
        <v>0.99999999999983369</v>
      </c>
    </row>
    <row r="71" spans="1:2">
      <c r="A71">
        <v>68</v>
      </c>
      <c r="B71">
        <f t="shared" si="1"/>
        <v>0.9999999999999426</v>
      </c>
    </row>
    <row r="72" spans="1:2">
      <c r="A72">
        <v>69</v>
      </c>
      <c r="B72">
        <f t="shared" si="1"/>
        <v>0.99999999999998046</v>
      </c>
    </row>
    <row r="73" spans="1:2">
      <c r="A73">
        <v>70</v>
      </c>
      <c r="B73">
        <f t="shared" si="1"/>
        <v>0.99999999999999345</v>
      </c>
    </row>
    <row r="74" spans="1:2">
      <c r="A74">
        <v>71</v>
      </c>
      <c r="B74">
        <f t="shared" si="1"/>
        <v>0.99999999999999778</v>
      </c>
    </row>
    <row r="75" spans="1:2">
      <c r="A75">
        <v>72</v>
      </c>
      <c r="B75">
        <f t="shared" si="1"/>
        <v>0.99999999999999933</v>
      </c>
    </row>
    <row r="76" spans="1:2">
      <c r="A76">
        <v>73</v>
      </c>
      <c r="B76">
        <f t="shared" si="1"/>
        <v>0.99999999999999978</v>
      </c>
    </row>
    <row r="77" spans="1:2">
      <c r="A77">
        <v>74</v>
      </c>
      <c r="B77">
        <f t="shared" si="1"/>
        <v>1</v>
      </c>
    </row>
    <row r="78" spans="1:2">
      <c r="A78">
        <v>75</v>
      </c>
      <c r="B78">
        <f t="shared" si="1"/>
        <v>1</v>
      </c>
    </row>
    <row r="79" spans="1:2">
      <c r="A79">
        <v>76</v>
      </c>
      <c r="B79">
        <f t="shared" si="1"/>
        <v>1</v>
      </c>
    </row>
    <row r="80" spans="1:2">
      <c r="A80">
        <v>77</v>
      </c>
      <c r="B80">
        <f t="shared" si="1"/>
        <v>1</v>
      </c>
    </row>
    <row r="81" spans="1:2">
      <c r="A81">
        <v>78</v>
      </c>
      <c r="B81">
        <f t="shared" si="1"/>
        <v>1</v>
      </c>
    </row>
    <row r="82" spans="1:2">
      <c r="A82">
        <v>79</v>
      </c>
      <c r="B82">
        <f t="shared" si="1"/>
        <v>1</v>
      </c>
    </row>
    <row r="83" spans="1:2">
      <c r="A83">
        <v>80</v>
      </c>
      <c r="B83">
        <f t="shared" si="1"/>
        <v>1</v>
      </c>
    </row>
    <row r="84" spans="1:2">
      <c r="A84">
        <v>81</v>
      </c>
      <c r="B84">
        <f t="shared" si="1"/>
        <v>1</v>
      </c>
    </row>
    <row r="85" spans="1:2">
      <c r="A85">
        <v>82</v>
      </c>
      <c r="B85">
        <f t="shared" si="1"/>
        <v>1</v>
      </c>
    </row>
    <row r="86" spans="1:2">
      <c r="A86">
        <v>83</v>
      </c>
      <c r="B86">
        <f t="shared" si="1"/>
        <v>1</v>
      </c>
    </row>
    <row r="87" spans="1:2">
      <c r="A87">
        <v>84</v>
      </c>
      <c r="B87">
        <f t="shared" si="1"/>
        <v>1</v>
      </c>
    </row>
    <row r="88" spans="1:2">
      <c r="A88">
        <v>85</v>
      </c>
      <c r="B88">
        <f t="shared" si="1"/>
        <v>1</v>
      </c>
    </row>
    <row r="89" spans="1:2">
      <c r="A89">
        <v>86</v>
      </c>
      <c r="B89">
        <f t="shared" si="1"/>
        <v>1</v>
      </c>
    </row>
    <row r="90" spans="1:2">
      <c r="A90">
        <v>87</v>
      </c>
      <c r="B90">
        <f t="shared" si="1"/>
        <v>1</v>
      </c>
    </row>
    <row r="91" spans="1:2">
      <c r="A91">
        <v>88</v>
      </c>
      <c r="B91">
        <f t="shared" si="1"/>
        <v>1</v>
      </c>
    </row>
    <row r="92" spans="1:2">
      <c r="A92">
        <v>89</v>
      </c>
      <c r="B92">
        <f t="shared" si="1"/>
        <v>1</v>
      </c>
    </row>
    <row r="93" spans="1:2">
      <c r="A93">
        <v>90</v>
      </c>
      <c r="B93">
        <f t="shared" si="1"/>
        <v>1</v>
      </c>
    </row>
    <row r="94" spans="1:2">
      <c r="A94">
        <v>91</v>
      </c>
      <c r="B94">
        <f t="shared" si="1"/>
        <v>1</v>
      </c>
    </row>
    <row r="95" spans="1:2">
      <c r="A95">
        <v>92</v>
      </c>
      <c r="B95">
        <f t="shared" si="1"/>
        <v>1</v>
      </c>
    </row>
    <row r="96" spans="1:2">
      <c r="A96">
        <v>93</v>
      </c>
      <c r="B96">
        <f t="shared" si="1"/>
        <v>1</v>
      </c>
    </row>
    <row r="97" spans="1:2">
      <c r="A97">
        <v>94</v>
      </c>
      <c r="B97">
        <f t="shared" si="1"/>
        <v>1</v>
      </c>
    </row>
    <row r="98" spans="1:2">
      <c r="A98">
        <v>95</v>
      </c>
      <c r="B98">
        <f t="shared" si="1"/>
        <v>1</v>
      </c>
    </row>
    <row r="99" spans="1:2">
      <c r="A99">
        <v>96</v>
      </c>
      <c r="B99">
        <f t="shared" si="1"/>
        <v>1</v>
      </c>
    </row>
    <row r="100" spans="1:2">
      <c r="A100">
        <v>97</v>
      </c>
      <c r="B100">
        <f t="shared" si="1"/>
        <v>1</v>
      </c>
    </row>
    <row r="101" spans="1:2">
      <c r="A101">
        <v>98</v>
      </c>
      <c r="B101">
        <f t="shared" si="1"/>
        <v>1</v>
      </c>
    </row>
    <row r="102" spans="1:2">
      <c r="A102">
        <v>99</v>
      </c>
      <c r="B102">
        <f t="shared" si="1"/>
        <v>1</v>
      </c>
    </row>
    <row r="103" spans="1:2">
      <c r="A103">
        <v>100</v>
      </c>
      <c r="B103">
        <f t="shared" si="1"/>
        <v>1</v>
      </c>
    </row>
    <row r="104" spans="1:2">
      <c r="A104">
        <v>101</v>
      </c>
      <c r="B104">
        <f t="shared" si="1"/>
        <v>1</v>
      </c>
    </row>
    <row r="105" spans="1:2">
      <c r="A105">
        <v>102</v>
      </c>
      <c r="B105">
        <f t="shared" si="1"/>
        <v>1</v>
      </c>
    </row>
    <row r="106" spans="1:2">
      <c r="A106">
        <v>103</v>
      </c>
      <c r="B106">
        <f t="shared" si="1"/>
        <v>1</v>
      </c>
    </row>
    <row r="107" spans="1:2">
      <c r="A107">
        <v>104</v>
      </c>
      <c r="B107">
        <f t="shared" si="1"/>
        <v>1</v>
      </c>
    </row>
    <row r="108" spans="1:2">
      <c r="A108">
        <v>105</v>
      </c>
      <c r="B108">
        <f t="shared" si="1"/>
        <v>1</v>
      </c>
    </row>
    <row r="109" spans="1:2">
      <c r="A109">
        <v>106</v>
      </c>
      <c r="B109">
        <f t="shared" si="1"/>
        <v>1</v>
      </c>
    </row>
    <row r="110" spans="1:2">
      <c r="A110">
        <v>107</v>
      </c>
      <c r="B110">
        <f t="shared" si="1"/>
        <v>1</v>
      </c>
    </row>
    <row r="111" spans="1:2">
      <c r="A111">
        <v>108</v>
      </c>
      <c r="B111">
        <f t="shared" si="1"/>
        <v>1</v>
      </c>
    </row>
    <row r="112" spans="1:2">
      <c r="A112">
        <v>109</v>
      </c>
      <c r="B112">
        <f t="shared" si="1"/>
        <v>1</v>
      </c>
    </row>
    <row r="113" spans="1:2">
      <c r="A113">
        <v>110</v>
      </c>
      <c r="B113">
        <f t="shared" si="1"/>
        <v>1</v>
      </c>
    </row>
    <row r="114" spans="1:2">
      <c r="A114">
        <v>111</v>
      </c>
      <c r="B114">
        <f t="shared" si="1"/>
        <v>1</v>
      </c>
    </row>
    <row r="115" spans="1:2">
      <c r="A115">
        <v>112</v>
      </c>
      <c r="B115">
        <f t="shared" si="1"/>
        <v>1</v>
      </c>
    </row>
    <row r="116" spans="1:2">
      <c r="A116">
        <v>113</v>
      </c>
      <c r="B116">
        <f t="shared" si="1"/>
        <v>1</v>
      </c>
    </row>
    <row r="117" spans="1:2">
      <c r="A117">
        <v>114</v>
      </c>
      <c r="B117">
        <f t="shared" si="1"/>
        <v>1</v>
      </c>
    </row>
    <row r="118" spans="1:2">
      <c r="A118">
        <v>115</v>
      </c>
      <c r="B118">
        <f t="shared" si="1"/>
        <v>1</v>
      </c>
    </row>
    <row r="119" spans="1:2">
      <c r="A119">
        <v>116</v>
      </c>
      <c r="B119">
        <f t="shared" si="1"/>
        <v>1</v>
      </c>
    </row>
    <row r="120" spans="1:2">
      <c r="A120">
        <v>117</v>
      </c>
      <c r="B120">
        <f t="shared" si="1"/>
        <v>1</v>
      </c>
    </row>
    <row r="121" spans="1:2">
      <c r="A121">
        <v>118</v>
      </c>
      <c r="B121">
        <f t="shared" si="1"/>
        <v>1</v>
      </c>
    </row>
    <row r="122" spans="1:2">
      <c r="A122">
        <v>119</v>
      </c>
      <c r="B122">
        <f t="shared" si="1"/>
        <v>1</v>
      </c>
    </row>
    <row r="123" spans="1:2">
      <c r="A123">
        <v>120</v>
      </c>
      <c r="B123">
        <f t="shared" si="1"/>
        <v>1</v>
      </c>
    </row>
    <row r="124" spans="1:2">
      <c r="A124">
        <v>121</v>
      </c>
      <c r="B124">
        <f t="shared" si="1"/>
        <v>1</v>
      </c>
    </row>
    <row r="125" spans="1:2">
      <c r="A125">
        <v>122</v>
      </c>
      <c r="B125">
        <f t="shared" si="1"/>
        <v>1</v>
      </c>
    </row>
    <row r="126" spans="1:2">
      <c r="A126">
        <v>123</v>
      </c>
      <c r="B126">
        <f t="shared" si="1"/>
        <v>1</v>
      </c>
    </row>
    <row r="127" spans="1:2">
      <c r="A127">
        <v>124</v>
      </c>
      <c r="B127">
        <f t="shared" si="1"/>
        <v>1</v>
      </c>
    </row>
    <row r="128" spans="1:2">
      <c r="A128">
        <v>125</v>
      </c>
      <c r="B128">
        <f t="shared" si="1"/>
        <v>1</v>
      </c>
    </row>
    <row r="129" spans="1:2">
      <c r="A129">
        <v>126</v>
      </c>
      <c r="B129">
        <f t="shared" si="1"/>
        <v>1</v>
      </c>
    </row>
    <row r="130" spans="1:2">
      <c r="A130">
        <v>127</v>
      </c>
      <c r="B130">
        <f t="shared" si="1"/>
        <v>1</v>
      </c>
    </row>
    <row r="131" spans="1:2">
      <c r="A131">
        <v>128</v>
      </c>
      <c r="B131">
        <f t="shared" si="1"/>
        <v>1</v>
      </c>
    </row>
    <row r="132" spans="1:2">
      <c r="A132">
        <v>129</v>
      </c>
      <c r="B132">
        <f t="shared" ref="B132:B144" si="2">_xlfn.POISSON.DIST(A132,$B$1,TRUE)</f>
        <v>1</v>
      </c>
    </row>
    <row r="133" spans="1:2">
      <c r="A133">
        <v>130</v>
      </c>
      <c r="B133">
        <f t="shared" si="2"/>
        <v>1</v>
      </c>
    </row>
    <row r="134" spans="1:2">
      <c r="A134">
        <v>131</v>
      </c>
      <c r="B134">
        <f t="shared" si="2"/>
        <v>1</v>
      </c>
    </row>
    <row r="135" spans="1:2">
      <c r="A135">
        <v>132</v>
      </c>
      <c r="B135">
        <f t="shared" si="2"/>
        <v>1</v>
      </c>
    </row>
    <row r="136" spans="1:2">
      <c r="A136">
        <v>133</v>
      </c>
      <c r="B136">
        <f t="shared" si="2"/>
        <v>1</v>
      </c>
    </row>
    <row r="137" spans="1:2">
      <c r="A137">
        <v>134</v>
      </c>
      <c r="B137">
        <f t="shared" si="2"/>
        <v>1</v>
      </c>
    </row>
    <row r="138" spans="1:2">
      <c r="A138">
        <v>135</v>
      </c>
      <c r="B138">
        <f t="shared" si="2"/>
        <v>1</v>
      </c>
    </row>
    <row r="139" spans="1:2">
      <c r="A139">
        <v>136</v>
      </c>
      <c r="B139">
        <f t="shared" si="2"/>
        <v>1</v>
      </c>
    </row>
    <row r="140" spans="1:2">
      <c r="A140">
        <v>137</v>
      </c>
      <c r="B140">
        <f t="shared" si="2"/>
        <v>1</v>
      </c>
    </row>
    <row r="141" spans="1:2">
      <c r="A141">
        <v>138</v>
      </c>
      <c r="B141">
        <f t="shared" si="2"/>
        <v>1</v>
      </c>
    </row>
    <row r="142" spans="1:2">
      <c r="A142">
        <v>139</v>
      </c>
      <c r="B142">
        <f t="shared" si="2"/>
        <v>1</v>
      </c>
    </row>
    <row r="143" spans="1:2">
      <c r="A143">
        <v>140</v>
      </c>
      <c r="B143">
        <f t="shared" si="2"/>
        <v>1</v>
      </c>
    </row>
    <row r="144" spans="1:2">
      <c r="A144">
        <v>141</v>
      </c>
      <c r="B144">
        <f t="shared" si="2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6696-85E5-6442-9BEB-F9AF839DE818}">
  <dimension ref="A1:H1000"/>
  <sheetViews>
    <sheetView topLeftCell="A3" workbookViewId="0">
      <selection activeCell="C37" activeCellId="2" sqref="C26 C31 C37"/>
    </sheetView>
  </sheetViews>
  <sheetFormatPr baseColWidth="10" defaultColWidth="12.6640625" defaultRowHeight="16"/>
  <sheetData>
    <row r="1" spans="1:8" ht="15.75" customHeight="1">
      <c r="A1" s="47"/>
      <c r="B1" s="47"/>
      <c r="C1" s="47"/>
    </row>
    <row r="2" spans="1:8" ht="15.75" customHeight="1">
      <c r="A2" s="47"/>
      <c r="B2" s="47"/>
      <c r="C2" s="47"/>
    </row>
    <row r="3" spans="1:8" ht="15.75" customHeight="1">
      <c r="A3" s="47"/>
      <c r="B3" s="47"/>
      <c r="C3" s="47"/>
    </row>
    <row r="4" spans="1:8" ht="15.75" customHeight="1">
      <c r="A4" s="47"/>
      <c r="B4" s="48" t="s">
        <v>84</v>
      </c>
      <c r="C4" s="48" t="s">
        <v>85</v>
      </c>
      <c r="H4" t="s">
        <v>86</v>
      </c>
    </row>
    <row r="5" spans="1:8" ht="15.75" customHeight="1">
      <c r="A5" s="48" t="s">
        <v>87</v>
      </c>
      <c r="B5" s="57">
        <v>0.8</v>
      </c>
      <c r="C5" s="55">
        <f>A6*B5</f>
        <v>0.4</v>
      </c>
      <c r="D5" s="49">
        <f>C5+C7</f>
        <v>0.5</v>
      </c>
      <c r="E5" s="50" t="s">
        <v>88</v>
      </c>
      <c r="F5" s="50">
        <f>C5+C10</f>
        <v>0.85000000000000009</v>
      </c>
      <c r="H5">
        <f>0.18-0.1</f>
        <v>7.9999999999999988E-2</v>
      </c>
    </row>
    <row r="6" spans="1:8" ht="15.75" customHeight="1">
      <c r="A6" s="56">
        <v>0.5</v>
      </c>
      <c r="B6" s="48" t="s">
        <v>89</v>
      </c>
      <c r="C6" s="48" t="s">
        <v>90</v>
      </c>
      <c r="H6">
        <f>H5/A11</f>
        <v>0.15999999999999998</v>
      </c>
    </row>
    <row r="7" spans="1:8" ht="15.75" customHeight="1">
      <c r="A7" s="47"/>
      <c r="B7" s="57">
        <f>1-B5</f>
        <v>0.19999999999999996</v>
      </c>
      <c r="C7" s="55">
        <f>A6*B7</f>
        <v>9.9999999999999978E-2</v>
      </c>
    </row>
    <row r="8" spans="1:8" ht="15.75" customHeight="1">
      <c r="A8" s="47"/>
      <c r="B8" s="51">
        <f>B5+B7</f>
        <v>1</v>
      </c>
      <c r="C8" s="47"/>
      <c r="H8" t="s">
        <v>91</v>
      </c>
    </row>
    <row r="9" spans="1:8" ht="15.75" customHeight="1">
      <c r="A9" s="47"/>
      <c r="B9" s="48" t="s">
        <v>92</v>
      </c>
      <c r="C9" s="48" t="s">
        <v>93</v>
      </c>
      <c r="H9">
        <f>(B5*A6)/A6</f>
        <v>0.8</v>
      </c>
    </row>
    <row r="10" spans="1:8" ht="15.75" customHeight="1">
      <c r="A10" s="48" t="s">
        <v>94</v>
      </c>
      <c r="B10" s="58">
        <v>0.9</v>
      </c>
      <c r="C10" s="55">
        <f>A11*B10</f>
        <v>0.45</v>
      </c>
      <c r="D10" s="49">
        <f>C10+C12</f>
        <v>0.5</v>
      </c>
    </row>
    <row r="11" spans="1:8" ht="15.75" customHeight="1">
      <c r="A11" s="56">
        <f>1-A6</f>
        <v>0.5</v>
      </c>
      <c r="B11" s="52" t="s">
        <v>95</v>
      </c>
      <c r="C11" s="48" t="s">
        <v>96</v>
      </c>
    </row>
    <row r="12" spans="1:8" ht="15.75" customHeight="1">
      <c r="A12" s="47"/>
      <c r="B12" s="59">
        <f>1-B10</f>
        <v>9.9999999999999978E-2</v>
      </c>
      <c r="C12" s="55">
        <f>A11*B12</f>
        <v>4.9999999999999989E-2</v>
      </c>
    </row>
    <row r="13" spans="1:8" ht="15.75" customHeight="1">
      <c r="A13" s="47"/>
      <c r="B13" s="47"/>
      <c r="C13" s="47"/>
    </row>
    <row r="14" spans="1:8" ht="15.75" customHeight="1">
      <c r="A14" s="51">
        <f>SUM(A6+A11)</f>
        <v>1</v>
      </c>
      <c r="B14" s="51">
        <f>B10+B12</f>
        <v>1</v>
      </c>
      <c r="C14" s="51">
        <f>SUM(C12,C10,C7,C5)</f>
        <v>1</v>
      </c>
    </row>
    <row r="15" spans="1:8" ht="15.75" customHeight="1"/>
    <row r="16" spans="1:8" ht="15.75" customHeight="1">
      <c r="E16">
        <f>C5</f>
        <v>0.4</v>
      </c>
      <c r="F16">
        <f>E16/E17</f>
        <v>0.47058823529411764</v>
      </c>
    </row>
    <row r="17" spans="1:6" ht="15.75" customHeight="1">
      <c r="E17">
        <f>0.4+0.45</f>
        <v>0.85000000000000009</v>
      </c>
    </row>
    <row r="18" spans="1:6" ht="15.75" customHeight="1"/>
    <row r="19" spans="1:6" ht="15.75" customHeight="1"/>
    <row r="20" spans="1:6" ht="15.75" customHeight="1"/>
    <row r="21" spans="1:6" ht="15.75" customHeight="1">
      <c r="A21" s="47"/>
      <c r="B21" s="47"/>
      <c r="C21" s="47"/>
    </row>
    <row r="22" spans="1:6" ht="15.75" customHeight="1">
      <c r="A22" s="47"/>
      <c r="B22" s="47"/>
      <c r="C22" s="47"/>
    </row>
    <row r="23" spans="1:6" ht="15.75" customHeight="1">
      <c r="A23" s="47"/>
      <c r="B23" s="48" t="s">
        <v>97</v>
      </c>
      <c r="C23" s="48" t="s">
        <v>98</v>
      </c>
    </row>
    <row r="24" spans="1:6" ht="15.75" customHeight="1">
      <c r="A24" s="48" t="s">
        <v>99</v>
      </c>
      <c r="B24" s="57">
        <v>0.95</v>
      </c>
      <c r="C24" s="60">
        <f>A25*B24</f>
        <v>0.33249999999999996</v>
      </c>
      <c r="D24" s="53">
        <f>C24+C26</f>
        <v>0.35</v>
      </c>
      <c r="E24" s="54">
        <f>C24+C29+C35</f>
        <v>0.92849999999999999</v>
      </c>
      <c r="F24" s="50">
        <f>E24/E25</f>
        <v>2.0633333333333335</v>
      </c>
    </row>
    <row r="25" spans="1:6" ht="15.75" customHeight="1">
      <c r="A25" s="56">
        <v>0.35</v>
      </c>
      <c r="B25" s="48" t="s">
        <v>100</v>
      </c>
      <c r="C25" s="48" t="s">
        <v>101</v>
      </c>
      <c r="E25" s="54">
        <f>C24+C26+C35+C37</f>
        <v>0.45</v>
      </c>
    </row>
    <row r="26" spans="1:6" ht="15.75" customHeight="1">
      <c r="A26" s="47"/>
      <c r="B26" s="57">
        <f>1-B24</f>
        <v>5.0000000000000044E-2</v>
      </c>
      <c r="C26" s="60">
        <f>A25*B26</f>
        <v>1.7500000000000016E-2</v>
      </c>
    </row>
    <row r="27" spans="1:6" ht="15.75" customHeight="1">
      <c r="A27" s="47"/>
      <c r="B27" s="51">
        <f>B24+B26</f>
        <v>1</v>
      </c>
      <c r="C27" s="47"/>
    </row>
    <row r="28" spans="1:6" ht="15.75" customHeight="1">
      <c r="A28" s="47"/>
      <c r="B28" s="48" t="s">
        <v>102</v>
      </c>
      <c r="C28" s="48" t="s">
        <v>103</v>
      </c>
    </row>
    <row r="29" spans="1:6" ht="15.75" customHeight="1">
      <c r="A29" s="48" t="s">
        <v>104</v>
      </c>
      <c r="B29" s="57">
        <f>1-B31</f>
        <v>0.92</v>
      </c>
      <c r="C29" s="60">
        <f>A30*B29</f>
        <v>0.50600000000000012</v>
      </c>
      <c r="D29" s="49">
        <f>C29+C31</f>
        <v>0.55000000000000016</v>
      </c>
    </row>
    <row r="30" spans="1:6" ht="15.75" customHeight="1">
      <c r="A30" s="56">
        <v>0.55000000000000004</v>
      </c>
      <c r="B30" s="52" t="s">
        <v>105</v>
      </c>
      <c r="C30" s="48" t="s">
        <v>106</v>
      </c>
    </row>
    <row r="31" spans="1:6" ht="15.75" customHeight="1">
      <c r="A31" s="47"/>
      <c r="B31" s="57">
        <f>0.08</f>
        <v>0.08</v>
      </c>
      <c r="C31" s="60">
        <f>A30*B31</f>
        <v>4.4000000000000004E-2</v>
      </c>
    </row>
    <row r="32" spans="1:6" ht="15.75" customHeight="1">
      <c r="A32" s="47"/>
      <c r="B32" s="51">
        <f>B29+B31</f>
        <v>1</v>
      </c>
      <c r="C32" s="61"/>
    </row>
    <row r="33" spans="1:4" ht="15.75" customHeight="1">
      <c r="A33" s="47"/>
      <c r="B33" s="47"/>
      <c r="C33" s="47"/>
    </row>
    <row r="34" spans="1:4" ht="15.75" customHeight="1">
      <c r="A34" s="47"/>
      <c r="B34" s="48" t="s">
        <v>107</v>
      </c>
      <c r="C34" s="48" t="s">
        <v>108</v>
      </c>
    </row>
    <row r="35" spans="1:4" ht="15.75" customHeight="1">
      <c r="A35" s="48" t="s">
        <v>109</v>
      </c>
      <c r="B35" s="57">
        <v>0.9</v>
      </c>
      <c r="C35" s="60">
        <f>A36*B35</f>
        <v>9.0000000000000011E-2</v>
      </c>
      <c r="D35" s="53">
        <f>C35+C37</f>
        <v>0.1</v>
      </c>
    </row>
    <row r="36" spans="1:4" ht="15.75" customHeight="1">
      <c r="A36" s="56">
        <v>0.1</v>
      </c>
      <c r="B36" s="52" t="s">
        <v>110</v>
      </c>
      <c r="C36" s="48" t="s">
        <v>111</v>
      </c>
    </row>
    <row r="37" spans="1:4" ht="15.75" customHeight="1">
      <c r="A37" s="47"/>
      <c r="B37" s="57">
        <f>1-B35</f>
        <v>9.9999999999999978E-2</v>
      </c>
      <c r="C37" s="60">
        <f>A36*B37</f>
        <v>9.9999999999999985E-3</v>
      </c>
    </row>
    <row r="38" spans="1:4" ht="15.75" customHeight="1">
      <c r="B38" s="51">
        <f>B35+B37</f>
        <v>1</v>
      </c>
    </row>
    <row r="39" spans="1:4" ht="15.75" customHeight="1">
      <c r="A39" s="49">
        <f>A25+A30+A36</f>
        <v>1</v>
      </c>
      <c r="C39" s="53">
        <f>C24+C26+C29+C31+C35+C37</f>
        <v>1</v>
      </c>
    </row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B397-8252-574B-BEDB-36D3F842F42C}">
  <dimension ref="B2:Q83"/>
  <sheetViews>
    <sheetView topLeftCell="D1" workbookViewId="0">
      <selection activeCell="E54" sqref="A54:XFD54"/>
    </sheetView>
  </sheetViews>
  <sheetFormatPr baseColWidth="10" defaultColWidth="11" defaultRowHeight="16"/>
  <cols>
    <col min="8" max="8" width="17.33203125" customWidth="1"/>
  </cols>
  <sheetData>
    <row r="2" spans="2:9">
      <c r="B2" t="s">
        <v>112</v>
      </c>
      <c r="E2" t="s">
        <v>113</v>
      </c>
      <c r="H2" t="s">
        <v>114</v>
      </c>
    </row>
    <row r="3" spans="2:9">
      <c r="B3" t="s">
        <v>115</v>
      </c>
      <c r="C3">
        <v>5</v>
      </c>
      <c r="E3" t="s">
        <v>116</v>
      </c>
      <c r="F3">
        <v>1</v>
      </c>
    </row>
    <row r="4" spans="2:9">
      <c r="B4" t="s">
        <v>117</v>
      </c>
      <c r="C4">
        <v>4</v>
      </c>
      <c r="E4" t="s">
        <v>118</v>
      </c>
      <c r="F4">
        <v>0</v>
      </c>
    </row>
    <row r="5" spans="2:9">
      <c r="B5" t="s">
        <v>119</v>
      </c>
      <c r="C5">
        <v>3</v>
      </c>
    </row>
    <row r="6" spans="2:9">
      <c r="B6" t="s">
        <v>120</v>
      </c>
      <c r="C6">
        <v>2</v>
      </c>
    </row>
    <row r="7" spans="2:9">
      <c r="B7" t="s">
        <v>121</v>
      </c>
      <c r="C7">
        <v>1</v>
      </c>
    </row>
    <row r="10" spans="2:9">
      <c r="B10" t="s">
        <v>122</v>
      </c>
      <c r="C10" t="s">
        <v>123</v>
      </c>
      <c r="D10" t="s">
        <v>116</v>
      </c>
      <c r="H10" t="s">
        <v>52</v>
      </c>
      <c r="I10">
        <v>0.03</v>
      </c>
    </row>
    <row r="11" spans="2:9">
      <c r="B11">
        <v>1</v>
      </c>
      <c r="C11">
        <v>3</v>
      </c>
      <c r="D11">
        <v>1</v>
      </c>
    </row>
    <row r="12" spans="2:9">
      <c r="B12">
        <v>2</v>
      </c>
      <c r="C12">
        <v>4</v>
      </c>
      <c r="D12">
        <v>0</v>
      </c>
    </row>
    <row r="13" spans="2:9">
      <c r="B13">
        <v>3</v>
      </c>
      <c r="C13">
        <v>3</v>
      </c>
      <c r="D13">
        <v>0</v>
      </c>
    </row>
    <row r="14" spans="2:9">
      <c r="B14">
        <v>4</v>
      </c>
      <c r="C14">
        <v>5</v>
      </c>
      <c r="D14">
        <v>0</v>
      </c>
      <c r="G14" t="s">
        <v>124</v>
      </c>
      <c r="H14" t="s">
        <v>125</v>
      </c>
    </row>
    <row r="15" spans="2:9">
      <c r="B15">
        <v>5</v>
      </c>
      <c r="C15">
        <v>5</v>
      </c>
      <c r="D15">
        <v>1</v>
      </c>
      <c r="H15" t="s">
        <v>126</v>
      </c>
    </row>
    <row r="16" spans="2:9">
      <c r="B16">
        <v>6</v>
      </c>
      <c r="C16">
        <v>2</v>
      </c>
      <c r="D16">
        <v>0</v>
      </c>
    </row>
    <row r="17" spans="2:9">
      <c r="B17">
        <v>7</v>
      </c>
      <c r="C17">
        <v>4</v>
      </c>
      <c r="D17">
        <v>0</v>
      </c>
      <c r="H17" t="s">
        <v>127</v>
      </c>
    </row>
    <row r="18" spans="2:9">
      <c r="B18">
        <v>8</v>
      </c>
      <c r="C18">
        <v>2</v>
      </c>
      <c r="D18">
        <v>0</v>
      </c>
      <c r="H18" t="s">
        <v>128</v>
      </c>
    </row>
    <row r="19" spans="2:9">
      <c r="B19">
        <v>9</v>
      </c>
      <c r="C19">
        <v>5</v>
      </c>
      <c r="D19">
        <v>0</v>
      </c>
    </row>
    <row r="20" spans="2:9">
      <c r="B20">
        <v>10</v>
      </c>
      <c r="C20">
        <v>4</v>
      </c>
      <c r="D20">
        <v>1</v>
      </c>
      <c r="H20" t="s">
        <v>56</v>
      </c>
      <c r="I20">
        <v>3.2</v>
      </c>
    </row>
    <row r="21" spans="2:9">
      <c r="B21">
        <v>11</v>
      </c>
      <c r="C21">
        <v>4</v>
      </c>
      <c r="D21">
        <v>0</v>
      </c>
      <c r="H21" t="s">
        <v>57</v>
      </c>
      <c r="I21">
        <f>AVERAGE(C11:C60)</f>
        <v>3.52</v>
      </c>
    </row>
    <row r="22" spans="2:9">
      <c r="B22">
        <v>12</v>
      </c>
      <c r="C22">
        <v>2</v>
      </c>
      <c r="D22">
        <v>0</v>
      </c>
      <c r="H22" t="s">
        <v>37</v>
      </c>
      <c r="I22">
        <v>50</v>
      </c>
    </row>
    <row r="23" spans="2:9">
      <c r="B23">
        <v>13</v>
      </c>
      <c r="C23">
        <v>2</v>
      </c>
      <c r="D23">
        <v>1</v>
      </c>
      <c r="H23" t="s">
        <v>58</v>
      </c>
      <c r="I23">
        <f>STDEV(C11:C60)</f>
        <v>1.110984119727062</v>
      </c>
    </row>
    <row r="24" spans="2:9">
      <c r="B24">
        <v>14</v>
      </c>
      <c r="C24">
        <v>4</v>
      </c>
      <c r="D24">
        <v>1</v>
      </c>
    </row>
    <row r="25" spans="2:9">
      <c r="B25">
        <v>15</v>
      </c>
      <c r="C25">
        <v>3</v>
      </c>
      <c r="D25">
        <v>1</v>
      </c>
      <c r="H25" t="s">
        <v>59</v>
      </c>
      <c r="I25">
        <f>(I21-I20)/(I23/SQRT(I22))</f>
        <v>2.0367003088692606</v>
      </c>
    </row>
    <row r="26" spans="2:9">
      <c r="B26">
        <v>16</v>
      </c>
      <c r="C26">
        <v>3</v>
      </c>
      <c r="D26">
        <v>1</v>
      </c>
    </row>
    <row r="27" spans="2:9">
      <c r="B27">
        <v>17</v>
      </c>
      <c r="C27">
        <v>5</v>
      </c>
      <c r="D27">
        <v>1</v>
      </c>
      <c r="H27" t="s">
        <v>60</v>
      </c>
      <c r="I27">
        <f>1-_xlfn.T.DIST(I25,I22-1,TRUE)</f>
        <v>2.355104221977089E-2</v>
      </c>
    </row>
    <row r="28" spans="2:9">
      <c r="B28">
        <v>18</v>
      </c>
      <c r="C28">
        <v>4</v>
      </c>
      <c r="D28">
        <v>0</v>
      </c>
      <c r="H28" t="s">
        <v>129</v>
      </c>
      <c r="I28">
        <f>I10*2</f>
        <v>0.06</v>
      </c>
    </row>
    <row r="29" spans="2:9">
      <c r="B29">
        <v>19</v>
      </c>
      <c r="C29">
        <v>1</v>
      </c>
      <c r="D29">
        <v>1</v>
      </c>
    </row>
    <row r="30" spans="2:9">
      <c r="B30">
        <v>20</v>
      </c>
      <c r="C30">
        <v>3</v>
      </c>
      <c r="D30">
        <v>1</v>
      </c>
    </row>
    <row r="31" spans="2:9">
      <c r="B31">
        <v>21</v>
      </c>
      <c r="C31">
        <v>4</v>
      </c>
      <c r="D31">
        <v>1</v>
      </c>
      <c r="H31" t="s">
        <v>130</v>
      </c>
    </row>
    <row r="32" spans="2:9">
      <c r="B32">
        <v>22</v>
      </c>
      <c r="C32">
        <v>5</v>
      </c>
      <c r="D32">
        <v>0</v>
      </c>
    </row>
    <row r="33" spans="2:9">
      <c r="B33">
        <v>23</v>
      </c>
      <c r="C33">
        <v>3</v>
      </c>
      <c r="D33">
        <v>0</v>
      </c>
    </row>
    <row r="34" spans="2:9">
      <c r="B34">
        <v>24</v>
      </c>
      <c r="C34">
        <v>3</v>
      </c>
      <c r="D34">
        <v>1</v>
      </c>
    </row>
    <row r="35" spans="2:9">
      <c r="B35">
        <v>25</v>
      </c>
      <c r="C35">
        <v>2</v>
      </c>
      <c r="D35">
        <v>0</v>
      </c>
      <c r="G35" t="s">
        <v>131</v>
      </c>
      <c r="H35">
        <v>13</v>
      </c>
      <c r="I35" t="s">
        <v>132</v>
      </c>
    </row>
    <row r="36" spans="2:9">
      <c r="B36">
        <v>26</v>
      </c>
      <c r="C36">
        <v>3</v>
      </c>
      <c r="D36">
        <v>1</v>
      </c>
      <c r="H36">
        <v>10</v>
      </c>
      <c r="I36" t="s">
        <v>133</v>
      </c>
    </row>
    <row r="37" spans="2:9">
      <c r="B37">
        <v>27</v>
      </c>
      <c r="C37">
        <v>4</v>
      </c>
      <c r="D37">
        <v>0</v>
      </c>
      <c r="H37">
        <f>SUM(H35:H36)</f>
        <v>23</v>
      </c>
    </row>
    <row r="38" spans="2:9">
      <c r="B38">
        <v>28</v>
      </c>
      <c r="C38">
        <v>2</v>
      </c>
      <c r="D38">
        <v>1</v>
      </c>
    </row>
    <row r="39" spans="2:9">
      <c r="B39">
        <v>29</v>
      </c>
      <c r="C39">
        <v>4</v>
      </c>
      <c r="D39">
        <v>1</v>
      </c>
      <c r="H39" t="s">
        <v>134</v>
      </c>
    </row>
    <row r="40" spans="2:9">
      <c r="B40">
        <v>30</v>
      </c>
      <c r="C40">
        <v>5</v>
      </c>
      <c r="D40">
        <v>1</v>
      </c>
      <c r="H40" t="s">
        <v>135</v>
      </c>
    </row>
    <row r="41" spans="2:9">
      <c r="B41">
        <v>31</v>
      </c>
      <c r="C41">
        <v>3</v>
      </c>
      <c r="D41">
        <v>0</v>
      </c>
      <c r="H41" t="s">
        <v>136</v>
      </c>
    </row>
    <row r="42" spans="2:9">
      <c r="B42">
        <v>32</v>
      </c>
      <c r="C42">
        <v>3</v>
      </c>
      <c r="D42">
        <v>1</v>
      </c>
      <c r="H42" t="s">
        <v>137</v>
      </c>
    </row>
    <row r="43" spans="2:9">
      <c r="B43">
        <v>33</v>
      </c>
      <c r="C43">
        <v>3</v>
      </c>
      <c r="D43">
        <v>1</v>
      </c>
    </row>
    <row r="44" spans="2:9">
      <c r="B44">
        <v>34</v>
      </c>
      <c r="C44">
        <v>3</v>
      </c>
      <c r="D44">
        <v>1</v>
      </c>
    </row>
    <row r="45" spans="2:9">
      <c r="B45">
        <v>35</v>
      </c>
      <c r="C45">
        <v>5</v>
      </c>
      <c r="D45">
        <v>1</v>
      </c>
      <c r="H45" t="s">
        <v>52</v>
      </c>
      <c r="I45">
        <v>0.03</v>
      </c>
    </row>
    <row r="46" spans="2:9">
      <c r="B46">
        <v>36</v>
      </c>
      <c r="C46">
        <v>3</v>
      </c>
      <c r="D46">
        <v>1</v>
      </c>
    </row>
    <row r="47" spans="2:9">
      <c r="B47">
        <v>37</v>
      </c>
      <c r="C47">
        <v>3</v>
      </c>
      <c r="D47">
        <v>0</v>
      </c>
      <c r="H47" s="74" t="s">
        <v>138</v>
      </c>
      <c r="I47" s="74"/>
    </row>
    <row r="48" spans="2:9">
      <c r="B48">
        <v>38</v>
      </c>
      <c r="C48">
        <v>5</v>
      </c>
      <c r="D48">
        <v>1</v>
      </c>
      <c r="H48" t="s">
        <v>35</v>
      </c>
      <c r="I48" s="25">
        <f>H37/I50</f>
        <v>0.46</v>
      </c>
    </row>
    <row r="49" spans="2:17">
      <c r="B49">
        <v>39</v>
      </c>
      <c r="C49">
        <v>5</v>
      </c>
      <c r="D49">
        <v>1</v>
      </c>
      <c r="H49" t="s">
        <v>38</v>
      </c>
      <c r="I49" s="25">
        <v>0.35</v>
      </c>
    </row>
    <row r="50" spans="2:17">
      <c r="B50">
        <v>40</v>
      </c>
      <c r="C50">
        <v>3</v>
      </c>
      <c r="D50">
        <v>1</v>
      </c>
      <c r="H50" t="s">
        <v>37</v>
      </c>
      <c r="I50" s="25">
        <v>50</v>
      </c>
    </row>
    <row r="51" spans="2:17">
      <c r="B51">
        <v>41</v>
      </c>
      <c r="C51">
        <v>3</v>
      </c>
      <c r="D51">
        <v>1</v>
      </c>
    </row>
    <row r="52" spans="2:17">
      <c r="B52">
        <v>42</v>
      </c>
      <c r="C52">
        <v>2</v>
      </c>
      <c r="D52">
        <v>1</v>
      </c>
      <c r="H52" t="s">
        <v>42</v>
      </c>
      <c r="I52" s="21">
        <f>I48-I49</f>
        <v>0.11000000000000004</v>
      </c>
    </row>
    <row r="53" spans="2:17">
      <c r="B53">
        <v>43</v>
      </c>
      <c r="C53">
        <v>3</v>
      </c>
      <c r="D53">
        <v>0</v>
      </c>
      <c r="H53" t="s">
        <v>44</v>
      </c>
      <c r="I53" s="21">
        <f>SQRT((I49*(1-I49))/I50)</f>
        <v>6.7453687816160207E-2</v>
      </c>
    </row>
    <row r="54" spans="2:17">
      <c r="B54">
        <v>44</v>
      </c>
      <c r="C54">
        <v>4</v>
      </c>
      <c r="D54">
        <v>0</v>
      </c>
    </row>
    <row r="55" spans="2:17">
      <c r="B55">
        <v>45</v>
      </c>
      <c r="C55">
        <v>5</v>
      </c>
      <c r="D55">
        <v>0</v>
      </c>
      <c r="H55" s="33" t="s">
        <v>45</v>
      </c>
      <c r="I55" s="23">
        <f>I52/I53</f>
        <v>1.6307484966544232</v>
      </c>
    </row>
    <row r="56" spans="2:17">
      <c r="B56">
        <v>46</v>
      </c>
      <c r="C56">
        <v>5</v>
      </c>
      <c r="D56">
        <v>1</v>
      </c>
      <c r="H56" s="33" t="s">
        <v>139</v>
      </c>
      <c r="I56" s="23">
        <f>1-_xlfn.NORM.S.DIST(I55,TRUE)</f>
        <v>5.1471699471790755E-2</v>
      </c>
    </row>
    <row r="57" spans="2:17">
      <c r="B57">
        <v>47</v>
      </c>
      <c r="C57">
        <v>5</v>
      </c>
      <c r="D57">
        <v>0</v>
      </c>
      <c r="Q57" s="42"/>
    </row>
    <row r="58" spans="2:17">
      <c r="B58">
        <v>48</v>
      </c>
      <c r="C58">
        <v>3</v>
      </c>
      <c r="D58">
        <v>1</v>
      </c>
      <c r="H58" t="s">
        <v>140</v>
      </c>
      <c r="Q58" s="43"/>
    </row>
    <row r="59" spans="2:17">
      <c r="B59">
        <v>49</v>
      </c>
      <c r="C59">
        <v>2</v>
      </c>
      <c r="D59">
        <v>1</v>
      </c>
      <c r="Q59" s="43"/>
    </row>
    <row r="60" spans="2:17">
      <c r="B60">
        <v>50</v>
      </c>
      <c r="C60">
        <v>5</v>
      </c>
      <c r="D60">
        <v>1</v>
      </c>
      <c r="Q60" s="43"/>
    </row>
    <row r="61" spans="2:17">
      <c r="Q61" s="43"/>
    </row>
    <row r="62" spans="2:17">
      <c r="G62" t="s">
        <v>141</v>
      </c>
      <c r="H62" t="s">
        <v>142</v>
      </c>
      <c r="I62">
        <f>30/50</f>
        <v>0.6</v>
      </c>
      <c r="K62" s="41" t="s">
        <v>143</v>
      </c>
      <c r="Q62" s="43"/>
    </row>
    <row r="63" spans="2:17">
      <c r="H63" t="s">
        <v>144</v>
      </c>
      <c r="I63">
        <v>0.46</v>
      </c>
      <c r="Q63" s="43"/>
    </row>
    <row r="65" spans="8:15">
      <c r="H65" s="74" t="s">
        <v>138</v>
      </c>
      <c r="I65" s="74"/>
      <c r="O65" s="42"/>
    </row>
    <row r="66" spans="8:15">
      <c r="H66" t="s">
        <v>35</v>
      </c>
      <c r="I66" s="25">
        <f>I62</f>
        <v>0.6</v>
      </c>
      <c r="O66" s="43"/>
    </row>
    <row r="67" spans="8:15">
      <c r="H67" t="s">
        <v>38</v>
      </c>
      <c r="I67" s="25">
        <f>I63</f>
        <v>0.46</v>
      </c>
      <c r="O67" s="43"/>
    </row>
    <row r="68" spans="8:15">
      <c r="H68" t="s">
        <v>37</v>
      </c>
      <c r="I68" s="25">
        <v>50</v>
      </c>
      <c r="O68" s="43"/>
    </row>
    <row r="69" spans="8:15">
      <c r="O69" s="43"/>
    </row>
    <row r="70" spans="8:15">
      <c r="H70" t="s">
        <v>42</v>
      </c>
      <c r="I70" s="21">
        <f>I66-I67</f>
        <v>0.13999999999999996</v>
      </c>
    </row>
    <row r="71" spans="8:15">
      <c r="H71" t="s">
        <v>44</v>
      </c>
      <c r="I71" s="21">
        <f>SQRT((I67*(1-I67))/I68)</f>
        <v>7.0484040746824392E-2</v>
      </c>
    </row>
    <row r="73" spans="8:15">
      <c r="H73" s="33" t="s">
        <v>45</v>
      </c>
      <c r="I73" s="23">
        <f>I70/I71</f>
        <v>1.9862652384370791</v>
      </c>
    </row>
    <row r="74" spans="8:15">
      <c r="H74" s="33" t="str">
        <f>"P(X&gt;"&amp;I67&amp;")"</f>
        <v>P(X&gt;0.46)</v>
      </c>
      <c r="I74" s="23">
        <f>1-_xlfn.NORM.S.DIST(I73,TRUE)</f>
        <v>2.3501940157789614E-2</v>
      </c>
    </row>
    <row r="76" spans="8:15">
      <c r="H76" t="s">
        <v>65</v>
      </c>
      <c r="I76">
        <f>0.03</f>
        <v>0.03</v>
      </c>
    </row>
    <row r="77" spans="8:15">
      <c r="H77" t="s">
        <v>66</v>
      </c>
      <c r="I77" s="40">
        <f>1-(I76/2)</f>
        <v>0.98499999999999999</v>
      </c>
    </row>
    <row r="78" spans="8:15">
      <c r="H78" s="2" t="s">
        <v>61</v>
      </c>
      <c r="I78" s="2"/>
    </row>
    <row r="79" spans="8:15">
      <c r="H79" s="39" t="s">
        <v>145</v>
      </c>
      <c r="I79" s="42"/>
    </row>
    <row r="80" spans="8:15">
      <c r="I80" s="43"/>
    </row>
    <row r="81" spans="9:9">
      <c r="I81" s="43"/>
    </row>
    <row r="82" spans="9:9">
      <c r="I82" s="43"/>
    </row>
    <row r="83" spans="9:9">
      <c r="I83" s="43"/>
    </row>
  </sheetData>
  <mergeCells count="2">
    <mergeCell ref="H47:I47"/>
    <mergeCell ref="H65:I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7C5C-5CE5-D74E-BD0A-06B8A9EF4C6F}">
  <dimension ref="A1:C12"/>
  <sheetViews>
    <sheetView workbookViewId="0">
      <selection activeCell="C4" sqref="C4"/>
    </sheetView>
  </sheetViews>
  <sheetFormatPr baseColWidth="10" defaultColWidth="11" defaultRowHeight="16"/>
  <sheetData>
    <row r="1" spans="1:3" ht="19">
      <c r="A1" s="65" t="s">
        <v>146</v>
      </c>
    </row>
    <row r="3" spans="1:3">
      <c r="A3">
        <v>275.8</v>
      </c>
      <c r="C3">
        <f t="array" ref="C3">AVERAGE(A3:A12)</f>
        <v>293.31699999999995</v>
      </c>
    </row>
    <row r="4" spans="1:3">
      <c r="A4">
        <v>272.52</v>
      </c>
      <c r="C4">
        <f>STDEV(A3:A12)</f>
        <v>21.192924946259257</v>
      </c>
    </row>
    <row r="5" spans="1:3">
      <c r="A5">
        <v>296.38</v>
      </c>
    </row>
    <row r="6" spans="1:3">
      <c r="A6">
        <v>322.18</v>
      </c>
    </row>
    <row r="7" spans="1:3">
      <c r="A7">
        <v>278.52</v>
      </c>
    </row>
    <row r="8" spans="1:3">
      <c r="A8">
        <v>280.08</v>
      </c>
    </row>
    <row r="9" spans="1:3">
      <c r="A9">
        <v>321.99</v>
      </c>
    </row>
    <row r="10" spans="1:3">
      <c r="A10">
        <v>314.39</v>
      </c>
    </row>
    <row r="11" spans="1:3">
      <c r="A11">
        <v>267.18</v>
      </c>
    </row>
    <row r="12" spans="1:3">
      <c r="A12">
        <v>304.13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Distribution</vt:lpstr>
      <vt:lpstr>posisson brute force</vt:lpstr>
      <vt:lpstr>Sheet1</vt:lpstr>
      <vt:lpstr>5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Ramelo</dc:creator>
  <cp:keywords/>
  <dc:description/>
  <cp:lastModifiedBy>Anthony Ramelo</cp:lastModifiedBy>
  <cp:revision/>
  <dcterms:created xsi:type="dcterms:W3CDTF">2024-04-29T22:54:14Z</dcterms:created>
  <dcterms:modified xsi:type="dcterms:W3CDTF">2024-05-24T02:31:19Z</dcterms:modified>
  <cp:category/>
  <cp:contentStatus/>
</cp:coreProperties>
</file>