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Harun\Documents\GitHub\Praktika-Studium\BWL\"/>
    </mc:Choice>
  </mc:AlternateContent>
  <xr:revisionPtr revIDLastSave="0" documentId="8_{05413FA7-13AF-47EC-B03E-713625548C82}" xr6:coauthVersionLast="47" xr6:coauthVersionMax="47" xr10:uidLastSave="{00000000-0000-0000-0000-000000000000}"/>
  <bookViews>
    <workbookView xWindow="29760" yWindow="3090" windowWidth="13140" windowHeight="11505" tabRatio="868" firstSheet="5" activeTab="8" xr2:uid="{00000000-000D-0000-FFFF-FFFF00000000}"/>
  </bookViews>
  <sheets>
    <sheet name="Deckblatt" sheetId="14" r:id="rId1"/>
    <sheet name="Eingaben" sheetId="3" r:id="rId2"/>
    <sheet name="Werte" sheetId="4" r:id="rId3"/>
    <sheet name="Marktbericht" sheetId="5" r:id="rId4"/>
    <sheet name="Produktion" sheetId="6" r:id="rId5"/>
    <sheet name="Infrastruktur" sheetId="7" r:id="rId6"/>
    <sheet name="Kostenartenrechnung" sheetId="8" r:id="rId7"/>
    <sheet name="Kostenstellenrechnung" sheetId="9" r:id="rId8"/>
    <sheet name="Kostenträgerrechnung" sheetId="10" r:id="rId9"/>
    <sheet name="Deckungsbeitragsrechnung" sheetId="11" r:id="rId10"/>
    <sheet name="GuV" sheetId="12" r:id="rId11"/>
    <sheet name="Finanzbericht" sheetId="13" r:id="rId12"/>
  </sheets>
  <externalReferences>
    <externalReference r:id="rId13"/>
  </externalReferenc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6" i="4" l="1"/>
  <c r="F20" i="7" l="1"/>
  <c r="D13" i="7"/>
  <c r="F13" i="7" s="1"/>
  <c r="D14" i="7"/>
  <c r="F14" i="7" s="1"/>
  <c r="D15" i="7"/>
  <c r="F15" i="7" s="1"/>
  <c r="D16" i="7"/>
  <c r="F16" i="7" s="1"/>
  <c r="D17" i="7"/>
  <c r="F17" i="7" s="1"/>
  <c r="D19" i="7"/>
  <c r="F19" i="7" s="1"/>
  <c r="D20" i="7"/>
  <c r="D18" i="7"/>
  <c r="F18" i="7" s="1"/>
  <c r="C71" i="4"/>
  <c r="B17" i="13" s="1"/>
  <c r="C70" i="4"/>
  <c r="B8" i="13" s="1"/>
  <c r="C69" i="4"/>
  <c r="C23" i="13" s="1"/>
  <c r="C55" i="4"/>
  <c r="F24" i="5" s="1"/>
  <c r="C54" i="4"/>
  <c r="C24" i="5" s="1"/>
  <c r="C53" i="4"/>
  <c r="B34" i="5" s="1"/>
  <c r="C34" i="5" s="1"/>
  <c r="D34" i="5" s="1"/>
  <c r="C52" i="4"/>
  <c r="B24" i="5" s="1"/>
  <c r="C51" i="4"/>
  <c r="E24" i="5" s="1"/>
  <c r="C33" i="4"/>
  <c r="C32" i="4"/>
  <c r="C23" i="6" s="1"/>
  <c r="C8" i="4"/>
  <c r="D6" i="6" s="1"/>
  <c r="C7" i="4"/>
  <c r="C6" i="6" s="1"/>
  <c r="C6" i="4"/>
  <c r="B6" i="6" s="1"/>
  <c r="B19" i="13"/>
  <c r="B9" i="13"/>
  <c r="B18" i="12"/>
  <c r="E11" i="11"/>
  <c r="B28" i="10"/>
  <c r="B27" i="10"/>
  <c r="B19" i="9"/>
  <c r="B17" i="9"/>
  <c r="B12" i="9"/>
  <c r="B9" i="9"/>
  <c r="B25" i="8"/>
  <c r="B19" i="8"/>
  <c r="B15" i="9" s="1"/>
  <c r="B16" i="8"/>
  <c r="B7" i="10" s="1"/>
  <c r="C14" i="8"/>
  <c r="B14" i="8" s="1"/>
  <c r="B11" i="9" s="1"/>
  <c r="I21" i="7"/>
  <c r="B29" i="7" s="1"/>
  <c r="H21" i="7"/>
  <c r="C14" i="9" s="1"/>
  <c r="B14" i="9" s="1"/>
  <c r="G21" i="7"/>
  <c r="E21" i="7"/>
  <c r="C13" i="8" s="1"/>
  <c r="D9" i="6"/>
  <c r="C9" i="6"/>
  <c r="B9" i="6"/>
  <c r="F25" i="5"/>
  <c r="C25" i="5"/>
  <c r="C64" i="4"/>
  <c r="B10" i="13" s="1"/>
  <c r="C58" i="4"/>
  <c r="C57" i="4"/>
  <c r="B26" i="11" s="1"/>
  <c r="C44" i="4"/>
  <c r="E15" i="11" s="1"/>
  <c r="C43" i="4"/>
  <c r="C42" i="4"/>
  <c r="C41" i="4"/>
  <c r="D22" i="8" s="1"/>
  <c r="C40" i="4"/>
  <c r="C39" i="4"/>
  <c r="E25" i="5" s="1"/>
  <c r="C38" i="4"/>
  <c r="B25" i="5" s="1"/>
  <c r="C37" i="4"/>
  <c r="D24" i="8" s="1"/>
  <c r="B24" i="8" s="1"/>
  <c r="C36" i="4"/>
  <c r="D6" i="5" s="1"/>
  <c r="C12" i="4"/>
  <c r="C9" i="4"/>
  <c r="B7" i="6" s="1"/>
  <c r="B23" i="6" l="1"/>
  <c r="C18" i="8"/>
  <c r="B18" i="8" s="1"/>
  <c r="D7" i="8"/>
  <c r="B7" i="8" s="1"/>
  <c r="B35" i="5"/>
  <c r="B5" i="10"/>
  <c r="B6" i="10"/>
  <c r="B6" i="7"/>
  <c r="C10" i="4"/>
  <c r="C7" i="6" s="1"/>
  <c r="C13" i="4"/>
  <c r="C8" i="6" s="1"/>
  <c r="D25" i="5"/>
  <c r="B30" i="10"/>
  <c r="B32" i="10" s="1"/>
  <c r="B6" i="13"/>
  <c r="F21" i="7"/>
  <c r="D23" i="8"/>
  <c r="B23" i="8" s="1"/>
  <c r="B17" i="10" s="1"/>
  <c r="C22" i="8"/>
  <c r="D18" i="9" s="1"/>
  <c r="B18" i="9" s="1"/>
  <c r="B27" i="5"/>
  <c r="E27" i="5"/>
  <c r="B26" i="7"/>
  <c r="B28" i="7" s="1"/>
  <c r="G24" i="5"/>
  <c r="D24" i="5"/>
  <c r="F27" i="5"/>
  <c r="C17" i="8"/>
  <c r="B17" i="8" s="1"/>
  <c r="C13" i="9"/>
  <c r="B13" i="9" s="1"/>
  <c r="B8" i="6"/>
  <c r="C7" i="9"/>
  <c r="D9" i="5"/>
  <c r="C26" i="11"/>
  <c r="B13" i="8"/>
  <c r="C10" i="9"/>
  <c r="B10" i="9" s="1"/>
  <c r="B13" i="12" s="1"/>
  <c r="B14" i="13"/>
  <c r="B8" i="12"/>
  <c r="B10" i="6"/>
  <c r="B16" i="6"/>
  <c r="C27" i="5"/>
  <c r="E9" i="6"/>
  <c r="G25" i="5"/>
  <c r="B13" i="11"/>
  <c r="E6" i="6"/>
  <c r="G13" i="3"/>
  <c r="D5" i="5"/>
  <c r="D7" i="5" s="1"/>
  <c r="D10" i="5"/>
  <c r="B15" i="6" l="1"/>
  <c r="B17" i="6" s="1"/>
  <c r="B7" i="7"/>
  <c r="C16" i="6"/>
  <c r="B22" i="8"/>
  <c r="H13" i="3"/>
  <c r="B30" i="7"/>
  <c r="F13" i="3" s="1"/>
  <c r="D7" i="9"/>
  <c r="C10" i="6"/>
  <c r="C15" i="6" s="1"/>
  <c r="B6" i="11"/>
  <c r="G5" i="3"/>
  <c r="B5" i="7"/>
  <c r="G10" i="3" s="1"/>
  <c r="D13" i="5"/>
  <c r="E13" i="11"/>
  <c r="B33" i="11"/>
  <c r="B18" i="6"/>
  <c r="D11" i="5"/>
  <c r="C17" i="6" l="1"/>
  <c r="C18" i="6" s="1"/>
  <c r="D6" i="9"/>
  <c r="D8" i="9" s="1"/>
  <c r="E33" i="11"/>
  <c r="C6" i="11"/>
  <c r="H5" i="3"/>
  <c r="H10" i="3"/>
  <c r="B38" i="10"/>
  <c r="B41" i="10"/>
  <c r="B36" i="5"/>
  <c r="B37" i="5" s="1"/>
  <c r="B37" i="10"/>
  <c r="E35" i="11"/>
  <c r="D14" i="5"/>
  <c r="C14" i="4" l="1"/>
  <c r="C11" i="4"/>
  <c r="D8" i="6"/>
  <c r="E8" i="6" s="1"/>
  <c r="F11" i="4"/>
  <c r="C9" i="11"/>
  <c r="C29" i="11" s="1"/>
  <c r="B9" i="11"/>
  <c r="B19" i="10"/>
  <c r="B39" i="10" s="1"/>
  <c r="D21" i="8"/>
  <c r="B8" i="10"/>
  <c r="B10" i="10" s="1"/>
  <c r="G27" i="5"/>
  <c r="E28" i="5"/>
  <c r="B7" i="13"/>
  <c r="B5" i="12"/>
  <c r="C20" i="8"/>
  <c r="B20" i="8" s="1"/>
  <c r="E16" i="9" s="1"/>
  <c r="B16" i="9" s="1"/>
  <c r="F5" i="3"/>
  <c r="F10" i="3"/>
  <c r="D9" i="8"/>
  <c r="B8" i="7"/>
  <c r="D27" i="5"/>
  <c r="B28" i="5"/>
  <c r="B7" i="12"/>
  <c r="E6" i="11"/>
  <c r="C21" i="8" l="1"/>
  <c r="H7" i="11"/>
  <c r="B7" i="11"/>
  <c r="C7" i="11"/>
  <c r="B21" i="8"/>
  <c r="D7" i="6"/>
  <c r="E7" i="9"/>
  <c r="B7" i="9" s="1"/>
  <c r="B29" i="11"/>
  <c r="E9" i="11"/>
  <c r="E29" i="11" s="1"/>
  <c r="C28" i="5"/>
  <c r="D28" i="5" s="1"/>
  <c r="D6" i="8"/>
  <c r="E26" i="11"/>
  <c r="D11" i="8"/>
  <c r="B11" i="10" s="1"/>
  <c r="B8" i="11" s="1"/>
  <c r="C6" i="9"/>
  <c r="F28" i="5"/>
  <c r="G28" i="5" s="1"/>
  <c r="E7" i="11" l="1"/>
  <c r="E27" i="11" s="1"/>
  <c r="C8" i="11"/>
  <c r="D16" i="6"/>
  <c r="D10" i="6"/>
  <c r="E7" i="6"/>
  <c r="B33" i="10"/>
  <c r="B27" i="11"/>
  <c r="C27" i="11"/>
  <c r="B6" i="8"/>
  <c r="B13" i="13" s="1"/>
  <c r="D26" i="8"/>
  <c r="C8" i="9"/>
  <c r="E8" i="11" l="1"/>
  <c r="D15" i="6"/>
  <c r="E10" i="6"/>
  <c r="C10" i="8"/>
  <c r="B10" i="8" s="1"/>
  <c r="E16" i="6"/>
  <c r="B11" i="12" s="1"/>
  <c r="C11" i="9" l="1"/>
  <c r="D15" i="9"/>
  <c r="C15" i="9"/>
  <c r="E11" i="9"/>
  <c r="D11" i="9"/>
  <c r="E15" i="9"/>
  <c r="E6" i="9"/>
  <c r="E15" i="6"/>
  <c r="D17" i="6"/>
  <c r="E17" i="6" s="1"/>
  <c r="B12" i="12" s="1"/>
  <c r="C9" i="8"/>
  <c r="D18" i="6" l="1"/>
  <c r="D20" i="9"/>
  <c r="B20" i="10" s="1"/>
  <c r="B40" i="10" s="1"/>
  <c r="B9" i="8"/>
  <c r="C11" i="8"/>
  <c r="B11" i="8" s="1"/>
  <c r="E8" i="9"/>
  <c r="B8" i="9" s="1"/>
  <c r="B6" i="9"/>
  <c r="B10" i="12"/>
  <c r="E18" i="6"/>
  <c r="C20" i="9"/>
  <c r="B12" i="10" s="1"/>
  <c r="E19" i="11" l="1"/>
  <c r="E39" i="11" s="1"/>
  <c r="C26" i="8"/>
  <c r="B26" i="8" s="1"/>
  <c r="B9" i="12"/>
  <c r="B15" i="13"/>
  <c r="B12" i="11"/>
  <c r="C12" i="11"/>
  <c r="C32" i="11" s="1"/>
  <c r="B13" i="10"/>
  <c r="B34" i="10"/>
  <c r="B20" i="9"/>
  <c r="E20" i="9"/>
  <c r="E20" i="11" l="1"/>
  <c r="E40" i="11" s="1"/>
  <c r="B22" i="10"/>
  <c r="B42" i="10" s="1"/>
  <c r="E12" i="11"/>
  <c r="E32" i="11" s="1"/>
  <c r="B32" i="11"/>
  <c r="B14" i="10"/>
  <c r="B36" i="10" s="1"/>
  <c r="C35" i="5" s="1"/>
  <c r="B35" i="10"/>
  <c r="B43" i="10" l="1"/>
  <c r="C36" i="5"/>
  <c r="D35" i="5"/>
  <c r="D36" i="5" l="1"/>
  <c r="D37" i="5" s="1"/>
  <c r="B15" i="10" s="1"/>
  <c r="C37" i="5"/>
  <c r="B6" i="12" l="1"/>
  <c r="B16" i="10"/>
  <c r="B23" i="10" s="1"/>
  <c r="B10" i="11"/>
  <c r="C10" i="11"/>
  <c r="E28" i="11"/>
  <c r="C14" i="11" l="1"/>
  <c r="C34" i="11" s="1"/>
  <c r="C30" i="11"/>
  <c r="B14" i="11"/>
  <c r="B34" i="11" s="1"/>
  <c r="B30" i="11"/>
  <c r="E10" i="11"/>
  <c r="C28" i="11"/>
  <c r="B28" i="11"/>
  <c r="F16" i="3" l="1"/>
  <c r="E14" i="11"/>
  <c r="E30" i="11"/>
  <c r="G16" i="3" s="1"/>
  <c r="E34" i="11" l="1"/>
  <c r="G17" i="3" s="1"/>
  <c r="E16" i="11"/>
  <c r="F17" i="3"/>
  <c r="F18" i="3" l="1"/>
  <c r="E36" i="11"/>
  <c r="G18" i="3" s="1"/>
  <c r="E21" i="11"/>
  <c r="E41" i="11" l="1"/>
  <c r="G19" i="3" s="1"/>
  <c r="B15" i="12"/>
  <c r="F19" i="3"/>
  <c r="B14" i="12" l="1"/>
  <c r="B16" i="13" s="1"/>
  <c r="F7" i="3"/>
  <c r="F21" i="3"/>
  <c r="F23" i="3"/>
  <c r="B11" i="13"/>
  <c r="B12" i="13"/>
  <c r="B18" i="13"/>
  <c r="B21" i="13"/>
  <c r="B23" i="13"/>
  <c r="B24" i="13"/>
  <c r="B16" i="12"/>
  <c r="B17" i="12"/>
  <c r="B20" i="12"/>
  <c r="B21"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700-000002000000}">
      <text>
        <r>
          <rPr>
            <sz val="10"/>
            <color rgb="FF000000"/>
            <rFont val="Arial"/>
          </rPr>
          <t>Gehälter von Vertrieb + Verwaltung + der nicht beschäftigten Produktionsmitarbeite
	-Malte</t>
        </r>
      </text>
    </comment>
    <comment ref="D9" authorId="0" shapeId="0" xr:uid="{00000000-0006-0000-0700-000001000000}">
      <text>
        <r>
          <rPr>
            <sz val="10"/>
            <color rgb="FF000000"/>
            <rFont val="Arial"/>
          </rPr>
          <t>Gehälter der Produktionsmiarbeiter * der Auslastung
	-Malte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6" authorId="0" shapeId="0" xr:uid="{00000000-0006-0000-0800-000001000000}">
      <text>
        <r>
          <rPr>
            <sz val="10"/>
            <color rgb="FF000000"/>
            <rFont val="Arial"/>
          </rPr>
          <t>Gehälter der nicht ausgelasteten Mitarbeiter
	-Malte</t>
        </r>
      </text>
    </comment>
  </commentList>
</comments>
</file>

<file path=xl/sharedStrings.xml><?xml version="1.0" encoding="utf-8"?>
<sst xmlns="http://schemas.openxmlformats.org/spreadsheetml/2006/main" count="466" uniqueCount="326">
  <si>
    <t>Eingaben</t>
  </si>
  <si>
    <t>easyGo</t>
  </si>
  <si>
    <t>Mitarbeiter Vertrieb (Anzahl)</t>
  </si>
  <si>
    <t>Steuerbelastung</t>
  </si>
  <si>
    <t>Periodenüberschuss</t>
  </si>
  <si>
    <t>Preis</t>
  </si>
  <si>
    <t>benötigter Kredit</t>
  </si>
  <si>
    <t>Entlassungen</t>
  </si>
  <si>
    <t>Berechnungen</t>
  </si>
  <si>
    <t>Heimatmarkt</t>
  </si>
  <si>
    <t>Auslandsmarkt</t>
  </si>
  <si>
    <t>Insgesamt</t>
  </si>
  <si>
    <t>Umsatz</t>
  </si>
  <si>
    <t>Werbebudget</t>
  </si>
  <si>
    <t>geplanter Absatz</t>
  </si>
  <si>
    <t>Corporate Identity (€)</t>
  </si>
  <si>
    <t>Auslastung (%)</t>
  </si>
  <si>
    <t>Personalbestand</t>
  </si>
  <si>
    <t>Benötigte Kapazität</t>
  </si>
  <si>
    <t>Personalbedarf (Produktion)</t>
  </si>
  <si>
    <t>Externe Aufwendungen F&amp;E</t>
  </si>
  <si>
    <t>Kapazität</t>
  </si>
  <si>
    <t>Textil</t>
  </si>
  <si>
    <t>Rückenrahmen</t>
  </si>
  <si>
    <t>Anlagenbedarf (Produktion)</t>
  </si>
  <si>
    <t>Einkaufsmenge</t>
  </si>
  <si>
    <t>kumuliert</t>
  </si>
  <si>
    <t>pro Stk.</t>
  </si>
  <si>
    <t>Maschinen</t>
  </si>
  <si>
    <t>Der Kauf/Verkauf von Maschinen muss auf der Seite "Produktion" eingetragen werden.</t>
  </si>
  <si>
    <t>DB I</t>
  </si>
  <si>
    <t>DB II</t>
  </si>
  <si>
    <t>DB III</t>
  </si>
  <si>
    <t>DB IV</t>
  </si>
  <si>
    <t>Einstellung</t>
  </si>
  <si>
    <t>Mitarbeiter Produktion</t>
  </si>
  <si>
    <t>geplante Vertigungsmenge</t>
  </si>
  <si>
    <t>TODO</t>
  </si>
  <si>
    <t>Kurzfristiger Kredit</t>
  </si>
  <si>
    <t>Kategorie</t>
  </si>
  <si>
    <t>Name</t>
  </si>
  <si>
    <t>Wert</t>
  </si>
  <si>
    <t>Periode</t>
  </si>
  <si>
    <t>Personal</t>
  </si>
  <si>
    <t>Personalanfangsbestand Produktion</t>
  </si>
  <si>
    <t>Personalanfangsbestand Vertrieb</t>
  </si>
  <si>
    <t>Personalanfangsbestand Verwaltung</t>
  </si>
  <si>
    <t>Einstellungen Produktion</t>
  </si>
  <si>
    <t>Einstellungen Vertrieb</t>
  </si>
  <si>
    <t>Einstellungen Verwaltung</t>
  </si>
  <si>
    <t>Entlassung Produktion</t>
  </si>
  <si>
    <t>Entlassung Vertrieb</t>
  </si>
  <si>
    <t>Entlassung Verwaltung</t>
  </si>
  <si>
    <t>Fluktuation Produktion</t>
  </si>
  <si>
    <t>Fluktuation Vertrieb</t>
  </si>
  <si>
    <t>Fluktuation Verwaltung</t>
  </si>
  <si>
    <t>Personalaufwand</t>
  </si>
  <si>
    <t xml:space="preserve">Einstellungskosten </t>
  </si>
  <si>
    <t>Entlassungskosten</t>
  </si>
  <si>
    <t>Personalnebenkosten [%]</t>
  </si>
  <si>
    <t>Zeitarbeiterkosten</t>
  </si>
  <si>
    <t>Verwaltung</t>
  </si>
  <si>
    <t>0,5 Anzahl Verwaltungsmitarbeiter ab Umsatz</t>
  </si>
  <si>
    <t>1 Anzahl Verwaltungsmitarbeiter ab Umsatz</t>
  </si>
  <si>
    <t>1,5 Anzahl Verwaltungsmitarbeiter ab Umsatz</t>
  </si>
  <si>
    <t>2 Anzahl Verwaltungsmitarbeiter ab Umsatz</t>
  </si>
  <si>
    <t>2,5  Anzahl Verwaltungsmitarbeiter ab Umsatz</t>
  </si>
  <si>
    <t>3  Anzahl Verwaltungsmitarbeiter ab Umsatz</t>
  </si>
  <si>
    <t>Produktentwicklung</t>
  </si>
  <si>
    <t>Vorperiode Kommulierter externer Aufwand</t>
  </si>
  <si>
    <t>Vorperiode Technologie index</t>
  </si>
  <si>
    <t>Maschinen müssen manuel in Infrastruktur hinzugefügt werden!</t>
  </si>
  <si>
    <t>Beanspruchung Maschine pro Stück</t>
  </si>
  <si>
    <t>Planung</t>
  </si>
  <si>
    <t>geplanter Absatz Heimat</t>
  </si>
  <si>
    <t>geplanter Absatz Ausland</t>
  </si>
  <si>
    <t>einkauf Textil</t>
  </si>
  <si>
    <t>einkauf Rückenrahmen</t>
  </si>
  <si>
    <t>Produktion [Stück]</t>
  </si>
  <si>
    <t>Werbeausgaben Heimat</t>
  </si>
  <si>
    <t>Werbebudget Ausland</t>
  </si>
  <si>
    <t>Corporate Identity</t>
  </si>
  <si>
    <t>Einkauf</t>
  </si>
  <si>
    <t>Rückenrahmen Preis</t>
  </si>
  <si>
    <t>Textil Preis</t>
  </si>
  <si>
    <t>Betriebsstoffe Preis</t>
  </si>
  <si>
    <t>Lagerkosten</t>
  </si>
  <si>
    <t>Fertigprodukt</t>
  </si>
  <si>
    <t>Lager Stückzahl</t>
  </si>
  <si>
    <t xml:space="preserve">Textil </t>
  </si>
  <si>
    <t>Fertigpodukt</t>
  </si>
  <si>
    <t>Heimat</t>
  </si>
  <si>
    <t>Ausland</t>
  </si>
  <si>
    <t>Exportkosten/Sondereinzelkosten</t>
  </si>
  <si>
    <t>Gebäude Abschreibung</t>
  </si>
  <si>
    <t>Abschreibung der Gebäude</t>
  </si>
  <si>
    <t>Verwaltungskosten</t>
  </si>
  <si>
    <t>Verwaltungskosten des Umsatzes [%]</t>
  </si>
  <si>
    <t>Fixkosten</t>
  </si>
  <si>
    <t>Finanzbericht</t>
  </si>
  <si>
    <t>Sonst. betriebl. Erträge</t>
  </si>
  <si>
    <t>Kurzfristige Kredite</t>
  </si>
  <si>
    <t xml:space="preserve">Zahlungsquote </t>
  </si>
  <si>
    <t>Zinsen Überziehungskredit</t>
  </si>
  <si>
    <t>Zinsen Kurzfristiger Kredit</t>
  </si>
  <si>
    <t>Steuern</t>
  </si>
  <si>
    <t>Marktergebnisse und Lagerwerte</t>
  </si>
  <si>
    <t>Marktergebnisse</t>
  </si>
  <si>
    <t>€/Einh.</t>
  </si>
  <si>
    <t>Absatz</t>
  </si>
  <si>
    <t>Stück</t>
  </si>
  <si>
    <t>€</t>
  </si>
  <si>
    <t>Summe</t>
  </si>
  <si>
    <t>Lagerwerte Einsatzstoffe</t>
  </si>
  <si>
    <t>Anzahl (Einh.)</t>
  </si>
  <si>
    <t>Lagerwerte (€/Einh.) = einkaufpreis</t>
  </si>
  <si>
    <t>Lagerwerte (€)</t>
  </si>
  <si>
    <t>Lagerwerte (€/Einh.)</t>
  </si>
  <si>
    <t>Anfangsbestand</t>
  </si>
  <si>
    <t>+ Bestellungen supplier</t>
  </si>
  <si>
    <t>+ Einzelbestellungen</t>
  </si>
  <si>
    <t>- Abgang (Verbrauch)</t>
  </si>
  <si>
    <t>= Endbestand</t>
  </si>
  <si>
    <t>Lagerwerte Fertigerzeugnisse</t>
  </si>
  <si>
    <t>+ Zugang Fertigung</t>
  </si>
  <si>
    <t>- Abgang Vertrieb</t>
  </si>
  <si>
    <t>Personal, Produktentwicklung</t>
  </si>
  <si>
    <t>Personal (Übersicht der Kostenstellen)</t>
  </si>
  <si>
    <t>Prod. easyGo</t>
  </si>
  <si>
    <t>Vertr.</t>
  </si>
  <si>
    <t>Personalanfangsbestand</t>
  </si>
  <si>
    <t>+ Einstellungen</t>
  </si>
  <si>
    <t>- Entlassungen</t>
  </si>
  <si>
    <t>+ Fluktuation</t>
  </si>
  <si>
    <t>= Personalendbestand</t>
  </si>
  <si>
    <t>Personalaufwand (T€)</t>
  </si>
  <si>
    <t>Löhne/Gehälter</t>
  </si>
  <si>
    <t>+Einst./Entl./Training</t>
  </si>
  <si>
    <t>+Personalnebenkosten</t>
  </si>
  <si>
    <t>=Personalaufwand</t>
  </si>
  <si>
    <t>Wirkung Aufwand extern (€)</t>
  </si>
  <si>
    <t>Kumulierter Aufwand (€)</t>
  </si>
  <si>
    <t>Infrastruktur, Abschreibung, Kapazität</t>
  </si>
  <si>
    <t>Auslastung Mitarbeiter</t>
  </si>
  <si>
    <t>Personalbestand/Kapazität</t>
  </si>
  <si>
    <t>Benötigte Kapazität Aktuell</t>
  </si>
  <si>
    <t>Auslastung Mitarbeiter (%)</t>
  </si>
  <si>
    <t>ggf. Mitarbeiter auf Zeitarbeit</t>
  </si>
  <si>
    <r>
      <rPr>
        <sz val="10"/>
        <color rgb="FF000000"/>
        <rFont val="Arial"/>
      </rPr>
      <t>Fertigungsanlagen,</t>
    </r>
    <r>
      <rPr>
        <sz val="10"/>
        <color rgb="FFFF0000"/>
        <rFont val="Arial"/>
      </rPr>
      <t xml:space="preserve"> Müssen manuel eingetragen werden!</t>
    </r>
  </si>
  <si>
    <t>Typ/Name</t>
  </si>
  <si>
    <t>Anschaffungs- periode</t>
  </si>
  <si>
    <t>Anschaffungs- preis (T€)</t>
  </si>
  <si>
    <t>Wirtschaftliche Restnutzungs- dauer (Perioden)</t>
  </si>
  <si>
    <t>Abschreibung (T€)</t>
  </si>
  <si>
    <t>Restbuchwert (T€)</t>
  </si>
  <si>
    <t>Sonstige Fixkosten (T€)</t>
  </si>
  <si>
    <t>Instand- haltung (T€)</t>
  </si>
  <si>
    <t>Kapazität (Stück)</t>
  </si>
  <si>
    <t>Typ A: A.-1.1</t>
  </si>
  <si>
    <t>Typ A: A.-1.2</t>
  </si>
  <si>
    <t>Typ A: A.-1.3</t>
  </si>
  <si>
    <t>Typ A: A1.1</t>
  </si>
  <si>
    <t>Summe/Durchschnitt</t>
  </si>
  <si>
    <t>Auslastung Fertigungsanlagen</t>
  </si>
  <si>
    <t>Geplante Fertigungsmenge</t>
  </si>
  <si>
    <t>Beanspruchung der Maschine pro Stück</t>
  </si>
  <si>
    <t>Verfügbare Kapazität</t>
  </si>
  <si>
    <t>Kostenartenrechnung</t>
  </si>
  <si>
    <t>Gemeinkosten</t>
  </si>
  <si>
    <t>Einzelkosten</t>
  </si>
  <si>
    <t>Materialkosten</t>
  </si>
  <si>
    <t>Einsatzstoffe/Teile</t>
  </si>
  <si>
    <t>Betriebsstoffe</t>
  </si>
  <si>
    <t>Fertigprodukte</t>
  </si>
  <si>
    <t>Personalkosten</t>
  </si>
  <si>
    <t>Gehälter</t>
  </si>
  <si>
    <t>Einstellungen/Entlassungen</t>
  </si>
  <si>
    <t>Personalnebenkosten</t>
  </si>
  <si>
    <t>Abschreibungen</t>
  </si>
  <si>
    <t>Anlagen</t>
  </si>
  <si>
    <t>Gebäude</t>
  </si>
  <si>
    <t>Sonstige Kosten</t>
  </si>
  <si>
    <t>Externe Aufwendungen</t>
  </si>
  <si>
    <t>Sonstige fixe Kosten Produktion</t>
  </si>
  <si>
    <t>Instandhaltung Produktion</t>
  </si>
  <si>
    <t>Betriebskosten</t>
  </si>
  <si>
    <t>Sonst. Verwaltungskosten</t>
  </si>
  <si>
    <t>Werte Unterscheiden sich in TopSim und Sammelbericht</t>
  </si>
  <si>
    <t>Vertriebskostenstelle ohne Personal</t>
  </si>
  <si>
    <t>Sonst. Kosten F&amp;E</t>
  </si>
  <si>
    <t>Sondereinzelkosten</t>
  </si>
  <si>
    <t>Sonstige Kosten der Kostenstellen</t>
  </si>
  <si>
    <t>Summe der Kosten</t>
  </si>
  <si>
    <t>Kostenstellenrechnung</t>
  </si>
  <si>
    <t>Prod.</t>
  </si>
  <si>
    <t>Werte weichen ab</t>
  </si>
  <si>
    <t>Vertriebskosten ohne Personal</t>
  </si>
  <si>
    <t>Summe Hauptkostenstelle</t>
  </si>
  <si>
    <t>Kostenträgerrechung</t>
  </si>
  <si>
    <t>Kostenträgerrechnung gesamt (€)</t>
  </si>
  <si>
    <t>Einsatzstoffe</t>
  </si>
  <si>
    <t>Formel: =WENN(G13=0;0;WENN(G13&lt;=34999;45;WENN(G13&lt;=44999;43;WENN(G13&gt;=45000;38;0))))</t>
  </si>
  <si>
    <t>=+ Betriebsstoffe</t>
  </si>
  <si>
    <t>=+ Externe Aufwendungen</t>
  </si>
  <si>
    <t>= Materialeinzelkosten</t>
  </si>
  <si>
    <t>=+ Materialgemeinkosten</t>
  </si>
  <si>
    <t>= Materialkosten</t>
  </si>
  <si>
    <t>Fertigungseinzelkosten</t>
  </si>
  <si>
    <t>=+ Fertigungsgemeinkosten</t>
  </si>
  <si>
    <t>= Fertigungskosten</t>
  </si>
  <si>
    <t>= Herstellkosten der Produktion</t>
  </si>
  <si>
    <t>=+/- Bestandsveränderung</t>
  </si>
  <si>
    <t>= Herstellkosten des Umsatzes</t>
  </si>
  <si>
    <t>=+ F&amp;E Einzelkosten</t>
  </si>
  <si>
    <t>=+ F&amp;E Gemeinkosten</t>
  </si>
  <si>
    <t>=+ Vertrieb Einzelkosten</t>
  </si>
  <si>
    <t>=+ Vertrieb Gemeinkosten</t>
  </si>
  <si>
    <t>=+ Verwaltung Einzelkosten</t>
  </si>
  <si>
    <t>=+ Verwaltung Gemeinkosten</t>
  </si>
  <si>
    <t>= Selbstkosten</t>
  </si>
  <si>
    <t>Kostenträgerrechnung pro Stück (€)</t>
  </si>
  <si>
    <t>= Herstellkosten</t>
  </si>
  <si>
    <t>= Selbstkosten pro Stück</t>
  </si>
  <si>
    <t>Deckungsbeitragsrechnung</t>
  </si>
  <si>
    <t>Deckungsbeiträge (€)</t>
  </si>
  <si>
    <t>Andere</t>
  </si>
  <si>
    <t>- Variable Materialkosten</t>
  </si>
  <si>
    <t>- Variable Fertigungskosten</t>
  </si>
  <si>
    <t>- Sondereinzelkosten</t>
  </si>
  <si>
    <t>= Deckungsbeitrag I</t>
  </si>
  <si>
    <t>- Fixe Materialkosten</t>
  </si>
  <si>
    <t>- Fixe Fertigungskosten</t>
  </si>
  <si>
    <t>- Erzeugnisfixe Vertriebskosten</t>
  </si>
  <si>
    <t>= Deckungsbeitrag II</t>
  </si>
  <si>
    <t>- Erzeugnisfixe Entwicklung</t>
  </si>
  <si>
    <t>= Deckungsbeitrag III</t>
  </si>
  <si>
    <t>- Unternehmensfixe Kosten</t>
  </si>
  <si>
    <t>- Forschung</t>
  </si>
  <si>
    <t>- Vertrieb</t>
  </si>
  <si>
    <t>- Verwaltung</t>
  </si>
  <si>
    <t>= Deckungsbeitrag IV</t>
  </si>
  <si>
    <t>Deckungsbeiträge (€/Einh.)</t>
  </si>
  <si>
    <t>GuV</t>
  </si>
  <si>
    <t>Nach Paragraph 275(2) HGB GKV</t>
  </si>
  <si>
    <t>Umsatzerlöse</t>
  </si>
  <si>
    <t>+/- Bestandsveränderung</t>
  </si>
  <si>
    <t>- Einsatz-/Betriebsstoffe</t>
  </si>
  <si>
    <t>- Externe Aufwendungen</t>
  </si>
  <si>
    <t>- Personalaufwand</t>
  </si>
  <si>
    <t>- Abschr. auf Vermögensgegenstände</t>
  </si>
  <si>
    <t>- Sonstige Aufwendungen</t>
  </si>
  <si>
    <t>= Betriebsergebnis</t>
  </si>
  <si>
    <t>- Zinsen und ähnliche Aufwendungen</t>
  </si>
  <si>
    <t>= Ergebnis gew. Geschäftstätigkeit</t>
  </si>
  <si>
    <t>+ Sonst. betriebl. Erträge</t>
  </si>
  <si>
    <t>- Sonst. betriebl. Aufwendungen</t>
  </si>
  <si>
    <t>- Steuern von Einkommen und Ertrag</t>
  </si>
  <si>
    <t>= Periodenüberschuss/-fehlbetrag</t>
  </si>
  <si>
    <t>Umsatzplanung</t>
  </si>
  <si>
    <t>Plan-Wert Umsatz (€)</t>
  </si>
  <si>
    <t>Ist-Wert Potentieller Umsatz (€)</t>
  </si>
  <si>
    <t>Abweichung absolut (€)</t>
  </si>
  <si>
    <t>Abweichung in %</t>
  </si>
  <si>
    <t>Planungsqualität Umsatz aktuell</t>
  </si>
  <si>
    <t>Finanzbericht Bilanz</t>
  </si>
  <si>
    <t>Finanzbericht (€)</t>
  </si>
  <si>
    <t>Aktuelle Periode</t>
  </si>
  <si>
    <t>Vorperiode</t>
  </si>
  <si>
    <t>Kassenanfangsbestand</t>
  </si>
  <si>
    <t>Einzahlungen aus aktueller Periode</t>
  </si>
  <si>
    <t>+ Einzahlungen aus Vorperiode</t>
  </si>
  <si>
    <t>+ Kurzfristige Kredite</t>
  </si>
  <si>
    <t>+ Überziehungskredit (wegen Zyklus erst später)</t>
  </si>
  <si>
    <t>= Zwischenbilanz</t>
  </si>
  <si>
    <t>Iterative Berechnungen Müssen aktiviert sein!</t>
  </si>
  <si>
    <t>- Einkauf (Aktuelle Periode)</t>
  </si>
  <si>
    <t>- Rückzahlung kurzfr. und Überziehungskredite</t>
  </si>
  <si>
    <t>- Zinsaufwand</t>
  </si>
  <si>
    <t>- Kauf von Fertigungsanlagen</t>
  </si>
  <si>
    <t>- Kauf von BGA</t>
  </si>
  <si>
    <t>- Steuern</t>
  </si>
  <si>
    <t>= Kassenendbestand</t>
  </si>
  <si>
    <t>Ford. aus Lief. und Leistung</t>
  </si>
  <si>
    <t>Produktivität Produktion</t>
  </si>
  <si>
    <t>Lohn/Gehalt Produktion [T]</t>
  </si>
  <si>
    <t>Lohn/Gehalt Vertrieb [T]</t>
  </si>
  <si>
    <t>Lohn/Gehalt Verwaltung [T</t>
  </si>
  <si>
    <t>Finanzen Vorperiode</t>
  </si>
  <si>
    <t>Kassenendbestand</t>
  </si>
  <si>
    <t>Werte des Lagers</t>
  </si>
  <si>
    <t>Benutzer Handbuch sagt drei, jedoch in der Praxis 2,5 max, obwohl 11.000.000 Umsatz</t>
  </si>
  <si>
    <t>soll</t>
  </si>
  <si>
    <t>ist</t>
  </si>
  <si>
    <t>Excel-Planungs-Tool</t>
  </si>
  <si>
    <t>Einführung:</t>
  </si>
  <si>
    <t>1.</t>
  </si>
  <si>
    <t>Laden Sie, wenn nicht schon getan, den Bericht der letzten Periode, als xls Datei, herunter. Anschließend nennen Sie den Bericht in "Vorperiode.xml" um und speichern Ihn in dem Gleichen Dateipfad wie das Excel-Planungs-Tool ab.</t>
  </si>
  <si>
    <t>2.</t>
  </si>
  <si>
    <t>Graue Zellen markieren ein Rechnungfeld, hier sollten keine Eingaben getätigt werden!</t>
  </si>
  <si>
    <t>Blaue Zellen markieren ein Eingabefeld, diese können Sie mit ihren Eingaben verändern.</t>
  </si>
  <si>
    <t>3.</t>
  </si>
  <si>
    <t>4.</t>
  </si>
  <si>
    <t>Alle Vorperiodenfelder und Eingabefelder, welche sich nicht zu jeder Periode ändern, sind auf der "Werte" Seite zu finden</t>
  </si>
  <si>
    <t>5.</t>
  </si>
  <si>
    <t>Wenn eine neue Fertigunganlage gekauft oder verkauft wird, ist dies auf der "Infrastruktur" Seite zu notieren.</t>
  </si>
  <si>
    <t>6.</t>
  </si>
  <si>
    <t>Bevor das Tool benutzt werden kann, müssen erst folgende Konfigurationsschritte durchgeführt werden:</t>
  </si>
  <si>
    <t>Grüne Zellen markieren ein Vorperiodenfeld, diese werden aus "Vorperiode.xml" geladen.</t>
  </si>
  <si>
    <t xml:space="preserve">Alle wichtigen Eingabefelder und die daraus resultierenden relevanten Kennzahlen befinden sich auf der Seite "Eingaben". </t>
  </si>
  <si>
    <t xml:space="preserve">Zur Berechnung werden Teilweise Iterative Methoden benutzt, diese sind in Excel Standartmäßig deaktiviert. Sollte es zu einem "#WERT" Fehler kommen, können Sie die Iterative Berechnung folgendermaßen aktivieren: Klicken Sie oben in der Registerkarte auf "Datei", anschließend klicken Sie in dem linken Reiter auf "Optionen". Klicken Sie im erscheinenden Fenster auf die Kategorie "Formeln". Drücken Sie in dem Abschnitt "Berechnungsoptionen" "Iterative Berechnung aktivieren". </t>
  </si>
  <si>
    <t>Das Excel-Planungs-Tool ist nun fertig Konfiguriert. Jetzt werden alle Berechnungen automatisch anhand ihrer Eingaben durchgeführt und auf den jeweiligen Seiten dargestellt.</t>
  </si>
  <si>
    <t>erstellt.</t>
  </si>
  <si>
    <t>Werte</t>
  </si>
  <si>
    <t>Marktbericht</t>
  </si>
  <si>
    <t>Produktion</t>
  </si>
  <si>
    <t>Infrastruktur</t>
  </si>
  <si>
    <t>Kostenträgerrechnung</t>
  </si>
  <si>
    <t>Deckblatt</t>
  </si>
  <si>
    <t>WERTE</t>
  </si>
  <si>
    <t>Inhaltverzeichnis:</t>
  </si>
  <si>
    <t>Diese Datei wurde im Zuge des Praktikums von BWL für Informatiker an der FH-Aachen von:</t>
  </si>
  <si>
    <t>Alexander</t>
  </si>
  <si>
    <t>Harun</t>
  </si>
  <si>
    <t>Thanh</t>
  </si>
  <si>
    <t>Thavarupan</t>
  </si>
  <si>
    <t>Malte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</si>
</sst>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font>
    <font>
      <b/>
      <sz val="16"/>
      <color rgb="FF0062A9"/>
      <name val="Arial"/>
    </font>
    <font>
      <sz val="10"/>
      <color rgb="FF000000"/>
      <name val="Arial"/>
    </font>
    <font>
      <u/>
      <sz val="10"/>
      <color rgb="FF0000FF"/>
      <name val="Arial"/>
    </font>
    <font>
      <sz val="10"/>
      <color theme="1"/>
      <name val="Arial"/>
    </font>
    <font>
      <sz val="10"/>
      <color rgb="FF4A86E8"/>
      <name val="Arial"/>
    </font>
    <font>
      <sz val="10"/>
      <color rgb="FFFF0000"/>
      <name val="Arial"/>
    </font>
    <font>
      <sz val="11"/>
      <color rgb="FF000000"/>
      <name val="Inconsolata"/>
    </font>
    <font>
      <b/>
      <sz val="10"/>
      <color rgb="FF000000"/>
      <name val="Arial"/>
    </font>
    <font>
      <sz val="11"/>
      <color rgb="FFF7981D"/>
      <name val="Inconsolata"/>
    </font>
    <font>
      <sz val="11"/>
      <color rgb="FF7E3794"/>
      <name val="Inconsolata"/>
    </font>
    <font>
      <b/>
      <sz val="12"/>
      <color rgb="FF000000"/>
      <name val="Arial"/>
    </font>
    <font>
      <u/>
      <sz val="10"/>
      <color theme="10"/>
      <name val="Arial"/>
    </font>
    <font>
      <sz val="10"/>
      <color theme="1"/>
      <name val="Arial"/>
      <family val="2"/>
    </font>
    <font>
      <sz val="10"/>
      <color rgb="FF000000"/>
      <name val="Arial"/>
      <family val="2"/>
    </font>
    <font>
      <b/>
      <sz val="16"/>
      <color rgb="FF0062A9"/>
      <name val="Arial"/>
      <family val="2"/>
    </font>
    <font>
      <b/>
      <sz val="12"/>
      <color rgb="FF0062A9"/>
      <name val="Arial"/>
      <family val="2"/>
    </font>
    <font>
      <b/>
      <sz val="10"/>
      <color rgb="FF000000"/>
      <name val="Arial"/>
      <family val="2"/>
    </font>
    <font>
      <u/>
      <sz val="10"/>
      <color theme="10"/>
      <name val="Arial"/>
      <family val="2"/>
    </font>
    <font>
      <b/>
      <sz val="10"/>
      <color theme="1"/>
      <name val="Arial"/>
      <family val="2"/>
    </font>
    <font>
      <b/>
      <sz val="20"/>
      <color rgb="FF0062A9"/>
      <name val="Arial"/>
      <family val="2"/>
    </font>
    <font>
      <b/>
      <sz val="10"/>
      <name val="Arial"/>
      <family val="2"/>
    </font>
  </fonts>
  <fills count="11">
    <fill>
      <patternFill patternType="none"/>
    </fill>
    <fill>
      <patternFill patternType="gray125"/>
    </fill>
    <fill>
      <patternFill patternType="solid">
        <fgColor rgb="FFC9DAF8"/>
        <bgColor rgb="FFC9DAF8"/>
      </patternFill>
    </fill>
    <fill>
      <patternFill patternType="solid">
        <fgColor rgb="FFEFEFEF"/>
        <bgColor rgb="FFEFEFEF"/>
      </patternFill>
    </fill>
    <fill>
      <patternFill patternType="solid">
        <fgColor rgb="FFFFFFFF"/>
        <bgColor rgb="FFFFFFFF"/>
      </patternFill>
    </fill>
    <fill>
      <patternFill patternType="solid">
        <fgColor rgb="FFEAEAEA"/>
        <bgColor rgb="FFEAEAEA"/>
      </patternFill>
    </fill>
    <fill>
      <patternFill patternType="solid">
        <fgColor rgb="FF00FFFF"/>
        <bgColor rgb="FF00FFFF"/>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249977111117893"/>
        <bgColor rgb="FFCEE1EE"/>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7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xf numFmtId="0" fontId="4" fillId="0" borderId="0" xfId="0" applyFont="1" applyAlignment="1"/>
    <xf numFmtId="0" fontId="2" fillId="0" borderId="0" xfId="0" applyFont="1" applyAlignment="1">
      <alignment horizontal="right"/>
    </xf>
    <xf numFmtId="0" fontId="4" fillId="0" borderId="0" xfId="0" applyFont="1" applyAlignment="1"/>
    <xf numFmtId="0" fontId="2" fillId="2" borderId="0" xfId="0" applyFont="1" applyFill="1" applyAlignment="1">
      <alignment horizontal="right"/>
    </xf>
    <xf numFmtId="0" fontId="2" fillId="2" borderId="0" xfId="0" applyFont="1" applyFill="1" applyAlignment="1"/>
    <xf numFmtId="0" fontId="4" fillId="3" borderId="0" xfId="0" applyFont="1" applyFill="1"/>
    <xf numFmtId="0" fontId="2" fillId="4" borderId="0" xfId="0" applyFont="1" applyFill="1" applyAlignment="1">
      <alignment horizontal="left"/>
    </xf>
    <xf numFmtId="0" fontId="4" fillId="3" borderId="0" xfId="0" applyFont="1" applyFill="1" applyAlignment="1">
      <alignment vertical="center"/>
    </xf>
    <xf numFmtId="0" fontId="4" fillId="3" borderId="0" xfId="0" applyFont="1" applyFill="1" applyAlignment="1"/>
    <xf numFmtId="0" fontId="6" fillId="0" borderId="0" xfId="0" applyFont="1" applyAlignment="1"/>
    <xf numFmtId="0" fontId="4" fillId="0" borderId="0" xfId="0" applyFont="1" applyAlignment="1">
      <alignment vertical="center"/>
    </xf>
    <xf numFmtId="0" fontId="6" fillId="0" borderId="0" xfId="0" applyFont="1" applyAlignment="1"/>
    <xf numFmtId="0" fontId="2" fillId="5" borderId="0" xfId="0" applyFont="1" applyFill="1" applyAlignment="1"/>
    <xf numFmtId="0" fontId="2" fillId="5" borderId="0" xfId="0" applyFont="1" applyFill="1" applyAlignment="1">
      <alignment horizontal="right"/>
    </xf>
    <xf numFmtId="0" fontId="2" fillId="5" borderId="0" xfId="0" applyFont="1" applyFill="1" applyAlignment="1"/>
    <xf numFmtId="0" fontId="2" fillId="0" borderId="0" xfId="0" quotePrefix="1" applyFont="1" applyAlignment="1"/>
    <xf numFmtId="0" fontId="7" fillId="4" borderId="0" xfId="0" applyFont="1" applyFill="1"/>
    <xf numFmtId="0" fontId="8" fillId="0" borderId="0" xfId="0" applyFont="1" applyAlignment="1"/>
    <xf numFmtId="49" fontId="2" fillId="0" borderId="0" xfId="0" quotePrefix="1" applyNumberFormat="1" applyFont="1" applyAlignment="1"/>
    <xf numFmtId="49" fontId="2" fillId="0" borderId="0" xfId="0" applyNumberFormat="1" applyFont="1" applyAlignment="1"/>
    <xf numFmtId="49" fontId="4" fillId="0" borderId="0" xfId="0" quotePrefix="1" applyNumberFormat="1" applyFont="1" applyAlignment="1"/>
    <xf numFmtId="0" fontId="2" fillId="3" borderId="0" xfId="0" applyFont="1" applyFill="1" applyAlignment="1">
      <alignment horizontal="right"/>
    </xf>
    <xf numFmtId="0" fontId="4" fillId="6" borderId="0" xfId="0" applyFont="1" applyFill="1" applyAlignment="1"/>
    <xf numFmtId="0" fontId="4" fillId="6" borderId="0" xfId="0" applyFont="1" applyFill="1"/>
    <xf numFmtId="0" fontId="2" fillId="0" borderId="0" xfId="0" applyFont="1" applyAlignment="1"/>
    <xf numFmtId="0" fontId="11" fillId="0" borderId="0" xfId="0" applyFont="1" applyAlignment="1"/>
    <xf numFmtId="0" fontId="2" fillId="3" borderId="0" xfId="0" applyFont="1" applyFill="1" applyAlignment="1"/>
    <xf numFmtId="0" fontId="2" fillId="7" borderId="0" xfId="0" applyFont="1" applyFill="1" applyAlignment="1">
      <alignment horizontal="right"/>
    </xf>
    <xf numFmtId="0" fontId="4" fillId="8" borderId="0" xfId="0" applyFont="1" applyFill="1" applyAlignment="1"/>
    <xf numFmtId="0" fontId="2" fillId="8" borderId="0" xfId="0" applyFont="1" applyFill="1" applyAlignment="1">
      <alignment horizontal="right"/>
    </xf>
    <xf numFmtId="0" fontId="4" fillId="0" borderId="0" xfId="0" applyFont="1" applyFill="1" applyAlignment="1"/>
    <xf numFmtId="0" fontId="2" fillId="0" borderId="0" xfId="0" applyFont="1" applyFill="1" applyAlignment="1">
      <alignment horizontal="left"/>
    </xf>
    <xf numFmtId="0" fontId="0" fillId="7" borderId="0" xfId="0" applyFont="1" applyFill="1" applyAlignment="1"/>
    <xf numFmtId="0" fontId="0" fillId="8" borderId="0" xfId="0" applyFont="1" applyFill="1" applyAlignment="1"/>
    <xf numFmtId="0" fontId="4" fillId="7" borderId="0" xfId="0" applyFont="1" applyFill="1" applyAlignment="1"/>
    <xf numFmtId="0" fontId="14" fillId="0" borderId="0" xfId="0" applyFont="1" applyAlignment="1"/>
    <xf numFmtId="0" fontId="14" fillId="5" borderId="0" xfId="0" applyFont="1" applyFill="1" applyAlignment="1">
      <alignment horizontal="right"/>
    </xf>
    <xf numFmtId="0" fontId="13" fillId="0" borderId="0" xfId="0" applyFont="1" applyAlignment="1"/>
    <xf numFmtId="0" fontId="4" fillId="9" borderId="0" xfId="0" applyFont="1" applyFill="1" applyAlignment="1"/>
    <xf numFmtId="0" fontId="0" fillId="0" borderId="0" xfId="0" applyFont="1" applyFill="1" applyAlignment="1"/>
    <xf numFmtId="0" fontId="9" fillId="0" borderId="0" xfId="0" applyFont="1" applyFill="1" applyAlignment="1"/>
    <xf numFmtId="0" fontId="10" fillId="0" borderId="0" xfId="0" applyFont="1" applyFill="1"/>
    <xf numFmtId="0" fontId="2" fillId="9" borderId="0" xfId="0" applyFont="1" applyFill="1" applyAlignment="1"/>
    <xf numFmtId="0" fontId="2" fillId="9" borderId="0" xfId="0" applyFont="1" applyFill="1" applyAlignment="1">
      <alignment horizontal="right"/>
    </xf>
    <xf numFmtId="0" fontId="15" fillId="0" borderId="0" xfId="0" applyFont="1" applyAlignment="1"/>
    <xf numFmtId="0" fontId="16" fillId="0" borderId="0" xfId="0" applyFont="1" applyAlignment="1"/>
    <xf numFmtId="0" fontId="14" fillId="0" borderId="0" xfId="0" applyFont="1" applyAlignment="1">
      <alignment horizontal="left" vertical="top" wrapText="1"/>
    </xf>
    <xf numFmtId="0" fontId="14" fillId="8" borderId="0" xfId="0" applyFont="1" applyFill="1" applyAlignment="1">
      <alignmen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7" fillId="0" borderId="0" xfId="0" applyFont="1" applyAlignment="1">
      <alignment vertical="top" wrapText="1"/>
    </xf>
    <xf numFmtId="0" fontId="17" fillId="0" borderId="0" xfId="0" applyFont="1" applyAlignment="1"/>
    <xf numFmtId="0" fontId="14" fillId="0" borderId="0" xfId="0" applyFont="1" applyFill="1" applyAlignment="1">
      <alignment vertical="top" wrapText="1"/>
    </xf>
    <xf numFmtId="0" fontId="12" fillId="0" borderId="0" xfId="1" applyAlignment="1"/>
    <xf numFmtId="0" fontId="18" fillId="0" borderId="0" xfId="1" applyFont="1" applyAlignment="1"/>
    <xf numFmtId="0" fontId="19" fillId="0" borderId="0" xfId="0" applyFont="1" applyAlignment="1"/>
    <xf numFmtId="0" fontId="20" fillId="0" borderId="0" xfId="0" applyFont="1" applyAlignment="1"/>
    <xf numFmtId="0" fontId="21" fillId="0" borderId="0" xfId="0" applyFont="1" applyAlignment="1">
      <alignment vertical="top" wrapText="1"/>
    </xf>
    <xf numFmtId="0" fontId="21" fillId="0" borderId="0" xfId="0" applyFont="1" applyAlignment="1"/>
    <xf numFmtId="0" fontId="14" fillId="0" borderId="0" xfId="0" applyFont="1" applyAlignment="1">
      <alignment horizontal="left" wrapText="1"/>
    </xf>
    <xf numFmtId="0" fontId="2" fillId="10" borderId="0" xfId="0" applyFont="1" applyFill="1" applyAlignment="1"/>
    <xf numFmtId="0" fontId="2" fillId="10" borderId="0" xfId="0" applyFont="1" applyFill="1" applyAlignment="1">
      <alignment horizontal="right"/>
    </xf>
    <xf numFmtId="0" fontId="14" fillId="0" borderId="0" xfId="0" applyFont="1" applyAlignment="1">
      <alignment horizontal="left" wrapText="1"/>
    </xf>
    <xf numFmtId="0" fontId="14" fillId="0" borderId="0" xfId="0" applyFont="1" applyAlignment="1">
      <alignment horizontal="left" vertical="top" wrapText="1"/>
    </xf>
    <xf numFmtId="0" fontId="5" fillId="0" borderId="0" xfId="0" applyFont="1" applyAlignment="1">
      <alignment horizontal="left" vertical="center" wrapText="1"/>
    </xf>
    <xf numFmtId="0" fontId="0" fillId="0" borderId="0" xfId="0" applyFont="1" applyAlignment="1"/>
    <xf numFmtId="0" fontId="2" fillId="0" borderId="0" xfId="0" applyFont="1" applyAlignment="1">
      <alignment horizontal="center"/>
    </xf>
    <xf numFmtId="0" fontId="2" fillId="5" borderId="0" xfId="0" applyFont="1" applyFill="1" applyAlignment="1">
      <alignment horizontal="center"/>
    </xf>
    <xf numFmtId="0" fontId="1" fillId="0" borderId="0" xfId="0" applyFont="1" applyAlignme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arun/Downloads/Telegram%20Desktop/Vorperiod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ing Page"/>
      <sheetName val="1) Executive Summary"/>
      <sheetName val="2) Marktbericht"/>
      <sheetName val="3) Personal, Produktentwicklung"/>
      <sheetName val="4) Infrastruktur"/>
      <sheetName val="5) Kostenartenrechnung"/>
      <sheetName val="6) Kostenstellenrechnung"/>
      <sheetName val="7) Kostenträgerrechnung"/>
      <sheetName val="8) Deckungsbeitragsrechnung"/>
      <sheetName val="9) GuV"/>
      <sheetName val="10) Finanzbericht Bilanz"/>
      <sheetName val="11) Marktforschungsbericht"/>
      <sheetName val="12) Geschäftsberichte"/>
      <sheetName val="13) Entscheidungsprotokoll"/>
      <sheetName val="Worksheet"/>
    </sheetNames>
    <sheetDataSet>
      <sheetData sheetId="0"/>
      <sheetData sheetId="1"/>
      <sheetData sheetId="2">
        <row r="28">
          <cell r="B28">
            <v>0</v>
          </cell>
          <cell r="C28">
            <v>0</v>
          </cell>
          <cell r="E28">
            <v>0</v>
          </cell>
          <cell r="F28">
            <v>0</v>
          </cell>
        </row>
        <row r="36">
          <cell r="C36">
            <v>105.99</v>
          </cell>
        </row>
        <row r="37">
          <cell r="B37">
            <v>6776</v>
          </cell>
        </row>
      </sheetData>
      <sheetData sheetId="3">
        <row r="10">
          <cell r="B10">
            <v>40</v>
          </cell>
          <cell r="C10">
            <v>15</v>
          </cell>
          <cell r="D10">
            <v>2.5</v>
          </cell>
        </row>
        <row r="23">
          <cell r="C23">
            <v>1350000</v>
          </cell>
          <cell r="D23">
            <v>1.28</v>
          </cell>
        </row>
      </sheetData>
      <sheetData sheetId="4"/>
      <sheetData sheetId="5"/>
      <sheetData sheetId="6"/>
      <sheetData sheetId="7"/>
      <sheetData sheetId="8"/>
      <sheetData sheetId="9"/>
      <sheetData sheetId="10">
        <row r="10">
          <cell r="B10">
            <v>1000000</v>
          </cell>
        </row>
        <row r="23">
          <cell r="B23">
            <v>186428</v>
          </cell>
        </row>
        <row r="38">
          <cell r="B38">
            <v>1887448</v>
          </cell>
        </row>
      </sheetData>
      <sheetData sheetId="11"/>
      <sheetData sheetId="12"/>
      <sheetData sheetId="13"/>
      <sheetData sheetId="14"/>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A42D9-AF37-4270-8B94-A7C4226066D3}">
  <dimension ref="A1:C41"/>
  <sheetViews>
    <sheetView topLeftCell="B19" workbookViewId="0">
      <selection activeCell="D32" sqref="D32"/>
    </sheetView>
  </sheetViews>
  <sheetFormatPr baseColWidth="10" defaultRowHeight="12.75" x14ac:dyDescent="0.2"/>
  <cols>
    <col min="1" max="1" width="74.140625" customWidth="1"/>
    <col min="3" max="3" width="33" customWidth="1"/>
  </cols>
  <sheetData>
    <row r="1" spans="1:3" ht="26.25" x14ac:dyDescent="0.4">
      <c r="A1" s="61" t="s">
        <v>293</v>
      </c>
      <c r="C1" s="49"/>
    </row>
    <row r="4" spans="1:3" ht="15.75" x14ac:dyDescent="0.25">
      <c r="A4" s="50" t="s">
        <v>294</v>
      </c>
      <c r="C4" s="50" t="s">
        <v>319</v>
      </c>
    </row>
    <row r="5" spans="1:3" ht="15.75" x14ac:dyDescent="0.25">
      <c r="A5" s="50"/>
      <c r="C5" s="50"/>
    </row>
    <row r="6" spans="1:3" x14ac:dyDescent="0.2">
      <c r="A6" s="67" t="s">
        <v>306</v>
      </c>
      <c r="C6" s="58" t="s">
        <v>0</v>
      </c>
    </row>
    <row r="7" spans="1:3" ht="12.75" customHeight="1" x14ac:dyDescent="0.2">
      <c r="A7" s="67"/>
      <c r="C7" s="58" t="s">
        <v>312</v>
      </c>
    </row>
    <row r="8" spans="1:3" x14ac:dyDescent="0.2">
      <c r="A8" s="40"/>
      <c r="C8" s="58" t="s">
        <v>313</v>
      </c>
    </row>
    <row r="9" spans="1:3" x14ac:dyDescent="0.2">
      <c r="A9" s="62" t="s">
        <v>295</v>
      </c>
      <c r="C9" s="58" t="s">
        <v>314</v>
      </c>
    </row>
    <row r="10" spans="1:3" x14ac:dyDescent="0.2">
      <c r="A10" s="68" t="s">
        <v>296</v>
      </c>
      <c r="C10" s="58" t="s">
        <v>315</v>
      </c>
    </row>
    <row r="11" spans="1:3" x14ac:dyDescent="0.2">
      <c r="A11" s="68"/>
      <c r="C11" s="58" t="s">
        <v>167</v>
      </c>
    </row>
    <row r="12" spans="1:3" x14ac:dyDescent="0.2">
      <c r="A12" s="68"/>
      <c r="C12" s="58" t="s">
        <v>193</v>
      </c>
    </row>
    <row r="13" spans="1:3" x14ac:dyDescent="0.2">
      <c r="A13" s="51"/>
      <c r="C13" s="58" t="s">
        <v>316</v>
      </c>
    </row>
    <row r="14" spans="1:3" ht="11.25" customHeight="1" x14ac:dyDescent="0.2">
      <c r="A14" s="55" t="s">
        <v>297</v>
      </c>
      <c r="C14" s="58" t="s">
        <v>223</v>
      </c>
    </row>
    <row r="15" spans="1:3" ht="12.75" customHeight="1" x14ac:dyDescent="0.2">
      <c r="A15" s="52" t="s">
        <v>299</v>
      </c>
      <c r="C15" s="58" t="s">
        <v>242</v>
      </c>
    </row>
    <row r="16" spans="1:3" ht="13.5" customHeight="1" x14ac:dyDescent="0.2">
      <c r="A16" s="53" t="s">
        <v>307</v>
      </c>
      <c r="C16" s="58" t="s">
        <v>99</v>
      </c>
    </row>
    <row r="17" spans="1:3" x14ac:dyDescent="0.2">
      <c r="A17" s="54" t="s">
        <v>298</v>
      </c>
    </row>
    <row r="18" spans="1:3" x14ac:dyDescent="0.2">
      <c r="A18" s="57"/>
    </row>
    <row r="19" spans="1:3" x14ac:dyDescent="0.2">
      <c r="A19" s="56" t="s">
        <v>300</v>
      </c>
    </row>
    <row r="20" spans="1:3" ht="12.75" customHeight="1" x14ac:dyDescent="0.2">
      <c r="A20" s="68" t="s">
        <v>308</v>
      </c>
    </row>
    <row r="21" spans="1:3" x14ac:dyDescent="0.2">
      <c r="A21" s="68"/>
    </row>
    <row r="22" spans="1:3" x14ac:dyDescent="0.2">
      <c r="A22" s="51"/>
    </row>
    <row r="23" spans="1:3" x14ac:dyDescent="0.2">
      <c r="A23" s="63" t="s">
        <v>301</v>
      </c>
    </row>
    <row r="24" spans="1:3" x14ac:dyDescent="0.2">
      <c r="A24" s="67" t="s">
        <v>302</v>
      </c>
    </row>
    <row r="25" spans="1:3" x14ac:dyDescent="0.2">
      <c r="A25" s="67"/>
    </row>
    <row r="26" spans="1:3" x14ac:dyDescent="0.2">
      <c r="A26" s="64"/>
    </row>
    <row r="27" spans="1:3" x14ac:dyDescent="0.2">
      <c r="A27" s="56" t="s">
        <v>303</v>
      </c>
    </row>
    <row r="28" spans="1:3" x14ac:dyDescent="0.2">
      <c r="A28" s="67" t="s">
        <v>304</v>
      </c>
    </row>
    <row r="29" spans="1:3" x14ac:dyDescent="0.2">
      <c r="A29" s="67"/>
      <c r="C29" s="40"/>
    </row>
    <row r="30" spans="1:3" x14ac:dyDescent="0.2">
      <c r="A30" s="64"/>
      <c r="C30" s="40"/>
    </row>
    <row r="31" spans="1:3" x14ac:dyDescent="0.2">
      <c r="A31" s="56" t="s">
        <v>305</v>
      </c>
      <c r="C31" s="67" t="s">
        <v>320</v>
      </c>
    </row>
    <row r="32" spans="1:3" x14ac:dyDescent="0.2">
      <c r="A32" s="67" t="s">
        <v>309</v>
      </c>
      <c r="C32" s="67"/>
    </row>
    <row r="33" spans="1:3" x14ac:dyDescent="0.2">
      <c r="A33" s="67"/>
      <c r="C33" s="67"/>
    </row>
    <row r="34" spans="1:3" x14ac:dyDescent="0.2">
      <c r="A34" s="67"/>
      <c r="C34" s="64"/>
    </row>
    <row r="35" spans="1:3" x14ac:dyDescent="0.2">
      <c r="A35" s="67"/>
      <c r="C35" s="40" t="s">
        <v>321</v>
      </c>
    </row>
    <row r="36" spans="1:3" x14ac:dyDescent="0.2">
      <c r="A36" s="67"/>
      <c r="C36" s="40" t="s">
        <v>322</v>
      </c>
    </row>
    <row r="37" spans="1:3" x14ac:dyDescent="0.2">
      <c r="A37" s="67"/>
      <c r="C37" s="40" t="s">
        <v>323</v>
      </c>
    </row>
    <row r="38" spans="1:3" x14ac:dyDescent="0.2">
      <c r="A38" s="64"/>
      <c r="C38" s="40" t="s">
        <v>324</v>
      </c>
    </row>
    <row r="39" spans="1:3" ht="11.25" customHeight="1" x14ac:dyDescent="0.2">
      <c r="A39" s="67" t="s">
        <v>310</v>
      </c>
      <c r="C39" s="40" t="s">
        <v>325</v>
      </c>
    </row>
    <row r="40" spans="1:3" x14ac:dyDescent="0.2">
      <c r="A40" s="67"/>
      <c r="C40" s="40"/>
    </row>
    <row r="41" spans="1:3" x14ac:dyDescent="0.2">
      <c r="A41" s="67"/>
      <c r="C41" s="40" t="s">
        <v>311</v>
      </c>
    </row>
  </sheetData>
  <mergeCells count="8">
    <mergeCell ref="A6:A7"/>
    <mergeCell ref="A32:A37"/>
    <mergeCell ref="A39:A41"/>
    <mergeCell ref="C31:C33"/>
    <mergeCell ref="A10:A12"/>
    <mergeCell ref="A20:A21"/>
    <mergeCell ref="A24:A25"/>
    <mergeCell ref="A28:A29"/>
  </mergeCells>
  <hyperlinks>
    <hyperlink ref="C6" location="Eingaben!A1" display="Eingaben" xr:uid="{DBA524FD-D5DB-4F60-9D4A-EEAC61045B0F}"/>
    <hyperlink ref="C16" location="Finanzbericht!A1" display="Finanzbericht" xr:uid="{0788C8F3-DAB6-4D91-97EC-53A8487174BB}"/>
    <hyperlink ref="C15" location="GuV!A1" display="GuV" xr:uid="{95DC60B8-4ADC-42EB-99EE-45A841FA291D}"/>
    <hyperlink ref="C14" location="Deckungsbeitragsrechnung!A1" display="Deckungsbeitragsrechnung" xr:uid="{79D95156-38A4-4146-BB9E-120625ED5855}"/>
    <hyperlink ref="C13" location="Kostenträgerrechnung!A1" display="Kostenträgerrechnung" xr:uid="{257D9CC7-C87F-4646-B3AD-6C69AE10BFD0}"/>
    <hyperlink ref="C12" location="Kostenstellenrechnung!A1" display="Kostenstellenrechnung" xr:uid="{474AB79A-A643-42BA-A43C-2355E623E2C9}"/>
    <hyperlink ref="C11" location="Kostenartenrechnung!A1" display="Kostenartenrechnung" xr:uid="{B2ADE620-C3B7-4800-B125-812A88FC3B33}"/>
    <hyperlink ref="C10" location="Infrastruktur!A1" display="Infrastruktur" xr:uid="{0AA01960-A03F-4DC6-B766-22C90B51CBBE}"/>
    <hyperlink ref="C9" location="Produktion!A1" display="Produktion" xr:uid="{E99A8DA9-E6E7-4DB7-BE93-9831DF9D82D3}"/>
    <hyperlink ref="C8" location="Marktbericht!A1" display="Marktbericht" xr:uid="{3CA12504-63B4-4D90-85E3-F3547BC9598B}"/>
    <hyperlink ref="C7" location="Werte!A1" display="Werte" xr:uid="{1B60EED0-04FB-49FE-952D-F9822CDE18B9}"/>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79998168889431442"/>
    <outlinePr summaryBelow="0" summaryRight="0"/>
  </sheetPr>
  <dimension ref="A1:L52"/>
  <sheetViews>
    <sheetView topLeftCell="A13" workbookViewId="0">
      <selection activeCell="E27" sqref="E27"/>
    </sheetView>
  </sheetViews>
  <sheetFormatPr baseColWidth="10" defaultColWidth="14.42578125" defaultRowHeight="15.75" customHeight="1" x14ac:dyDescent="0.2"/>
  <cols>
    <col min="1" max="1" width="28.140625" customWidth="1"/>
    <col min="5" max="5" width="31.85546875" customWidth="1"/>
  </cols>
  <sheetData>
    <row r="1" spans="1:12" ht="15.75" customHeight="1" x14ac:dyDescent="0.3">
      <c r="A1" s="1" t="s">
        <v>0</v>
      </c>
      <c r="B1" s="2"/>
      <c r="C1" s="2"/>
      <c r="D1" s="2"/>
      <c r="E1" s="1" t="s">
        <v>8</v>
      </c>
      <c r="I1" s="1"/>
      <c r="J1" s="2"/>
      <c r="K1" s="2"/>
      <c r="L1" s="2"/>
    </row>
    <row r="2" spans="1:12" ht="12.75" x14ac:dyDescent="0.2">
      <c r="A2" s="59" t="s">
        <v>317</v>
      </c>
      <c r="B2" s="2"/>
      <c r="C2" s="2"/>
      <c r="D2" s="2"/>
      <c r="I2" s="3"/>
      <c r="J2" s="2"/>
      <c r="K2" s="2"/>
      <c r="L2" s="2"/>
    </row>
    <row r="3" spans="1:12" ht="12.75" x14ac:dyDescent="0.2">
      <c r="A3" s="2"/>
      <c r="B3" s="2"/>
      <c r="C3" s="2"/>
      <c r="D3" s="2"/>
      <c r="I3" s="2"/>
      <c r="J3" s="2"/>
      <c r="K3" s="2"/>
      <c r="L3" s="2"/>
    </row>
    <row r="4" spans="1:12" ht="12.75" x14ac:dyDescent="0.2">
      <c r="A4" s="4"/>
      <c r="B4" s="4" t="s">
        <v>9</v>
      </c>
      <c r="C4" s="4" t="s">
        <v>10</v>
      </c>
      <c r="D4" s="2"/>
      <c r="F4" s="5" t="s">
        <v>11</v>
      </c>
      <c r="G4" s="5" t="s">
        <v>9</v>
      </c>
      <c r="H4" s="5" t="s">
        <v>10</v>
      </c>
      <c r="I4" s="4"/>
      <c r="J4" s="4"/>
      <c r="K4" s="2"/>
      <c r="L4" s="2"/>
    </row>
    <row r="5" spans="1:12" ht="12.75" x14ac:dyDescent="0.2">
      <c r="A5" s="4" t="s">
        <v>5</v>
      </c>
      <c r="B5" s="8">
        <v>170</v>
      </c>
      <c r="C5" s="9">
        <v>180</v>
      </c>
      <c r="D5" s="2"/>
      <c r="E5" s="5" t="s">
        <v>12</v>
      </c>
      <c r="F5" s="10">
        <f>Marktbericht!D14</f>
        <v>11396450</v>
      </c>
      <c r="G5" s="10">
        <f>Marktbericht!D7</f>
        <v>9144470</v>
      </c>
      <c r="H5" s="10">
        <f>Marktbericht!D11</f>
        <v>2251980</v>
      </c>
      <c r="I5" s="4"/>
      <c r="J5" s="6"/>
      <c r="K5" s="2"/>
      <c r="L5" s="2"/>
    </row>
    <row r="6" spans="1:12" ht="12.75" x14ac:dyDescent="0.2">
      <c r="A6" s="4" t="s">
        <v>13</v>
      </c>
      <c r="B6" s="8">
        <v>800000</v>
      </c>
      <c r="C6" s="9">
        <v>400000</v>
      </c>
      <c r="D6" s="2"/>
      <c r="I6" s="4"/>
      <c r="J6" s="6"/>
      <c r="K6" s="2"/>
      <c r="L6" s="2"/>
    </row>
    <row r="7" spans="1:12" ht="12.75" x14ac:dyDescent="0.2">
      <c r="A7" s="4" t="s">
        <v>14</v>
      </c>
      <c r="B7" s="9">
        <v>53791</v>
      </c>
      <c r="C7" s="9">
        <v>12511</v>
      </c>
      <c r="D7" s="2"/>
      <c r="E7" s="5" t="s">
        <v>4</v>
      </c>
      <c r="F7" s="10">
        <f ca="1">GuV!B21</f>
        <v>539008.01711372577</v>
      </c>
      <c r="I7" s="2"/>
      <c r="J7" s="2"/>
      <c r="K7" s="2"/>
      <c r="L7" s="2"/>
    </row>
    <row r="8" spans="1:12" ht="12.75" x14ac:dyDescent="0.2">
      <c r="A8" s="4"/>
      <c r="B8" s="2"/>
      <c r="C8" s="2"/>
      <c r="D8" s="2"/>
      <c r="I8" s="2"/>
      <c r="J8" s="2"/>
      <c r="K8" s="2"/>
      <c r="L8" s="2"/>
    </row>
    <row r="9" spans="1:12" ht="12.75" x14ac:dyDescent="0.2">
      <c r="A9" s="4" t="s">
        <v>15</v>
      </c>
      <c r="B9" s="9">
        <v>400000</v>
      </c>
      <c r="C9" s="2"/>
      <c r="D9" s="2"/>
      <c r="F9" s="5" t="s">
        <v>16</v>
      </c>
      <c r="G9" s="5" t="s">
        <v>17</v>
      </c>
      <c r="H9" s="11" t="s">
        <v>18</v>
      </c>
      <c r="I9" s="4"/>
      <c r="J9" s="4"/>
      <c r="K9" s="2"/>
      <c r="L9" s="2"/>
    </row>
    <row r="10" spans="1:12" ht="12.75" x14ac:dyDescent="0.2">
      <c r="A10" s="4" t="s">
        <v>2</v>
      </c>
      <c r="B10" s="8">
        <v>15</v>
      </c>
      <c r="C10" s="2"/>
      <c r="D10" s="2"/>
      <c r="E10" s="7" t="s">
        <v>19</v>
      </c>
      <c r="F10" s="10">
        <f>Infrastruktur!B7</f>
        <v>95.238095238095227</v>
      </c>
      <c r="G10" s="10">
        <f>Infrastruktur!B5</f>
        <v>42</v>
      </c>
      <c r="H10" s="10">
        <f>Infrastruktur!B6</f>
        <v>40</v>
      </c>
      <c r="I10" s="4"/>
      <c r="J10" s="6"/>
      <c r="K10" s="2"/>
      <c r="L10" s="2"/>
    </row>
    <row r="11" spans="1:12" ht="12.75" x14ac:dyDescent="0.2">
      <c r="A11" s="4" t="s">
        <v>20</v>
      </c>
      <c r="B11" s="8">
        <v>0</v>
      </c>
      <c r="C11" s="2"/>
      <c r="D11" s="2"/>
      <c r="E11" s="7"/>
      <c r="I11" s="4"/>
      <c r="J11" s="6"/>
      <c r="K11" s="2"/>
      <c r="L11" s="2"/>
    </row>
    <row r="12" spans="1:12" ht="12.75" x14ac:dyDescent="0.2">
      <c r="A12" s="4"/>
      <c r="B12" s="6"/>
      <c r="C12" s="2"/>
      <c r="D12" s="2"/>
      <c r="F12" s="5" t="s">
        <v>16</v>
      </c>
      <c r="G12" s="11" t="s">
        <v>21</v>
      </c>
      <c r="H12" s="11" t="s">
        <v>18</v>
      </c>
      <c r="I12" s="4"/>
      <c r="J12" s="6"/>
      <c r="K12" s="2"/>
      <c r="L12" s="2"/>
    </row>
    <row r="13" spans="1:12" ht="12.75" x14ac:dyDescent="0.2">
      <c r="A13" s="4"/>
      <c r="B13" s="4" t="s">
        <v>22</v>
      </c>
      <c r="C13" s="4" t="s">
        <v>23</v>
      </c>
      <c r="D13" s="2"/>
      <c r="E13" s="7" t="s">
        <v>24</v>
      </c>
      <c r="F13" s="10">
        <f>Infrastruktur!B30</f>
        <v>100</v>
      </c>
      <c r="G13" s="12">
        <f>Infrastruktur!B29</f>
        <v>60000</v>
      </c>
      <c r="H13" s="10">
        <f>Infrastruktur!B28</f>
        <v>60000</v>
      </c>
      <c r="I13" s="2"/>
      <c r="J13" s="2"/>
      <c r="K13" s="2"/>
      <c r="L13" s="2"/>
    </row>
    <row r="14" spans="1:12" ht="12.75" x14ac:dyDescent="0.2">
      <c r="A14" s="4" t="s">
        <v>25</v>
      </c>
      <c r="B14" s="9">
        <v>60000</v>
      </c>
      <c r="C14" s="9">
        <v>60000</v>
      </c>
      <c r="D14" s="2"/>
      <c r="I14" s="2"/>
      <c r="J14" s="2"/>
      <c r="K14" s="2"/>
      <c r="L14" s="2"/>
    </row>
    <row r="15" spans="1:12" ht="12.75" x14ac:dyDescent="0.2">
      <c r="A15" s="4"/>
      <c r="B15" s="2"/>
      <c r="C15" s="2"/>
      <c r="D15" s="2"/>
      <c r="F15" s="5" t="s">
        <v>26</v>
      </c>
      <c r="G15" s="5" t="s">
        <v>27</v>
      </c>
      <c r="I15" s="4"/>
      <c r="J15" s="2"/>
      <c r="K15" s="2"/>
      <c r="L15" s="2"/>
    </row>
    <row r="16" spans="1:12" ht="12.75" x14ac:dyDescent="0.2">
      <c r="A16" s="4" t="s">
        <v>28</v>
      </c>
      <c r="B16" s="69" t="s">
        <v>29</v>
      </c>
      <c r="C16" s="70"/>
      <c r="D16" s="2"/>
      <c r="E16" s="5" t="s">
        <v>30</v>
      </c>
      <c r="F16" s="10">
        <f>Deckungsbeitragsrechnung!E10</f>
        <v>4608111.1466666674</v>
      </c>
      <c r="G16" s="10">
        <f>Deckungsbeitragsrechnung!E30</f>
        <v>69.5018422772566</v>
      </c>
      <c r="I16" s="4"/>
      <c r="J16" s="6"/>
      <c r="K16" s="2"/>
      <c r="L16" s="2"/>
    </row>
    <row r="17" spans="1:12" ht="12.75" x14ac:dyDescent="0.2">
      <c r="A17" s="4"/>
      <c r="B17" s="70"/>
      <c r="C17" s="70"/>
      <c r="D17" s="2"/>
      <c r="E17" s="5" t="s">
        <v>31</v>
      </c>
      <c r="F17" s="10">
        <f>Deckungsbeitragsrechnung!E14</f>
        <v>2994952.2177254907</v>
      </c>
      <c r="G17" s="10">
        <f>Deckungsbeitragsrechnung!E34</f>
        <v>45.171370663411217</v>
      </c>
      <c r="I17" s="4"/>
      <c r="J17" s="6"/>
      <c r="K17" s="2"/>
      <c r="L17" s="2"/>
    </row>
    <row r="18" spans="1:12" ht="12.75" x14ac:dyDescent="0.2">
      <c r="A18" s="2"/>
      <c r="B18" s="70"/>
      <c r="C18" s="70"/>
      <c r="D18" s="2"/>
      <c r="E18" s="5" t="s">
        <v>32</v>
      </c>
      <c r="F18" s="10">
        <f>Deckungsbeitragsrechnung!E16</f>
        <v>2994952.2177254907</v>
      </c>
      <c r="G18" s="10">
        <f>Deckungsbeitragsrechnung!E36</f>
        <v>45.171370663411217</v>
      </c>
      <c r="I18" s="2"/>
      <c r="J18" s="2"/>
      <c r="K18" s="2"/>
      <c r="L18" s="2"/>
    </row>
    <row r="19" spans="1:12" ht="12.75" x14ac:dyDescent="0.2">
      <c r="A19" s="2"/>
      <c r="B19" s="2"/>
      <c r="C19" s="2"/>
      <c r="D19" s="2"/>
      <c r="E19" s="5" t="s">
        <v>33</v>
      </c>
      <c r="F19" s="10">
        <f>Deckungsbeitragsrechnung!E21</f>
        <v>966011.45301960828</v>
      </c>
      <c r="G19" s="10">
        <f>Deckungsbeitragsrechnung!E41</f>
        <v>14.569868978607104</v>
      </c>
      <c r="I19" s="2"/>
      <c r="J19" s="2"/>
      <c r="K19" s="2"/>
      <c r="L19" s="2"/>
    </row>
    <row r="20" spans="1:12" ht="12.75" x14ac:dyDescent="0.2">
      <c r="A20" s="4"/>
      <c r="B20" s="4" t="s">
        <v>34</v>
      </c>
      <c r="C20" s="4" t="s">
        <v>7</v>
      </c>
      <c r="D20" s="2"/>
      <c r="G20" s="44"/>
      <c r="I20" s="4"/>
      <c r="J20" s="4"/>
      <c r="K20" s="4"/>
      <c r="L20" s="2"/>
    </row>
    <row r="21" spans="1:12" ht="12.75" x14ac:dyDescent="0.2">
      <c r="A21" s="4" t="s">
        <v>35</v>
      </c>
      <c r="B21" s="8">
        <v>2</v>
      </c>
      <c r="C21" s="8">
        <v>0</v>
      </c>
      <c r="D21" s="2"/>
      <c r="E21" s="5" t="s">
        <v>6</v>
      </c>
      <c r="F21" s="13">
        <f ca="1">Finanzbericht!B24</f>
        <v>0</v>
      </c>
      <c r="G21" s="36"/>
      <c r="I21" s="4"/>
      <c r="J21" s="6"/>
      <c r="K21" s="6"/>
      <c r="L21" s="2"/>
    </row>
    <row r="22" spans="1:12" ht="12.75" x14ac:dyDescent="0.2">
      <c r="A22" s="2"/>
      <c r="B22" s="2"/>
      <c r="C22" s="2"/>
      <c r="D22" s="2"/>
      <c r="E22" s="5"/>
      <c r="G22" s="44"/>
      <c r="I22" s="2"/>
      <c r="J22" s="2"/>
      <c r="K22" s="2"/>
      <c r="L22" s="2"/>
    </row>
    <row r="23" spans="1:12" ht="12.75" x14ac:dyDescent="0.2">
      <c r="A23" s="4" t="s">
        <v>36</v>
      </c>
      <c r="B23" s="9">
        <v>60000</v>
      </c>
      <c r="C23" s="14"/>
      <c r="D23" s="2"/>
      <c r="E23" s="5" t="s">
        <v>3</v>
      </c>
      <c r="F23" s="10">
        <f ca="1">Finanzbericht!B21</f>
        <v>231003.43590588248</v>
      </c>
      <c r="I23" s="2"/>
      <c r="J23" s="2"/>
      <c r="K23" s="2"/>
      <c r="L23" s="2"/>
    </row>
    <row r="24" spans="1:12" ht="12.75" x14ac:dyDescent="0.2">
      <c r="A24" s="4"/>
      <c r="B24" s="4"/>
      <c r="C24" s="4"/>
      <c r="D24" s="2"/>
      <c r="I24" s="4"/>
      <c r="J24" s="4"/>
      <c r="K24" s="2"/>
      <c r="L24" s="2"/>
    </row>
    <row r="25" spans="1:12" ht="12.75" x14ac:dyDescent="0.2">
      <c r="A25" s="4" t="s">
        <v>38</v>
      </c>
      <c r="B25" s="8">
        <v>2800000</v>
      </c>
      <c r="C25" s="4"/>
      <c r="D25" s="2"/>
      <c r="I25" s="4"/>
      <c r="J25" s="6"/>
      <c r="K25" s="2"/>
      <c r="L25" s="2"/>
    </row>
    <row r="26" spans="1:12" ht="12.75" x14ac:dyDescent="0.2">
      <c r="A26" s="2"/>
      <c r="B26" s="2"/>
      <c r="C26" s="2"/>
      <c r="D26" s="2"/>
      <c r="I26" s="2"/>
      <c r="J26" s="2"/>
      <c r="K26" s="2"/>
      <c r="L26" s="2"/>
    </row>
    <row r="27" spans="1:12" ht="12.75" x14ac:dyDescent="0.2">
      <c r="A27" s="2"/>
      <c r="B27" s="2"/>
      <c r="C27" s="2"/>
      <c r="D27" s="2"/>
      <c r="E27" s="15"/>
      <c r="I27" s="2"/>
      <c r="J27" s="2"/>
      <c r="K27" s="2"/>
      <c r="L27" s="2"/>
    </row>
    <row r="28" spans="1:12" ht="12.75" x14ac:dyDescent="0.2">
      <c r="A28" s="4"/>
      <c r="B28" s="4"/>
      <c r="C28" s="4"/>
      <c r="D28" s="2"/>
      <c r="I28" s="4"/>
      <c r="J28" s="4"/>
      <c r="K28" s="4"/>
      <c r="L28" s="2"/>
    </row>
    <row r="29" spans="1:12" ht="12.75" x14ac:dyDescent="0.2">
      <c r="A29" s="4"/>
      <c r="B29" s="6"/>
      <c r="C29" s="6"/>
      <c r="D29" s="2"/>
      <c r="I29" s="4"/>
      <c r="J29" s="6"/>
      <c r="K29" s="6"/>
      <c r="L29" s="2"/>
    </row>
    <row r="30" spans="1:12" ht="12.75" x14ac:dyDescent="0.2">
      <c r="A30" s="2"/>
      <c r="B30" s="2"/>
      <c r="C30" s="2"/>
      <c r="D30" s="2"/>
      <c r="I30" s="2"/>
      <c r="J30" s="2"/>
      <c r="K30" s="2"/>
      <c r="L30" s="2"/>
    </row>
    <row r="31" spans="1:12" ht="12.75" x14ac:dyDescent="0.2">
      <c r="A31" s="2"/>
      <c r="B31" s="2"/>
      <c r="C31" s="2"/>
      <c r="D31" s="2"/>
      <c r="I31" s="2"/>
      <c r="J31" s="2"/>
      <c r="K31" s="2"/>
      <c r="L31" s="2"/>
    </row>
    <row r="32" spans="1:12" ht="12.75" x14ac:dyDescent="0.2">
      <c r="A32" s="4"/>
      <c r="B32" s="4"/>
      <c r="C32" s="4"/>
      <c r="D32" s="2"/>
      <c r="I32" s="4"/>
      <c r="J32" s="4"/>
      <c r="K32" s="4"/>
      <c r="L32" s="2"/>
    </row>
    <row r="33" spans="1:12" ht="12.75" x14ac:dyDescent="0.2">
      <c r="A33" s="4"/>
      <c r="B33" s="6"/>
      <c r="C33" s="6"/>
      <c r="D33" s="2"/>
      <c r="I33" s="4"/>
      <c r="J33" s="6"/>
      <c r="K33" s="6"/>
      <c r="L33" s="2"/>
    </row>
    <row r="34" spans="1:12" ht="12.75" x14ac:dyDescent="0.2">
      <c r="A34" s="2"/>
      <c r="B34" s="2"/>
      <c r="C34" s="2"/>
      <c r="D34" s="2"/>
      <c r="I34" s="2"/>
      <c r="J34" s="2"/>
      <c r="K34" s="2"/>
      <c r="L34" s="2"/>
    </row>
    <row r="35" spans="1:12" ht="12.75" x14ac:dyDescent="0.2">
      <c r="A35" s="2"/>
      <c r="B35" s="2"/>
      <c r="C35" s="2"/>
      <c r="D35" s="2"/>
      <c r="I35" s="2"/>
      <c r="J35" s="2"/>
      <c r="K35" s="2"/>
      <c r="L35" s="2"/>
    </row>
    <row r="36" spans="1:12" ht="12.75" x14ac:dyDescent="0.2">
      <c r="A36" s="4"/>
      <c r="B36" s="4"/>
      <c r="C36" s="4"/>
      <c r="D36" s="2"/>
      <c r="I36" s="4"/>
      <c r="J36" s="4"/>
      <c r="K36" s="4"/>
      <c r="L36" s="2"/>
    </row>
    <row r="37" spans="1:12" ht="12.75" x14ac:dyDescent="0.2">
      <c r="A37" s="2"/>
      <c r="B37" s="4"/>
      <c r="C37" s="4"/>
      <c r="D37" s="2"/>
      <c r="I37" s="2"/>
      <c r="J37" s="4"/>
      <c r="K37" s="4"/>
      <c r="L37" s="2"/>
    </row>
    <row r="38" spans="1:12" ht="12.75" x14ac:dyDescent="0.2">
      <c r="A38" s="4"/>
      <c r="B38" s="6"/>
      <c r="C38" s="6"/>
      <c r="D38" s="2"/>
      <c r="I38" s="4"/>
      <c r="J38" s="6"/>
      <c r="K38" s="6"/>
      <c r="L38" s="2"/>
    </row>
    <row r="39" spans="1:12" ht="12.75" x14ac:dyDescent="0.2">
      <c r="A39" s="2"/>
      <c r="B39" s="2"/>
      <c r="C39" s="2"/>
      <c r="D39" s="2"/>
      <c r="I39" s="2"/>
      <c r="J39" s="2"/>
      <c r="K39" s="2"/>
      <c r="L39" s="2"/>
    </row>
    <row r="40" spans="1:12" ht="12.75" x14ac:dyDescent="0.2">
      <c r="A40" s="2"/>
      <c r="B40" s="2"/>
      <c r="C40" s="2"/>
      <c r="D40" s="2"/>
      <c r="I40" s="2"/>
      <c r="J40" s="2"/>
      <c r="K40" s="2"/>
      <c r="L40" s="2"/>
    </row>
    <row r="41" spans="1:12" ht="12.75" x14ac:dyDescent="0.2">
      <c r="A41" s="4"/>
      <c r="B41" s="4"/>
      <c r="C41" s="2"/>
      <c r="D41" s="2"/>
      <c r="I41" s="4"/>
      <c r="J41" s="4"/>
      <c r="K41" s="2"/>
      <c r="L41" s="2"/>
    </row>
    <row r="42" spans="1:12" ht="12.75" x14ac:dyDescent="0.2">
      <c r="A42" s="4"/>
      <c r="B42" s="6"/>
      <c r="C42" s="2"/>
      <c r="D42" s="2"/>
      <c r="I42" s="4"/>
      <c r="J42" s="6"/>
      <c r="K42" s="2"/>
      <c r="L42" s="2"/>
    </row>
    <row r="43" spans="1:12" ht="12.75" x14ac:dyDescent="0.2">
      <c r="A43" s="2"/>
      <c r="B43" s="2"/>
      <c r="C43" s="2"/>
      <c r="D43" s="2"/>
      <c r="I43" s="2"/>
      <c r="J43" s="2"/>
      <c r="K43" s="2"/>
      <c r="L43" s="2"/>
    </row>
    <row r="44" spans="1:12" ht="12.75" x14ac:dyDescent="0.2">
      <c r="A44" s="2"/>
      <c r="B44" s="2"/>
      <c r="C44" s="2"/>
      <c r="D44" s="2"/>
      <c r="I44" s="2"/>
      <c r="J44" s="2"/>
      <c r="K44" s="2"/>
      <c r="L44" s="2"/>
    </row>
    <row r="45" spans="1:12" ht="12.75" x14ac:dyDescent="0.2">
      <c r="A45" s="4"/>
      <c r="B45" s="2"/>
      <c r="C45" s="2"/>
      <c r="D45" s="2"/>
      <c r="I45" s="4"/>
      <c r="J45" s="2"/>
      <c r="K45" s="2"/>
      <c r="L45" s="2"/>
    </row>
    <row r="46" spans="1:12" ht="12.75" x14ac:dyDescent="0.2">
      <c r="A46" s="4"/>
      <c r="B46" s="6"/>
      <c r="C46" s="2"/>
      <c r="D46" s="2"/>
      <c r="I46" s="4"/>
      <c r="J46" s="6"/>
      <c r="K46" s="2"/>
      <c r="L46" s="2"/>
    </row>
    <row r="47" spans="1:12" ht="12.75" x14ac:dyDescent="0.2">
      <c r="A47" s="2"/>
      <c r="B47" s="2"/>
      <c r="C47" s="2"/>
      <c r="D47" s="2"/>
      <c r="I47" s="2"/>
      <c r="J47" s="2"/>
      <c r="K47" s="2"/>
      <c r="L47" s="2"/>
    </row>
    <row r="48" spans="1:12" ht="12.75" x14ac:dyDescent="0.2">
      <c r="A48" s="2"/>
      <c r="B48" s="2"/>
      <c r="C48" s="2"/>
      <c r="D48" s="2"/>
      <c r="I48" s="2"/>
      <c r="J48" s="2"/>
      <c r="K48" s="2"/>
      <c r="L48" s="2"/>
    </row>
    <row r="49" spans="1:12" ht="12.75" x14ac:dyDescent="0.2">
      <c r="A49" s="4"/>
      <c r="B49" s="4"/>
      <c r="C49" s="2"/>
      <c r="D49" s="2"/>
      <c r="I49" s="4"/>
      <c r="J49" s="4"/>
      <c r="K49" s="2"/>
      <c r="L49" s="2"/>
    </row>
    <row r="50" spans="1:12" ht="12.75" x14ac:dyDescent="0.2">
      <c r="A50" s="4"/>
      <c r="B50" s="6"/>
      <c r="C50" s="2"/>
      <c r="D50" s="2"/>
      <c r="I50" s="4"/>
      <c r="J50" s="6"/>
      <c r="K50" s="2"/>
      <c r="L50" s="2"/>
    </row>
    <row r="51" spans="1:12" ht="12.75" x14ac:dyDescent="0.2">
      <c r="A51" s="4"/>
      <c r="B51" s="6"/>
      <c r="C51" s="2"/>
      <c r="D51" s="2"/>
      <c r="I51" s="4"/>
      <c r="J51" s="6"/>
      <c r="K51" s="2"/>
      <c r="L51" s="2"/>
    </row>
    <row r="52" spans="1:12" ht="12.75" x14ac:dyDescent="0.2">
      <c r="A52" s="2"/>
      <c r="B52" s="2"/>
      <c r="C52" s="2"/>
      <c r="D52" s="2"/>
      <c r="I52" s="2"/>
      <c r="J52" s="2"/>
      <c r="K52" s="2"/>
      <c r="L52" s="2"/>
    </row>
  </sheetData>
  <mergeCells count="1">
    <mergeCell ref="B16:C18"/>
  </mergeCells>
  <hyperlinks>
    <hyperlink ref="A2" location="Deckblatt!A1" display="Back to covering page" xr:uid="{00000000-0004-0000-0200-000000000000}"/>
  </hyperlinks>
  <pageMargins left="0.7" right="0.7" top="0.78740157499999996" bottom="0.78740157499999996" header="0.3" footer="0.3"/>
  <extLst>
    <ext xmlns:x14="http://schemas.microsoft.com/office/spreadsheetml/2009/9/main" uri="{CCE6A557-97BC-4b89-ADB6-D9C93CAAB3DF}">
      <x14:dataValidations xmlns:xm="http://schemas.microsoft.com/office/excel/2006/main" count="3">
        <x14:dataValidation type="custom" errorStyle="warning" allowBlank="1" showErrorMessage="1" errorTitle="Ungültige Eingabe!" error="Diese Vertigungsmenge kann nicht erreicht werden!_x000a_Weil die Anzahl der produzierten Fertigwaren kleiner als der geplante Absatz ist._x000a__x000a_Sie müssen einen höheren Wert eingeben!" xr:uid="{57D158F6-C2AF-49E9-B7C1-1D82DAD9AC81}">
          <x14:formula1>
            <xm:f>Marktbericht!B37&gt;=0</xm:f>
          </x14:formula1>
          <xm:sqref>B23</xm:sqref>
        </x14:dataValidation>
        <x14:dataValidation type="custom" allowBlank="1" showInputMessage="1" showErrorMessage="1" errorTitle="Ungültige Eingabe" error="Diese Einkaufsmenge kann nicht erreicht werden!_x000a_Weil die Anzahl der für die Produktion nötigen Textile zu klein für den geplanten Absatz ist._x000a__x000a_Sie müssen einen höheren Wert eingeben!" xr:uid="{034956F3-B702-4E18-AB05-B199B2136B03}">
          <x14:formula1>
            <xm:f>Marktbericht!B28&gt;=0</xm:f>
          </x14:formula1>
          <xm:sqref>B14</xm:sqref>
        </x14:dataValidation>
        <x14:dataValidation type="custom" allowBlank="1" showInputMessage="1" showErrorMessage="1" errorTitle="Ungültige Eingabe" error="Diese Einkaufsmenge kann nicht erreicht werden!_x000a_Weil die Anzahl der für die Produktion nötigen Rückenrahmen zu klein für den geplanten Absatz ist._x000a__x000a__x000a_Sie müssen einen höheren Wert eingeben!_x000a__x000a_" xr:uid="{EDE58291-A572-430D-8DEB-3C764DE43D35}">
          <x14:formula1>
            <xm:f>Marktbericht!E28&gt;=0</xm:f>
          </x14:formula1>
          <xm:sqref>C14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79998168889431442"/>
    <outlinePr summaryBelow="0" summaryRight="0"/>
  </sheetPr>
  <dimension ref="A1:F71"/>
  <sheetViews>
    <sheetView topLeftCell="A34" workbookViewId="0">
      <selection activeCell="E27" sqref="E27"/>
    </sheetView>
  </sheetViews>
  <sheetFormatPr baseColWidth="10" defaultColWidth="14.42578125" defaultRowHeight="15.75" customHeight="1" x14ac:dyDescent="0.2"/>
  <cols>
    <col min="1" max="1" width="19.42578125" customWidth="1"/>
    <col min="2" max="2" width="36.28515625" customWidth="1"/>
    <col min="3" max="3" width="17.140625" customWidth="1"/>
  </cols>
  <sheetData>
    <row r="1" spans="1:6" ht="21" customHeight="1" x14ac:dyDescent="0.3">
      <c r="A1" s="49" t="s">
        <v>318</v>
      </c>
    </row>
    <row r="2" spans="1:6" ht="15.75" customHeight="1" x14ac:dyDescent="0.2">
      <c r="A2" s="58" t="s">
        <v>317</v>
      </c>
    </row>
    <row r="3" spans="1:6" ht="12.75" x14ac:dyDescent="0.2">
      <c r="A3" s="5"/>
      <c r="B3" s="5"/>
      <c r="C3" s="5"/>
    </row>
    <row r="4" spans="1:6" ht="15.75" customHeight="1" x14ac:dyDescent="0.2">
      <c r="A4" s="60" t="s">
        <v>39</v>
      </c>
      <c r="B4" s="60" t="s">
        <v>40</v>
      </c>
      <c r="C4" s="60" t="s">
        <v>41</v>
      </c>
    </row>
    <row r="5" spans="1:6" ht="12.75" x14ac:dyDescent="0.2">
      <c r="A5" s="5" t="s">
        <v>42</v>
      </c>
      <c r="B5" s="5" t="s">
        <v>42</v>
      </c>
      <c r="C5" s="5">
        <v>6</v>
      </c>
    </row>
    <row r="6" spans="1:6" ht="12.75" x14ac:dyDescent="0.2">
      <c r="A6" s="5" t="s">
        <v>43</v>
      </c>
      <c r="B6" s="4" t="s">
        <v>44</v>
      </c>
      <c r="C6" s="32">
        <f>'[1]3) Personal, Produktentwicklung'!$B$10</f>
        <v>40</v>
      </c>
    </row>
    <row r="7" spans="1:6" ht="12.75" x14ac:dyDescent="0.2">
      <c r="B7" s="4" t="s">
        <v>45</v>
      </c>
      <c r="C7" s="32">
        <f>'[1]3) Personal, Produktentwicklung'!$C$10</f>
        <v>15</v>
      </c>
    </row>
    <row r="8" spans="1:6" ht="12.75" x14ac:dyDescent="0.2">
      <c r="B8" s="4" t="s">
        <v>46</v>
      </c>
      <c r="C8" s="32">
        <f>'[1]3) Personal, Produktentwicklung'!$D$10</f>
        <v>2.5</v>
      </c>
    </row>
    <row r="9" spans="1:6" ht="12.75" x14ac:dyDescent="0.2">
      <c r="B9" s="5" t="s">
        <v>47</v>
      </c>
      <c r="C9" s="13">
        <f>Eingaben!B21</f>
        <v>2</v>
      </c>
    </row>
    <row r="10" spans="1:6" ht="12.75" x14ac:dyDescent="0.2">
      <c r="B10" s="11" t="s">
        <v>48</v>
      </c>
      <c r="C10" s="13">
        <f>IF((C7+C16)-(Eingaben!B10)&lt;0,(Eingaben!B10)-(C7+C16),0)</f>
        <v>2</v>
      </c>
    </row>
    <row r="11" spans="1:6" ht="12.75" x14ac:dyDescent="0.2">
      <c r="B11" s="11" t="s">
        <v>49</v>
      </c>
      <c r="C11" s="43">
        <f>IF((IF(Marktbericht!D14&gt;=Werte!C31,2.5,IF(Marktbericht!D14&gt;=Werte!C30,2.5,IF(Marktbericht!D14&gt;=Werte!C29,2,IF(Marktbericht!D14&gt;=Werte!C28,1.5,IF(Marktbericht!D14&gt;=Werte!C27,1,0.5))))))-C8&gt;0,IF(Marktbericht!D14&gt;=Werte!C31,3,IF(Marktbericht!D14&gt;=Werte!C30,2.5,IF(Marktbericht!D14&gt;=Werte!C29,2,IF(Marktbericht!D14&gt;=Werte!C28,1.5,IF(Marktbericht!D14&gt;=Werte!C27,1,0.5)))))-C8,0)</f>
        <v>0</v>
      </c>
      <c r="F11">
        <f>IF(Marktbericht!D14&gt;=Werte!C31,3,IF(Marktbericht!D14&gt;=Werte!C30,2.5,IF(Marktbericht!D14&gt;=Werte!C29,2,IF(Marktbericht!D14&gt;=Werte!C28,1.5,IF(Marktbericht!D14&gt;=Werte!C27,1,0.5)))))</f>
        <v>3</v>
      </c>
    </row>
    <row r="12" spans="1:6" ht="12.75" x14ac:dyDescent="0.2">
      <c r="B12" s="5" t="s">
        <v>50</v>
      </c>
      <c r="C12" s="13">
        <f>Eingaben!C21</f>
        <v>0</v>
      </c>
    </row>
    <row r="13" spans="1:6" ht="12.75" x14ac:dyDescent="0.2">
      <c r="B13" s="11" t="s">
        <v>51</v>
      </c>
      <c r="C13" s="13">
        <f>IF((C7+C16)-(Eingaben!B10)&gt;0,(Eingaben!B10)-(C7+C16),0)</f>
        <v>0</v>
      </c>
    </row>
    <row r="14" spans="1:6" ht="12.75" x14ac:dyDescent="0.2">
      <c r="B14" s="11" t="s">
        <v>52</v>
      </c>
      <c r="C14" s="43">
        <f>IF((IF(Marktbericht!D14&gt;=Werte!C31,2.5,IF(Marktbericht!D14&gt;=Werte!C30,2.5,IF(Marktbericht!D14&gt;=Werte!C29,2,IF(Marktbericht!D14&gt;=Werte!C28,1.5,C8-IF(Marktbericht!D14&gt;=Werte!C27,1,0.5))))))-C8&lt;0,IF(Marktbericht!D14&gt;=Werte!C31,3,IF(Marktbericht!D14&gt;=Werte!C30,2.5,IF(Marktbericht!D14&gt;=Werte!C29,2,IF(Marktbericht!D14&gt;=Werte!C28,1.5,IF(Marktbericht!D14&gt;=Werte!C27,1,0.5))))),0)</f>
        <v>0</v>
      </c>
    </row>
    <row r="15" spans="1:6" ht="12.75" x14ac:dyDescent="0.2">
      <c r="B15" s="5" t="s">
        <v>53</v>
      </c>
      <c r="C15" s="33">
        <v>0</v>
      </c>
    </row>
    <row r="16" spans="1:6" ht="12.75" x14ac:dyDescent="0.2">
      <c r="B16" s="5" t="s">
        <v>54</v>
      </c>
      <c r="C16" s="33">
        <v>-2</v>
      </c>
    </row>
    <row r="17" spans="1:4" ht="12.75" x14ac:dyDescent="0.2">
      <c r="B17" s="5" t="s">
        <v>55</v>
      </c>
      <c r="C17" s="33">
        <v>0</v>
      </c>
    </row>
    <row r="18" spans="1:4" ht="12.75" x14ac:dyDescent="0.2">
      <c r="A18" s="5"/>
      <c r="B18" s="5" t="s">
        <v>283</v>
      </c>
      <c r="C18" s="34">
        <v>1500</v>
      </c>
    </row>
    <row r="19" spans="1:4" ht="12.75" x14ac:dyDescent="0.2">
      <c r="A19" s="5" t="s">
        <v>56</v>
      </c>
      <c r="B19" s="35" t="s">
        <v>284</v>
      </c>
      <c r="C19" s="34">
        <v>32.799999999999997</v>
      </c>
    </row>
    <row r="20" spans="1:4" ht="12.75" x14ac:dyDescent="0.2">
      <c r="B20" s="36" t="s">
        <v>285</v>
      </c>
      <c r="C20" s="34">
        <v>43.7</v>
      </c>
    </row>
    <row r="21" spans="1:4" ht="12.75" x14ac:dyDescent="0.2">
      <c r="B21" s="36" t="s">
        <v>286</v>
      </c>
      <c r="C21" s="34">
        <v>30.6</v>
      </c>
    </row>
    <row r="22" spans="1:4" ht="12.75" x14ac:dyDescent="0.2">
      <c r="B22" s="5" t="s">
        <v>57</v>
      </c>
      <c r="C22" s="33">
        <v>5000</v>
      </c>
    </row>
    <row r="23" spans="1:4" ht="12.75" x14ac:dyDescent="0.2">
      <c r="B23" s="5" t="s">
        <v>58</v>
      </c>
      <c r="C23" s="33">
        <v>20000</v>
      </c>
    </row>
    <row r="24" spans="1:4" ht="12.75" x14ac:dyDescent="0.2">
      <c r="B24" s="5" t="s">
        <v>59</v>
      </c>
      <c r="C24" s="33">
        <v>0.3</v>
      </c>
    </row>
    <row r="25" spans="1:4" ht="12.75" x14ac:dyDescent="0.2">
      <c r="B25" s="5" t="s">
        <v>60</v>
      </c>
      <c r="C25" s="34">
        <v>52500</v>
      </c>
    </row>
    <row r="26" spans="1:4" ht="12.75" x14ac:dyDescent="0.2">
      <c r="A26" s="5" t="s">
        <v>61</v>
      </c>
      <c r="B26" s="5" t="s">
        <v>62</v>
      </c>
      <c r="C26" s="33">
        <v>0</v>
      </c>
    </row>
    <row r="27" spans="1:4" ht="12.75" x14ac:dyDescent="0.2">
      <c r="B27" s="5" t="s">
        <v>63</v>
      </c>
      <c r="C27" s="33">
        <v>3000000</v>
      </c>
    </row>
    <row r="28" spans="1:4" ht="12.75" x14ac:dyDescent="0.2">
      <c r="B28" s="5" t="s">
        <v>64</v>
      </c>
      <c r="C28" s="33">
        <v>4500000</v>
      </c>
    </row>
    <row r="29" spans="1:4" ht="12.75" x14ac:dyDescent="0.2">
      <c r="B29" s="5" t="s">
        <v>65</v>
      </c>
      <c r="C29" s="33">
        <v>6000000</v>
      </c>
    </row>
    <row r="30" spans="1:4" ht="12.75" x14ac:dyDescent="0.2">
      <c r="B30" s="5" t="s">
        <v>66</v>
      </c>
      <c r="C30" s="33">
        <v>8000000</v>
      </c>
    </row>
    <row r="31" spans="1:4" ht="12.75" x14ac:dyDescent="0.2">
      <c r="B31" s="5" t="s">
        <v>67</v>
      </c>
      <c r="C31" s="33">
        <v>10000000</v>
      </c>
      <c r="D31" s="40" t="s">
        <v>290</v>
      </c>
    </row>
    <row r="32" spans="1:4" ht="12.75" x14ac:dyDescent="0.2">
      <c r="A32" s="5" t="s">
        <v>68</v>
      </c>
      <c r="B32" s="5" t="s">
        <v>69</v>
      </c>
      <c r="C32" s="37">
        <f>'[1]3) Personal, Produktentwicklung'!$C$23</f>
        <v>1350000</v>
      </c>
    </row>
    <row r="33" spans="1:3" ht="12.75" x14ac:dyDescent="0.2">
      <c r="B33" s="5" t="s">
        <v>70</v>
      </c>
      <c r="C33" s="37">
        <f>'[1]3) Personal, Produktentwicklung'!$D$23</f>
        <v>1.28</v>
      </c>
    </row>
    <row r="34" spans="1:3" ht="12.75" x14ac:dyDescent="0.2">
      <c r="A34" s="5" t="s">
        <v>28</v>
      </c>
      <c r="B34" s="16" t="s">
        <v>71</v>
      </c>
    </row>
    <row r="35" spans="1:3" ht="12.75" x14ac:dyDescent="0.2">
      <c r="A35" s="5"/>
      <c r="B35" s="5" t="s">
        <v>72</v>
      </c>
      <c r="C35" s="33">
        <v>1</v>
      </c>
    </row>
    <row r="36" spans="1:3" ht="12.75" x14ac:dyDescent="0.2">
      <c r="A36" s="5" t="s">
        <v>73</v>
      </c>
      <c r="B36" s="5" t="s">
        <v>74</v>
      </c>
      <c r="C36" s="13">
        <f>Eingaben!B7</f>
        <v>53791</v>
      </c>
    </row>
    <row r="37" spans="1:3" ht="12.75" x14ac:dyDescent="0.2">
      <c r="A37" s="5"/>
      <c r="B37" s="5" t="s">
        <v>75</v>
      </c>
      <c r="C37" s="13">
        <f>Eingaben!C7</f>
        <v>12511</v>
      </c>
    </row>
    <row r="38" spans="1:3" ht="12.75" x14ac:dyDescent="0.2">
      <c r="A38" s="5"/>
      <c r="B38" s="5" t="s">
        <v>76</v>
      </c>
      <c r="C38" s="13">
        <f>Eingaben!B14</f>
        <v>60000</v>
      </c>
    </row>
    <row r="39" spans="1:3" ht="12.75" x14ac:dyDescent="0.2">
      <c r="A39" s="5"/>
      <c r="B39" s="5" t="s">
        <v>77</v>
      </c>
      <c r="C39" s="13">
        <f>Eingaben!C14</f>
        <v>60000</v>
      </c>
    </row>
    <row r="40" spans="1:3" ht="12.75" x14ac:dyDescent="0.2">
      <c r="A40" s="5"/>
      <c r="B40" s="5" t="s">
        <v>78</v>
      </c>
      <c r="C40" s="13">
        <f>Eingaben!B23</f>
        <v>60000</v>
      </c>
    </row>
    <row r="41" spans="1:3" ht="12.75" x14ac:dyDescent="0.2">
      <c r="A41" s="5"/>
      <c r="B41" s="5" t="s">
        <v>79</v>
      </c>
      <c r="C41" s="13">
        <f>Eingaben!B6</f>
        <v>800000</v>
      </c>
    </row>
    <row r="42" spans="1:3" ht="12.75" x14ac:dyDescent="0.2">
      <c r="A42" s="5"/>
      <c r="B42" s="5" t="s">
        <v>80</v>
      </c>
      <c r="C42" s="13">
        <f>Eingaben!C6</f>
        <v>400000</v>
      </c>
    </row>
    <row r="43" spans="1:3" ht="12.75" x14ac:dyDescent="0.2">
      <c r="A43" s="5"/>
      <c r="B43" s="5" t="s">
        <v>81</v>
      </c>
      <c r="C43" s="13">
        <f>Eingaben!B9</f>
        <v>400000</v>
      </c>
    </row>
    <row r="44" spans="1:3" ht="12.75" x14ac:dyDescent="0.2">
      <c r="A44" s="5"/>
      <c r="B44" s="5" t="s">
        <v>20</v>
      </c>
      <c r="C44" s="13">
        <f>Eingaben!B11</f>
        <v>0</v>
      </c>
    </row>
    <row r="45" spans="1:3" ht="12.75" x14ac:dyDescent="0.2">
      <c r="A45" s="5" t="s">
        <v>82</v>
      </c>
      <c r="B45" s="5" t="s">
        <v>83</v>
      </c>
      <c r="C45" s="33">
        <v>24</v>
      </c>
    </row>
    <row r="46" spans="1:3" ht="12.75" x14ac:dyDescent="0.2">
      <c r="B46" s="5" t="s">
        <v>84</v>
      </c>
      <c r="C46" s="33">
        <v>38</v>
      </c>
    </row>
    <row r="47" spans="1:3" ht="12.75" x14ac:dyDescent="0.2">
      <c r="B47" s="5" t="s">
        <v>85</v>
      </c>
      <c r="C47" s="33">
        <v>10</v>
      </c>
    </row>
    <row r="48" spans="1:3" ht="12.75" x14ac:dyDescent="0.2">
      <c r="A48" s="5" t="s">
        <v>86</v>
      </c>
      <c r="B48" s="5" t="s">
        <v>23</v>
      </c>
      <c r="C48" s="38">
        <v>5</v>
      </c>
    </row>
    <row r="49" spans="1:3" ht="12.75" x14ac:dyDescent="0.2">
      <c r="B49" s="5" t="s">
        <v>22</v>
      </c>
      <c r="C49" s="38">
        <v>2</v>
      </c>
    </row>
    <row r="50" spans="1:3" ht="12.75" x14ac:dyDescent="0.2">
      <c r="B50" s="5" t="s">
        <v>87</v>
      </c>
      <c r="C50" s="38">
        <v>10</v>
      </c>
    </row>
    <row r="51" spans="1:3" ht="12.75" x14ac:dyDescent="0.2">
      <c r="A51" s="5" t="s">
        <v>88</v>
      </c>
      <c r="B51" s="5" t="s">
        <v>23</v>
      </c>
      <c r="C51" s="39">
        <f>'[1]2) Marktbericht'!$E$28</f>
        <v>0</v>
      </c>
    </row>
    <row r="52" spans="1:3" ht="12.75" x14ac:dyDescent="0.2">
      <c r="B52" s="5" t="s">
        <v>89</v>
      </c>
      <c r="C52" s="39">
        <f>'[1]2) Marktbericht'!$B$28</f>
        <v>0</v>
      </c>
    </row>
    <row r="53" spans="1:3" ht="12.75" x14ac:dyDescent="0.2">
      <c r="B53" s="5" t="s">
        <v>90</v>
      </c>
      <c r="C53" s="39">
        <f>'[1]2) Marktbericht'!$B$37</f>
        <v>6776</v>
      </c>
    </row>
    <row r="54" spans="1:3" ht="12.75" x14ac:dyDescent="0.2">
      <c r="A54" s="42" t="s">
        <v>289</v>
      </c>
      <c r="B54" s="5" t="s">
        <v>22</v>
      </c>
      <c r="C54" s="39">
        <f>'[1]2) Marktbericht'!$C$28</f>
        <v>0</v>
      </c>
    </row>
    <row r="55" spans="1:3" ht="12.75" x14ac:dyDescent="0.2">
      <c r="A55" s="5"/>
      <c r="B55" s="5" t="s">
        <v>23</v>
      </c>
      <c r="C55" s="39">
        <f>'[1]2) Marktbericht'!$F$28</f>
        <v>0</v>
      </c>
    </row>
    <row r="56" spans="1:3" ht="12.75" x14ac:dyDescent="0.2">
      <c r="A56" s="7"/>
      <c r="B56" s="42" t="s">
        <v>173</v>
      </c>
      <c r="C56" s="39">
        <f>'[1]2) Marktbericht'!$C$36</f>
        <v>105.99</v>
      </c>
    </row>
    <row r="57" spans="1:3" ht="12.75" x14ac:dyDescent="0.2">
      <c r="A57" s="5" t="s">
        <v>5</v>
      </c>
      <c r="B57" s="5" t="s">
        <v>91</v>
      </c>
      <c r="C57" s="13">
        <f>Eingaben!B5</f>
        <v>170</v>
      </c>
    </row>
    <row r="58" spans="1:3" ht="12.75" x14ac:dyDescent="0.2">
      <c r="B58" s="5" t="s">
        <v>92</v>
      </c>
      <c r="C58" s="13">
        <f>Eingaben!C5</f>
        <v>180</v>
      </c>
    </row>
    <row r="59" spans="1:3" ht="12.75" x14ac:dyDescent="0.2">
      <c r="B59" s="5" t="s">
        <v>93</v>
      </c>
      <c r="C59" s="33">
        <v>10</v>
      </c>
    </row>
    <row r="60" spans="1:3" ht="12.75" x14ac:dyDescent="0.2">
      <c r="A60" s="5" t="s">
        <v>94</v>
      </c>
      <c r="B60" s="5" t="s">
        <v>95</v>
      </c>
      <c r="C60" s="33">
        <v>20000</v>
      </c>
    </row>
    <row r="61" spans="1:3" ht="12.75" x14ac:dyDescent="0.2">
      <c r="A61" s="5" t="s">
        <v>96</v>
      </c>
      <c r="B61" s="5" t="s">
        <v>97</v>
      </c>
      <c r="C61" s="33">
        <v>0.02</v>
      </c>
    </row>
    <row r="62" spans="1:3" ht="12.75" x14ac:dyDescent="0.2">
      <c r="B62" s="5" t="s">
        <v>98</v>
      </c>
      <c r="C62" s="33">
        <v>10000</v>
      </c>
    </row>
    <row r="63" spans="1:3" ht="12.75" x14ac:dyDescent="0.2">
      <c r="A63" s="5" t="s">
        <v>99</v>
      </c>
      <c r="B63" s="11" t="s">
        <v>100</v>
      </c>
      <c r="C63" s="33">
        <v>0</v>
      </c>
    </row>
    <row r="64" spans="1:3" ht="12.75" x14ac:dyDescent="0.2">
      <c r="B64" s="11" t="s">
        <v>101</v>
      </c>
      <c r="C64" s="13">
        <f>Eingaben!B25</f>
        <v>2800000</v>
      </c>
    </row>
    <row r="65" spans="1:3" ht="12.75" x14ac:dyDescent="0.2">
      <c r="B65" s="5" t="s">
        <v>102</v>
      </c>
      <c r="C65" s="33">
        <v>0.85</v>
      </c>
    </row>
    <row r="66" spans="1:3" ht="12.75" x14ac:dyDescent="0.2">
      <c r="B66" s="5" t="s">
        <v>103</v>
      </c>
      <c r="C66" s="33">
        <v>0.11</v>
      </c>
    </row>
    <row r="67" spans="1:3" ht="12.75" x14ac:dyDescent="0.2">
      <c r="B67" s="5" t="s">
        <v>104</v>
      </c>
      <c r="C67" s="33">
        <v>7.0000000000000007E-2</v>
      </c>
    </row>
    <row r="68" spans="1:3" ht="12.75" x14ac:dyDescent="0.2">
      <c r="B68" s="5" t="s">
        <v>105</v>
      </c>
      <c r="C68" s="33">
        <v>0.3</v>
      </c>
    </row>
    <row r="69" spans="1:3" ht="15.75" customHeight="1" x14ac:dyDescent="0.2">
      <c r="A69" t="s">
        <v>287</v>
      </c>
      <c r="B69" t="s">
        <v>288</v>
      </c>
      <c r="C69" s="37">
        <f>'[1]10) Finanzbericht Bilanz'!$B$23</f>
        <v>186428</v>
      </c>
    </row>
    <row r="70" spans="1:3" ht="15.75" customHeight="1" x14ac:dyDescent="0.2">
      <c r="B70" t="s">
        <v>282</v>
      </c>
      <c r="C70" s="37">
        <f>'[1]10) Finanzbericht Bilanz'!$B$38</f>
        <v>1887448</v>
      </c>
    </row>
    <row r="71" spans="1:3" ht="15.75" customHeight="1" x14ac:dyDescent="0.2">
      <c r="B71" t="s">
        <v>101</v>
      </c>
      <c r="C71" s="37">
        <f>'[1]10) Finanzbericht Bilanz'!$B$10</f>
        <v>1000000</v>
      </c>
    </row>
  </sheetData>
  <hyperlinks>
    <hyperlink ref="A2" location="Deckblatt!A1" display="Deckblatt" xr:uid="{76001C20-B143-4A35-AF8B-38C8DE37E233}"/>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40"/>
  <sheetViews>
    <sheetView workbookViewId="0">
      <selection activeCell="G36" sqref="G36"/>
    </sheetView>
  </sheetViews>
  <sheetFormatPr baseColWidth="10" defaultColWidth="14.42578125" defaultRowHeight="15.75" customHeight="1" x14ac:dyDescent="0.2"/>
  <cols>
    <col min="1" max="1" width="20.42578125" customWidth="1"/>
  </cols>
  <sheetData>
    <row r="1" spans="1:7" ht="15.75" customHeight="1" x14ac:dyDescent="0.3">
      <c r="A1" s="1" t="s">
        <v>106</v>
      </c>
      <c r="B1" s="2"/>
      <c r="C1" s="2"/>
      <c r="D1" s="2"/>
      <c r="E1" s="2"/>
      <c r="F1" s="2"/>
      <c r="G1" s="2"/>
    </row>
    <row r="2" spans="1:7" ht="12.75" x14ac:dyDescent="0.2">
      <c r="A2" s="58" t="s">
        <v>317</v>
      </c>
      <c r="B2" s="2"/>
      <c r="C2" s="2"/>
      <c r="D2" s="2"/>
      <c r="E2" s="2"/>
      <c r="F2" s="2"/>
      <c r="G2" s="2"/>
    </row>
    <row r="3" spans="1:7" ht="12.75" x14ac:dyDescent="0.2">
      <c r="A3" s="2"/>
      <c r="B3" s="2"/>
      <c r="C3" s="2"/>
      <c r="D3" s="2"/>
      <c r="E3" s="2"/>
      <c r="F3" s="2"/>
      <c r="G3" s="2"/>
    </row>
    <row r="4" spans="1:7" ht="12.75" x14ac:dyDescent="0.2">
      <c r="A4" s="4" t="s">
        <v>107</v>
      </c>
      <c r="B4" s="2"/>
      <c r="C4" s="2"/>
      <c r="D4" s="17"/>
      <c r="E4" s="2"/>
      <c r="F4" s="2"/>
      <c r="G4" s="2"/>
    </row>
    <row r="5" spans="1:7" ht="12.75" x14ac:dyDescent="0.2">
      <c r="A5" s="4" t="s">
        <v>9</v>
      </c>
      <c r="B5" s="4" t="s">
        <v>5</v>
      </c>
      <c r="C5" s="4" t="s">
        <v>108</v>
      </c>
      <c r="D5" s="18">
        <f>Werte!C57</f>
        <v>170</v>
      </c>
      <c r="E5" s="2"/>
      <c r="F5" s="2"/>
      <c r="G5" s="2"/>
    </row>
    <row r="6" spans="1:7" ht="12.75" x14ac:dyDescent="0.2">
      <c r="A6" s="2"/>
      <c r="B6" s="4" t="s">
        <v>109</v>
      </c>
      <c r="C6" s="4" t="s">
        <v>110</v>
      </c>
      <c r="D6" s="18">
        <f>Werte!C36</f>
        <v>53791</v>
      </c>
      <c r="E6" s="2"/>
      <c r="F6" s="2"/>
      <c r="G6" s="2"/>
    </row>
    <row r="7" spans="1:7" ht="12.75" x14ac:dyDescent="0.2">
      <c r="A7" s="2"/>
      <c r="B7" s="4" t="s">
        <v>12</v>
      </c>
      <c r="C7" s="4" t="s">
        <v>111</v>
      </c>
      <c r="D7" s="18">
        <f>D5*D6</f>
        <v>9144470</v>
      </c>
      <c r="E7" s="2"/>
      <c r="F7" s="2"/>
      <c r="G7" s="2"/>
    </row>
    <row r="8" spans="1:7" ht="12.75" x14ac:dyDescent="0.2">
      <c r="A8" s="2"/>
      <c r="B8" s="29"/>
      <c r="C8" s="29"/>
      <c r="E8" s="2"/>
      <c r="F8" s="2"/>
      <c r="G8" s="2"/>
    </row>
    <row r="9" spans="1:7" ht="12.75" x14ac:dyDescent="0.2">
      <c r="A9" s="4" t="s">
        <v>10</v>
      </c>
      <c r="B9" s="4" t="s">
        <v>5</v>
      </c>
      <c r="C9" s="4" t="s">
        <v>108</v>
      </c>
      <c r="D9" s="18">
        <f>Werte!C58</f>
        <v>180</v>
      </c>
      <c r="E9" s="2"/>
      <c r="F9" s="2"/>
      <c r="G9" s="2"/>
    </row>
    <row r="10" spans="1:7" ht="12.75" x14ac:dyDescent="0.2">
      <c r="A10" s="2"/>
      <c r="B10" s="4" t="s">
        <v>109</v>
      </c>
      <c r="C10" s="4" t="s">
        <v>110</v>
      </c>
      <c r="D10" s="18">
        <f>Werte!C37</f>
        <v>12511</v>
      </c>
      <c r="E10" s="2"/>
      <c r="F10" s="2"/>
      <c r="G10" s="2"/>
    </row>
    <row r="11" spans="1:7" ht="12.75" x14ac:dyDescent="0.2">
      <c r="A11" s="2"/>
      <c r="B11" s="4" t="s">
        <v>12</v>
      </c>
      <c r="C11" s="4" t="s">
        <v>111</v>
      </c>
      <c r="D11" s="18">
        <f>D9*D10</f>
        <v>2251980</v>
      </c>
      <c r="E11" s="2"/>
      <c r="F11" s="2"/>
      <c r="G11" s="2"/>
    </row>
    <row r="12" spans="1:7" ht="12.75" x14ac:dyDescent="0.2">
      <c r="A12" s="2"/>
      <c r="B12" s="29"/>
      <c r="C12" s="29"/>
      <c r="E12" s="2"/>
      <c r="F12" s="2"/>
      <c r="G12" s="2"/>
    </row>
    <row r="13" spans="1:7" ht="12.75" x14ac:dyDescent="0.2">
      <c r="A13" s="4" t="s">
        <v>112</v>
      </c>
      <c r="B13" s="4" t="s">
        <v>109</v>
      </c>
      <c r="C13" s="4" t="s">
        <v>110</v>
      </c>
      <c r="D13" s="18">
        <f t="shared" ref="D13:D14" si="0">D6+D10</f>
        <v>66302</v>
      </c>
      <c r="E13" s="2"/>
      <c r="F13" s="2"/>
      <c r="G13" s="2"/>
    </row>
    <row r="14" spans="1:7" ht="12.75" x14ac:dyDescent="0.2">
      <c r="A14" s="2"/>
      <c r="B14" s="4" t="s">
        <v>12</v>
      </c>
      <c r="C14" s="4" t="s">
        <v>111</v>
      </c>
      <c r="D14" s="18">
        <f t="shared" si="0"/>
        <v>11396450</v>
      </c>
      <c r="E14" s="2"/>
      <c r="F14" s="2"/>
      <c r="G14" s="2"/>
    </row>
    <row r="15" spans="1:7" ht="12.75" x14ac:dyDescent="0.2">
      <c r="A15" s="2"/>
      <c r="B15" s="2"/>
      <c r="C15" s="2"/>
      <c r="D15" s="2"/>
      <c r="E15" s="2"/>
      <c r="F15" s="2"/>
      <c r="G15" s="2"/>
    </row>
    <row r="16" spans="1:7" ht="12.75" x14ac:dyDescent="0.2">
      <c r="A16" s="2"/>
      <c r="B16" s="2"/>
      <c r="C16" s="2"/>
      <c r="D16" s="2"/>
      <c r="E16" s="2"/>
      <c r="F16" s="2"/>
      <c r="G16" s="2"/>
    </row>
    <row r="17" spans="1:13" ht="12.75" x14ac:dyDescent="0.2">
      <c r="A17" s="29"/>
      <c r="B17" s="29"/>
      <c r="D17" s="2"/>
      <c r="E17" s="2"/>
      <c r="F17" s="2"/>
      <c r="G17" s="2"/>
    </row>
    <row r="18" spans="1:13" ht="12.75" x14ac:dyDescent="0.2">
      <c r="A18" s="29"/>
      <c r="B18" s="29"/>
      <c r="D18" s="2"/>
      <c r="E18" s="2"/>
      <c r="F18" s="2"/>
      <c r="G18" s="2"/>
    </row>
    <row r="19" spans="1:13" ht="12.75" x14ac:dyDescent="0.2">
      <c r="A19" s="2"/>
      <c r="B19" s="2"/>
      <c r="C19" s="2"/>
      <c r="D19" s="2"/>
      <c r="E19" s="2"/>
      <c r="F19" s="2"/>
      <c r="G19" s="2"/>
    </row>
    <row r="20" spans="1:13" ht="12.75" x14ac:dyDescent="0.2">
      <c r="A20" s="2"/>
      <c r="B20" s="2"/>
      <c r="C20" s="2"/>
      <c r="D20" s="2"/>
      <c r="E20" s="2"/>
      <c r="F20" s="2"/>
      <c r="G20" s="2"/>
    </row>
    <row r="21" spans="1:13" ht="12.75" x14ac:dyDescent="0.2">
      <c r="A21" s="71" t="s">
        <v>113</v>
      </c>
      <c r="B21" s="70"/>
      <c r="C21" s="70"/>
      <c r="D21" s="70"/>
      <c r="E21" s="70"/>
      <c r="F21" s="70"/>
      <c r="G21" s="70"/>
    </row>
    <row r="22" spans="1:13" ht="12.75" x14ac:dyDescent="0.2">
      <c r="A22" s="2"/>
      <c r="B22" s="72" t="s">
        <v>22</v>
      </c>
      <c r="C22" s="70"/>
      <c r="D22" s="70"/>
      <c r="E22" s="72" t="s">
        <v>23</v>
      </c>
      <c r="F22" s="70"/>
      <c r="G22" s="70"/>
    </row>
    <row r="23" spans="1:13" ht="12.75" x14ac:dyDescent="0.2">
      <c r="A23" s="2"/>
      <c r="B23" s="19" t="s">
        <v>114</v>
      </c>
      <c r="C23" s="19" t="s">
        <v>115</v>
      </c>
      <c r="D23" s="19" t="s">
        <v>116</v>
      </c>
      <c r="E23" s="19" t="s">
        <v>114</v>
      </c>
      <c r="F23" s="19" t="s">
        <v>117</v>
      </c>
      <c r="G23" s="19" t="s">
        <v>116</v>
      </c>
    </row>
    <row r="24" spans="1:13" ht="12.75" x14ac:dyDescent="0.2">
      <c r="A24" s="4" t="s">
        <v>118</v>
      </c>
      <c r="B24" s="18">
        <f>Werte!C52</f>
        <v>0</v>
      </c>
      <c r="C24" s="18">
        <f>Werte!C54</f>
        <v>0</v>
      </c>
      <c r="D24" s="18">
        <f t="shared" ref="D24:D25" si="1">B24*C24</f>
        <v>0</v>
      </c>
      <c r="E24" s="18">
        <f>Werte!C51</f>
        <v>0</v>
      </c>
      <c r="F24" s="18">
        <f>Werte!C55</f>
        <v>0</v>
      </c>
      <c r="G24" s="18">
        <f t="shared" ref="G24:G25" si="2">E24*F24</f>
        <v>0</v>
      </c>
    </row>
    <row r="25" spans="1:13" ht="12.75" x14ac:dyDescent="0.2">
      <c r="A25" s="20" t="s">
        <v>119</v>
      </c>
      <c r="B25" s="18">
        <f>Werte!C38</f>
        <v>60000</v>
      </c>
      <c r="C25" s="18">
        <f>Werte!C46</f>
        <v>38</v>
      </c>
      <c r="D25" s="18">
        <f t="shared" si="1"/>
        <v>2280000</v>
      </c>
      <c r="E25" s="18">
        <f>Werte!C39</f>
        <v>60000</v>
      </c>
      <c r="F25" s="18">
        <f>Werte!C45</f>
        <v>24</v>
      </c>
      <c r="G25" s="18">
        <f t="shared" si="2"/>
        <v>1440000</v>
      </c>
    </row>
    <row r="26" spans="1:13" ht="12.75" x14ac:dyDescent="0.2">
      <c r="A26" s="20" t="s">
        <v>120</v>
      </c>
      <c r="B26" s="18">
        <v>0</v>
      </c>
      <c r="C26" s="18">
        <v>50</v>
      </c>
      <c r="D26" s="18">
        <v>0</v>
      </c>
      <c r="E26" s="18">
        <v>0</v>
      </c>
      <c r="F26" s="18">
        <v>35</v>
      </c>
      <c r="G26" s="18">
        <v>0</v>
      </c>
    </row>
    <row r="27" spans="1:13" ht="14.25" x14ac:dyDescent="0.2">
      <c r="A27" s="4" t="s">
        <v>121</v>
      </c>
      <c r="B27" s="18">
        <f>Werte!C40</f>
        <v>60000</v>
      </c>
      <c r="C27" s="18">
        <f>((C24*B24)+(C25*B25))/(B24+B25)</f>
        <v>38</v>
      </c>
      <c r="D27" s="18">
        <f t="shared" ref="D27:D28" si="3">B27*C27</f>
        <v>2280000</v>
      </c>
      <c r="E27" s="18">
        <f>Werte!C40</f>
        <v>60000</v>
      </c>
      <c r="F27" s="18">
        <f>((F24*E24)+(F25*E25))/(E24+E25)</f>
        <v>24</v>
      </c>
      <c r="G27" s="18">
        <f t="shared" ref="G27:G28" si="4">E27*F27</f>
        <v>1440000</v>
      </c>
      <c r="M27" s="21"/>
    </row>
    <row r="28" spans="1:13" ht="12.75" x14ac:dyDescent="0.2">
      <c r="A28" s="20" t="s">
        <v>122</v>
      </c>
      <c r="B28" s="18">
        <f>(B24+B25)-B27</f>
        <v>0</v>
      </c>
      <c r="C28" s="18">
        <f>IF(B28=0,0,C27)</f>
        <v>0</v>
      </c>
      <c r="D28" s="18">
        <f t="shared" si="3"/>
        <v>0</v>
      </c>
      <c r="E28" s="18">
        <f>(E24+E25)-E27</f>
        <v>0</v>
      </c>
      <c r="F28" s="18">
        <f>IF(E28=0,0,F27)</f>
        <v>0</v>
      </c>
      <c r="G28" s="18">
        <f t="shared" si="4"/>
        <v>0</v>
      </c>
    </row>
    <row r="29" spans="1:13" ht="12.75" x14ac:dyDescent="0.2">
      <c r="A29" s="2"/>
      <c r="B29" s="2"/>
      <c r="C29" s="2"/>
      <c r="D29" s="2"/>
      <c r="E29" s="2"/>
      <c r="F29" s="2"/>
      <c r="G29" s="2"/>
    </row>
    <row r="30" spans="1:13" ht="12.75" x14ac:dyDescent="0.2">
      <c r="A30" s="2"/>
      <c r="B30" s="2"/>
      <c r="C30" s="2"/>
      <c r="D30" s="2"/>
      <c r="E30" s="2"/>
      <c r="F30" s="2"/>
      <c r="G30" s="2"/>
    </row>
    <row r="31" spans="1:13" ht="12.75" x14ac:dyDescent="0.2">
      <c r="A31" s="71" t="s">
        <v>123</v>
      </c>
      <c r="B31" s="70"/>
      <c r="C31" s="70"/>
      <c r="D31" s="70"/>
      <c r="E31" s="2"/>
      <c r="F31" s="2"/>
      <c r="G31" s="2"/>
    </row>
    <row r="32" spans="1:13" ht="12.75" x14ac:dyDescent="0.2">
      <c r="A32" s="2"/>
      <c r="B32" s="72" t="s">
        <v>1</v>
      </c>
      <c r="C32" s="70"/>
      <c r="D32" s="70"/>
      <c r="E32" s="14"/>
      <c r="F32" s="2"/>
      <c r="G32" s="2"/>
    </row>
    <row r="33" spans="1:7" ht="12.75" x14ac:dyDescent="0.2">
      <c r="A33" s="2"/>
      <c r="B33" s="19" t="s">
        <v>114</v>
      </c>
      <c r="C33" s="19" t="s">
        <v>117</v>
      </c>
      <c r="D33" s="19" t="s">
        <v>116</v>
      </c>
      <c r="E33" s="2"/>
      <c r="F33" s="2"/>
      <c r="G33" s="2"/>
    </row>
    <row r="34" spans="1:7" ht="12.75" x14ac:dyDescent="0.2">
      <c r="A34" s="4" t="s">
        <v>118</v>
      </c>
      <c r="B34" s="18">
        <f>Werte!C53</f>
        <v>6776</v>
      </c>
      <c r="C34" s="41">
        <f>IF(B34=0,0,Werte!C56)</f>
        <v>105.99</v>
      </c>
      <c r="D34" s="18">
        <f>B34*C34</f>
        <v>718188.24</v>
      </c>
      <c r="E34" s="2"/>
      <c r="F34" s="2"/>
      <c r="G34" s="2"/>
    </row>
    <row r="35" spans="1:7" ht="12.75" x14ac:dyDescent="0.2">
      <c r="A35" s="20" t="s">
        <v>124</v>
      </c>
      <c r="B35" s="18">
        <f>Werte!C40</f>
        <v>60000</v>
      </c>
      <c r="C35" s="18">
        <f>Kostenträgerrechnung!B36</f>
        <v>112.69113725490196</v>
      </c>
      <c r="D35" s="18">
        <f>B35*C35</f>
        <v>6761468.2352941176</v>
      </c>
      <c r="E35" s="2"/>
      <c r="F35" s="2"/>
      <c r="G35" s="2"/>
    </row>
    <row r="36" spans="1:7" ht="12.75" x14ac:dyDescent="0.2">
      <c r="A36" s="4" t="s">
        <v>125</v>
      </c>
      <c r="B36" s="18">
        <f>D13</f>
        <v>66302</v>
      </c>
      <c r="C36" s="18">
        <f>((B34*C34)+(B35*C35))/(B34+B35)</f>
        <v>112.01114884530547</v>
      </c>
      <c r="D36" s="18">
        <f>B36*C36</f>
        <v>7426563.1907414431</v>
      </c>
      <c r="E36" s="2"/>
      <c r="F36" s="2"/>
      <c r="G36" s="2"/>
    </row>
    <row r="37" spans="1:7" ht="12.75" x14ac:dyDescent="0.2">
      <c r="A37" s="20" t="s">
        <v>122</v>
      </c>
      <c r="B37" s="18">
        <f>B34+B35-B36</f>
        <v>474</v>
      </c>
      <c r="C37" s="18">
        <f>C36</f>
        <v>112.01114884530547</v>
      </c>
      <c r="D37" s="18">
        <f>D34+D35-D36</f>
        <v>53093.284552674741</v>
      </c>
      <c r="E37" s="2"/>
      <c r="F37" s="2"/>
      <c r="G37" s="2"/>
    </row>
    <row r="38" spans="1:7" ht="12.75" x14ac:dyDescent="0.2">
      <c r="A38" s="2"/>
      <c r="B38" s="2"/>
      <c r="C38" s="40"/>
      <c r="D38" s="2"/>
      <c r="E38" s="2"/>
      <c r="F38" s="2"/>
      <c r="G38" s="2"/>
    </row>
    <row r="39" spans="1:7" ht="12.75" x14ac:dyDescent="0.2">
      <c r="A39" s="2"/>
      <c r="B39" s="2"/>
      <c r="C39" s="2"/>
      <c r="D39" s="2"/>
      <c r="E39" s="2"/>
      <c r="F39" s="2"/>
      <c r="G39" s="2"/>
    </row>
    <row r="40" spans="1:7" ht="12.75" x14ac:dyDescent="0.2">
      <c r="A40" s="2"/>
      <c r="B40" s="2"/>
      <c r="C40" s="2"/>
      <c r="D40" s="2"/>
      <c r="E40" s="2"/>
      <c r="F40" s="2"/>
      <c r="G40" s="2"/>
    </row>
  </sheetData>
  <mergeCells count="5">
    <mergeCell ref="A21:G21"/>
    <mergeCell ref="B22:D22"/>
    <mergeCell ref="E22:G22"/>
    <mergeCell ref="A31:D31"/>
    <mergeCell ref="B32:D32"/>
  </mergeCells>
  <dataValidations count="2">
    <dataValidation type="decimal" operator="greaterThanOrEqual" allowBlank="1" showInputMessage="1" showErrorMessage="1" sqref="B28 E28" xr:uid="{CA8B1876-B6A0-421E-A9AE-866F7342C25E}">
      <formula1>0</formula1>
    </dataValidation>
    <dataValidation type="decimal" operator="greaterThanOrEqual" allowBlank="1" showInputMessage="1" showErrorMessage="1" errorTitle="Ungültige Eingaben" error="asdfhajksldfhkjashdfjk" sqref="B37" xr:uid="{3A55ECD5-C2C6-4627-8558-888BCCDF4355}">
      <formula1>0</formula1>
    </dataValidation>
  </dataValidations>
  <hyperlinks>
    <hyperlink ref="A2" location="Deckblatt!A1" display="Deckblatt" xr:uid="{00000000-0004-0000-0400-000000000000}"/>
  </hyperlinks>
  <pageMargins left="0.7" right="0.7" top="0.78740157499999996" bottom="0.78740157499999996"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28"/>
  <sheetViews>
    <sheetView workbookViewId="0">
      <selection activeCell="F22" sqref="F22"/>
    </sheetView>
  </sheetViews>
  <sheetFormatPr baseColWidth="10" defaultColWidth="14.42578125" defaultRowHeight="15.75" customHeight="1" x14ac:dyDescent="0.2"/>
  <cols>
    <col min="1" max="1" width="44.85546875" customWidth="1"/>
    <col min="7" max="7" width="14.7109375" customWidth="1"/>
  </cols>
  <sheetData>
    <row r="1" spans="1:10" ht="15.75" customHeight="1" x14ac:dyDescent="0.3">
      <c r="A1" s="1" t="s">
        <v>126</v>
      </c>
      <c r="B1" s="2"/>
      <c r="C1" s="2"/>
      <c r="D1" s="2"/>
      <c r="E1" s="2"/>
      <c r="F1" s="2"/>
      <c r="G1" s="2"/>
      <c r="H1" s="2"/>
      <c r="I1" s="2"/>
      <c r="J1" s="2"/>
    </row>
    <row r="2" spans="1:10" ht="12.75" x14ac:dyDescent="0.2">
      <c r="A2" s="58" t="s">
        <v>317</v>
      </c>
      <c r="B2" s="2"/>
      <c r="C2" s="2"/>
      <c r="D2" s="2"/>
      <c r="E2" s="2"/>
      <c r="F2" s="2"/>
      <c r="G2" s="2"/>
      <c r="H2" s="2"/>
      <c r="I2" s="2"/>
      <c r="J2" s="2"/>
    </row>
    <row r="3" spans="1:10" ht="12.75" x14ac:dyDescent="0.2">
      <c r="A3" s="2"/>
      <c r="B3" s="2"/>
      <c r="C3" s="2"/>
      <c r="D3" s="2"/>
      <c r="E3" s="2"/>
      <c r="F3" s="2"/>
    </row>
    <row r="4" spans="1:10" ht="12.75" x14ac:dyDescent="0.2">
      <c r="A4" s="22" t="s">
        <v>127</v>
      </c>
      <c r="B4" s="2"/>
      <c r="C4" s="2"/>
      <c r="D4" s="2"/>
      <c r="E4" s="2"/>
      <c r="F4" s="2"/>
    </row>
    <row r="5" spans="1:10" ht="12.75" x14ac:dyDescent="0.2">
      <c r="A5" s="2"/>
      <c r="B5" s="47" t="s">
        <v>128</v>
      </c>
      <c r="C5" s="47" t="s">
        <v>129</v>
      </c>
      <c r="D5" s="47" t="s">
        <v>61</v>
      </c>
      <c r="E5" s="47" t="s">
        <v>112</v>
      </c>
      <c r="F5" s="2"/>
    </row>
    <row r="6" spans="1:10" ht="12.75" x14ac:dyDescent="0.2">
      <c r="A6" s="4" t="s">
        <v>130</v>
      </c>
      <c r="B6" s="48">
        <f>Werte!C6</f>
        <v>40</v>
      </c>
      <c r="C6" s="48">
        <f>Werte!C7</f>
        <v>15</v>
      </c>
      <c r="D6" s="48">
        <f>Werte!C8</f>
        <v>2.5</v>
      </c>
      <c r="E6" s="48">
        <f t="shared" ref="E6:E10" si="0">B6+C6+D6</f>
        <v>57.5</v>
      </c>
      <c r="F6" s="2"/>
    </row>
    <row r="7" spans="1:10" ht="12.75" x14ac:dyDescent="0.2">
      <c r="A7" s="23" t="s">
        <v>131</v>
      </c>
      <c r="B7" s="48">
        <f>Werte!C9</f>
        <v>2</v>
      </c>
      <c r="C7" s="48">
        <f>Werte!C10</f>
        <v>2</v>
      </c>
      <c r="D7" s="48">
        <f>Werte!C11</f>
        <v>0</v>
      </c>
      <c r="E7" s="48">
        <f t="shared" si="0"/>
        <v>4</v>
      </c>
      <c r="F7" s="2"/>
    </row>
    <row r="8" spans="1:10" ht="12.75" x14ac:dyDescent="0.2">
      <c r="A8" s="24" t="s">
        <v>132</v>
      </c>
      <c r="B8" s="48">
        <f>Werte!C12</f>
        <v>0</v>
      </c>
      <c r="C8" s="48">
        <f>Werte!C13</f>
        <v>0</v>
      </c>
      <c r="D8" s="48">
        <f>Werte!C14</f>
        <v>0</v>
      </c>
      <c r="E8" s="48">
        <f t="shared" si="0"/>
        <v>0</v>
      </c>
      <c r="F8" s="2"/>
    </row>
    <row r="9" spans="1:10" ht="12.75" x14ac:dyDescent="0.2">
      <c r="A9" s="23" t="s">
        <v>133</v>
      </c>
      <c r="B9" s="48">
        <f>Werte!C15</f>
        <v>0</v>
      </c>
      <c r="C9" s="48">
        <f>Werte!C16</f>
        <v>-2</v>
      </c>
      <c r="D9" s="48">
        <f>Werte!C17</f>
        <v>0</v>
      </c>
      <c r="E9" s="48">
        <f t="shared" si="0"/>
        <v>-2</v>
      </c>
      <c r="F9" s="2"/>
    </row>
    <row r="10" spans="1:10" ht="12.75" x14ac:dyDescent="0.2">
      <c r="A10" s="23" t="s">
        <v>134</v>
      </c>
      <c r="B10" s="48">
        <f>B6+B7-B8+B9</f>
        <v>42</v>
      </c>
      <c r="C10" s="48">
        <f t="shared" ref="C10:D10" si="1">C6+C7+C8+C9</f>
        <v>15</v>
      </c>
      <c r="D10" s="48">
        <f t="shared" si="1"/>
        <v>2.5</v>
      </c>
      <c r="E10" s="48">
        <f t="shared" si="0"/>
        <v>59.5</v>
      </c>
      <c r="F10" s="2"/>
    </row>
    <row r="11" spans="1:10" ht="12.75" x14ac:dyDescent="0.2">
      <c r="A11" s="2"/>
      <c r="B11" s="2"/>
      <c r="C11" s="2"/>
      <c r="D11" s="2"/>
      <c r="E11" s="2"/>
      <c r="F11" s="2"/>
    </row>
    <row r="12" spans="1:10" ht="12.75" x14ac:dyDescent="0.2">
      <c r="A12" s="2"/>
      <c r="B12" s="2"/>
      <c r="C12" s="2"/>
      <c r="D12" s="2"/>
      <c r="E12" s="2"/>
      <c r="F12" s="2"/>
    </row>
    <row r="13" spans="1:10" ht="12.75" x14ac:dyDescent="0.2">
      <c r="A13" s="22" t="s">
        <v>135</v>
      </c>
      <c r="B13" s="2"/>
      <c r="C13" s="2"/>
      <c r="D13" s="2"/>
      <c r="E13" s="2"/>
      <c r="F13" s="2"/>
    </row>
    <row r="14" spans="1:10" ht="12.75" x14ac:dyDescent="0.2">
      <c r="A14" s="2"/>
      <c r="B14" s="47" t="s">
        <v>128</v>
      </c>
      <c r="C14" s="47" t="s">
        <v>129</v>
      </c>
      <c r="D14" s="47" t="s">
        <v>61</v>
      </c>
      <c r="E14" s="47" t="s">
        <v>112</v>
      </c>
      <c r="F14" s="2"/>
    </row>
    <row r="15" spans="1:10" ht="12.75" x14ac:dyDescent="0.2">
      <c r="A15" s="4" t="s">
        <v>136</v>
      </c>
      <c r="B15" s="48">
        <f>Werte!C19*B10</f>
        <v>1377.6</v>
      </c>
      <c r="C15" s="48">
        <f>Werte!C20*C10</f>
        <v>655.5</v>
      </c>
      <c r="D15" s="48">
        <f>Werte!C21*D10</f>
        <v>76.5</v>
      </c>
      <c r="E15" s="48">
        <f t="shared" ref="E15:E17" si="2">B15+C15+D15</f>
        <v>2109.6</v>
      </c>
      <c r="F15" s="2"/>
    </row>
    <row r="16" spans="1:10" ht="12.75" x14ac:dyDescent="0.2">
      <c r="A16" s="20" t="s">
        <v>137</v>
      </c>
      <c r="B16" s="48">
        <f>((B7*Werte!C22)+(B8*Werte!C23))/1000</f>
        <v>10</v>
      </c>
      <c r="C16" s="48">
        <f>((C7*Werte!C22)+(C8*Werte!C23))/1000</f>
        <v>10</v>
      </c>
      <c r="D16" s="48">
        <f>((D7*Werte!C22)+(D8*Werte!C23))/1000</f>
        <v>0</v>
      </c>
      <c r="E16" s="48">
        <f t="shared" si="2"/>
        <v>20</v>
      </c>
      <c r="F16" s="2"/>
    </row>
    <row r="17" spans="1:6" ht="12.75" x14ac:dyDescent="0.2">
      <c r="A17" s="25" t="s">
        <v>138</v>
      </c>
      <c r="B17" s="48">
        <f>B15*Werte!C24</f>
        <v>413.28</v>
      </c>
      <c r="C17" s="48">
        <f>C15*Werte!C24</f>
        <v>196.65</v>
      </c>
      <c r="D17" s="48">
        <f>D15*Werte!C24</f>
        <v>22.95</v>
      </c>
      <c r="E17" s="48">
        <f t="shared" si="2"/>
        <v>632.88</v>
      </c>
      <c r="F17" s="2"/>
    </row>
    <row r="18" spans="1:6" ht="12.75" x14ac:dyDescent="0.2">
      <c r="A18" s="20" t="s">
        <v>139</v>
      </c>
      <c r="B18" s="48">
        <f t="shared" ref="B18:E18" si="3">B15+B16+B17</f>
        <v>1800.8799999999999</v>
      </c>
      <c r="C18" s="48">
        <f t="shared" si="3"/>
        <v>862.15</v>
      </c>
      <c r="D18" s="48">
        <f t="shared" si="3"/>
        <v>99.45</v>
      </c>
      <c r="E18" s="48">
        <f t="shared" si="3"/>
        <v>2762.48</v>
      </c>
      <c r="F18" s="2"/>
    </row>
    <row r="19" spans="1:6" ht="12.75" x14ac:dyDescent="0.2">
      <c r="A19" s="2"/>
      <c r="B19" s="2"/>
      <c r="C19" s="2"/>
      <c r="D19" s="2"/>
      <c r="E19" s="2"/>
      <c r="F19" s="2"/>
    </row>
    <row r="20" spans="1:6" ht="12.75" x14ac:dyDescent="0.2">
      <c r="A20" s="2"/>
      <c r="B20" s="2"/>
      <c r="C20" s="2"/>
      <c r="D20" s="2"/>
      <c r="E20" s="2"/>
      <c r="F20" s="2"/>
    </row>
    <row r="21" spans="1:6" ht="12.75" x14ac:dyDescent="0.2">
      <c r="A21" s="22" t="s">
        <v>68</v>
      </c>
      <c r="B21" s="2"/>
      <c r="C21" s="2"/>
      <c r="D21" s="2"/>
      <c r="E21" s="2"/>
      <c r="F21" s="2"/>
    </row>
    <row r="22" spans="1:6" ht="12.75" x14ac:dyDescent="0.2">
      <c r="A22" s="2"/>
      <c r="B22" s="47" t="s">
        <v>140</v>
      </c>
      <c r="C22" s="47" t="s">
        <v>141</v>
      </c>
      <c r="D22" s="16"/>
      <c r="E22" s="14"/>
      <c r="F22" s="2"/>
    </row>
    <row r="23" spans="1:6" ht="12.75" x14ac:dyDescent="0.2">
      <c r="A23" s="4" t="s">
        <v>1</v>
      </c>
      <c r="B23" s="48">
        <f>Werte!C44</f>
        <v>0</v>
      </c>
      <c r="C23" s="48">
        <f>Werte!C32</f>
        <v>1350000</v>
      </c>
      <c r="D23" s="29"/>
      <c r="E23" s="2"/>
      <c r="F23" s="2"/>
    </row>
    <row r="24" spans="1:6" ht="12.75" x14ac:dyDescent="0.2">
      <c r="A24" s="2"/>
      <c r="B24" s="2"/>
      <c r="C24" s="2"/>
      <c r="D24" s="2"/>
      <c r="E24" s="2"/>
      <c r="F24" s="2"/>
    </row>
    <row r="25" spans="1:6" ht="12.75" x14ac:dyDescent="0.2">
      <c r="A25" s="2"/>
      <c r="B25" s="2"/>
      <c r="C25" s="2"/>
      <c r="D25" s="2"/>
      <c r="E25" s="2"/>
      <c r="F25" s="2"/>
    </row>
    <row r="26" spans="1:6" ht="12.75" x14ac:dyDescent="0.2">
      <c r="A26" s="2"/>
      <c r="B26" s="2"/>
      <c r="C26" s="2"/>
      <c r="D26" s="2"/>
      <c r="E26" s="2"/>
      <c r="F26" s="2"/>
    </row>
    <row r="27" spans="1:6" ht="12.75" x14ac:dyDescent="0.2">
      <c r="A27" s="2"/>
      <c r="B27" s="2"/>
      <c r="C27" s="2"/>
      <c r="D27" s="2"/>
      <c r="E27" s="2"/>
      <c r="F27" s="2"/>
    </row>
    <row r="28" spans="1:6" ht="12.75" x14ac:dyDescent="0.2">
      <c r="A28" s="2"/>
      <c r="B28" s="2"/>
      <c r="C28" s="2"/>
      <c r="D28" s="2"/>
      <c r="E28" s="2"/>
      <c r="F28" s="2"/>
    </row>
  </sheetData>
  <hyperlinks>
    <hyperlink ref="A2" location="Deckblatt!A1" display="Deckblatt" xr:uid="{00000000-0004-0000-0500-000000000000}"/>
  </hyperlink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79998168889431442"/>
    <outlinePr summaryBelow="0" summaryRight="0"/>
  </sheetPr>
  <dimension ref="A1:J39"/>
  <sheetViews>
    <sheetView workbookViewId="0">
      <selection activeCell="K13" sqref="K13:K14"/>
    </sheetView>
  </sheetViews>
  <sheetFormatPr baseColWidth="10" defaultColWidth="14.42578125" defaultRowHeight="15.75" customHeight="1" x14ac:dyDescent="0.2"/>
  <cols>
    <col min="1" max="1" width="56.5703125" customWidth="1"/>
    <col min="4" max="4" width="27.140625" customWidth="1"/>
    <col min="5" max="5" width="22.85546875" customWidth="1"/>
    <col min="10" max="10" width="14.42578125" customWidth="1"/>
  </cols>
  <sheetData>
    <row r="1" spans="1:10" ht="15.75" customHeight="1" x14ac:dyDescent="0.3">
      <c r="A1" s="1" t="s">
        <v>142</v>
      </c>
      <c r="B1" s="2"/>
      <c r="C1" s="2"/>
      <c r="D1" s="2"/>
      <c r="E1" s="2"/>
      <c r="F1" s="2"/>
      <c r="G1" s="2"/>
      <c r="H1" s="2"/>
      <c r="I1" s="2"/>
      <c r="J1" s="2"/>
    </row>
    <row r="2" spans="1:10" ht="12.75" x14ac:dyDescent="0.2">
      <c r="A2" s="58" t="s">
        <v>317</v>
      </c>
      <c r="B2" s="2"/>
      <c r="C2" s="2"/>
      <c r="D2" s="2"/>
      <c r="E2" s="2"/>
      <c r="F2" s="2"/>
      <c r="G2" s="2"/>
      <c r="H2" s="2"/>
      <c r="I2" s="2"/>
      <c r="J2" s="2"/>
    </row>
    <row r="3" spans="1:10" ht="12.75" x14ac:dyDescent="0.2">
      <c r="A3" s="2"/>
      <c r="B3" s="29"/>
      <c r="C3" s="2"/>
      <c r="D3" s="4"/>
      <c r="E3" s="2"/>
      <c r="F3" s="2"/>
      <c r="G3" s="2"/>
      <c r="H3" s="2"/>
      <c r="I3" s="2"/>
      <c r="J3" s="4"/>
    </row>
    <row r="4" spans="1:10" ht="12.75" x14ac:dyDescent="0.2">
      <c r="A4" s="4" t="s">
        <v>143</v>
      </c>
      <c r="B4" s="29"/>
      <c r="C4" s="2"/>
      <c r="D4" s="2"/>
      <c r="E4" s="2"/>
      <c r="F4" s="2"/>
      <c r="G4" s="2"/>
      <c r="H4" s="2"/>
      <c r="I4" s="2"/>
      <c r="J4" s="2"/>
    </row>
    <row r="5" spans="1:10" ht="12.75" x14ac:dyDescent="0.2">
      <c r="A5" s="4" t="s">
        <v>144</v>
      </c>
      <c r="B5" s="18">
        <f>Produktion!B10</f>
        <v>42</v>
      </c>
      <c r="C5" s="2"/>
      <c r="D5" s="2"/>
      <c r="E5" s="2"/>
      <c r="F5" s="2"/>
      <c r="G5" s="2"/>
      <c r="H5" s="2"/>
      <c r="I5" s="2"/>
      <c r="J5" s="2"/>
    </row>
    <row r="6" spans="1:10" ht="12.75" x14ac:dyDescent="0.2">
      <c r="A6" s="4" t="s">
        <v>145</v>
      </c>
      <c r="B6" s="18">
        <f>Werte!C40/Werte!C18</f>
        <v>40</v>
      </c>
      <c r="C6" s="2"/>
      <c r="D6" s="2"/>
      <c r="E6" s="2"/>
      <c r="F6" s="2"/>
      <c r="G6" s="2"/>
      <c r="H6" s="2"/>
      <c r="I6" s="2"/>
      <c r="J6" s="2"/>
    </row>
    <row r="7" spans="1:10" ht="12.75" x14ac:dyDescent="0.2">
      <c r="A7" s="4" t="s">
        <v>146</v>
      </c>
      <c r="B7" s="18">
        <f>IF(((Werte!C40/(Produktion!B10*Werte!C18))*100)&lt;100,((Werte!C40/(Produktion!B10*Werte!C18))*100),100)</f>
        <v>95.238095238095227</v>
      </c>
      <c r="C7" s="2"/>
      <c r="D7" s="2"/>
      <c r="E7" s="2"/>
      <c r="F7" s="2"/>
      <c r="G7" s="2"/>
      <c r="H7" s="2"/>
      <c r="I7" s="2"/>
      <c r="J7" s="2"/>
    </row>
    <row r="8" spans="1:10" ht="12.75" x14ac:dyDescent="0.2">
      <c r="A8" s="4" t="s">
        <v>147</v>
      </c>
      <c r="B8" s="18">
        <f>IF(B7=100,B6-B5,0)</f>
        <v>0</v>
      </c>
      <c r="C8" s="2"/>
      <c r="D8" s="2"/>
      <c r="E8" s="2"/>
      <c r="F8" s="2"/>
      <c r="G8" s="2"/>
      <c r="H8" s="2"/>
      <c r="I8" s="2"/>
      <c r="J8" s="2"/>
    </row>
    <row r="9" spans="1:10" ht="12.75" x14ac:dyDescent="0.2">
      <c r="A9" s="2"/>
      <c r="B9" s="2"/>
      <c r="C9" s="2"/>
      <c r="D9" s="2"/>
      <c r="E9" s="2"/>
      <c r="F9" s="2"/>
      <c r="G9" s="2"/>
      <c r="H9" s="2"/>
      <c r="I9" s="2"/>
      <c r="J9" s="2"/>
    </row>
    <row r="10" spans="1:10" ht="12.75" x14ac:dyDescent="0.2">
      <c r="A10" s="2"/>
      <c r="B10" s="2"/>
      <c r="C10" s="2"/>
      <c r="D10" s="2"/>
      <c r="E10" s="2"/>
      <c r="F10" s="2"/>
      <c r="G10" s="2"/>
      <c r="H10" s="2"/>
      <c r="I10" s="2"/>
      <c r="J10" s="2"/>
    </row>
    <row r="11" spans="1:10" ht="12.75" x14ac:dyDescent="0.2">
      <c r="A11" s="4" t="s">
        <v>148</v>
      </c>
      <c r="B11" s="17"/>
      <c r="C11" s="17"/>
      <c r="D11" s="17"/>
      <c r="E11" s="17"/>
      <c r="F11" s="17"/>
      <c r="G11" s="17"/>
      <c r="H11" s="17"/>
      <c r="I11" s="17"/>
      <c r="J11" s="2"/>
    </row>
    <row r="12" spans="1:10" ht="12.75" x14ac:dyDescent="0.2">
      <c r="A12" s="4" t="s">
        <v>149</v>
      </c>
      <c r="B12" s="19" t="s">
        <v>150</v>
      </c>
      <c r="C12" s="19" t="s">
        <v>151</v>
      </c>
      <c r="D12" s="19" t="s">
        <v>152</v>
      </c>
      <c r="E12" s="19" t="s">
        <v>153</v>
      </c>
      <c r="F12" s="19" t="s">
        <v>154</v>
      </c>
      <c r="G12" s="19" t="s">
        <v>155</v>
      </c>
      <c r="H12" s="19" t="s">
        <v>156</v>
      </c>
      <c r="I12" s="19" t="s">
        <v>157</v>
      </c>
      <c r="J12" s="4"/>
    </row>
    <row r="13" spans="1:10" ht="12.75" x14ac:dyDescent="0.2">
      <c r="A13" s="4" t="s">
        <v>158</v>
      </c>
      <c r="B13" s="8">
        <v>0</v>
      </c>
      <c r="C13" s="8">
        <v>700</v>
      </c>
      <c r="D13" s="26">
        <f>(B13+9)-Werte!C5</f>
        <v>3</v>
      </c>
      <c r="E13" s="8">
        <v>70</v>
      </c>
      <c r="F13" s="26">
        <f t="shared" ref="F13:F15" si="0">D13*E13</f>
        <v>210</v>
      </c>
      <c r="G13" s="8">
        <v>10</v>
      </c>
      <c r="H13" s="8">
        <v>15</v>
      </c>
      <c r="I13" s="8">
        <v>10000</v>
      </c>
      <c r="J13" s="4"/>
    </row>
    <row r="14" spans="1:10" ht="12.75" x14ac:dyDescent="0.2">
      <c r="A14" s="4" t="s">
        <v>159</v>
      </c>
      <c r="B14" s="8">
        <v>0</v>
      </c>
      <c r="C14" s="8">
        <v>700</v>
      </c>
      <c r="D14" s="26">
        <f>(B14+9)-Werte!C5</f>
        <v>3</v>
      </c>
      <c r="E14" s="8">
        <v>70</v>
      </c>
      <c r="F14" s="26">
        <f t="shared" si="0"/>
        <v>210</v>
      </c>
      <c r="G14" s="8">
        <v>10</v>
      </c>
      <c r="H14" s="8">
        <v>15</v>
      </c>
      <c r="I14" s="8">
        <v>10000</v>
      </c>
      <c r="J14" s="4"/>
    </row>
    <row r="15" spans="1:10" ht="12.75" x14ac:dyDescent="0.2">
      <c r="A15" s="4" t="s">
        <v>160</v>
      </c>
      <c r="B15" s="8">
        <v>0</v>
      </c>
      <c r="C15" s="8">
        <v>700</v>
      </c>
      <c r="D15" s="26">
        <f>(B15+9)-Werte!C5</f>
        <v>3</v>
      </c>
      <c r="E15" s="8">
        <v>70</v>
      </c>
      <c r="F15" s="26">
        <f t="shared" si="0"/>
        <v>210</v>
      </c>
      <c r="G15" s="8">
        <v>10</v>
      </c>
      <c r="H15" s="8">
        <v>15</v>
      </c>
      <c r="I15" s="8">
        <v>10000</v>
      </c>
      <c r="J15" s="4"/>
    </row>
    <row r="16" spans="1:10" ht="12.75" x14ac:dyDescent="0.2">
      <c r="A16" s="4" t="s">
        <v>161</v>
      </c>
      <c r="B16" s="8">
        <v>3</v>
      </c>
      <c r="C16" s="8">
        <v>600</v>
      </c>
      <c r="D16" s="26">
        <f>IF(B16&gt;0,((9+B16)-Werte!C5),0)</f>
        <v>6</v>
      </c>
      <c r="E16" s="8">
        <v>60</v>
      </c>
      <c r="F16" s="26">
        <f t="shared" ref="F16:F17" si="1">IF(B16&gt;0,(D16*E16),0)</f>
        <v>360</v>
      </c>
      <c r="G16" s="8">
        <v>10</v>
      </c>
      <c r="H16" s="8">
        <v>15</v>
      </c>
      <c r="I16" s="8">
        <v>10000</v>
      </c>
      <c r="J16" s="4"/>
    </row>
    <row r="17" spans="1:10" ht="12.75" x14ac:dyDescent="0.2">
      <c r="A17" s="4"/>
      <c r="B17" s="8">
        <v>4</v>
      </c>
      <c r="C17" s="8">
        <v>600</v>
      </c>
      <c r="D17" s="26">
        <f>IF(B17&gt;0,((9+B17)-Werte!C5),0)</f>
        <v>7</v>
      </c>
      <c r="E17" s="8">
        <v>60</v>
      </c>
      <c r="F17" s="26">
        <f t="shared" si="1"/>
        <v>420</v>
      </c>
      <c r="G17" s="8">
        <v>10</v>
      </c>
      <c r="H17" s="8">
        <v>15</v>
      </c>
      <c r="I17" s="8">
        <v>10000</v>
      </c>
      <c r="J17" s="4"/>
    </row>
    <row r="18" spans="1:10" ht="15.75" customHeight="1" x14ac:dyDescent="0.2">
      <c r="A18" s="4"/>
      <c r="B18" s="8">
        <v>1</v>
      </c>
      <c r="C18" s="8">
        <v>400</v>
      </c>
      <c r="D18" s="26">
        <f>IF(B18&gt;0,((9+B18)-Werte!C5),0)</f>
        <v>4</v>
      </c>
      <c r="E18" s="8">
        <v>40</v>
      </c>
      <c r="F18" s="26">
        <f>IF(B18&gt;0,(D18*E18),0)</f>
        <v>160</v>
      </c>
      <c r="G18" s="8">
        <v>7.5</v>
      </c>
      <c r="H18" s="8">
        <v>10</v>
      </c>
      <c r="I18" s="8">
        <v>5000</v>
      </c>
      <c r="J18" s="4"/>
    </row>
    <row r="19" spans="1:10" ht="12.75" x14ac:dyDescent="0.2">
      <c r="A19" s="4"/>
      <c r="B19" s="8">
        <v>2</v>
      </c>
      <c r="C19" s="8">
        <v>400</v>
      </c>
      <c r="D19" s="26">
        <f>IF(B19&gt;0,((9+B19)-Werte!C5),0)</f>
        <v>5</v>
      </c>
      <c r="E19" s="8">
        <v>40</v>
      </c>
      <c r="F19" s="26">
        <f t="shared" ref="F19:F20" si="2">IF(B19&gt;0,(D19*E19),0)</f>
        <v>200</v>
      </c>
      <c r="G19" s="8">
        <v>7.5</v>
      </c>
      <c r="H19" s="8">
        <v>10</v>
      </c>
      <c r="I19" s="8">
        <v>5000</v>
      </c>
      <c r="J19" s="4"/>
    </row>
    <row r="20" spans="1:10" ht="12.75" x14ac:dyDescent="0.2">
      <c r="A20" s="4"/>
      <c r="B20" s="8"/>
      <c r="C20" s="8"/>
      <c r="D20" s="26">
        <f>IF(B20&gt;0,((9+B20)-Werte!C5),0)</f>
        <v>0</v>
      </c>
      <c r="E20" s="8"/>
      <c r="F20" s="26">
        <f t="shared" si="2"/>
        <v>0</v>
      </c>
      <c r="G20" s="8"/>
      <c r="H20" s="8"/>
      <c r="I20" s="8"/>
      <c r="J20" s="4"/>
    </row>
    <row r="21" spans="1:10" ht="12.75" x14ac:dyDescent="0.2">
      <c r="A21" s="4" t="s">
        <v>162</v>
      </c>
      <c r="B21" s="18"/>
      <c r="C21" s="18"/>
      <c r="D21" s="18"/>
      <c r="E21" s="18">
        <f t="shared" ref="E21:I21" si="3">SUM(E13:E20)</f>
        <v>410</v>
      </c>
      <c r="F21" s="18">
        <f t="shared" si="3"/>
        <v>1770</v>
      </c>
      <c r="G21" s="18">
        <f t="shared" si="3"/>
        <v>65</v>
      </c>
      <c r="H21" s="18">
        <f t="shared" si="3"/>
        <v>95</v>
      </c>
      <c r="I21" s="18">
        <f t="shared" si="3"/>
        <v>60000</v>
      </c>
      <c r="J21" s="4"/>
    </row>
    <row r="22" spans="1:10" ht="12.75" x14ac:dyDescent="0.2">
      <c r="A22" s="2"/>
      <c r="B22" s="2"/>
      <c r="C22" s="2"/>
      <c r="D22" s="40"/>
      <c r="E22" s="2"/>
      <c r="F22" s="2"/>
      <c r="G22" s="2"/>
      <c r="H22" s="2"/>
      <c r="I22" s="2"/>
      <c r="J22" s="4"/>
    </row>
    <row r="23" spans="1:10" ht="12.75" x14ac:dyDescent="0.2">
      <c r="A23" s="2"/>
      <c r="B23" s="2"/>
      <c r="C23" s="2"/>
      <c r="D23" s="2"/>
      <c r="E23" s="2"/>
      <c r="F23" s="2"/>
      <c r="G23" s="2"/>
      <c r="H23" s="2"/>
      <c r="I23" s="2"/>
      <c r="J23" s="4"/>
    </row>
    <row r="24" spans="1:10" ht="12.75" x14ac:dyDescent="0.2">
      <c r="A24" s="71" t="s">
        <v>163</v>
      </c>
      <c r="B24" s="70"/>
      <c r="C24" s="2"/>
      <c r="D24" s="2"/>
      <c r="E24" s="2"/>
      <c r="F24" s="2"/>
      <c r="G24" s="2"/>
      <c r="H24" s="2"/>
      <c r="I24" s="2"/>
      <c r="J24" s="2"/>
    </row>
    <row r="25" spans="1:10" ht="12.75" x14ac:dyDescent="0.2">
      <c r="A25" s="2"/>
      <c r="B25" s="19" t="s">
        <v>1</v>
      </c>
      <c r="C25" s="2"/>
      <c r="D25" s="2"/>
      <c r="E25" s="2"/>
      <c r="F25" s="2"/>
      <c r="G25" s="2"/>
      <c r="H25" s="2"/>
      <c r="I25" s="2"/>
      <c r="J25" s="2"/>
    </row>
    <row r="26" spans="1:10" ht="12.75" x14ac:dyDescent="0.2">
      <c r="A26" s="4" t="s">
        <v>164</v>
      </c>
      <c r="B26" s="18">
        <f>Werte!C40</f>
        <v>60000</v>
      </c>
      <c r="C26" s="2"/>
      <c r="D26" s="2"/>
      <c r="E26" s="2"/>
      <c r="F26" s="2"/>
      <c r="G26" s="2"/>
      <c r="H26" s="2"/>
      <c r="I26" s="2"/>
      <c r="J26" s="2"/>
    </row>
    <row r="27" spans="1:10" ht="12.75" x14ac:dyDescent="0.2">
      <c r="A27" s="4" t="s">
        <v>165</v>
      </c>
      <c r="B27" s="18">
        <v>1</v>
      </c>
      <c r="C27" s="2"/>
      <c r="D27" s="2"/>
      <c r="E27" s="2"/>
      <c r="F27" s="2"/>
      <c r="G27" s="2"/>
      <c r="H27" s="2"/>
      <c r="I27" s="2"/>
      <c r="J27" s="2"/>
    </row>
    <row r="28" spans="1:10" ht="12.75" x14ac:dyDescent="0.2">
      <c r="A28" s="4" t="s">
        <v>18</v>
      </c>
      <c r="B28" s="18">
        <f>PRODUCT(B26:B27)</f>
        <v>60000</v>
      </c>
      <c r="C28" s="2"/>
      <c r="D28" s="2"/>
      <c r="E28" s="2"/>
      <c r="F28" s="2"/>
      <c r="G28" s="2"/>
      <c r="H28" s="2"/>
      <c r="I28" s="2"/>
      <c r="J28" s="2"/>
    </row>
    <row r="29" spans="1:10" ht="12.75" x14ac:dyDescent="0.2">
      <c r="A29" s="4" t="s">
        <v>166</v>
      </c>
      <c r="B29" s="18">
        <f>I21</f>
        <v>60000</v>
      </c>
      <c r="C29" s="2"/>
      <c r="D29" s="2"/>
      <c r="E29" s="2"/>
      <c r="F29" s="2"/>
      <c r="G29" s="2"/>
      <c r="H29" s="2"/>
      <c r="I29" s="2"/>
      <c r="J29" s="2"/>
    </row>
    <row r="30" spans="1:10" ht="12.75" x14ac:dyDescent="0.2">
      <c r="A30" s="4" t="s">
        <v>16</v>
      </c>
      <c r="B30" s="18">
        <f>IF(B29&lt;=B28,100,B29/B28)</f>
        <v>100</v>
      </c>
      <c r="C30" s="2"/>
      <c r="D30" s="2"/>
      <c r="E30" s="2"/>
      <c r="F30" s="2"/>
      <c r="G30" s="2"/>
      <c r="H30" s="2"/>
      <c r="I30" s="2"/>
      <c r="J30" s="2"/>
    </row>
    <row r="31" spans="1:10" ht="12.75" x14ac:dyDescent="0.2">
      <c r="A31" s="2"/>
      <c r="B31" s="2"/>
      <c r="C31" s="2"/>
      <c r="D31" s="2"/>
      <c r="E31" s="2"/>
      <c r="F31" s="2"/>
      <c r="G31" s="2"/>
      <c r="H31" s="2"/>
      <c r="I31" s="2"/>
      <c r="J31" s="2"/>
    </row>
    <row r="32" spans="1:10" ht="12.75" x14ac:dyDescent="0.2">
      <c r="A32" s="2"/>
      <c r="B32" s="2"/>
      <c r="C32" s="2"/>
      <c r="D32" s="2"/>
      <c r="E32" s="2"/>
      <c r="F32" s="2"/>
      <c r="G32" s="2"/>
      <c r="H32" s="2"/>
      <c r="I32" s="2"/>
      <c r="J32" s="2"/>
    </row>
    <row r="33" spans="1:10" ht="12.75" x14ac:dyDescent="0.2">
      <c r="A33" s="2"/>
      <c r="B33" s="2"/>
      <c r="C33" s="2"/>
      <c r="D33" s="2"/>
      <c r="E33" s="2"/>
      <c r="F33" s="2"/>
      <c r="G33" s="2"/>
      <c r="H33" s="2"/>
      <c r="I33" s="2"/>
      <c r="J33" s="2"/>
    </row>
    <row r="34" spans="1:10" ht="12.75" x14ac:dyDescent="0.2">
      <c r="A34" s="2"/>
      <c r="B34" s="2"/>
      <c r="C34" s="2"/>
      <c r="D34" s="2"/>
      <c r="E34" s="2"/>
      <c r="F34" s="2"/>
      <c r="G34" s="2"/>
      <c r="H34" s="2"/>
      <c r="I34" s="2"/>
      <c r="J34" s="2"/>
    </row>
    <row r="35" spans="1:10" ht="12.75" x14ac:dyDescent="0.2">
      <c r="A35" s="2"/>
      <c r="B35" s="2"/>
      <c r="C35" s="2"/>
      <c r="D35" s="2"/>
      <c r="E35" s="2"/>
      <c r="F35" s="2"/>
      <c r="G35" s="2"/>
      <c r="H35" s="2"/>
      <c r="I35" s="2"/>
      <c r="J35" s="2"/>
    </row>
    <row r="36" spans="1:10" ht="12.75" x14ac:dyDescent="0.2">
      <c r="A36" s="2"/>
      <c r="B36" s="2"/>
      <c r="C36" s="2"/>
      <c r="D36" s="2"/>
      <c r="E36" s="2"/>
      <c r="F36" s="2"/>
      <c r="G36" s="2"/>
      <c r="H36" s="2"/>
      <c r="I36" s="2"/>
      <c r="J36" s="2"/>
    </row>
    <row r="37" spans="1:10" ht="12.75" x14ac:dyDescent="0.2">
      <c r="A37" s="2"/>
      <c r="B37" s="2"/>
      <c r="C37" s="2"/>
      <c r="D37" s="2"/>
      <c r="E37" s="2"/>
      <c r="F37" s="2"/>
      <c r="G37" s="2"/>
      <c r="H37" s="2"/>
      <c r="I37" s="2"/>
      <c r="J37" s="2"/>
    </row>
    <row r="38" spans="1:10" ht="12.75" x14ac:dyDescent="0.2">
      <c r="A38" s="2"/>
      <c r="B38" s="2"/>
      <c r="C38" s="2"/>
      <c r="D38" s="2"/>
      <c r="E38" s="2"/>
      <c r="F38" s="2"/>
      <c r="G38" s="2"/>
      <c r="H38" s="2"/>
      <c r="I38" s="2"/>
      <c r="J38" s="2"/>
    </row>
    <row r="39" spans="1:10" ht="12.75" x14ac:dyDescent="0.2">
      <c r="A39" s="2"/>
      <c r="B39" s="2"/>
      <c r="C39" s="2"/>
      <c r="D39" s="2"/>
      <c r="E39" s="2"/>
      <c r="F39" s="2"/>
      <c r="G39" s="2"/>
      <c r="H39" s="2"/>
      <c r="I39" s="2"/>
      <c r="J39" s="2"/>
    </row>
  </sheetData>
  <mergeCells count="1">
    <mergeCell ref="A24:B24"/>
  </mergeCells>
  <hyperlinks>
    <hyperlink ref="A2" location="Deckblatt!A1" display="Deckblatt" xr:uid="{00000000-0004-0000-0600-000000000000}"/>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28"/>
  <sheetViews>
    <sheetView workbookViewId="0">
      <selection activeCell="H30" sqref="H30"/>
    </sheetView>
  </sheetViews>
  <sheetFormatPr baseColWidth="10" defaultColWidth="14.42578125" defaultRowHeight="15.75" customHeight="1" x14ac:dyDescent="0.2"/>
  <cols>
    <col min="1" max="1" width="32.7109375" customWidth="1"/>
  </cols>
  <sheetData>
    <row r="1" spans="1:10" ht="15.75" customHeight="1" x14ac:dyDescent="0.3">
      <c r="A1" s="1" t="s">
        <v>167</v>
      </c>
      <c r="B1" s="2"/>
      <c r="C1" s="2"/>
      <c r="D1" s="2"/>
      <c r="E1" s="2"/>
    </row>
    <row r="2" spans="1:10" ht="12.75" x14ac:dyDescent="0.2">
      <c r="A2" s="58" t="s">
        <v>317</v>
      </c>
      <c r="B2" s="2"/>
      <c r="C2" s="2"/>
      <c r="D2" s="2"/>
      <c r="E2" s="2"/>
    </row>
    <row r="3" spans="1:10" ht="12.75" x14ac:dyDescent="0.2">
      <c r="A3" s="2"/>
      <c r="B3" s="2"/>
      <c r="C3" s="2"/>
      <c r="D3" s="2"/>
      <c r="E3" s="2"/>
    </row>
    <row r="4" spans="1:10" ht="12.75" x14ac:dyDescent="0.2">
      <c r="A4" s="2"/>
      <c r="B4" s="65" t="s">
        <v>112</v>
      </c>
      <c r="C4" s="19" t="s">
        <v>168</v>
      </c>
      <c r="D4" s="19" t="s">
        <v>169</v>
      </c>
      <c r="E4" s="2"/>
    </row>
    <row r="5" spans="1:10" ht="12.75" x14ac:dyDescent="0.2">
      <c r="A5" s="4" t="s">
        <v>170</v>
      </c>
      <c r="B5" s="65"/>
      <c r="C5" s="17"/>
      <c r="D5" s="17"/>
      <c r="E5" s="2"/>
    </row>
    <row r="6" spans="1:10" ht="12.75" x14ac:dyDescent="0.2">
      <c r="A6" s="4" t="s">
        <v>171</v>
      </c>
      <c r="B6" s="66">
        <f t="shared" ref="B6:B7" si="0">SUM(C6:D6)</f>
        <v>3720000</v>
      </c>
      <c r="C6" s="17"/>
      <c r="D6" s="18">
        <f>Marktbericht!D27+Marktbericht!G27</f>
        <v>3720000</v>
      </c>
      <c r="E6" s="4"/>
      <c r="G6" s="2"/>
      <c r="H6" s="2"/>
      <c r="I6" s="2"/>
      <c r="J6" s="2"/>
    </row>
    <row r="7" spans="1:10" ht="12.75" x14ac:dyDescent="0.2">
      <c r="A7" s="4" t="s">
        <v>172</v>
      </c>
      <c r="B7" s="66">
        <f t="shared" si="0"/>
        <v>600000</v>
      </c>
      <c r="C7" s="17"/>
      <c r="D7" s="18">
        <f>Werte!C40*Werte!C47</f>
        <v>600000</v>
      </c>
      <c r="E7" s="4"/>
    </row>
    <row r="8" spans="1:10" ht="12.75" x14ac:dyDescent="0.2">
      <c r="A8" s="4" t="s">
        <v>174</v>
      </c>
      <c r="B8" s="66"/>
      <c r="C8" s="17"/>
      <c r="D8" s="17"/>
      <c r="E8" s="2"/>
    </row>
    <row r="9" spans="1:10" ht="12.75" x14ac:dyDescent="0.2">
      <c r="A9" s="4" t="s">
        <v>175</v>
      </c>
      <c r="B9" s="66">
        <f t="shared" ref="B9:B11" si="1">SUM(C9:D9)</f>
        <v>2109600</v>
      </c>
      <c r="C9" s="18">
        <f>((Produktion!B15*1000)-D9)+(Produktion!C15*1000)+(Produktion!D15*1000)</f>
        <v>797600.00000000023</v>
      </c>
      <c r="D9" s="18">
        <f>(Produktion!B15*1000)*(Infrastruktur!B7/100)</f>
        <v>1311999.9999999998</v>
      </c>
      <c r="E9" s="2"/>
    </row>
    <row r="10" spans="1:10" ht="12.75" x14ac:dyDescent="0.2">
      <c r="A10" s="4" t="s">
        <v>176</v>
      </c>
      <c r="B10" s="66">
        <f t="shared" si="1"/>
        <v>20000</v>
      </c>
      <c r="C10" s="18">
        <f>(Produktion!B16+Produktion!C16+Produktion!D16)*1000</f>
        <v>20000</v>
      </c>
      <c r="D10" s="17"/>
      <c r="E10" s="2"/>
    </row>
    <row r="11" spans="1:10" ht="12.75" x14ac:dyDescent="0.2">
      <c r="A11" s="4" t="s">
        <v>177</v>
      </c>
      <c r="B11" s="66">
        <f t="shared" si="1"/>
        <v>632880</v>
      </c>
      <c r="C11" s="18">
        <f>C9*Werte!C24</f>
        <v>239280.00000000006</v>
      </c>
      <c r="D11" s="18">
        <f>D9*Werte!C24</f>
        <v>393599.99999999994</v>
      </c>
      <c r="E11" s="2"/>
      <c r="G11" s="2"/>
      <c r="H11" s="2"/>
      <c r="I11" s="2"/>
      <c r="J11" s="2"/>
    </row>
    <row r="12" spans="1:10" ht="12.75" x14ac:dyDescent="0.2">
      <c r="A12" s="4" t="s">
        <v>178</v>
      </c>
      <c r="B12" s="66"/>
      <c r="C12" s="17"/>
      <c r="D12" s="17"/>
      <c r="E12" s="2"/>
    </row>
    <row r="13" spans="1:10" ht="12.75" x14ac:dyDescent="0.2">
      <c r="A13" s="4" t="s">
        <v>179</v>
      </c>
      <c r="B13" s="66">
        <f t="shared" ref="B13:B14" si="2">SUM(C13:D13)</f>
        <v>410000</v>
      </c>
      <c r="C13" s="18">
        <f>Infrastruktur!E21*1000</f>
        <v>410000</v>
      </c>
      <c r="D13" s="17"/>
      <c r="E13" s="2"/>
    </row>
    <row r="14" spans="1:10" ht="12.75" x14ac:dyDescent="0.2">
      <c r="A14" s="4" t="s">
        <v>180</v>
      </c>
      <c r="B14" s="66">
        <f t="shared" si="2"/>
        <v>20000</v>
      </c>
      <c r="C14" s="18">
        <f>Werte!C60</f>
        <v>20000</v>
      </c>
      <c r="D14" s="17"/>
      <c r="E14" s="2"/>
    </row>
    <row r="15" spans="1:10" ht="12.75" x14ac:dyDescent="0.2">
      <c r="A15" s="4" t="s">
        <v>181</v>
      </c>
      <c r="B15" s="66"/>
      <c r="C15" s="17"/>
      <c r="D15" s="17"/>
      <c r="E15" s="2"/>
    </row>
    <row r="16" spans="1:10" ht="12.75" x14ac:dyDescent="0.2">
      <c r="A16" s="4" t="s">
        <v>182</v>
      </c>
      <c r="B16" s="66">
        <f t="shared" ref="B16:B26" si="3">SUM(C16:D16)</f>
        <v>0</v>
      </c>
      <c r="C16" s="17"/>
      <c r="D16" s="18">
        <v>0</v>
      </c>
      <c r="E16" s="14"/>
    </row>
    <row r="17" spans="1:9" ht="12.75" x14ac:dyDescent="0.2">
      <c r="A17" s="4" t="s">
        <v>183</v>
      </c>
      <c r="B17" s="66">
        <f t="shared" si="3"/>
        <v>65000</v>
      </c>
      <c r="C17" s="18">
        <f>Infrastruktur!G21*1000</f>
        <v>65000</v>
      </c>
      <c r="D17" s="17"/>
      <c r="E17" s="2"/>
    </row>
    <row r="18" spans="1:9" ht="12.75" x14ac:dyDescent="0.2">
      <c r="A18" s="4" t="s">
        <v>184</v>
      </c>
      <c r="B18" s="66">
        <f t="shared" si="3"/>
        <v>95000</v>
      </c>
      <c r="C18" s="18">
        <f>Infrastruktur!H21*1000</f>
        <v>95000</v>
      </c>
      <c r="D18" s="17"/>
      <c r="E18" s="2"/>
    </row>
    <row r="19" spans="1:9" ht="12.75" x14ac:dyDescent="0.2">
      <c r="A19" s="4" t="s">
        <v>185</v>
      </c>
      <c r="B19" s="66">
        <f t="shared" si="3"/>
        <v>80000</v>
      </c>
      <c r="C19" s="18">
        <v>80000</v>
      </c>
      <c r="D19" s="17"/>
      <c r="E19" s="2"/>
    </row>
    <row r="20" spans="1:9" ht="12.75" x14ac:dyDescent="0.2">
      <c r="A20" s="4" t="s">
        <v>186</v>
      </c>
      <c r="B20" s="66">
        <f t="shared" si="3"/>
        <v>237929</v>
      </c>
      <c r="C20" s="18">
        <f>(Marktbericht!D14*Werte!C61)+Werte!C62</f>
        <v>237929</v>
      </c>
      <c r="D20" s="17"/>
      <c r="E20" s="4"/>
    </row>
    <row r="21" spans="1:9" ht="12.75" x14ac:dyDescent="0.2">
      <c r="A21" s="4" t="s">
        <v>86</v>
      </c>
      <c r="B21" s="66">
        <f t="shared" si="3"/>
        <v>4740</v>
      </c>
      <c r="C21" s="18">
        <f>(Marktbericht!B28*Werte!C49)+(Marktbericht!E28*Werte!C48)</f>
        <v>0</v>
      </c>
      <c r="D21" s="18">
        <f>Marktbericht!B37*Werte!C50</f>
        <v>4740</v>
      </c>
      <c r="E21" s="14"/>
    </row>
    <row r="22" spans="1:9" ht="12.75" x14ac:dyDescent="0.2">
      <c r="A22" s="4" t="s">
        <v>188</v>
      </c>
      <c r="B22" s="66">
        <f t="shared" si="3"/>
        <v>1600000</v>
      </c>
      <c r="C22" s="18">
        <f>Werte!C42+Werte!C43</f>
        <v>800000</v>
      </c>
      <c r="D22" s="18">
        <f>Werte!C41</f>
        <v>800000</v>
      </c>
      <c r="E22" s="14"/>
      <c r="I22" s="5"/>
    </row>
    <row r="23" spans="1:9" ht="12.75" x14ac:dyDescent="0.2">
      <c r="A23" s="4" t="s">
        <v>189</v>
      </c>
      <c r="B23" s="66">
        <f t="shared" si="3"/>
        <v>0</v>
      </c>
      <c r="C23" s="18">
        <v>0</v>
      </c>
      <c r="D23" s="18">
        <f>Werte!C44</f>
        <v>0</v>
      </c>
      <c r="E23" s="2"/>
    </row>
    <row r="24" spans="1:9" ht="12.75" x14ac:dyDescent="0.2">
      <c r="A24" s="4" t="s">
        <v>190</v>
      </c>
      <c r="B24" s="66">
        <f t="shared" si="3"/>
        <v>125110</v>
      </c>
      <c r="C24" s="18">
        <v>0</v>
      </c>
      <c r="D24" s="18">
        <f>Werte!C37*Werte!C59</f>
        <v>125110</v>
      </c>
      <c r="E24" s="4"/>
    </row>
    <row r="25" spans="1:9" ht="12.75" x14ac:dyDescent="0.2">
      <c r="A25" s="4" t="s">
        <v>191</v>
      </c>
      <c r="B25" s="66">
        <f t="shared" si="3"/>
        <v>0</v>
      </c>
      <c r="C25" s="18">
        <v>0</v>
      </c>
      <c r="D25" s="17"/>
      <c r="E25" s="2"/>
    </row>
    <row r="26" spans="1:9" ht="12.75" x14ac:dyDescent="0.2">
      <c r="A26" s="4" t="s">
        <v>192</v>
      </c>
      <c r="B26" s="66">
        <f t="shared" si="3"/>
        <v>9720259</v>
      </c>
      <c r="C26" s="18">
        <f t="shared" ref="C26:D26" si="4">SUM(C5:C25)</f>
        <v>2764809</v>
      </c>
      <c r="D26" s="18">
        <f t="shared" si="4"/>
        <v>6955450</v>
      </c>
      <c r="E26" s="2"/>
    </row>
    <row r="27" spans="1:9" ht="12.75" x14ac:dyDescent="0.2">
      <c r="A27" s="2"/>
      <c r="B27" s="2"/>
      <c r="C27" s="2"/>
      <c r="D27" s="2"/>
      <c r="E27" s="2"/>
    </row>
    <row r="28" spans="1:9" ht="12.75" x14ac:dyDescent="0.2">
      <c r="A28" s="2"/>
      <c r="B28" s="2"/>
      <c r="C28" s="2"/>
      <c r="D28" s="2"/>
      <c r="E28" s="2"/>
    </row>
  </sheetData>
  <hyperlinks>
    <hyperlink ref="A2" location="Deckblatt!A1" display="Deckblatt" xr:uid="{00000000-0004-0000-0700-000000000000}"/>
  </hyperlinks>
  <pageMargins left="0.7" right="0.7" top="0.78740157499999996" bottom="0.78740157499999996"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M23"/>
  <sheetViews>
    <sheetView workbookViewId="0">
      <selection activeCell="G25" sqref="G25"/>
    </sheetView>
  </sheetViews>
  <sheetFormatPr baseColWidth="10" defaultColWidth="14.42578125" defaultRowHeight="15.75" customHeight="1" x14ac:dyDescent="0.2"/>
  <cols>
    <col min="1" max="1" width="30.42578125" customWidth="1"/>
  </cols>
  <sheetData>
    <row r="1" spans="1:13" ht="15.75" customHeight="1" x14ac:dyDescent="0.3">
      <c r="A1" s="1" t="s">
        <v>193</v>
      </c>
      <c r="B1" s="2"/>
      <c r="C1" s="2"/>
      <c r="D1" s="2"/>
      <c r="E1" s="2"/>
      <c r="F1" s="2"/>
    </row>
    <row r="2" spans="1:13" ht="12.75" x14ac:dyDescent="0.2">
      <c r="A2" s="59" t="s">
        <v>317</v>
      </c>
      <c r="B2" s="2"/>
      <c r="C2" s="2"/>
      <c r="D2" s="2"/>
      <c r="E2" s="2"/>
      <c r="F2" s="2"/>
    </row>
    <row r="3" spans="1:13" ht="12.75" x14ac:dyDescent="0.2">
      <c r="A3" s="2"/>
      <c r="B3" s="2"/>
      <c r="C3" s="2"/>
      <c r="D3" s="2"/>
      <c r="E3" s="2"/>
      <c r="F3" s="2"/>
    </row>
    <row r="4" spans="1:13" ht="12.75" x14ac:dyDescent="0.2">
      <c r="A4" s="2"/>
      <c r="B4" s="65" t="s">
        <v>112</v>
      </c>
      <c r="C4" s="19" t="s">
        <v>194</v>
      </c>
      <c r="D4" s="19" t="s">
        <v>129</v>
      </c>
      <c r="E4" s="19" t="s">
        <v>61</v>
      </c>
      <c r="F4" s="2"/>
    </row>
    <row r="5" spans="1:13" ht="12.75" x14ac:dyDescent="0.2">
      <c r="A5" s="4" t="s">
        <v>174</v>
      </c>
      <c r="B5" s="65"/>
      <c r="C5" s="17"/>
      <c r="D5" s="17"/>
      <c r="E5" s="17"/>
      <c r="F5" s="2"/>
    </row>
    <row r="6" spans="1:13" ht="12.75" x14ac:dyDescent="0.2">
      <c r="A6" s="4" t="s">
        <v>175</v>
      </c>
      <c r="B6" s="66">
        <f t="shared" ref="B6:B10" si="0">SUM(C6:E6)</f>
        <v>797600.00000000023</v>
      </c>
      <c r="C6" s="18">
        <f>(Produktion!B15*1000)-Kostenartenrechnung!D9</f>
        <v>65600.000000000233</v>
      </c>
      <c r="D6" s="18">
        <f>Produktion!C15*1000</f>
        <v>655500</v>
      </c>
      <c r="E6" s="18">
        <f>Produktion!D15*1000</f>
        <v>76500</v>
      </c>
      <c r="F6" s="4"/>
    </row>
    <row r="7" spans="1:13" ht="12.75" x14ac:dyDescent="0.2">
      <c r="A7" s="4" t="s">
        <v>176</v>
      </c>
      <c r="B7" s="66">
        <f t="shared" si="0"/>
        <v>20000</v>
      </c>
      <c r="C7" s="18">
        <f>(Werte!C9*Werte!C22)+(Werte!C12*Werte!C23)</f>
        <v>10000</v>
      </c>
      <c r="D7" s="18">
        <f>(Werte!C10*Werte!C22)+(Werte!C13*Werte!C23)</f>
        <v>10000</v>
      </c>
      <c r="E7" s="18">
        <f>(Werte!C11*Werte!C22)+(Werte!C14*Werte!C23)</f>
        <v>0</v>
      </c>
      <c r="F7" s="4" t="s">
        <v>187</v>
      </c>
    </row>
    <row r="8" spans="1:13" ht="12.75" x14ac:dyDescent="0.2">
      <c r="A8" s="4" t="s">
        <v>177</v>
      </c>
      <c r="B8" s="66">
        <f t="shared" si="0"/>
        <v>239280.00000000006</v>
      </c>
      <c r="C8" s="18">
        <f>C6*Werte!C24</f>
        <v>19680.000000000069</v>
      </c>
      <c r="D8" s="18">
        <f>D6*Werte!C24</f>
        <v>196650</v>
      </c>
      <c r="E8" s="18">
        <f>E6*Werte!C24</f>
        <v>22950</v>
      </c>
      <c r="F8" s="2"/>
    </row>
    <row r="9" spans="1:13" ht="12.75" x14ac:dyDescent="0.2">
      <c r="A9" s="4" t="s">
        <v>178</v>
      </c>
      <c r="B9" s="66">
        <f t="shared" si="0"/>
        <v>0</v>
      </c>
      <c r="C9" s="17"/>
      <c r="D9" s="17"/>
      <c r="E9" s="17"/>
      <c r="F9" s="2"/>
    </row>
    <row r="10" spans="1:13" ht="12.75" x14ac:dyDescent="0.2">
      <c r="A10" s="4" t="s">
        <v>179</v>
      </c>
      <c r="B10" s="66">
        <f t="shared" si="0"/>
        <v>410000</v>
      </c>
      <c r="C10" s="18">
        <f>Kostenartenrechnung!C13</f>
        <v>410000</v>
      </c>
      <c r="D10" s="17"/>
      <c r="E10" s="17"/>
      <c r="F10" s="2"/>
    </row>
    <row r="11" spans="1:13" ht="12.75" x14ac:dyDescent="0.2">
      <c r="A11" s="4" t="s">
        <v>180</v>
      </c>
      <c r="B11" s="66">
        <f>Kostenartenrechnung!B14</f>
        <v>20000</v>
      </c>
      <c r="C11" s="18">
        <f>(B11/Produktion!E10)*Produktion!B10</f>
        <v>14117.64705882353</v>
      </c>
      <c r="D11" s="18">
        <f>(B11/Produktion!E10)*Produktion!C10</f>
        <v>5042.0168067226887</v>
      </c>
      <c r="E11" s="18">
        <f>(B11/Produktion!E10)*Produktion!D10</f>
        <v>840.33613445378148</v>
      </c>
      <c r="F11" s="4" t="s">
        <v>187</v>
      </c>
    </row>
    <row r="12" spans="1:13" ht="12.75" x14ac:dyDescent="0.2">
      <c r="A12" s="4" t="s">
        <v>181</v>
      </c>
      <c r="B12" s="66">
        <f t="shared" ref="B12:B14" si="1">SUM(C12:E12)</f>
        <v>0</v>
      </c>
      <c r="C12" s="17"/>
      <c r="D12" s="17"/>
      <c r="E12" s="17"/>
      <c r="F12" s="2"/>
    </row>
    <row r="13" spans="1:13" ht="12.75" x14ac:dyDescent="0.2">
      <c r="A13" s="4" t="s">
        <v>183</v>
      </c>
      <c r="B13" s="66">
        <f t="shared" si="1"/>
        <v>65000</v>
      </c>
      <c r="C13" s="18">
        <f>Infrastruktur!G21*1000</f>
        <v>65000</v>
      </c>
      <c r="D13" s="17"/>
      <c r="E13" s="17"/>
      <c r="F13" s="2"/>
    </row>
    <row r="14" spans="1:13" ht="12.75" x14ac:dyDescent="0.2">
      <c r="A14" s="4" t="s">
        <v>184</v>
      </c>
      <c r="B14" s="66">
        <f t="shared" si="1"/>
        <v>95000</v>
      </c>
      <c r="C14" s="18">
        <f>Infrastruktur!H21*1000</f>
        <v>95000</v>
      </c>
      <c r="D14" s="17"/>
      <c r="E14" s="17"/>
      <c r="F14" s="2"/>
    </row>
    <row r="15" spans="1:13" ht="12.75" x14ac:dyDescent="0.2">
      <c r="A15" s="4" t="s">
        <v>185</v>
      </c>
      <c r="B15" s="66">
        <f>Kostenartenrechnung!B19</f>
        <v>80000</v>
      </c>
      <c r="C15" s="18">
        <f>(B15/Produktion!E10)*Produktion!B10</f>
        <v>56470.588235294119</v>
      </c>
      <c r="D15" s="18">
        <f>(B15/Produktion!E10)*Produktion!C10</f>
        <v>20168.067226890755</v>
      </c>
      <c r="E15" s="18">
        <f>(B15/Produktion!E10)*Produktion!D10</f>
        <v>3361.3445378151259</v>
      </c>
      <c r="F15" s="4" t="s">
        <v>187</v>
      </c>
      <c r="J15" s="27" t="s">
        <v>195</v>
      </c>
      <c r="K15" s="28"/>
      <c r="L15" s="28"/>
      <c r="M15" s="28"/>
    </row>
    <row r="16" spans="1:13" ht="12.75" x14ac:dyDescent="0.2">
      <c r="A16" s="4" t="s">
        <v>186</v>
      </c>
      <c r="B16" s="66">
        <f t="shared" ref="B16:B19" si="2">SUM(C16:E16)</f>
        <v>237929</v>
      </c>
      <c r="C16" s="17"/>
      <c r="D16" s="17"/>
      <c r="E16" s="18">
        <f>Kostenartenrechnung!B20</f>
        <v>237929</v>
      </c>
      <c r="F16" s="4" t="s">
        <v>187</v>
      </c>
    </row>
    <row r="17" spans="1:6" ht="12.75" x14ac:dyDescent="0.2">
      <c r="A17" s="4" t="s">
        <v>86</v>
      </c>
      <c r="B17" s="66">
        <f t="shared" si="2"/>
        <v>0</v>
      </c>
      <c r="C17" s="17"/>
      <c r="D17" s="17"/>
      <c r="E17" s="18">
        <v>0</v>
      </c>
      <c r="F17" s="14" t="s">
        <v>37</v>
      </c>
    </row>
    <row r="18" spans="1:6" ht="12.75" x14ac:dyDescent="0.2">
      <c r="A18" s="4" t="s">
        <v>196</v>
      </c>
      <c r="B18" s="66">
        <f t="shared" si="2"/>
        <v>800000</v>
      </c>
      <c r="C18" s="17"/>
      <c r="D18" s="18">
        <f>Kostenartenrechnung!C22</f>
        <v>800000</v>
      </c>
      <c r="E18" s="17"/>
      <c r="F18" s="4" t="s">
        <v>187</v>
      </c>
    </row>
    <row r="19" spans="1:6" ht="12.75" x14ac:dyDescent="0.2">
      <c r="A19" s="4" t="s">
        <v>191</v>
      </c>
      <c r="B19" s="66">
        <f t="shared" si="2"/>
        <v>0</v>
      </c>
      <c r="C19" s="18">
        <v>0</v>
      </c>
      <c r="D19" s="18">
        <v>0</v>
      </c>
      <c r="E19" s="18">
        <v>0</v>
      </c>
      <c r="F19" s="14" t="s">
        <v>37</v>
      </c>
    </row>
    <row r="20" spans="1:6" ht="12.75" x14ac:dyDescent="0.2">
      <c r="A20" s="4" t="s">
        <v>197</v>
      </c>
      <c r="B20" s="66">
        <f t="shared" ref="B20:E20" si="3">SUM(B5:B19)</f>
        <v>2764809</v>
      </c>
      <c r="C20" s="18">
        <f t="shared" si="3"/>
        <v>735868.23529411794</v>
      </c>
      <c r="D20" s="18">
        <f t="shared" si="3"/>
        <v>1687360.0840336136</v>
      </c>
      <c r="E20" s="18">
        <f t="shared" si="3"/>
        <v>341580.68067226891</v>
      </c>
      <c r="F20" s="2"/>
    </row>
    <row r="21" spans="1:6" ht="12.75" x14ac:dyDescent="0.2">
      <c r="A21" s="2"/>
      <c r="B21" s="2"/>
      <c r="C21" s="2"/>
      <c r="D21" s="2"/>
      <c r="E21" s="2"/>
      <c r="F21" s="2"/>
    </row>
    <row r="22" spans="1:6" ht="12.75" x14ac:dyDescent="0.2">
      <c r="A22" s="2"/>
      <c r="B22" s="2"/>
      <c r="C22" s="2"/>
      <c r="D22" s="2"/>
      <c r="E22" s="2"/>
      <c r="F22" s="2"/>
    </row>
    <row r="23" spans="1:6" ht="12.75" x14ac:dyDescent="0.2">
      <c r="A23" s="2"/>
      <c r="B23" s="2"/>
      <c r="C23" s="2"/>
      <c r="D23" s="2"/>
      <c r="E23" s="2"/>
      <c r="F23" s="2"/>
    </row>
  </sheetData>
  <hyperlinks>
    <hyperlink ref="A2" location="Deckblatt!A1" display="Back to covering page" xr:uid="{00000000-0004-0000-0800-000000000000}"/>
  </hyperlinks>
  <pageMargins left="0.7" right="0.7" top="0.78740157499999996" bottom="0.78740157499999996"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J46"/>
  <sheetViews>
    <sheetView tabSelected="1" topLeftCell="A13" workbookViewId="0">
      <selection activeCell="C37" sqref="C37"/>
    </sheetView>
  </sheetViews>
  <sheetFormatPr baseColWidth="10" defaultColWidth="14.42578125" defaultRowHeight="15.75" customHeight="1" x14ac:dyDescent="0.2"/>
  <cols>
    <col min="1" max="1" width="29.28515625" customWidth="1"/>
  </cols>
  <sheetData>
    <row r="1" spans="1:6" ht="15.75" customHeight="1" x14ac:dyDescent="0.3">
      <c r="A1" s="1" t="s">
        <v>198</v>
      </c>
      <c r="B1" s="2"/>
      <c r="C1" s="2"/>
      <c r="D1" s="2"/>
    </row>
    <row r="2" spans="1:6" ht="12.75" x14ac:dyDescent="0.2">
      <c r="A2" s="58" t="s">
        <v>317</v>
      </c>
      <c r="B2" s="2"/>
      <c r="C2" s="2"/>
      <c r="D2" s="2"/>
    </row>
    <row r="3" spans="1:6" ht="12.75" x14ac:dyDescent="0.2">
      <c r="A3" s="2"/>
      <c r="B3" s="2"/>
      <c r="C3" s="2"/>
      <c r="D3" s="2"/>
    </row>
    <row r="4" spans="1:6" ht="12.75" x14ac:dyDescent="0.2">
      <c r="A4" s="71" t="s">
        <v>199</v>
      </c>
      <c r="B4" s="70"/>
      <c r="C4" s="29"/>
      <c r="D4" s="2"/>
    </row>
    <row r="5" spans="1:6" ht="12.75" x14ac:dyDescent="0.2">
      <c r="A5" s="4" t="s">
        <v>200</v>
      </c>
      <c r="B5" s="18">
        <f>B27*Werte!C40</f>
        <v>3720000</v>
      </c>
      <c r="C5" s="29"/>
      <c r="D5" s="2"/>
      <c r="F5" s="5" t="s">
        <v>201</v>
      </c>
    </row>
    <row r="6" spans="1:6" ht="12.75" x14ac:dyDescent="0.2">
      <c r="A6" s="20" t="s">
        <v>202</v>
      </c>
      <c r="B6" s="18">
        <f>B28*Werte!C40</f>
        <v>600000</v>
      </c>
      <c r="C6" s="29"/>
      <c r="D6" s="2"/>
    </row>
    <row r="7" spans="1:6" ht="12.75" x14ac:dyDescent="0.2">
      <c r="A7" s="20" t="s">
        <v>203</v>
      </c>
      <c r="B7" s="18">
        <f>Kostenartenrechnung!B16</f>
        <v>0</v>
      </c>
      <c r="C7" s="14"/>
      <c r="D7" s="2"/>
    </row>
    <row r="8" spans="1:6" ht="12.75" x14ac:dyDescent="0.2">
      <c r="A8" s="20" t="s">
        <v>204</v>
      </c>
      <c r="B8" s="18">
        <f>SUM(B5:B7)</f>
        <v>4320000</v>
      </c>
      <c r="C8" s="29"/>
      <c r="D8" s="2"/>
    </row>
    <row r="9" spans="1:6" ht="12.75" x14ac:dyDescent="0.2">
      <c r="A9" s="20" t="s">
        <v>205</v>
      </c>
      <c r="B9" s="18">
        <v>0</v>
      </c>
      <c r="C9" s="14"/>
      <c r="D9" s="4"/>
    </row>
    <row r="10" spans="1:6" ht="12.75" x14ac:dyDescent="0.2">
      <c r="A10" s="20" t="s">
        <v>206</v>
      </c>
      <c r="B10" s="18">
        <f>SUM(B8:B9)</f>
        <v>4320000</v>
      </c>
      <c r="C10" s="29"/>
      <c r="D10" s="2"/>
    </row>
    <row r="11" spans="1:6" ht="12.75" x14ac:dyDescent="0.2">
      <c r="A11" s="20" t="s">
        <v>207</v>
      </c>
      <c r="B11" s="18">
        <f>SUM(Kostenartenrechnung!D9,Kostenartenrechnung!D11,(Infrastruktur!B8*Werte!C25))</f>
        <v>1705599.9999999998</v>
      </c>
      <c r="C11" s="29"/>
      <c r="D11" s="2"/>
    </row>
    <row r="12" spans="1:6" ht="12.75" x14ac:dyDescent="0.2">
      <c r="A12" s="20" t="s">
        <v>208</v>
      </c>
      <c r="B12" s="18">
        <f>Kostenstellenrechnung!C20</f>
        <v>735868.23529411794</v>
      </c>
      <c r="C12" s="29"/>
      <c r="D12" s="2"/>
    </row>
    <row r="13" spans="1:6" ht="12.75" x14ac:dyDescent="0.2">
      <c r="A13" s="20" t="s">
        <v>209</v>
      </c>
      <c r="B13" s="18">
        <f>B11+B12</f>
        <v>2441468.2352941176</v>
      </c>
      <c r="C13" s="29"/>
      <c r="D13" s="2"/>
    </row>
    <row r="14" spans="1:6" ht="12.75" x14ac:dyDescent="0.2">
      <c r="A14" s="20" t="s">
        <v>210</v>
      </c>
      <c r="B14" s="18">
        <f>B10+B13</f>
        <v>6761468.2352941176</v>
      </c>
      <c r="C14" s="29"/>
      <c r="D14" s="2"/>
    </row>
    <row r="15" spans="1:6" ht="12.75" x14ac:dyDescent="0.2">
      <c r="A15" s="20" t="s">
        <v>211</v>
      </c>
      <c r="B15" s="18">
        <f>Marktbericht!D34-Marktbericht!D37</f>
        <v>665094.95544732525</v>
      </c>
      <c r="C15" s="29"/>
      <c r="D15" s="2"/>
    </row>
    <row r="16" spans="1:6" ht="12.75" x14ac:dyDescent="0.2">
      <c r="A16" s="20" t="s">
        <v>212</v>
      </c>
      <c r="B16" s="18">
        <f>B14+B15</f>
        <v>7426563.1907414431</v>
      </c>
      <c r="C16" s="29"/>
      <c r="D16" s="2"/>
    </row>
    <row r="17" spans="1:10" ht="12.75" x14ac:dyDescent="0.2">
      <c r="A17" s="20" t="s">
        <v>213</v>
      </c>
      <c r="B17" s="18">
        <f>Kostenartenrechnung!B23</f>
        <v>0</v>
      </c>
      <c r="C17" s="29"/>
      <c r="D17" s="2"/>
    </row>
    <row r="18" spans="1:10" ht="12.75" x14ac:dyDescent="0.2">
      <c r="A18" s="20" t="s">
        <v>214</v>
      </c>
      <c r="B18" s="18">
        <v>0</v>
      </c>
      <c r="C18" s="14"/>
      <c r="D18" s="4"/>
      <c r="F18" s="44"/>
      <c r="G18" s="44"/>
      <c r="H18" s="44"/>
      <c r="I18" s="44"/>
      <c r="J18" s="44"/>
    </row>
    <row r="19" spans="1:10" ht="14.25" x14ac:dyDescent="0.2">
      <c r="A19" s="20" t="s">
        <v>215</v>
      </c>
      <c r="B19" s="18">
        <f>Kostenartenrechnung!D22+Kostenartenrechnung!D24+(Werte!C50*Marktbericht!B37)</f>
        <v>929850</v>
      </c>
      <c r="C19" s="4"/>
      <c r="D19" s="2"/>
      <c r="F19" s="44"/>
      <c r="G19" s="44"/>
      <c r="H19" s="45"/>
      <c r="I19" s="44"/>
      <c r="J19" s="44"/>
    </row>
    <row r="20" spans="1:10" ht="12.75" x14ac:dyDescent="0.2">
      <c r="A20" s="20" t="s">
        <v>216</v>
      </c>
      <c r="B20" s="18">
        <f>Kostenstellenrechnung!D20</f>
        <v>1687360.0840336136</v>
      </c>
      <c r="C20" s="29"/>
      <c r="D20" s="2"/>
      <c r="F20" s="44"/>
      <c r="G20" s="44"/>
      <c r="H20" s="44"/>
      <c r="I20" s="44"/>
      <c r="J20" s="44"/>
    </row>
    <row r="21" spans="1:10" ht="12.75" x14ac:dyDescent="0.2">
      <c r="A21" s="20" t="s">
        <v>217</v>
      </c>
      <c r="B21" s="18">
        <v>0</v>
      </c>
      <c r="C21" s="14"/>
      <c r="D21" s="4"/>
      <c r="F21" s="44"/>
      <c r="G21" s="44"/>
      <c r="H21" s="44"/>
      <c r="I21" s="44"/>
      <c r="J21" s="44"/>
    </row>
    <row r="22" spans="1:10" ht="12.75" x14ac:dyDescent="0.2">
      <c r="A22" s="20" t="s">
        <v>218</v>
      </c>
      <c r="B22" s="18">
        <f>Kostenstellenrechnung!E20</f>
        <v>341580.68067226891</v>
      </c>
      <c r="C22" s="2"/>
      <c r="D22" s="2"/>
      <c r="F22" s="44"/>
      <c r="G22" s="44"/>
      <c r="H22" s="44"/>
      <c r="I22" s="44"/>
      <c r="J22" s="44"/>
    </row>
    <row r="23" spans="1:10" ht="14.25" x14ac:dyDescent="0.2">
      <c r="A23" s="20" t="s">
        <v>219</v>
      </c>
      <c r="B23" s="18">
        <f>SUM(B16:B22)</f>
        <v>10385353.955447325</v>
      </c>
      <c r="C23" s="2"/>
      <c r="D23" s="2"/>
      <c r="F23" s="44"/>
      <c r="G23" s="46"/>
      <c r="H23" s="44"/>
      <c r="I23" s="44"/>
      <c r="J23" s="44"/>
    </row>
    <row r="24" spans="1:10" ht="12.75" x14ac:dyDescent="0.2">
      <c r="A24" s="2"/>
      <c r="B24" s="2"/>
      <c r="C24" s="2"/>
      <c r="D24" s="2"/>
      <c r="F24" s="44"/>
      <c r="G24" s="44"/>
      <c r="H24" s="44"/>
      <c r="I24" s="44"/>
      <c r="J24" s="44"/>
    </row>
    <row r="25" spans="1:10" ht="12.75" x14ac:dyDescent="0.2">
      <c r="A25" s="2"/>
      <c r="B25" s="2"/>
      <c r="C25" s="2"/>
      <c r="D25" s="2"/>
      <c r="F25" s="44"/>
      <c r="G25" s="44"/>
      <c r="H25" s="44"/>
      <c r="I25" s="44"/>
      <c r="J25" s="44"/>
    </row>
    <row r="26" spans="1:10" ht="12.75" x14ac:dyDescent="0.2">
      <c r="A26" s="71" t="s">
        <v>220</v>
      </c>
      <c r="B26" s="70"/>
      <c r="C26" s="2"/>
      <c r="D26" s="2"/>
      <c r="F26" s="44"/>
      <c r="G26" s="44"/>
      <c r="H26" s="44"/>
      <c r="I26" s="44"/>
      <c r="J26" s="44"/>
    </row>
    <row r="27" spans="1:10" ht="12.75" x14ac:dyDescent="0.2">
      <c r="A27" s="4" t="s">
        <v>200</v>
      </c>
      <c r="B27" s="18">
        <f>SUM(Werte!C45:C46)</f>
        <v>62</v>
      </c>
      <c r="C27" s="2"/>
      <c r="D27" s="2"/>
      <c r="F27" s="44"/>
      <c r="G27" s="44"/>
      <c r="H27" s="44"/>
      <c r="I27" s="44"/>
      <c r="J27" s="44"/>
    </row>
    <row r="28" spans="1:10" ht="12.75" x14ac:dyDescent="0.2">
      <c r="A28" s="20" t="s">
        <v>202</v>
      </c>
      <c r="B28" s="18">
        <f>Werte!C47</f>
        <v>10</v>
      </c>
      <c r="C28" s="2"/>
      <c r="D28" s="2"/>
    </row>
    <row r="29" spans="1:10" ht="12.75" x14ac:dyDescent="0.2">
      <c r="A29" s="20" t="s">
        <v>203</v>
      </c>
      <c r="B29" s="18">
        <v>0</v>
      </c>
      <c r="C29" s="14"/>
      <c r="D29" s="2"/>
    </row>
    <row r="30" spans="1:10" ht="12.75" x14ac:dyDescent="0.2">
      <c r="A30" s="20" t="s">
        <v>204</v>
      </c>
      <c r="B30" s="18">
        <f>SUM(B27:B29)</f>
        <v>72</v>
      </c>
      <c r="C30" s="2"/>
      <c r="D30" s="2"/>
    </row>
    <row r="31" spans="1:10" ht="12.75" x14ac:dyDescent="0.2">
      <c r="A31" s="20" t="s">
        <v>205</v>
      </c>
      <c r="B31" s="18">
        <v>0</v>
      </c>
      <c r="C31" s="14"/>
      <c r="D31" s="4"/>
    </row>
    <row r="32" spans="1:10" ht="12.75" x14ac:dyDescent="0.2">
      <c r="A32" s="20" t="s">
        <v>206</v>
      </c>
      <c r="B32" s="18">
        <f>SUM(B30:B31)</f>
        <v>72</v>
      </c>
      <c r="C32" s="2"/>
      <c r="D32" s="2"/>
    </row>
    <row r="33" spans="1:4" ht="12.75" x14ac:dyDescent="0.2">
      <c r="A33" s="4" t="s">
        <v>207</v>
      </c>
      <c r="B33" s="18">
        <f>B11/Infrastruktur!B26</f>
        <v>28.426666666666662</v>
      </c>
      <c r="C33" s="2"/>
      <c r="D33" s="2"/>
    </row>
    <row r="34" spans="1:4" ht="12.75" x14ac:dyDescent="0.2">
      <c r="A34" s="20" t="s">
        <v>208</v>
      </c>
      <c r="B34" s="18">
        <f>B12/Infrastruktur!B26</f>
        <v>12.2644705882353</v>
      </c>
      <c r="C34" s="2"/>
      <c r="D34" s="2"/>
    </row>
    <row r="35" spans="1:4" ht="12.75" x14ac:dyDescent="0.2">
      <c r="A35" s="20" t="s">
        <v>209</v>
      </c>
      <c r="B35" s="18">
        <f>B13/Infrastruktur!B26</f>
        <v>40.69113725490196</v>
      </c>
      <c r="C35" s="2"/>
      <c r="D35" s="2"/>
    </row>
    <row r="36" spans="1:4" ht="12.75" x14ac:dyDescent="0.2">
      <c r="A36" s="20" t="s">
        <v>221</v>
      </c>
      <c r="B36" s="18">
        <f>B14/Infrastruktur!B26</f>
        <v>112.69113725490196</v>
      </c>
      <c r="C36" s="4"/>
      <c r="D36" s="2"/>
    </row>
    <row r="37" spans="1:4" ht="12.75" x14ac:dyDescent="0.2">
      <c r="A37" s="20" t="s">
        <v>213</v>
      </c>
      <c r="B37" s="18">
        <f>B17/Marktbericht!D13</f>
        <v>0</v>
      </c>
      <c r="C37" s="4"/>
      <c r="D37" s="2"/>
    </row>
    <row r="38" spans="1:4" ht="12.75" x14ac:dyDescent="0.2">
      <c r="A38" s="20" t="s">
        <v>214</v>
      </c>
      <c r="B38" s="18">
        <f>B18/Marktbericht!D13</f>
        <v>0</v>
      </c>
      <c r="C38" s="2"/>
      <c r="D38" s="2"/>
    </row>
    <row r="39" spans="1:4" ht="12.75" x14ac:dyDescent="0.2">
      <c r="A39" s="20" t="s">
        <v>215</v>
      </c>
      <c r="B39" s="18">
        <f>B19/Marktbericht!D13</f>
        <v>14.024463817079424</v>
      </c>
      <c r="C39" s="2"/>
      <c r="D39" s="2"/>
    </row>
    <row r="40" spans="1:4" ht="12.75" x14ac:dyDescent="0.2">
      <c r="A40" s="20" t="s">
        <v>216</v>
      </c>
      <c r="B40" s="18">
        <f>B20/Marktbericht!D13</f>
        <v>25.449610630653879</v>
      </c>
      <c r="C40" s="2"/>
      <c r="D40" s="2"/>
    </row>
    <row r="41" spans="1:4" ht="12.75" x14ac:dyDescent="0.2">
      <c r="A41" s="20" t="s">
        <v>217</v>
      </c>
      <c r="B41" s="18">
        <f>B21/Marktbericht!D13</f>
        <v>0</v>
      </c>
      <c r="C41" s="2"/>
      <c r="D41" s="2"/>
    </row>
    <row r="42" spans="1:4" ht="12.75" x14ac:dyDescent="0.2">
      <c r="A42" s="20" t="s">
        <v>218</v>
      </c>
      <c r="B42" s="18">
        <f>B22/Marktbericht!D13</f>
        <v>5.1518910541502354</v>
      </c>
      <c r="C42" s="2"/>
      <c r="D42" s="2"/>
    </row>
    <row r="43" spans="1:4" ht="12.75" x14ac:dyDescent="0.2">
      <c r="A43" s="20" t="s">
        <v>222</v>
      </c>
      <c r="B43" s="18">
        <f>SUM(B36:B42)</f>
        <v>157.31710275678549</v>
      </c>
      <c r="C43" s="2"/>
      <c r="D43" s="2"/>
    </row>
    <row r="44" spans="1:4" ht="12.75" x14ac:dyDescent="0.2">
      <c r="A44" s="2"/>
      <c r="B44" s="2"/>
      <c r="C44" s="2"/>
      <c r="D44" s="2"/>
    </row>
    <row r="45" spans="1:4" ht="12.75" x14ac:dyDescent="0.2">
      <c r="A45" s="2"/>
      <c r="B45" s="2"/>
      <c r="C45" s="2"/>
      <c r="D45" s="2"/>
    </row>
    <row r="46" spans="1:4" ht="12.75" x14ac:dyDescent="0.2">
      <c r="A46" s="2"/>
      <c r="B46" s="2"/>
      <c r="C46" s="2"/>
      <c r="D46" s="2"/>
    </row>
  </sheetData>
  <mergeCells count="2">
    <mergeCell ref="A4:B4"/>
    <mergeCell ref="A26:B26"/>
  </mergeCells>
  <hyperlinks>
    <hyperlink ref="A2" location="Deckblatt!A1" display="Deckblatt" xr:uid="{23DE74D5-E5EF-4518-BED7-41D208F34386}"/>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42"/>
  <sheetViews>
    <sheetView topLeftCell="A7" workbookViewId="0">
      <selection activeCell="G11" sqref="G11"/>
    </sheetView>
  </sheetViews>
  <sheetFormatPr baseColWidth="10" defaultColWidth="14.42578125" defaultRowHeight="15.75" customHeight="1" x14ac:dyDescent="0.2"/>
  <cols>
    <col min="1" max="1" width="28.5703125" customWidth="1"/>
  </cols>
  <sheetData>
    <row r="1" spans="1:8" ht="15.75" customHeight="1" x14ac:dyDescent="0.3">
      <c r="A1" s="73" t="s">
        <v>223</v>
      </c>
      <c r="B1" s="70"/>
      <c r="C1" s="2"/>
      <c r="D1" s="2"/>
      <c r="E1" s="2"/>
      <c r="F1" s="2"/>
    </row>
    <row r="2" spans="1:8" ht="15.75" customHeight="1" x14ac:dyDescent="0.2">
      <c r="A2" s="58" t="s">
        <v>317</v>
      </c>
      <c r="B2" s="2"/>
      <c r="C2" s="2"/>
      <c r="D2" s="2"/>
      <c r="E2" s="2"/>
      <c r="F2" s="2"/>
    </row>
    <row r="3" spans="1:8" ht="12.75" x14ac:dyDescent="0.2">
      <c r="A3" s="2"/>
      <c r="B3" s="2"/>
      <c r="C3" s="2"/>
      <c r="D3" s="2"/>
      <c r="E3" s="2"/>
      <c r="F3" s="2"/>
    </row>
    <row r="4" spans="1:8" ht="12.75" x14ac:dyDescent="0.2">
      <c r="A4" s="71" t="s">
        <v>224</v>
      </c>
      <c r="B4" s="70"/>
      <c r="C4" s="70"/>
      <c r="D4" s="70"/>
      <c r="E4" s="70"/>
      <c r="F4" s="2"/>
    </row>
    <row r="5" spans="1:8" ht="12.75" x14ac:dyDescent="0.2">
      <c r="A5" s="2"/>
      <c r="B5" s="19" t="s">
        <v>9</v>
      </c>
      <c r="C5" s="19" t="s">
        <v>10</v>
      </c>
      <c r="D5" s="19" t="s">
        <v>225</v>
      </c>
      <c r="E5" s="65" t="s">
        <v>162</v>
      </c>
      <c r="F5" s="2"/>
    </row>
    <row r="6" spans="1:8" ht="15.75" customHeight="1" x14ac:dyDescent="0.2">
      <c r="A6" s="4" t="s">
        <v>12</v>
      </c>
      <c r="B6" s="18">
        <f>Marktbericht!D7</f>
        <v>9144470</v>
      </c>
      <c r="C6" s="18">
        <f>Marktbericht!D11</f>
        <v>2251980</v>
      </c>
      <c r="D6" s="18">
        <v>0</v>
      </c>
      <c r="E6" s="66">
        <f t="shared" ref="E6:E13" si="0">SUM(B6:D6)</f>
        <v>11396450</v>
      </c>
      <c r="F6" s="2"/>
      <c r="G6" s="40" t="s">
        <v>291</v>
      </c>
      <c r="H6" s="40" t="s">
        <v>292</v>
      </c>
    </row>
    <row r="7" spans="1:8" ht="12.75" x14ac:dyDescent="0.2">
      <c r="A7" s="4" t="s">
        <v>226</v>
      </c>
      <c r="B7" s="18">
        <f>(Kostenträgerrechnung!B10/Werte!C40)*Marktbericht!D6</f>
        <v>3872952</v>
      </c>
      <c r="C7" s="18">
        <f>(Kostenträgerrechnung!B10/Werte!C40)*Marktbericht!D10</f>
        <v>900792</v>
      </c>
      <c r="D7" s="18">
        <v>0</v>
      </c>
      <c r="E7" s="66">
        <f t="shared" si="0"/>
        <v>4773744</v>
      </c>
      <c r="F7" s="2"/>
      <c r="G7">
        <v>3851119</v>
      </c>
      <c r="H7">
        <f>(Kostenträgerrechnung!B10/Werte!C40)*Marktbericht!D6</f>
        <v>3872952</v>
      </c>
    </row>
    <row r="8" spans="1:8" ht="12.75" x14ac:dyDescent="0.2">
      <c r="A8" s="4" t="s">
        <v>227</v>
      </c>
      <c r="B8" s="18">
        <f>(Kostenträgerrechnung!B11/Werte!C40)*Marktbericht!D6</f>
        <v>1529098.8266666664</v>
      </c>
      <c r="C8" s="18">
        <f>(Kostenträgerrechnung!B11/Werte!C40)*Marktbericht!D10</f>
        <v>355646.02666666661</v>
      </c>
      <c r="D8" s="18">
        <v>0</v>
      </c>
      <c r="E8" s="66">
        <f t="shared" si="0"/>
        <v>1884744.853333333</v>
      </c>
      <c r="F8" s="2"/>
    </row>
    <row r="9" spans="1:8" ht="12.75" x14ac:dyDescent="0.2">
      <c r="A9" s="4" t="s">
        <v>228</v>
      </c>
      <c r="B9" s="18">
        <f>((Marktbericht!B37*Werte!C50)/Marktbericht!D13)*Marktbericht!D6</f>
        <v>3845.5753974239087</v>
      </c>
      <c r="C9" s="18">
        <f>Kostenartenrechnung!B24+(((Marktbericht!B37*Werte!C50)/Marktbericht!D13)*Marktbericht!D10)</f>
        <v>126004.42460257609</v>
      </c>
      <c r="D9" s="18">
        <v>0</v>
      </c>
      <c r="E9" s="66">
        <f t="shared" si="0"/>
        <v>129850</v>
      </c>
      <c r="F9" s="2"/>
    </row>
    <row r="10" spans="1:8" ht="12.75" x14ac:dyDescent="0.2">
      <c r="A10" s="20" t="s">
        <v>229</v>
      </c>
      <c r="B10" s="18">
        <f t="shared" ref="B10:C10" si="1">B6-(B7+B8+B9)</f>
        <v>3738573.5979359103</v>
      </c>
      <c r="C10" s="18">
        <f t="shared" si="1"/>
        <v>869537.54873075732</v>
      </c>
      <c r="D10" s="18">
        <v>0</v>
      </c>
      <c r="E10" s="66">
        <f t="shared" si="0"/>
        <v>4608111.1466666674</v>
      </c>
      <c r="F10" s="2"/>
    </row>
    <row r="11" spans="1:8" ht="12.75" x14ac:dyDescent="0.2">
      <c r="A11" s="4" t="s">
        <v>230</v>
      </c>
      <c r="B11" s="18">
        <v>0</v>
      </c>
      <c r="C11" s="18">
        <v>0</v>
      </c>
      <c r="D11" s="18">
        <v>0</v>
      </c>
      <c r="E11" s="66">
        <f t="shared" si="0"/>
        <v>0</v>
      </c>
      <c r="F11" s="14"/>
      <c r="G11" s="5"/>
    </row>
    <row r="12" spans="1:8" ht="12.75" x14ac:dyDescent="0.2">
      <c r="A12" s="4" t="s">
        <v>231</v>
      </c>
      <c r="B12" s="18">
        <f>(Kostenträgerrechnung!B12/Werte!C40)*Marktbericht!D6</f>
        <v>659718.13741176506</v>
      </c>
      <c r="C12" s="18">
        <f>(Kostenträgerrechnung!B12/Werte!C40)*Marktbericht!D10</f>
        <v>153440.79152941183</v>
      </c>
      <c r="D12" s="18">
        <v>0</v>
      </c>
      <c r="E12" s="66">
        <f t="shared" si="0"/>
        <v>813158.92894117686</v>
      </c>
      <c r="F12" s="2"/>
    </row>
    <row r="13" spans="1:8" ht="12.75" x14ac:dyDescent="0.2">
      <c r="A13" s="4" t="s">
        <v>232</v>
      </c>
      <c r="B13" s="18">
        <f>Werte!C41</f>
        <v>800000</v>
      </c>
      <c r="C13" s="17"/>
      <c r="D13" s="17"/>
      <c r="E13" s="66">
        <f t="shared" si="0"/>
        <v>800000</v>
      </c>
      <c r="F13" s="2"/>
    </row>
    <row r="14" spans="1:8" ht="12.75" x14ac:dyDescent="0.2">
      <c r="A14" s="20" t="s">
        <v>233</v>
      </c>
      <c r="B14" s="18">
        <f t="shared" ref="B14:C14" si="2">B10-(B11+B12+B13)</f>
        <v>2278855.4605241455</v>
      </c>
      <c r="C14" s="18">
        <f t="shared" si="2"/>
        <v>716096.75720134552</v>
      </c>
      <c r="D14" s="18">
        <v>0</v>
      </c>
      <c r="E14" s="66">
        <f>E10-(E11+E12+E13)</f>
        <v>2994952.2177254907</v>
      </c>
      <c r="F14" s="2"/>
    </row>
    <row r="15" spans="1:8" ht="12.75" x14ac:dyDescent="0.2">
      <c r="A15" s="4" t="s">
        <v>234</v>
      </c>
      <c r="B15" s="17"/>
      <c r="C15" s="17"/>
      <c r="D15" s="17"/>
      <c r="E15" s="66">
        <f>Werte!C44</f>
        <v>0</v>
      </c>
      <c r="F15" s="2"/>
    </row>
    <row r="16" spans="1:8" ht="12.75" x14ac:dyDescent="0.2">
      <c r="A16" s="20" t="s">
        <v>235</v>
      </c>
      <c r="B16" s="17"/>
      <c r="C16" s="17"/>
      <c r="D16" s="17"/>
      <c r="E16" s="66">
        <f>E14-E15</f>
        <v>2994952.2177254907</v>
      </c>
      <c r="F16" s="2"/>
    </row>
    <row r="17" spans="1:6" ht="12.75" x14ac:dyDescent="0.2">
      <c r="A17" s="4" t="s">
        <v>236</v>
      </c>
      <c r="B17" s="17"/>
      <c r="C17" s="17"/>
      <c r="D17" s="17"/>
      <c r="E17" s="65"/>
      <c r="F17" s="2"/>
    </row>
    <row r="18" spans="1:6" ht="12.75" x14ac:dyDescent="0.2">
      <c r="A18" s="4" t="s">
        <v>237</v>
      </c>
      <c r="B18" s="17"/>
      <c r="C18" s="17"/>
      <c r="D18" s="17"/>
      <c r="E18" s="66">
        <v>0</v>
      </c>
      <c r="F18" s="2"/>
    </row>
    <row r="19" spans="1:6" ht="12.75" x14ac:dyDescent="0.2">
      <c r="A19" s="4" t="s">
        <v>238</v>
      </c>
      <c r="B19" s="17"/>
      <c r="C19" s="17"/>
      <c r="D19" s="17"/>
      <c r="E19" s="66">
        <f>Kostenstellenrechnung!D20</f>
        <v>1687360.0840336136</v>
      </c>
      <c r="F19" s="2"/>
    </row>
    <row r="20" spans="1:6" ht="12.75" x14ac:dyDescent="0.2">
      <c r="A20" s="4" t="s">
        <v>239</v>
      </c>
      <c r="B20" s="17"/>
      <c r="C20" s="17"/>
      <c r="D20" s="17"/>
      <c r="E20" s="66">
        <f>Kostenstellenrechnung!E20</f>
        <v>341580.68067226891</v>
      </c>
      <c r="F20" s="2"/>
    </row>
    <row r="21" spans="1:6" ht="12.75" x14ac:dyDescent="0.2">
      <c r="A21" s="20" t="s">
        <v>240</v>
      </c>
      <c r="B21" s="17"/>
      <c r="C21" s="17"/>
      <c r="D21" s="17"/>
      <c r="E21" s="66">
        <f>E16-(SUM(E17:E20))</f>
        <v>966011.45301960828</v>
      </c>
      <c r="F21" s="2"/>
    </row>
    <row r="22" spans="1:6" ht="12.75" x14ac:dyDescent="0.2">
      <c r="A22" s="2"/>
      <c r="B22" s="2"/>
      <c r="C22" s="2"/>
      <c r="D22" s="2"/>
      <c r="E22" s="2"/>
      <c r="F22" s="2"/>
    </row>
    <row r="23" spans="1:6" ht="12.75" x14ac:dyDescent="0.2">
      <c r="A23" s="2"/>
      <c r="B23" s="2"/>
      <c r="C23" s="2"/>
      <c r="D23" s="2"/>
      <c r="E23" s="2"/>
      <c r="F23" s="2"/>
    </row>
    <row r="24" spans="1:6" ht="12.75" x14ac:dyDescent="0.2">
      <c r="A24" s="71" t="s">
        <v>241</v>
      </c>
      <c r="B24" s="70"/>
      <c r="C24" s="70"/>
      <c r="D24" s="70"/>
      <c r="E24" s="70"/>
      <c r="F24" s="2"/>
    </row>
    <row r="25" spans="1:6" ht="12.75" x14ac:dyDescent="0.2">
      <c r="A25" s="2"/>
      <c r="B25" s="19" t="s">
        <v>9</v>
      </c>
      <c r="C25" s="19" t="s">
        <v>10</v>
      </c>
      <c r="D25" s="19" t="s">
        <v>225</v>
      </c>
      <c r="E25" s="65" t="s">
        <v>162</v>
      </c>
      <c r="F25" s="2"/>
    </row>
    <row r="26" spans="1:6" ht="12.75" x14ac:dyDescent="0.2">
      <c r="A26" s="4" t="s">
        <v>12</v>
      </c>
      <c r="B26" s="18">
        <f>Werte!C57</f>
        <v>170</v>
      </c>
      <c r="C26" s="18">
        <f>Werte!C58</f>
        <v>180</v>
      </c>
      <c r="D26" s="18">
        <v>0</v>
      </c>
      <c r="E26" s="66">
        <f>E6/Marktbericht!D13</f>
        <v>171.88697173539259</v>
      </c>
      <c r="F26" s="2"/>
    </row>
    <row r="27" spans="1:6" ht="12.75" x14ac:dyDescent="0.2">
      <c r="A27" s="4" t="s">
        <v>226</v>
      </c>
      <c r="B27" s="18">
        <f>B7/Marktbericht!D6</f>
        <v>72</v>
      </c>
      <c r="C27" s="18">
        <f>C7/Marktbericht!D10</f>
        <v>72</v>
      </c>
      <c r="D27" s="18">
        <v>0</v>
      </c>
      <c r="E27" s="66">
        <f>E7/Marktbericht!D13</f>
        <v>72</v>
      </c>
      <c r="F27" s="2"/>
    </row>
    <row r="28" spans="1:6" ht="12.75" x14ac:dyDescent="0.2">
      <c r="A28" s="4" t="s">
        <v>227</v>
      </c>
      <c r="B28" s="18">
        <f>B8/Marktbericht!D6</f>
        <v>28.426666666666662</v>
      </c>
      <c r="C28" s="18">
        <f>C8/Marktbericht!D10</f>
        <v>28.426666666666662</v>
      </c>
      <c r="D28" s="18">
        <v>0</v>
      </c>
      <c r="E28" s="66">
        <f>E8/Marktbericht!D13</f>
        <v>28.426666666666662</v>
      </c>
      <c r="F28" s="2"/>
    </row>
    <row r="29" spans="1:6" ht="12.75" x14ac:dyDescent="0.2">
      <c r="A29" s="4" t="s">
        <v>228</v>
      </c>
      <c r="B29" s="18">
        <f>B9/Marktbericht!D6</f>
        <v>7.1491056076739765E-2</v>
      </c>
      <c r="C29" s="18">
        <f>C9/Marktbericht!D10</f>
        <v>10.07149105607674</v>
      </c>
      <c r="D29" s="18">
        <v>0</v>
      </c>
      <c r="E29" s="66">
        <f>E9/Marktbericht!D13</f>
        <v>1.9584627914693373</v>
      </c>
      <c r="F29" s="2"/>
    </row>
    <row r="30" spans="1:6" ht="12.75" x14ac:dyDescent="0.2">
      <c r="A30" s="20" t="s">
        <v>229</v>
      </c>
      <c r="B30" s="18">
        <f>B10/Marktbericht!D6</f>
        <v>69.501842277256614</v>
      </c>
      <c r="C30" s="18">
        <f>C10/Marktbericht!D10</f>
        <v>69.5018422772566</v>
      </c>
      <c r="D30" s="18">
        <v>0</v>
      </c>
      <c r="E30" s="66">
        <f>E10/Marktbericht!D13</f>
        <v>69.5018422772566</v>
      </c>
      <c r="F30" s="2"/>
    </row>
    <row r="31" spans="1:6" ht="12.75" x14ac:dyDescent="0.2">
      <c r="A31" s="4" t="s">
        <v>230</v>
      </c>
      <c r="B31" s="18">
        <v>0</v>
      </c>
      <c r="C31" s="18">
        <v>0</v>
      </c>
      <c r="D31" s="18">
        <v>0</v>
      </c>
      <c r="E31" s="66">
        <v>0</v>
      </c>
      <c r="F31" s="2"/>
    </row>
    <row r="32" spans="1:6" ht="12.75" x14ac:dyDescent="0.2">
      <c r="A32" s="4" t="s">
        <v>231</v>
      </c>
      <c r="B32" s="18">
        <f>B12/Marktbericht!D6</f>
        <v>12.2644705882353</v>
      </c>
      <c r="C32" s="18">
        <f>C12/Marktbericht!D10</f>
        <v>12.2644705882353</v>
      </c>
      <c r="D32" s="18">
        <v>0</v>
      </c>
      <c r="E32" s="66">
        <f>E12/Marktbericht!D13</f>
        <v>12.2644705882353</v>
      </c>
      <c r="F32" s="2"/>
    </row>
    <row r="33" spans="1:6" ht="12.75" x14ac:dyDescent="0.2">
      <c r="A33" s="4" t="s">
        <v>232</v>
      </c>
      <c r="B33" s="18">
        <f>B13/Marktbericht!D6</f>
        <v>14.872376419847186</v>
      </c>
      <c r="C33" s="17"/>
      <c r="D33" s="17"/>
      <c r="E33" s="66">
        <f>E13/Marktbericht!D13</f>
        <v>12.066001025610086</v>
      </c>
      <c r="F33" s="2"/>
    </row>
    <row r="34" spans="1:6" ht="12.75" x14ac:dyDescent="0.2">
      <c r="A34" s="20" t="s">
        <v>233</v>
      </c>
      <c r="B34" s="18">
        <f>B14/Marktbericht!D6</f>
        <v>42.36499526917413</v>
      </c>
      <c r="C34" s="18">
        <f>C14/Marktbericht!D10</f>
        <v>57.237371689021302</v>
      </c>
      <c r="D34" s="18">
        <v>0</v>
      </c>
      <c r="E34" s="66">
        <f>E14/Marktbericht!D13</f>
        <v>45.171370663411217</v>
      </c>
      <c r="F34" s="2"/>
    </row>
    <row r="35" spans="1:6" ht="12.75" x14ac:dyDescent="0.2">
      <c r="A35" s="4" t="s">
        <v>234</v>
      </c>
      <c r="B35" s="17"/>
      <c r="C35" s="17"/>
      <c r="D35" s="17"/>
      <c r="E35" s="66">
        <f>E15/Marktbericht!D13</f>
        <v>0</v>
      </c>
      <c r="F35" s="2"/>
    </row>
    <row r="36" spans="1:6" ht="12.75" x14ac:dyDescent="0.2">
      <c r="A36" s="20" t="s">
        <v>235</v>
      </c>
      <c r="B36" s="17"/>
      <c r="C36" s="17"/>
      <c r="D36" s="17"/>
      <c r="E36" s="66">
        <f>E16/Marktbericht!D13</f>
        <v>45.171370663411217</v>
      </c>
      <c r="F36" s="2"/>
    </row>
    <row r="37" spans="1:6" ht="12.75" x14ac:dyDescent="0.2">
      <c r="A37" s="4" t="s">
        <v>236</v>
      </c>
      <c r="B37" s="17"/>
      <c r="C37" s="17"/>
      <c r="D37" s="17"/>
      <c r="E37" s="65"/>
      <c r="F37" s="2"/>
    </row>
    <row r="38" spans="1:6" ht="12.75" x14ac:dyDescent="0.2">
      <c r="A38" s="4" t="s">
        <v>237</v>
      </c>
      <c r="B38" s="17"/>
      <c r="C38" s="17"/>
      <c r="D38" s="17"/>
      <c r="E38" s="66">
        <v>0</v>
      </c>
      <c r="F38" s="2"/>
    </row>
    <row r="39" spans="1:6" ht="12.75" x14ac:dyDescent="0.2">
      <c r="A39" s="4" t="s">
        <v>238</v>
      </c>
      <c r="B39" s="17"/>
      <c r="C39" s="17"/>
      <c r="D39" s="17"/>
      <c r="E39" s="66">
        <f>E19/Marktbericht!D13</f>
        <v>25.449610630653879</v>
      </c>
      <c r="F39" s="2"/>
    </row>
    <row r="40" spans="1:6" ht="12.75" x14ac:dyDescent="0.2">
      <c r="A40" s="4" t="s">
        <v>239</v>
      </c>
      <c r="B40" s="17"/>
      <c r="C40" s="17"/>
      <c r="D40" s="17"/>
      <c r="E40" s="66">
        <f>E20/Marktbericht!D13</f>
        <v>5.1518910541502354</v>
      </c>
      <c r="F40" s="2"/>
    </row>
    <row r="41" spans="1:6" ht="12.75" x14ac:dyDescent="0.2">
      <c r="A41" s="20" t="s">
        <v>240</v>
      </c>
      <c r="B41" s="17"/>
      <c r="C41" s="17"/>
      <c r="D41" s="17"/>
      <c r="E41" s="66">
        <f>E21/Marktbericht!D13</f>
        <v>14.569868978607104</v>
      </c>
      <c r="F41" s="2"/>
    </row>
    <row r="42" spans="1:6" ht="12.75" x14ac:dyDescent="0.2">
      <c r="A42" s="2"/>
      <c r="B42" s="2"/>
      <c r="C42" s="2"/>
      <c r="D42" s="2"/>
      <c r="E42" s="2"/>
      <c r="F42" s="2"/>
    </row>
  </sheetData>
  <mergeCells count="3">
    <mergeCell ref="A1:B1"/>
    <mergeCell ref="A4:E4"/>
    <mergeCell ref="A24:E24"/>
  </mergeCells>
  <hyperlinks>
    <hyperlink ref="A2" location="Deckblatt!A1" display="Deckblatt" xr:uid="{784A9896-393D-4A8E-AFE5-8EE69E13C465}"/>
  </hyperlink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33"/>
  <sheetViews>
    <sheetView workbookViewId="0">
      <selection activeCell="G13" sqref="G13"/>
    </sheetView>
  </sheetViews>
  <sheetFormatPr baseColWidth="10" defaultColWidth="14.42578125" defaultRowHeight="15.75" customHeight="1" x14ac:dyDescent="0.2"/>
  <cols>
    <col min="1" max="1" width="34.85546875" customWidth="1"/>
    <col min="3" max="3" width="30.42578125" customWidth="1"/>
  </cols>
  <sheetData>
    <row r="1" spans="1:5" ht="15.75" customHeight="1" x14ac:dyDescent="0.3">
      <c r="A1" s="1" t="s">
        <v>242</v>
      </c>
      <c r="B1" s="2"/>
      <c r="C1" s="2"/>
      <c r="D1" s="2"/>
      <c r="E1" s="2"/>
    </row>
    <row r="2" spans="1:5" ht="12.75" x14ac:dyDescent="0.2">
      <c r="A2" s="58" t="s">
        <v>317</v>
      </c>
      <c r="B2" s="2"/>
      <c r="C2" s="2"/>
      <c r="D2" s="2"/>
      <c r="E2" s="2"/>
    </row>
    <row r="3" spans="1:5" ht="12.75" x14ac:dyDescent="0.2">
      <c r="A3" s="2"/>
      <c r="B3" s="2"/>
      <c r="C3" s="2"/>
      <c r="D3" s="40"/>
      <c r="E3" s="2"/>
    </row>
    <row r="4" spans="1:5" ht="12.75" x14ac:dyDescent="0.2">
      <c r="A4" s="4" t="s">
        <v>243</v>
      </c>
      <c r="B4" s="19" t="s">
        <v>111</v>
      </c>
      <c r="C4" s="29"/>
      <c r="E4" s="2"/>
    </row>
    <row r="5" spans="1:5" ht="12.75" x14ac:dyDescent="0.2">
      <c r="A5" s="4" t="s">
        <v>244</v>
      </c>
      <c r="B5" s="18">
        <f>Marktbericht!D14</f>
        <v>11396450</v>
      </c>
      <c r="C5" s="29"/>
      <c r="E5" s="2"/>
    </row>
    <row r="6" spans="1:5" ht="12.75" x14ac:dyDescent="0.2">
      <c r="A6" s="20" t="s">
        <v>245</v>
      </c>
      <c r="B6" s="18">
        <f>Kostenträgerrechnung!B15</f>
        <v>665094.95544732525</v>
      </c>
      <c r="C6" s="29"/>
      <c r="E6" s="2"/>
    </row>
    <row r="7" spans="1:5" ht="12.75" x14ac:dyDescent="0.2">
      <c r="A7" s="4" t="s">
        <v>246</v>
      </c>
      <c r="B7" s="18">
        <f>Kostenträgerrechnung!B6+Kostenträgerrechnung!B5</f>
        <v>4320000</v>
      </c>
      <c r="C7" s="29"/>
      <c r="E7" s="2"/>
    </row>
    <row r="8" spans="1:5" ht="12.75" x14ac:dyDescent="0.2">
      <c r="A8" s="4" t="s">
        <v>247</v>
      </c>
      <c r="B8" s="18">
        <f>Kostenträgerrechnung!B7</f>
        <v>0</v>
      </c>
      <c r="C8" s="29"/>
      <c r="E8" s="2"/>
    </row>
    <row r="9" spans="1:5" ht="12.75" x14ac:dyDescent="0.2">
      <c r="A9" s="4" t="s">
        <v>248</v>
      </c>
      <c r="B9" s="18">
        <f>Produktion!E18*1000</f>
        <v>2762480</v>
      </c>
      <c r="C9" s="29"/>
      <c r="E9" s="2"/>
    </row>
    <row r="10" spans="1:5" ht="12.75" x14ac:dyDescent="0.2">
      <c r="A10" s="4" t="s">
        <v>136</v>
      </c>
      <c r="B10" s="18">
        <f>Produktion!E15*1000</f>
        <v>2109600</v>
      </c>
      <c r="C10" s="29"/>
      <c r="E10" s="2"/>
    </row>
    <row r="11" spans="1:5" ht="12.75" x14ac:dyDescent="0.2">
      <c r="A11" s="4" t="s">
        <v>176</v>
      </c>
      <c r="B11" s="18">
        <f>Produktion!E16*1000</f>
        <v>20000</v>
      </c>
      <c r="C11" s="29"/>
      <c r="E11" s="2"/>
    </row>
    <row r="12" spans="1:5" ht="12.75" x14ac:dyDescent="0.2">
      <c r="A12" s="4" t="s">
        <v>177</v>
      </c>
      <c r="B12" s="18">
        <f>Produktion!E17*1000</f>
        <v>632880</v>
      </c>
      <c r="C12" s="29"/>
      <c r="E12" s="2"/>
    </row>
    <row r="13" spans="1:5" ht="12.75" x14ac:dyDescent="0.2">
      <c r="A13" s="4" t="s">
        <v>249</v>
      </c>
      <c r="B13" s="18">
        <f>Kostenstellenrechnung!B10+Kostenstellenrechnung!B11</f>
        <v>430000</v>
      </c>
      <c r="C13" s="29"/>
      <c r="E13" s="2"/>
    </row>
    <row r="14" spans="1:5" ht="12.75" x14ac:dyDescent="0.2">
      <c r="A14" s="4" t="s">
        <v>250</v>
      </c>
      <c r="B14" s="18">
        <f>B5-B6-B7-B8-B9-B13-B15</f>
        <v>2252863.5915330662</v>
      </c>
      <c r="C14" s="29"/>
      <c r="E14" s="2"/>
    </row>
    <row r="15" spans="1:5" ht="12.75" x14ac:dyDescent="0.2">
      <c r="A15" s="20" t="s">
        <v>251</v>
      </c>
      <c r="B15" s="18">
        <f>Deckungsbeitragsrechnung!E21</f>
        <v>966011.45301960828</v>
      </c>
      <c r="C15" s="29"/>
      <c r="E15" s="2"/>
    </row>
    <row r="16" spans="1:5" ht="12.75" x14ac:dyDescent="0.2">
      <c r="A16" s="4" t="s">
        <v>252</v>
      </c>
      <c r="B16" s="72">
        <f ca="1">Finanzbericht!B18</f>
        <v>196000.00000000003</v>
      </c>
      <c r="C16" s="70"/>
      <c r="D16" s="70"/>
      <c r="E16" s="2"/>
    </row>
    <row r="17" spans="1:5" ht="12.75" x14ac:dyDescent="0.2">
      <c r="A17" s="20" t="s">
        <v>253</v>
      </c>
      <c r="B17" s="72">
        <f ca="1">B15-B16</f>
        <v>770011.45301960828</v>
      </c>
      <c r="C17" s="70"/>
      <c r="D17" s="70"/>
      <c r="E17" s="2"/>
    </row>
    <row r="18" spans="1:5" ht="12.75" x14ac:dyDescent="0.2">
      <c r="A18" s="20" t="s">
        <v>254</v>
      </c>
      <c r="B18" s="72">
        <f>Werte!C63</f>
        <v>0</v>
      </c>
      <c r="C18" s="70"/>
      <c r="D18" s="70"/>
      <c r="E18" s="2"/>
    </row>
    <row r="19" spans="1:5" ht="12.75" x14ac:dyDescent="0.2">
      <c r="A19" s="4" t="s">
        <v>255</v>
      </c>
      <c r="B19" s="72">
        <v>0</v>
      </c>
      <c r="C19" s="70"/>
      <c r="D19" s="70"/>
      <c r="E19" s="2"/>
    </row>
    <row r="20" spans="1:5" ht="12.75" x14ac:dyDescent="0.2">
      <c r="A20" s="4" t="s">
        <v>256</v>
      </c>
      <c r="B20" s="72">
        <f ca="1">B17*Werte!C68</f>
        <v>231003.43590588248</v>
      </c>
      <c r="C20" s="70"/>
      <c r="D20" s="70"/>
      <c r="E20" s="2"/>
    </row>
    <row r="21" spans="1:5" ht="12.75" x14ac:dyDescent="0.2">
      <c r="A21" s="20" t="s">
        <v>257</v>
      </c>
      <c r="B21" s="72">
        <f ca="1">B17+B18-B190-B20</f>
        <v>539008.01711372577</v>
      </c>
      <c r="C21" s="70"/>
      <c r="D21" s="70"/>
      <c r="E21" s="2"/>
    </row>
    <row r="22" spans="1:5" ht="12.75" x14ac:dyDescent="0.2">
      <c r="A22" s="2"/>
      <c r="B22" s="2"/>
      <c r="C22" s="2"/>
      <c r="D22" s="2"/>
      <c r="E22" s="2"/>
    </row>
    <row r="23" spans="1:5" ht="12.75" x14ac:dyDescent="0.2">
      <c r="A23" s="2"/>
      <c r="B23" s="2"/>
      <c r="C23" s="2"/>
      <c r="D23" s="2"/>
      <c r="E23" s="2"/>
    </row>
    <row r="24" spans="1:5" ht="15.75" customHeight="1" x14ac:dyDescent="0.25">
      <c r="A24" s="30" t="s">
        <v>258</v>
      </c>
      <c r="B24" s="2"/>
      <c r="C24" s="2"/>
      <c r="D24" s="2"/>
      <c r="E24" s="2"/>
    </row>
    <row r="25" spans="1:5" ht="12.75" x14ac:dyDescent="0.2">
      <c r="A25" s="2"/>
      <c r="B25" s="19" t="s">
        <v>9</v>
      </c>
      <c r="C25" s="19" t="s">
        <v>10</v>
      </c>
      <c r="D25" s="65" t="s">
        <v>112</v>
      </c>
      <c r="E25" s="2"/>
    </row>
    <row r="26" spans="1:5" ht="12.75" x14ac:dyDescent="0.2">
      <c r="A26" s="4" t="s">
        <v>259</v>
      </c>
      <c r="B26" s="18">
        <v>5940000</v>
      </c>
      <c r="C26" s="18">
        <v>1260000</v>
      </c>
      <c r="D26" s="66">
        <v>7200000</v>
      </c>
      <c r="E26" s="2"/>
    </row>
    <row r="27" spans="1:5" ht="12.75" x14ac:dyDescent="0.2">
      <c r="A27" s="4" t="s">
        <v>260</v>
      </c>
      <c r="B27" s="18">
        <v>4758948</v>
      </c>
      <c r="C27" s="18">
        <v>1138335</v>
      </c>
      <c r="D27" s="66">
        <v>5897283</v>
      </c>
      <c r="E27" s="2"/>
    </row>
    <row r="28" spans="1:5" ht="12.75" x14ac:dyDescent="0.2">
      <c r="A28" s="4" t="s">
        <v>261</v>
      </c>
      <c r="B28" s="18">
        <v>-1181052</v>
      </c>
      <c r="C28" s="18">
        <v>-121665</v>
      </c>
      <c r="D28" s="66">
        <v>-1302717</v>
      </c>
      <c r="E28" s="2"/>
    </row>
    <row r="29" spans="1:5" ht="12.75" x14ac:dyDescent="0.2">
      <c r="A29" s="4" t="s">
        <v>262</v>
      </c>
      <c r="B29" s="18">
        <v>-19.88</v>
      </c>
      <c r="C29" s="18">
        <v>-9.66</v>
      </c>
      <c r="D29" s="66">
        <v>-18.09</v>
      </c>
      <c r="E29" s="2"/>
    </row>
    <row r="30" spans="1:5" ht="12.75" x14ac:dyDescent="0.2">
      <c r="A30" s="4" t="s">
        <v>263</v>
      </c>
      <c r="B30" s="18">
        <v>0.6</v>
      </c>
      <c r="C30" s="18">
        <v>0.81</v>
      </c>
      <c r="D30" s="66">
        <v>1.41</v>
      </c>
      <c r="E30" s="2"/>
    </row>
    <row r="31" spans="1:5" ht="12.75" x14ac:dyDescent="0.2">
      <c r="A31" s="2"/>
      <c r="B31" s="2"/>
      <c r="C31" s="2"/>
      <c r="D31" s="2"/>
      <c r="E31" s="2"/>
    </row>
    <row r="32" spans="1:5" ht="12.75" x14ac:dyDescent="0.2">
      <c r="A32" s="2"/>
      <c r="B32" s="2"/>
      <c r="C32" s="2"/>
      <c r="D32" s="2"/>
      <c r="E32" s="2"/>
    </row>
    <row r="33" spans="1:5" ht="12.75" x14ac:dyDescent="0.2">
      <c r="A33" s="2"/>
      <c r="B33" s="2"/>
      <c r="C33" s="2"/>
      <c r="D33" s="2"/>
      <c r="E33" s="2"/>
    </row>
  </sheetData>
  <mergeCells count="6">
    <mergeCell ref="B21:D21"/>
    <mergeCell ref="B16:D16"/>
    <mergeCell ref="B17:D17"/>
    <mergeCell ref="B18:D18"/>
    <mergeCell ref="B19:D19"/>
    <mergeCell ref="B20:D20"/>
  </mergeCells>
  <hyperlinks>
    <hyperlink ref="A2" location="Deckblatt!A1" display="Deckblatt" xr:uid="{55880DF1-4510-4F71-AE66-562BF74DBBCE}"/>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N43"/>
  <sheetViews>
    <sheetView workbookViewId="0">
      <selection activeCell="G24" sqref="G24"/>
    </sheetView>
  </sheetViews>
  <sheetFormatPr baseColWidth="10" defaultColWidth="14.42578125" defaultRowHeight="15.75" customHeight="1" x14ac:dyDescent="0.2"/>
  <cols>
    <col min="1" max="1" width="42" customWidth="1"/>
    <col min="4" max="4" width="29.42578125" customWidth="1"/>
  </cols>
  <sheetData>
    <row r="1" spans="1:14" ht="15.75" customHeight="1" x14ac:dyDescent="0.3">
      <c r="A1" s="1" t="s">
        <v>264</v>
      </c>
      <c r="B1" s="2"/>
      <c r="C1" s="2"/>
      <c r="D1" s="2"/>
      <c r="E1" s="2"/>
      <c r="F1" s="2"/>
      <c r="G1" s="2"/>
    </row>
    <row r="2" spans="1:14" ht="12.75" x14ac:dyDescent="0.2">
      <c r="A2" s="58" t="s">
        <v>317</v>
      </c>
      <c r="B2" s="2"/>
      <c r="C2" s="2"/>
      <c r="D2" s="2"/>
      <c r="E2" s="2"/>
      <c r="F2" s="2"/>
      <c r="G2" s="2"/>
    </row>
    <row r="3" spans="1:14" ht="12.75" x14ac:dyDescent="0.2">
      <c r="A3" s="2"/>
      <c r="B3" s="2"/>
      <c r="C3" s="2"/>
      <c r="D3" s="2"/>
      <c r="E3" s="2"/>
      <c r="F3" s="2"/>
      <c r="G3" s="2"/>
    </row>
    <row r="4" spans="1:14" ht="12.75" x14ac:dyDescent="0.2">
      <c r="A4" s="4" t="s">
        <v>265</v>
      </c>
      <c r="B4" s="17"/>
      <c r="C4" s="17"/>
      <c r="D4" s="2"/>
      <c r="E4" s="2"/>
      <c r="F4" s="2"/>
      <c r="G4" s="2"/>
    </row>
    <row r="5" spans="1:14" ht="12.75" x14ac:dyDescent="0.2">
      <c r="A5" s="2"/>
      <c r="B5" s="19" t="s">
        <v>266</v>
      </c>
      <c r="C5" s="19" t="s">
        <v>267</v>
      </c>
      <c r="D5" s="29"/>
      <c r="E5" s="2"/>
      <c r="F5" s="2"/>
      <c r="G5" s="2"/>
    </row>
    <row r="6" spans="1:14" ht="12.75" x14ac:dyDescent="0.2">
      <c r="A6" s="4" t="s">
        <v>268</v>
      </c>
      <c r="B6" s="18">
        <f>Werte!C69</f>
        <v>186428</v>
      </c>
      <c r="C6" s="18">
        <v>455351</v>
      </c>
      <c r="D6" s="29"/>
      <c r="E6" s="29"/>
      <c r="F6" s="2"/>
      <c r="G6" s="2"/>
      <c r="H6" s="29"/>
    </row>
    <row r="7" spans="1:14" ht="12.75" x14ac:dyDescent="0.2">
      <c r="A7" s="4" t="s">
        <v>269</v>
      </c>
      <c r="B7" s="18">
        <f>Marktbericht!D14*Werte!C65</f>
        <v>9686982.5</v>
      </c>
      <c r="C7" s="18">
        <v>5202428</v>
      </c>
      <c r="D7" s="29"/>
      <c r="E7" s="29"/>
      <c r="F7" s="2"/>
      <c r="G7" s="2"/>
      <c r="H7" s="29"/>
    </row>
    <row r="8" spans="1:14" ht="12.75" x14ac:dyDescent="0.2">
      <c r="A8" s="20" t="s">
        <v>270</v>
      </c>
      <c r="B8" s="18">
        <f>Werte!C70</f>
        <v>1887448</v>
      </c>
      <c r="C8" s="18">
        <v>971375</v>
      </c>
      <c r="D8" s="2"/>
      <c r="E8" s="29"/>
      <c r="F8" s="2"/>
      <c r="G8" s="2"/>
      <c r="H8" s="29"/>
    </row>
    <row r="9" spans="1:14" ht="12.75" x14ac:dyDescent="0.2">
      <c r="A9" s="20" t="s">
        <v>254</v>
      </c>
      <c r="B9" s="18">
        <f>Werte!C63</f>
        <v>0</v>
      </c>
      <c r="C9" s="18">
        <v>0</v>
      </c>
      <c r="D9" s="2"/>
      <c r="E9" s="29"/>
      <c r="F9" s="2"/>
      <c r="G9" s="2"/>
    </row>
    <row r="10" spans="1:14" ht="12.75" x14ac:dyDescent="0.2">
      <c r="A10" s="20" t="s">
        <v>271</v>
      </c>
      <c r="B10" s="18">
        <f>Werte!C64</f>
        <v>2800000</v>
      </c>
      <c r="C10" s="18">
        <v>0</v>
      </c>
      <c r="D10" s="2"/>
      <c r="E10" s="29"/>
      <c r="F10" s="2"/>
      <c r="G10" s="2"/>
    </row>
    <row r="11" spans="1:14" ht="12.75" x14ac:dyDescent="0.2">
      <c r="A11" s="20" t="s">
        <v>272</v>
      </c>
      <c r="B11" s="18">
        <f ca="1">IF((B6+B7+B8+B9+B10-B13-B14-B15-B16-B17-B18-B19-B20-B21-B22)&gt;=10000,0,10000-(B6+B7+B8+B9+B10-B13-B14-B15-B16-B17-B18-B19-B20-B21-B22))</f>
        <v>0</v>
      </c>
      <c r="C11" s="18">
        <v>0</v>
      </c>
      <c r="D11" s="14"/>
      <c r="E11" s="29"/>
      <c r="F11" s="2"/>
      <c r="G11" s="2"/>
    </row>
    <row r="12" spans="1:14" ht="12.75" x14ac:dyDescent="0.2">
      <c r="A12" s="20" t="s">
        <v>273</v>
      </c>
      <c r="B12" s="18">
        <f ca="1">SUM(B6:B11)</f>
        <v>14560858.5</v>
      </c>
      <c r="C12" s="18">
        <v>6629154</v>
      </c>
      <c r="D12" s="14" t="s">
        <v>274</v>
      </c>
      <c r="E12" s="2"/>
      <c r="F12" s="2"/>
      <c r="G12" s="2"/>
    </row>
    <row r="13" spans="1:14" ht="12.75" x14ac:dyDescent="0.2">
      <c r="A13" s="4" t="s">
        <v>275</v>
      </c>
      <c r="B13" s="18">
        <f>Kostenartenrechnung!B6+Kostenartenrechnung!B7</f>
        <v>4320000</v>
      </c>
      <c r="C13" s="18">
        <v>3074919</v>
      </c>
      <c r="D13" s="2"/>
      <c r="E13" s="2"/>
      <c r="F13" s="2"/>
      <c r="G13" s="2"/>
    </row>
    <row r="14" spans="1:14" ht="12.75" x14ac:dyDescent="0.2">
      <c r="A14" s="4" t="s">
        <v>247</v>
      </c>
      <c r="B14" s="18">
        <f>Kostenträgerrechnung!B7</f>
        <v>0</v>
      </c>
      <c r="C14" s="18">
        <v>0</v>
      </c>
      <c r="D14" s="2"/>
      <c r="E14" s="2"/>
      <c r="F14" s="2"/>
      <c r="G14" s="2"/>
    </row>
    <row r="15" spans="1:14" ht="12.75" x14ac:dyDescent="0.2">
      <c r="A15" s="4" t="s">
        <v>248</v>
      </c>
      <c r="B15" s="18">
        <f>Produktion!E18*1000</f>
        <v>2762480</v>
      </c>
      <c r="C15" s="18">
        <v>1569290</v>
      </c>
      <c r="D15" s="2"/>
      <c r="E15" s="2"/>
      <c r="F15" s="2"/>
      <c r="G15" s="2"/>
      <c r="L15" s="29"/>
      <c r="N15" s="29"/>
    </row>
    <row r="16" spans="1:14" ht="12.75" x14ac:dyDescent="0.2">
      <c r="A16" s="4" t="s">
        <v>250</v>
      </c>
      <c r="B16" s="18">
        <f>GuV!B14</f>
        <v>2252863.5915330662</v>
      </c>
      <c r="C16" s="18">
        <v>1038751</v>
      </c>
      <c r="D16" s="2"/>
      <c r="E16" s="2"/>
      <c r="F16" s="2"/>
      <c r="G16" s="2"/>
      <c r="L16" s="29"/>
      <c r="N16" s="29"/>
    </row>
    <row r="17" spans="1:14" ht="12.75" x14ac:dyDescent="0.2">
      <c r="A17" s="20" t="s">
        <v>276</v>
      </c>
      <c r="B17" s="18">
        <f>Werte!C71</f>
        <v>1000000</v>
      </c>
      <c r="C17" s="18">
        <v>300000</v>
      </c>
      <c r="D17" s="2"/>
      <c r="E17" s="2"/>
      <c r="F17" s="2"/>
      <c r="G17" s="2"/>
      <c r="L17" s="29"/>
      <c r="N17" s="29"/>
    </row>
    <row r="18" spans="1:14" ht="12.75" x14ac:dyDescent="0.2">
      <c r="A18" s="4" t="s">
        <v>277</v>
      </c>
      <c r="B18" s="18">
        <f ca="1">(B10*Werte!C67)+(B11*Werte!C66)</f>
        <v>196000.00000000003</v>
      </c>
      <c r="C18" s="18">
        <v>0</v>
      </c>
      <c r="D18" s="2"/>
      <c r="E18" s="2"/>
      <c r="F18" s="2"/>
      <c r="G18" s="2"/>
    </row>
    <row r="19" spans="1:14" ht="12.75" x14ac:dyDescent="0.2">
      <c r="A19" s="4" t="s">
        <v>278</v>
      </c>
      <c r="B19" s="18">
        <f>IF(Infrastruktur!B16=Werte!C5,Infrastruktur!C16*1000,0)+IF(Infrastruktur!B17=Werte!C5,Infrastruktur!C17*1000,0)+IF(Infrastruktur!B18=Werte!C5,Infrastruktur!C18*1000,0)+IF(Infrastruktur!B19=Werte!C5,Infrastruktur!C19*1000,0)+IF(Infrastruktur!B20=Werte!C5,Infrastruktur!C20*1000,0)</f>
        <v>0</v>
      </c>
      <c r="C19" s="18">
        <v>0</v>
      </c>
      <c r="D19" s="2"/>
      <c r="E19" s="2"/>
      <c r="F19" s="2"/>
      <c r="G19" s="2"/>
    </row>
    <row r="20" spans="1:14" ht="12.75" x14ac:dyDescent="0.2">
      <c r="A20" s="4" t="s">
        <v>279</v>
      </c>
      <c r="B20" s="18">
        <v>0</v>
      </c>
      <c r="C20" s="18">
        <v>0</v>
      </c>
      <c r="D20" s="4"/>
      <c r="E20" s="2"/>
      <c r="F20" s="2"/>
      <c r="G20" s="2"/>
    </row>
    <row r="21" spans="1:14" ht="12.75" x14ac:dyDescent="0.2">
      <c r="A21" s="4" t="s">
        <v>280</v>
      </c>
      <c r="B21" s="18">
        <f ca="1">GuV!B20</f>
        <v>231003.43590588248</v>
      </c>
      <c r="C21" s="18">
        <v>66004</v>
      </c>
      <c r="D21" s="2"/>
      <c r="E21" s="2"/>
      <c r="F21" s="2"/>
      <c r="G21" s="2"/>
    </row>
    <row r="22" spans="1:14" ht="12.75" x14ac:dyDescent="0.2">
      <c r="A22" s="4" t="s">
        <v>255</v>
      </c>
      <c r="B22" s="18">
        <v>0</v>
      </c>
      <c r="C22" s="18">
        <v>0</v>
      </c>
      <c r="D22" s="14"/>
      <c r="E22" s="4"/>
      <c r="F22" s="2"/>
      <c r="G22" s="2"/>
    </row>
    <row r="23" spans="1:14" ht="12.75" x14ac:dyDescent="0.2">
      <c r="A23" s="20" t="s">
        <v>281</v>
      </c>
      <c r="B23" s="18">
        <f ca="1">B12-B13-B14-B15-B16-B17-B18-B19-B20-B21-B22</f>
        <v>3798511.4725610507</v>
      </c>
      <c r="C23" s="18">
        <f>Werte!C69</f>
        <v>186428</v>
      </c>
      <c r="D23" s="2"/>
      <c r="E23" s="2"/>
      <c r="F23" s="2"/>
      <c r="G23" s="2"/>
    </row>
    <row r="24" spans="1:14" ht="12.75" x14ac:dyDescent="0.2">
      <c r="A24" s="4" t="s">
        <v>6</v>
      </c>
      <c r="B24" s="31">
        <f ca="1">IF((B6+B7+B8+B9-B13-B14-B15-B16-B17-B18-B19-B20-B21-B22)&gt;=10000,0,10000-(B6+B7+B8+B9-B13-B14-B15-B16-B17-B18-B19-B20-B21-B22))</f>
        <v>0</v>
      </c>
      <c r="C24" s="2"/>
      <c r="D24" s="2"/>
      <c r="E24" s="2"/>
      <c r="F24" s="2"/>
      <c r="G24" s="2"/>
    </row>
    <row r="25" spans="1:14" ht="12.75" x14ac:dyDescent="0.2">
      <c r="A25" s="2"/>
      <c r="B25" s="2"/>
      <c r="C25" s="2"/>
      <c r="D25" s="2"/>
      <c r="E25" s="2"/>
      <c r="F25" s="2"/>
      <c r="G25" s="2"/>
    </row>
    <row r="26" spans="1:14" ht="12.75" x14ac:dyDescent="0.2">
      <c r="A26" s="29"/>
    </row>
    <row r="27" spans="1:14" ht="12.75" x14ac:dyDescent="0.2">
      <c r="A27" s="29"/>
    </row>
    <row r="28" spans="1:14" ht="12.75" x14ac:dyDescent="0.2">
      <c r="A28" s="29"/>
    </row>
    <row r="29" spans="1:14" ht="12.75" x14ac:dyDescent="0.2">
      <c r="A29" s="29"/>
    </row>
    <row r="30" spans="1:14" ht="12.75" x14ac:dyDescent="0.2">
      <c r="A30" s="29"/>
    </row>
    <row r="31" spans="1:14" ht="12.75" x14ac:dyDescent="0.2">
      <c r="A31" s="29"/>
    </row>
    <row r="32" spans="1:14" ht="12.75" x14ac:dyDescent="0.2">
      <c r="A32" s="29"/>
    </row>
    <row r="33" spans="1:7" ht="12.75" x14ac:dyDescent="0.2">
      <c r="A33" s="29"/>
    </row>
    <row r="34" spans="1:7" ht="12.75" x14ac:dyDescent="0.2">
      <c r="A34" s="29"/>
    </row>
    <row r="35" spans="1:7" ht="12.75" x14ac:dyDescent="0.2">
      <c r="A35" s="29"/>
    </row>
    <row r="36" spans="1:7" ht="12.75" x14ac:dyDescent="0.2">
      <c r="A36" s="29"/>
    </row>
    <row r="37" spans="1:7" ht="12.75" x14ac:dyDescent="0.2">
      <c r="A37" s="29"/>
    </row>
    <row r="38" spans="1:7" ht="12.75" x14ac:dyDescent="0.2">
      <c r="A38" s="29"/>
    </row>
    <row r="39" spans="1:7" ht="12.75" x14ac:dyDescent="0.2">
      <c r="A39" s="29"/>
    </row>
    <row r="40" spans="1:7" ht="12.75" x14ac:dyDescent="0.2">
      <c r="A40" s="29"/>
    </row>
    <row r="41" spans="1:7" ht="12.75" x14ac:dyDescent="0.2">
      <c r="A41" s="29"/>
    </row>
    <row r="42" spans="1:7" ht="12.75" x14ac:dyDescent="0.2">
      <c r="A42" s="2"/>
      <c r="B42" s="2"/>
      <c r="C42" s="2"/>
      <c r="D42" s="2"/>
      <c r="E42" s="2"/>
      <c r="F42" s="2"/>
      <c r="G42" s="2"/>
    </row>
    <row r="43" spans="1:7" ht="12.75" x14ac:dyDescent="0.2">
      <c r="A43" s="2"/>
      <c r="B43" s="2"/>
      <c r="C43" s="2"/>
      <c r="D43" s="2"/>
      <c r="E43" s="2"/>
      <c r="F43" s="2"/>
      <c r="G43" s="2"/>
    </row>
  </sheetData>
  <hyperlinks>
    <hyperlink ref="A2" location="Deckblatt!A1" display="Deckblatt" xr:uid="{68CB9FE0-34C5-4DBF-9E74-064593DB814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Deckblatt</vt:lpstr>
      <vt:lpstr>Eingaben</vt:lpstr>
      <vt:lpstr>Werte</vt:lpstr>
      <vt:lpstr>Marktbericht</vt:lpstr>
      <vt:lpstr>Produktion</vt:lpstr>
      <vt:lpstr>Infrastruktur</vt:lpstr>
      <vt:lpstr>Kostenartenrechnung</vt:lpstr>
      <vt:lpstr>Kostenstellenrechnung</vt:lpstr>
      <vt:lpstr>Kostenträgerrechnung</vt:lpstr>
      <vt:lpstr>Deckungsbeitragsrechnung</vt:lpstr>
      <vt:lpstr>GuV</vt:lpstr>
      <vt:lpstr>Finanzbericht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Harun</dc:creator>
  <cp:lastModifiedBy>Harun</cp:lastModifiedBy>
  <dcterms:created xsi:type="dcterms:W3CDTF">2021-01-23T23:55:05Z</dcterms:created>
  <dcterms:modified xsi:type="dcterms:W3CDTF">2022-01-27T12:49:51Z</dcterms:modified>
</cp:coreProperties>
</file>