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C:\Users\Ramiro\Desktop\"/>
    </mc:Choice>
  </mc:AlternateContent>
  <xr:revisionPtr revIDLastSave="1" documentId="13_ncr:1_{60021496-56BA-4CF1-A64E-9821641C3C08}" xr6:coauthVersionLast="47" xr6:coauthVersionMax="47" xr10:uidLastSave="{6987C439-B1B3-401E-A1F1-5ECF58515B9E}"/>
  <bookViews>
    <workbookView xWindow="-110" yWindow="-110" windowWidth="19420" windowHeight="11500" firstSheet="16" activeTab="3" xr2:uid="{00000000-000D-0000-FFFF-FFFF00000000}"/>
  </bookViews>
  <sheets>
    <sheet name="InfoInicial" sheetId="1" r:id="rId1"/>
    <sheet name="E-Inv AF y Am" sheetId="2" r:id="rId2"/>
    <sheet name="C. Aux. - Inv AF y Am" sheetId="3" r:id="rId3"/>
    <sheet name="E-Costos" sheetId="4" r:id="rId4"/>
    <sheet name="C. Aux. Costos" sheetId="5" r:id="rId5"/>
    <sheet name="AUX - COSTO DE PRODUC" sheetId="6" r:id="rId6"/>
    <sheet name="CÁLCULOS MP" sheetId="7" r:id="rId7"/>
    <sheet name="E-InvAT" sheetId="8" r:id="rId8"/>
    <sheet name="C. Aux. Inv AT" sheetId="9" r:id="rId9"/>
    <sheet name="E-Cal Inv." sheetId="10" r:id="rId10"/>
    <sheet name="E-IVA " sheetId="11" r:id="rId11"/>
    <sheet name="E-Form" sheetId="12" r:id="rId12"/>
    <sheet name="F-CRes" sheetId="13" r:id="rId13"/>
    <sheet name="C. Aux. F-CRes" sheetId="14" r:id="rId14"/>
    <sheet name="F-Cred" sheetId="15" r:id="rId15"/>
    <sheet name="C. Aux. F. Cred" sheetId="16" r:id="rId16"/>
    <sheet name="F-2 Estructura" sheetId="17" r:id="rId17"/>
    <sheet name="F-IVA" sheetId="18" r:id="rId18"/>
    <sheet name="F- CFyU" sheetId="19" r:id="rId19"/>
    <sheet name="F-Balance" sheetId="20" r:id="rId20"/>
    <sheet name="F- Form" sheetId="21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1" l="1"/>
  <c r="F41" i="17" a="1"/>
  <c r="F41" i="17" s="1"/>
  <c r="E41" i="17" a="1"/>
  <c r="E41" i="17" s="1"/>
  <c r="D41" i="17" a="1"/>
  <c r="D41" i="17" s="1"/>
  <c r="C41" i="17" a="1"/>
  <c r="C41" i="17" s="1"/>
  <c r="B41" i="17" a="1"/>
  <c r="B41" i="17" s="1"/>
  <c r="F40" i="17" a="1"/>
  <c r="F40" i="17" s="1"/>
  <c r="E40" i="17" a="1"/>
  <c r="E40" i="17" s="1"/>
  <c r="D40" i="17" a="1"/>
  <c r="D40" i="17" s="1"/>
  <c r="C40" i="17" a="1"/>
  <c r="C40" i="17" s="1"/>
  <c r="B40" i="17" a="1"/>
  <c r="B40" i="17" s="1"/>
  <c r="F39" i="17" a="1"/>
  <c r="F39" i="17" s="1"/>
  <c r="E39" i="17" a="1"/>
  <c r="E39" i="17" s="1"/>
  <c r="D39" i="17" a="1"/>
  <c r="D39" i="17" s="1"/>
  <c r="C39" i="17" a="1"/>
  <c r="C39" i="17" s="1"/>
  <c r="B39" i="17" a="1"/>
  <c r="B39" i="17" s="1"/>
  <c r="F38" i="17" a="1"/>
  <c r="F38" i="17" s="1"/>
  <c r="E38" i="17" a="1"/>
  <c r="E38" i="17" s="1"/>
  <c r="D38" i="17" a="1"/>
  <c r="D38" i="17" s="1"/>
  <c r="C38" i="17" a="1"/>
  <c r="C38" i="17" s="1"/>
  <c r="B38" i="17" a="1"/>
  <c r="B38" i="17" s="1"/>
  <c r="F37" i="17" a="1"/>
  <c r="F37" i="17" s="1"/>
  <c r="E37" i="17" a="1"/>
  <c r="E37" i="17" s="1"/>
  <c r="D37" i="17" a="1"/>
  <c r="D37" i="17" s="1"/>
  <c r="C37" i="17" a="1"/>
  <c r="C37" i="17" s="1"/>
  <c r="B37" i="17" a="1"/>
  <c r="B37" i="17" s="1"/>
  <c r="F36" i="17" a="1"/>
  <c r="F36" i="17" s="1"/>
  <c r="E36" i="17" a="1"/>
  <c r="E36" i="17" s="1"/>
  <c r="D36" i="17" a="1"/>
  <c r="D36" i="17" s="1"/>
  <c r="C36" i="17" a="1"/>
  <c r="C36" i="17" s="1"/>
  <c r="B36" i="17" a="1"/>
  <c r="B36" i="17" s="1"/>
  <c r="K5" i="21"/>
  <c r="J5" i="21"/>
  <c r="G1" i="21"/>
  <c r="C34" i="20"/>
  <c r="G29" i="20"/>
  <c r="G28" i="20"/>
  <c r="G27" i="20"/>
  <c r="F29" i="20" s="1"/>
  <c r="F28" i="20" s="1"/>
  <c r="G20" i="20"/>
  <c r="F20" i="20"/>
  <c r="E20" i="20"/>
  <c r="D20" i="20"/>
  <c r="C20" i="20"/>
  <c r="G15" i="20"/>
  <c r="F15" i="20"/>
  <c r="E15" i="20"/>
  <c r="D15" i="20"/>
  <c r="B9" i="20"/>
  <c r="E1" i="20"/>
  <c r="H20" i="19"/>
  <c r="B11" i="19"/>
  <c r="C9" i="19"/>
  <c r="E1" i="19"/>
  <c r="B8" i="18"/>
  <c r="B7" i="18"/>
  <c r="B6" i="18"/>
  <c r="E1" i="18"/>
  <c r="C13" i="17"/>
  <c r="D13" i="17" s="1"/>
  <c r="C6" i="17"/>
  <c r="D1" i="17"/>
  <c r="E32" i="15"/>
  <c r="F27" i="20" s="1"/>
  <c r="E29" i="20" s="1"/>
  <c r="E28" i="20" s="1"/>
  <c r="A32" i="15"/>
  <c r="A31" i="15"/>
  <c r="A30" i="15"/>
  <c r="C29" i="15"/>
  <c r="E30" i="15" s="1"/>
  <c r="A29" i="15"/>
  <c r="A28" i="15"/>
  <c r="A27" i="15"/>
  <c r="A26" i="15"/>
  <c r="A25" i="15"/>
  <c r="A24" i="15"/>
  <c r="A23" i="15"/>
  <c r="A22" i="15"/>
  <c r="H21" i="15"/>
  <c r="F21" i="15"/>
  <c r="E21" i="15"/>
  <c r="C21" i="15"/>
  <c r="F1" i="15"/>
  <c r="C6" i="14"/>
  <c r="F1" i="13"/>
  <c r="B8" i="12"/>
  <c r="B7" i="12"/>
  <c r="B6" i="12"/>
  <c r="G1" i="12"/>
  <c r="G9" i="11"/>
  <c r="F9" i="11"/>
  <c r="E9" i="11"/>
  <c r="D9" i="11"/>
  <c r="C9" i="11"/>
  <c r="G1" i="11"/>
  <c r="I24" i="10"/>
  <c r="H21" i="10"/>
  <c r="G21" i="10"/>
  <c r="F21" i="10"/>
  <c r="E21" i="10"/>
  <c r="I20" i="10"/>
  <c r="I19" i="10"/>
  <c r="I13" i="10"/>
  <c r="G1" i="10"/>
  <c r="G7" i="8"/>
  <c r="F7" i="8"/>
  <c r="F9" i="20" s="1"/>
  <c r="E7" i="8"/>
  <c r="D7" i="8"/>
  <c r="C7" i="8"/>
  <c r="C9" i="20" s="1"/>
  <c r="G6" i="8"/>
  <c r="F6" i="8"/>
  <c r="E6" i="8"/>
  <c r="E7" i="20" s="1"/>
  <c r="D6" i="8"/>
  <c r="C6" i="8"/>
  <c r="E1" i="8"/>
  <c r="B102" i="7"/>
  <c r="C83" i="7"/>
  <c r="C81" i="7"/>
  <c r="G76" i="7"/>
  <c r="F75" i="7"/>
  <c r="G75" i="7" s="1"/>
  <c r="F72" i="7"/>
  <c r="G72" i="7" s="1"/>
  <c r="G71" i="7"/>
  <c r="F71" i="7"/>
  <c r="G70" i="7"/>
  <c r="F70" i="7"/>
  <c r="G68" i="7"/>
  <c r="F67" i="7"/>
  <c r="G67" i="7" s="1"/>
  <c r="F66" i="7"/>
  <c r="G66" i="7" s="1"/>
  <c r="E60" i="7"/>
  <c r="D60" i="7"/>
  <c r="E50" i="7"/>
  <c r="D50" i="7"/>
  <c r="D37" i="7"/>
  <c r="E37" i="7" s="1"/>
  <c r="E28" i="7"/>
  <c r="D28" i="7"/>
  <c r="C15" i="7"/>
  <c r="C14" i="7"/>
  <c r="F74" i="7" s="1"/>
  <c r="G74" i="7" s="1"/>
  <c r="C13" i="7"/>
  <c r="C12" i="7"/>
  <c r="F73" i="7" s="1"/>
  <c r="G73" i="7" s="1"/>
  <c r="C8" i="7"/>
  <c r="F69" i="7" s="1"/>
  <c r="G69" i="7" s="1"/>
  <c r="C7" i="7"/>
  <c r="F68" i="7" s="1"/>
  <c r="C6" i="7"/>
  <c r="C5" i="7"/>
  <c r="H1" i="7"/>
  <c r="C3" i="7" s="1"/>
  <c r="C49" i="6"/>
  <c r="C48" i="6"/>
  <c r="B45" i="6"/>
  <c r="D45" i="6" s="1"/>
  <c r="C43" i="6"/>
  <c r="B12" i="6"/>
  <c r="B13" i="6" s="1"/>
  <c r="B19" i="6" s="1"/>
  <c r="B3" i="6"/>
  <c r="B9" i="6" s="1"/>
  <c r="F202" i="5"/>
  <c r="F201" i="5"/>
  <c r="C201" i="5"/>
  <c r="D201" i="5" s="1"/>
  <c r="E201" i="5" s="1"/>
  <c r="F200" i="5"/>
  <c r="D200" i="5"/>
  <c r="E200" i="5" s="1"/>
  <c r="C200" i="5"/>
  <c r="F199" i="5"/>
  <c r="C199" i="5"/>
  <c r="D199" i="5" s="1"/>
  <c r="E199" i="5" s="1"/>
  <c r="F198" i="5"/>
  <c r="C198" i="5"/>
  <c r="D198" i="5" s="1"/>
  <c r="E198" i="5" s="1"/>
  <c r="F197" i="5"/>
  <c r="D197" i="5"/>
  <c r="E197" i="5" s="1"/>
  <c r="C197" i="5"/>
  <c r="E178" i="5"/>
  <c r="E177" i="5"/>
  <c r="E176" i="5"/>
  <c r="A151" i="5"/>
  <c r="A150" i="5"/>
  <c r="A149" i="5"/>
  <c r="J137" i="5"/>
  <c r="J136" i="5"/>
  <c r="J135" i="5"/>
  <c r="J133" i="5"/>
  <c r="J132" i="5"/>
  <c r="E129" i="5"/>
  <c r="B136" i="5" s="1"/>
  <c r="B158" i="5" s="1"/>
  <c r="E128" i="5"/>
  <c r="F128" i="5" s="1"/>
  <c r="F127" i="5"/>
  <c r="E127" i="5"/>
  <c r="E126" i="5"/>
  <c r="F126" i="5" s="1"/>
  <c r="E125" i="5"/>
  <c r="F125" i="5" s="1"/>
  <c r="F124" i="5"/>
  <c r="E124" i="5"/>
  <c r="F123" i="5"/>
  <c r="E123" i="5"/>
  <c r="F121" i="5"/>
  <c r="E121" i="5"/>
  <c r="F120" i="5"/>
  <c r="E120" i="5"/>
  <c r="F119" i="5"/>
  <c r="E119" i="5"/>
  <c r="F118" i="5"/>
  <c r="E118" i="5"/>
  <c r="F117" i="5"/>
  <c r="E117" i="5"/>
  <c r="F116" i="5"/>
  <c r="E116" i="5"/>
  <c r="F115" i="5"/>
  <c r="E115" i="5"/>
  <c r="F114" i="5"/>
  <c r="E114" i="5"/>
  <c r="F113" i="5"/>
  <c r="E113" i="5"/>
  <c r="C104" i="5"/>
  <c r="D104" i="5" s="1"/>
  <c r="E103" i="5"/>
  <c r="B90" i="5"/>
  <c r="C90" i="5" s="1"/>
  <c r="D90" i="5" s="1"/>
  <c r="C89" i="5"/>
  <c r="D89" i="5" s="1"/>
  <c r="B89" i="5"/>
  <c r="C87" i="5"/>
  <c r="B81" i="5"/>
  <c r="C81" i="5" s="1"/>
  <c r="D81" i="5" s="1"/>
  <c r="D80" i="5"/>
  <c r="C80" i="5"/>
  <c r="C79" i="5"/>
  <c r="E70" i="5"/>
  <c r="C70" i="5"/>
  <c r="C42" i="5"/>
  <c r="B42" i="5"/>
  <c r="B87" i="5" s="1"/>
  <c r="C41" i="5"/>
  <c r="B41" i="5"/>
  <c r="B40" i="5"/>
  <c r="B43" i="5" s="1"/>
  <c r="B37" i="5"/>
  <c r="J30" i="5"/>
  <c r="C14" i="5" s="1"/>
  <c r="H30" i="5"/>
  <c r="F30" i="5"/>
  <c r="C30" i="5"/>
  <c r="E30" i="5" s="1"/>
  <c r="B47" i="6" s="1"/>
  <c r="D47" i="6" s="1"/>
  <c r="F29" i="5"/>
  <c r="C29" i="5"/>
  <c r="E29" i="5" s="1"/>
  <c r="B46" i="6" s="1"/>
  <c r="D46" i="6" s="1"/>
  <c r="F28" i="5"/>
  <c r="C28" i="5"/>
  <c r="E28" i="5" s="1"/>
  <c r="F27" i="5"/>
  <c r="C27" i="5"/>
  <c r="E27" i="5" s="1"/>
  <c r="F26" i="5"/>
  <c r="C26" i="5"/>
  <c r="E26" i="5" s="1"/>
  <c r="B44" i="6" s="1"/>
  <c r="D44" i="6" s="1"/>
  <c r="F25" i="5"/>
  <c r="E25" i="5"/>
  <c r="C25" i="5"/>
  <c r="F24" i="5"/>
  <c r="C24" i="5"/>
  <c r="E24" i="5" s="1"/>
  <c r="F23" i="5"/>
  <c r="C23" i="5"/>
  <c r="E23" i="5" s="1"/>
  <c r="F22" i="5"/>
  <c r="C22" i="5"/>
  <c r="E22" i="5" s="1"/>
  <c r="F21" i="5"/>
  <c r="C21" i="5"/>
  <c r="E21" i="5" s="1"/>
  <c r="F20" i="5"/>
  <c r="C20" i="5"/>
  <c r="E20" i="5" s="1"/>
  <c r="F19" i="5"/>
  <c r="E19" i="5"/>
  <c r="C19" i="5"/>
  <c r="F18" i="5"/>
  <c r="C18" i="5"/>
  <c r="E18" i="5" s="1"/>
  <c r="F17" i="5"/>
  <c r="C17" i="5"/>
  <c r="E17" i="5" s="1"/>
  <c r="F16" i="5"/>
  <c r="C16" i="5"/>
  <c r="E16" i="5" s="1"/>
  <c r="B49" i="6" s="1"/>
  <c r="D49" i="6" s="1"/>
  <c r="F15" i="5"/>
  <c r="C15" i="5"/>
  <c r="E15" i="5" s="1"/>
  <c r="B48" i="6" s="1"/>
  <c r="F14" i="5"/>
  <c r="C40" i="5" s="1"/>
  <c r="C9" i="5"/>
  <c r="C8" i="5"/>
  <c r="S5" i="5"/>
  <c r="G22" i="11" s="1"/>
  <c r="R5" i="5"/>
  <c r="F22" i="11" s="1"/>
  <c r="Q5" i="5"/>
  <c r="E22" i="11" s="1"/>
  <c r="P5" i="5"/>
  <c r="O5" i="5"/>
  <c r="B5" i="5"/>
  <c r="B2" i="5"/>
  <c r="C7" i="5" s="1"/>
  <c r="F123" i="4"/>
  <c r="E123" i="4"/>
  <c r="D123" i="4"/>
  <c r="C123" i="4"/>
  <c r="B123" i="4"/>
  <c r="F110" i="4"/>
  <c r="E110" i="4"/>
  <c r="E4" i="13" s="1"/>
  <c r="D110" i="4"/>
  <c r="C110" i="4"/>
  <c r="B110" i="4"/>
  <c r="F103" i="4"/>
  <c r="E103" i="4"/>
  <c r="D103" i="4"/>
  <c r="C103" i="4"/>
  <c r="B103" i="4"/>
  <c r="F102" i="4"/>
  <c r="I49" i="17" s="1"/>
  <c r="E102" i="4"/>
  <c r="D102" i="4"/>
  <c r="C102" i="4"/>
  <c r="B102" i="4"/>
  <c r="F86" i="4"/>
  <c r="E86" i="4"/>
  <c r="D86" i="4"/>
  <c r="C86" i="4"/>
  <c r="B86" i="4"/>
  <c r="F65" i="4"/>
  <c r="E65" i="4"/>
  <c r="D65" i="4"/>
  <c r="C65" i="4"/>
  <c r="B65" i="4"/>
  <c r="E8" i="4"/>
  <c r="E113" i="4" s="1"/>
  <c r="C8" i="4"/>
  <c r="C113" i="4" s="1"/>
  <c r="E3" i="4"/>
  <c r="B135" i="3"/>
  <c r="B125" i="3"/>
  <c r="D119" i="3"/>
  <c r="D118" i="3"/>
  <c r="D117" i="3"/>
  <c r="D116" i="3"/>
  <c r="D115" i="3"/>
  <c r="D114" i="3"/>
  <c r="D120" i="3" s="1"/>
  <c r="D121" i="3" s="1"/>
  <c r="D11" i="2" s="1"/>
  <c r="C108" i="3"/>
  <c r="B105" i="3"/>
  <c r="B99" i="3"/>
  <c r="C99" i="3" s="1"/>
  <c r="C97" i="3"/>
  <c r="B88" i="3"/>
  <c r="B90" i="3" s="1"/>
  <c r="B83" i="3"/>
  <c r="B77" i="3"/>
  <c r="B82" i="3" s="1"/>
  <c r="D71" i="3"/>
  <c r="D70" i="3"/>
  <c r="D69" i="3"/>
  <c r="D68" i="3"/>
  <c r="D67" i="3"/>
  <c r="C61" i="3"/>
  <c r="B54" i="3"/>
  <c r="B53" i="3"/>
  <c r="B43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39" i="3" s="1"/>
  <c r="B15" i="2" s="1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22" i="3" s="1"/>
  <c r="B16" i="2" s="1"/>
  <c r="C262" i="5" s="1"/>
  <c r="E262" i="5" s="1"/>
  <c r="D3" i="3"/>
  <c r="E49" i="2"/>
  <c r="D49" i="2"/>
  <c r="G49" i="2" s="1"/>
  <c r="B47" i="2"/>
  <c r="G47" i="2" s="1"/>
  <c r="E35" i="2"/>
  <c r="B29" i="2"/>
  <c r="B25" i="2"/>
  <c r="B24" i="2"/>
  <c r="B18" i="2"/>
  <c r="B14" i="2"/>
  <c r="D13" i="2"/>
  <c r="B8" i="2"/>
  <c r="B7" i="2"/>
  <c r="E1" i="2"/>
  <c r="I52" i="17" l="1"/>
  <c r="D121" i="17" s="1"/>
  <c r="C260" i="5"/>
  <c r="E260" i="5" s="1"/>
  <c r="D55" i="6"/>
  <c r="D54" i="6"/>
  <c r="D19" i="2"/>
  <c r="D21" i="2" s="1"/>
  <c r="D35" i="2" s="1"/>
  <c r="B50" i="2"/>
  <c r="B7" i="10"/>
  <c r="E162" i="4"/>
  <c r="I50" i="17"/>
  <c r="D87" i="5"/>
  <c r="B4" i="13"/>
  <c r="B78" i="7"/>
  <c r="D72" i="3"/>
  <c r="B17" i="2" s="1"/>
  <c r="B45" i="2" s="1"/>
  <c r="F129" i="5"/>
  <c r="B206" i="5"/>
  <c r="C261" i="5"/>
  <c r="E261" i="5" s="1"/>
  <c r="B51" i="2"/>
  <c r="B52" i="2"/>
  <c r="B28" i="2"/>
  <c r="C43" i="5"/>
  <c r="E14" i="5"/>
  <c r="C37" i="5"/>
  <c r="B21" i="2"/>
  <c r="B48" i="2"/>
  <c r="B19" i="2"/>
  <c r="E161" i="4"/>
  <c r="D41" i="5"/>
  <c r="B46" i="2"/>
  <c r="G46" i="2" s="1"/>
  <c r="C259" i="5"/>
  <c r="E259" i="5" s="1"/>
  <c r="E36" i="2"/>
  <c r="E38" i="2" s="1"/>
  <c r="D48" i="6"/>
  <c r="D7" i="20"/>
  <c r="E11" i="10"/>
  <c r="E9" i="20"/>
  <c r="D8" i="4"/>
  <c r="D113" i="4" s="1"/>
  <c r="B50" i="17"/>
  <c r="B162" i="4"/>
  <c r="C4" i="13"/>
  <c r="C10" i="5"/>
  <c r="F8" i="4"/>
  <c r="F113" i="4" s="1"/>
  <c r="F10" i="19"/>
  <c r="F13" i="18"/>
  <c r="C22" i="11"/>
  <c r="D103" i="5"/>
  <c r="D105" i="5" s="1"/>
  <c r="B87" i="4" s="1"/>
  <c r="E249" i="5"/>
  <c r="E104" i="5"/>
  <c r="E105" i="5" s="1"/>
  <c r="B17" i="6"/>
  <c r="G7" i="20"/>
  <c r="B49" i="17"/>
  <c r="B161" i="4"/>
  <c r="D4" i="13"/>
  <c r="D42" i="5"/>
  <c r="F4" i="13"/>
  <c r="D22" i="11"/>
  <c r="F249" i="5"/>
  <c r="B21" i="6"/>
  <c r="C217" i="5" s="1"/>
  <c r="F7" i="20"/>
  <c r="G9" i="20"/>
  <c r="C7" i="20"/>
  <c r="B6" i="8"/>
  <c r="D9" i="20"/>
  <c r="I51" i="17"/>
  <c r="E27" i="20"/>
  <c r="D29" i="20" s="1"/>
  <c r="D28" i="20" s="1"/>
  <c r="F18" i="19"/>
  <c r="B52" i="17"/>
  <c r="B10" i="18"/>
  <c r="B12" i="18" s="1"/>
  <c r="B14" i="18" s="1"/>
  <c r="D107" i="17" l="1"/>
  <c r="D113" i="17"/>
  <c r="D145" i="17"/>
  <c r="D122" i="17"/>
  <c r="D135" i="17"/>
  <c r="D136" i="17"/>
  <c r="D140" i="17"/>
  <c r="D106" i="17"/>
  <c r="D117" i="17"/>
  <c r="D109" i="17"/>
  <c r="D108" i="17"/>
  <c r="D112" i="17"/>
  <c r="D119" i="17"/>
  <c r="D124" i="17"/>
  <c r="D128" i="17"/>
  <c r="D127" i="17"/>
  <c r="D130" i="17"/>
  <c r="D132" i="17"/>
  <c r="D114" i="17"/>
  <c r="D123" i="17"/>
  <c r="D139" i="17"/>
  <c r="D125" i="17"/>
  <c r="D102" i="17"/>
  <c r="D126" i="17"/>
  <c r="D141" i="17"/>
  <c r="D142" i="17"/>
  <c r="D138" i="17"/>
  <c r="D115" i="17"/>
  <c r="D146" i="17"/>
  <c r="D120" i="17"/>
  <c r="D134" i="17"/>
  <c r="D144" i="17"/>
  <c r="D147" i="17"/>
  <c r="D143" i="17"/>
  <c r="D118" i="17"/>
  <c r="D137" i="17"/>
  <c r="D131" i="17"/>
  <c r="D110" i="17"/>
  <c r="D105" i="17"/>
  <c r="D104" i="17"/>
  <c r="D103" i="17"/>
  <c r="D133" i="17"/>
  <c r="D129" i="17"/>
  <c r="D116" i="17"/>
  <c r="D111" i="17"/>
  <c r="D36" i="2"/>
  <c r="D38" i="2"/>
  <c r="F7" i="4"/>
  <c r="D7" i="4"/>
  <c r="E7" i="4"/>
  <c r="E87" i="7"/>
  <c r="C7" i="4"/>
  <c r="D13" i="18"/>
  <c r="D10" i="19"/>
  <c r="D96" i="17"/>
  <c r="D93" i="17"/>
  <c r="D90" i="17"/>
  <c r="D87" i="17"/>
  <c r="D84" i="17"/>
  <c r="D81" i="17"/>
  <c r="D78" i="17"/>
  <c r="D75" i="17"/>
  <c r="D72" i="17"/>
  <c r="D69" i="17"/>
  <c r="D66" i="17"/>
  <c r="D63" i="17"/>
  <c r="D60" i="17"/>
  <c r="D91" i="17"/>
  <c r="D82" i="17"/>
  <c r="D73" i="17"/>
  <c r="D64" i="17"/>
  <c r="D92" i="17"/>
  <c r="D83" i="17"/>
  <c r="D74" i="17"/>
  <c r="D65" i="17"/>
  <c r="D97" i="17"/>
  <c r="D88" i="17"/>
  <c r="D79" i="17"/>
  <c r="D70" i="17"/>
  <c r="D61" i="17"/>
  <c r="D86" i="17"/>
  <c r="D68" i="17"/>
  <c r="D95" i="17"/>
  <c r="D77" i="17"/>
  <c r="D80" i="17"/>
  <c r="D62" i="17"/>
  <c r="D67" i="17"/>
  <c r="D94" i="17"/>
  <c r="D85" i="17"/>
  <c r="D76" i="17"/>
  <c r="D71" i="17"/>
  <c r="D89" i="17"/>
  <c r="B7" i="20"/>
  <c r="C11" i="10"/>
  <c r="B24" i="6"/>
  <c r="F209" i="4"/>
  <c r="F206" i="4"/>
  <c r="F203" i="4"/>
  <c r="F200" i="4"/>
  <c r="F197" i="4"/>
  <c r="F194" i="4"/>
  <c r="F191" i="4"/>
  <c r="F188" i="4"/>
  <c r="F185" i="4"/>
  <c r="F182" i="4"/>
  <c r="F179" i="4"/>
  <c r="F176" i="4"/>
  <c r="F173" i="4"/>
  <c r="F208" i="4"/>
  <c r="F205" i="4"/>
  <c r="F202" i="4"/>
  <c r="F199" i="4"/>
  <c r="F196" i="4"/>
  <c r="F193" i="4"/>
  <c r="F190" i="4"/>
  <c r="F187" i="4"/>
  <c r="F184" i="4"/>
  <c r="F181" i="4"/>
  <c r="F178" i="4"/>
  <c r="F175" i="4"/>
  <c r="F172" i="4"/>
  <c r="F207" i="4"/>
  <c r="F204" i="4"/>
  <c r="F201" i="4"/>
  <c r="F198" i="4"/>
  <c r="F195" i="4"/>
  <c r="F192" i="4"/>
  <c r="F189" i="4"/>
  <c r="F186" i="4"/>
  <c r="F183" i="4"/>
  <c r="F180" i="4"/>
  <c r="F177" i="4"/>
  <c r="F174" i="4"/>
  <c r="F257" i="4"/>
  <c r="F254" i="4"/>
  <c r="F251" i="4"/>
  <c r="F248" i="4"/>
  <c r="F245" i="4"/>
  <c r="F242" i="4"/>
  <c r="F239" i="4"/>
  <c r="F236" i="4"/>
  <c r="F233" i="4"/>
  <c r="F230" i="4"/>
  <c r="F227" i="4"/>
  <c r="F224" i="4"/>
  <c r="F221" i="4"/>
  <c r="F218" i="4"/>
  <c r="F215" i="4"/>
  <c r="F256" i="4"/>
  <c r="F253" i="4"/>
  <c r="F250" i="4"/>
  <c r="F247" i="4"/>
  <c r="F244" i="4"/>
  <c r="F241" i="4"/>
  <c r="F238" i="4"/>
  <c r="F235" i="4"/>
  <c r="F232" i="4"/>
  <c r="F229" i="4"/>
  <c r="F226" i="4"/>
  <c r="F223" i="4"/>
  <c r="F220" i="4"/>
  <c r="F217" i="4"/>
  <c r="F214" i="4"/>
  <c r="F258" i="4"/>
  <c r="F255" i="4"/>
  <c r="F252" i="4"/>
  <c r="F249" i="4"/>
  <c r="F246" i="4"/>
  <c r="F243" i="4"/>
  <c r="F240" i="4"/>
  <c r="F237" i="4"/>
  <c r="F234" i="4"/>
  <c r="F231" i="4"/>
  <c r="F228" i="4"/>
  <c r="F225" i="4"/>
  <c r="F222" i="4"/>
  <c r="F219" i="4"/>
  <c r="F216" i="4"/>
  <c r="F213" i="4"/>
  <c r="F32" i="4"/>
  <c r="D32" i="4"/>
  <c r="E32" i="4"/>
  <c r="C32" i="4"/>
  <c r="B32" i="4"/>
  <c r="C6" i="10"/>
  <c r="F141" i="17"/>
  <c r="F137" i="17"/>
  <c r="F135" i="17"/>
  <c r="F128" i="17"/>
  <c r="F125" i="17"/>
  <c r="F122" i="17"/>
  <c r="F119" i="17"/>
  <c r="F116" i="17"/>
  <c r="F113" i="17"/>
  <c r="F110" i="17"/>
  <c r="F107" i="17"/>
  <c r="F104" i="17"/>
  <c r="F145" i="17"/>
  <c r="F140" i="17"/>
  <c r="F133" i="17"/>
  <c r="F131" i="17"/>
  <c r="F127" i="17"/>
  <c r="F118" i="17"/>
  <c r="F109" i="17"/>
  <c r="F144" i="17"/>
  <c r="F132" i="17"/>
  <c r="F130" i="17"/>
  <c r="F126" i="17"/>
  <c r="F117" i="17"/>
  <c r="F108" i="17"/>
  <c r="F138" i="17"/>
  <c r="F136" i="17"/>
  <c r="F134" i="17"/>
  <c r="F124" i="17"/>
  <c r="F115" i="17"/>
  <c r="F106" i="17"/>
  <c r="F143" i="17"/>
  <c r="F129" i="17"/>
  <c r="F111" i="17"/>
  <c r="F146" i="17"/>
  <c r="F120" i="17"/>
  <c r="F102" i="17"/>
  <c r="F123" i="17"/>
  <c r="F105" i="17"/>
  <c r="I53" i="17"/>
  <c r="F147" i="17"/>
  <c r="F121" i="17"/>
  <c r="F112" i="17"/>
  <c r="F103" i="17"/>
  <c r="F142" i="17"/>
  <c r="F139" i="17"/>
  <c r="F114" i="17"/>
  <c r="B25" i="6"/>
  <c r="B8" i="4"/>
  <c r="B68" i="5"/>
  <c r="B69" i="5"/>
  <c r="D69" i="5" s="1"/>
  <c r="B207" i="5"/>
  <c r="B208" i="5" s="1"/>
  <c r="C206" i="5"/>
  <c r="C207" i="5" s="1"/>
  <c r="C208" i="5" s="1"/>
  <c r="B35" i="4" s="1"/>
  <c r="C13" i="18"/>
  <c r="C10" i="19"/>
  <c r="G4" i="13"/>
  <c r="B8" i="10"/>
  <c r="F55" i="6"/>
  <c r="H55" i="6" s="1"/>
  <c r="E55" i="6"/>
  <c r="G55" i="6" s="1"/>
  <c r="I55" i="6" s="1"/>
  <c r="C145" i="17"/>
  <c r="E145" i="17" s="1"/>
  <c r="C142" i="17"/>
  <c r="C139" i="17"/>
  <c r="C136" i="17"/>
  <c r="E136" i="17" s="1"/>
  <c r="C133" i="17"/>
  <c r="C130" i="17"/>
  <c r="E130" i="17" s="1"/>
  <c r="C146" i="17"/>
  <c r="C143" i="17"/>
  <c r="C140" i="17"/>
  <c r="C144" i="17"/>
  <c r="C134" i="17"/>
  <c r="C126" i="17"/>
  <c r="C124" i="17"/>
  <c r="E124" i="17" s="1"/>
  <c r="C117" i="17"/>
  <c r="C115" i="17"/>
  <c r="C108" i="17"/>
  <c r="C106" i="17"/>
  <c r="E106" i="17" s="1"/>
  <c r="C137" i="17"/>
  <c r="C135" i="17"/>
  <c r="E135" i="17" s="1"/>
  <c r="C125" i="17"/>
  <c r="C116" i="17"/>
  <c r="C107" i="17"/>
  <c r="E107" i="17" s="1"/>
  <c r="C147" i="17"/>
  <c r="C123" i="17"/>
  <c r="C121" i="17"/>
  <c r="E121" i="17" s="1"/>
  <c r="C114" i="17"/>
  <c r="C112" i="17"/>
  <c r="C105" i="17"/>
  <c r="E105" i="17" s="1"/>
  <c r="C103" i="17"/>
  <c r="C119" i="17"/>
  <c r="E119" i="17" s="1"/>
  <c r="C141" i="17"/>
  <c r="C132" i="17"/>
  <c r="E132" i="17" s="1"/>
  <c r="C128" i="17"/>
  <c r="C110" i="17"/>
  <c r="E110" i="17" s="1"/>
  <c r="C113" i="17"/>
  <c r="E113" i="17" s="1"/>
  <c r="C129" i="17"/>
  <c r="C127" i="17"/>
  <c r="E127" i="17" s="1"/>
  <c r="C120" i="17"/>
  <c r="C118" i="17"/>
  <c r="C111" i="17"/>
  <c r="C109" i="17"/>
  <c r="C104" i="17"/>
  <c r="C102" i="17"/>
  <c r="C122" i="17"/>
  <c r="C138" i="17"/>
  <c r="C131" i="17"/>
  <c r="E131" i="17" s="1"/>
  <c r="C69" i="5"/>
  <c r="E69" i="5" s="1"/>
  <c r="C68" i="5"/>
  <c r="E41" i="5"/>
  <c r="F87" i="4"/>
  <c r="E87" i="4"/>
  <c r="D87" i="4"/>
  <c r="C87" i="4"/>
  <c r="E42" i="5"/>
  <c r="E52" i="2"/>
  <c r="D52" i="2"/>
  <c r="G52" i="2" s="1"/>
  <c r="B140" i="5"/>
  <c r="B137" i="5"/>
  <c r="B138" i="5" s="1"/>
  <c r="B31" i="2"/>
  <c r="B33" i="2" s="1"/>
  <c r="E10" i="19"/>
  <c r="E13" i="18"/>
  <c r="E247" i="5"/>
  <c r="E243" i="5"/>
  <c r="E242" i="5"/>
  <c r="D230" i="5"/>
  <c r="B60" i="5"/>
  <c r="E248" i="5"/>
  <c r="F248" i="5" s="1"/>
  <c r="E48" i="2"/>
  <c r="C258" i="5"/>
  <c r="E258" i="5" s="1"/>
  <c r="E263" i="5" s="1"/>
  <c r="D48" i="2"/>
  <c r="G48" i="2"/>
  <c r="B43" i="6"/>
  <c r="D43" i="6" s="1"/>
  <c r="D51" i="6" s="1"/>
  <c r="D40" i="5"/>
  <c r="E142" i="17"/>
  <c r="G51" i="2"/>
  <c r="D51" i="2"/>
  <c r="E51" i="2"/>
  <c r="F54" i="6"/>
  <c r="E54" i="6"/>
  <c r="G54" i="6" s="1"/>
  <c r="F97" i="17"/>
  <c r="F94" i="17"/>
  <c r="F91" i="17"/>
  <c r="F88" i="17"/>
  <c r="F85" i="17"/>
  <c r="F82" i="17"/>
  <c r="F79" i="17"/>
  <c r="F76" i="17"/>
  <c r="F73" i="17"/>
  <c r="F70" i="17"/>
  <c r="F67" i="17"/>
  <c r="F64" i="17"/>
  <c r="F61" i="17"/>
  <c r="F96" i="17"/>
  <c r="F87" i="17"/>
  <c r="F78" i="17"/>
  <c r="F69" i="17"/>
  <c r="F60" i="17"/>
  <c r="F95" i="17"/>
  <c r="F86" i="17"/>
  <c r="F77" i="17"/>
  <c r="F68" i="17"/>
  <c r="F93" i="17"/>
  <c r="F84" i="17"/>
  <c r="F75" i="17"/>
  <c r="F66" i="17"/>
  <c r="F89" i="17"/>
  <c r="F71" i="17"/>
  <c r="F80" i="17"/>
  <c r="F62" i="17"/>
  <c r="F83" i="17"/>
  <c r="F65" i="17"/>
  <c r="F81" i="17"/>
  <c r="F72" i="17"/>
  <c r="F63" i="17"/>
  <c r="F92" i="17"/>
  <c r="F90" i="17"/>
  <c r="F74" i="17"/>
  <c r="B51" i="17"/>
  <c r="G13" i="18"/>
  <c r="G10" i="19"/>
  <c r="B53" i="2"/>
  <c r="G45" i="2"/>
  <c r="D50" i="2"/>
  <c r="G50" i="2" s="1"/>
  <c r="E50" i="2"/>
  <c r="E122" i="17" l="1"/>
  <c r="E109" i="17"/>
  <c r="E108" i="17"/>
  <c r="E112" i="17"/>
  <c r="E139" i="17"/>
  <c r="E114" i="17"/>
  <c r="E117" i="17"/>
  <c r="E123" i="17"/>
  <c r="E128" i="17"/>
  <c r="E140" i="17"/>
  <c r="E115" i="17"/>
  <c r="E125" i="17"/>
  <c r="E143" i="17"/>
  <c r="E111" i="17"/>
  <c r="E129" i="17"/>
  <c r="E134" i="17"/>
  <c r="E144" i="17"/>
  <c r="E141" i="17"/>
  <c r="E104" i="17"/>
  <c r="E103" i="17"/>
  <c r="E147" i="17"/>
  <c r="E133" i="17"/>
  <c r="E120" i="17"/>
  <c r="E146" i="17"/>
  <c r="E102" i="17"/>
  <c r="E137" i="17"/>
  <c r="E126" i="17"/>
  <c r="E138" i="17"/>
  <c r="E118" i="17"/>
  <c r="E116" i="17"/>
  <c r="C7" i="10"/>
  <c r="B35" i="2"/>
  <c r="D53" i="2"/>
  <c r="D54" i="2" s="1"/>
  <c r="G53" i="2"/>
  <c r="E53" i="2"/>
  <c r="C71" i="5"/>
  <c r="E68" i="5"/>
  <c r="E71" i="5" s="1"/>
  <c r="B156" i="5"/>
  <c r="B6" i="17"/>
  <c r="C8" i="10"/>
  <c r="I6" i="10"/>
  <c r="E56" i="6"/>
  <c r="G56" i="6" s="1"/>
  <c r="I56" i="6" s="1"/>
  <c r="C112" i="4"/>
  <c r="I54" i="6"/>
  <c r="E244" i="5"/>
  <c r="H10" i="19"/>
  <c r="B113" i="4"/>
  <c r="G32" i="4"/>
  <c r="E14" i="9"/>
  <c r="E15" i="9" s="1"/>
  <c r="D10" i="8" s="1"/>
  <c r="F104" i="7"/>
  <c r="D14" i="9"/>
  <c r="D15" i="9" s="1"/>
  <c r="C10" i="8" s="1"/>
  <c r="H14" i="9"/>
  <c r="H15" i="9" s="1"/>
  <c r="G10" i="8" s="1"/>
  <c r="E100" i="7"/>
  <c r="G14" i="9"/>
  <c r="G15" i="9" s="1"/>
  <c r="F10" i="8" s="1"/>
  <c r="C268" i="5"/>
  <c r="F268" i="5" s="1"/>
  <c r="D266" i="5"/>
  <c r="G266" i="5" s="1"/>
  <c r="F14" i="9"/>
  <c r="F15" i="9" s="1"/>
  <c r="E10" i="8" s="1"/>
  <c r="C266" i="5"/>
  <c r="F266" i="5" s="1"/>
  <c r="C215" i="5"/>
  <c r="D268" i="5"/>
  <c r="G268" i="5" s="1"/>
  <c r="C14" i="9"/>
  <c r="C15" i="9" s="1"/>
  <c r="B10" i="8" s="1"/>
  <c r="F107" i="7"/>
  <c r="F102" i="7"/>
  <c r="B7" i="4" s="1"/>
  <c r="C95" i="17"/>
  <c r="E95" i="17" s="1"/>
  <c r="C93" i="17"/>
  <c r="E93" i="17" s="1"/>
  <c r="C86" i="17"/>
  <c r="E86" i="17" s="1"/>
  <c r="C84" i="17"/>
  <c r="E84" i="17" s="1"/>
  <c r="C77" i="17"/>
  <c r="E77" i="17" s="1"/>
  <c r="C75" i="17"/>
  <c r="E75" i="17" s="1"/>
  <c r="C68" i="17"/>
  <c r="E68" i="17" s="1"/>
  <c r="C66" i="17"/>
  <c r="E66" i="17" s="1"/>
  <c r="C94" i="17"/>
  <c r="E94" i="17" s="1"/>
  <c r="C85" i="17"/>
  <c r="E85" i="17" s="1"/>
  <c r="C76" i="17"/>
  <c r="E76" i="17" s="1"/>
  <c r="C67" i="17"/>
  <c r="E67" i="17" s="1"/>
  <c r="C92" i="17"/>
  <c r="C90" i="17"/>
  <c r="E90" i="17" s="1"/>
  <c r="C83" i="17"/>
  <c r="E83" i="17" s="1"/>
  <c r="C81" i="17"/>
  <c r="E81" i="17" s="1"/>
  <c r="C74" i="17"/>
  <c r="E74" i="17" s="1"/>
  <c r="C72" i="17"/>
  <c r="E72" i="17" s="1"/>
  <c r="C65" i="17"/>
  <c r="E65" i="17" s="1"/>
  <c r="C63" i="17"/>
  <c r="E63" i="17" s="1"/>
  <c r="C97" i="17"/>
  <c r="E97" i="17" s="1"/>
  <c r="C79" i="17"/>
  <c r="E79" i="17" s="1"/>
  <c r="C61" i="17"/>
  <c r="E61" i="17" s="1"/>
  <c r="C88" i="17"/>
  <c r="E88" i="17" s="1"/>
  <c r="C70" i="17"/>
  <c r="E70" i="17" s="1"/>
  <c r="C91" i="17"/>
  <c r="E91" i="17" s="1"/>
  <c r="C73" i="17"/>
  <c r="E73" i="17" s="1"/>
  <c r="C96" i="17"/>
  <c r="E96" i="17" s="1"/>
  <c r="C89" i="17"/>
  <c r="E89" i="17" s="1"/>
  <c r="C60" i="17"/>
  <c r="E60" i="17" s="1"/>
  <c r="C87" i="17"/>
  <c r="E87" i="17" s="1"/>
  <c r="C80" i="17"/>
  <c r="E80" i="17" s="1"/>
  <c r="C78" i="17"/>
  <c r="E78" i="17" s="1"/>
  <c r="C71" i="17"/>
  <c r="E71" i="17" s="1"/>
  <c r="C64" i="17"/>
  <c r="E64" i="17" s="1"/>
  <c r="C62" i="17"/>
  <c r="E62" i="17" s="1"/>
  <c r="C69" i="17"/>
  <c r="E69" i="17" s="1"/>
  <c r="C82" i="17"/>
  <c r="E82" i="17" s="1"/>
  <c r="F16" i="4"/>
  <c r="D16" i="4"/>
  <c r="E16" i="4"/>
  <c r="C16" i="4"/>
  <c r="B16" i="4"/>
  <c r="B53" i="17"/>
  <c r="D68" i="5"/>
  <c r="D71" i="5" s="1"/>
  <c r="B71" i="5"/>
  <c r="B12" i="17"/>
  <c r="B54" i="2"/>
  <c r="E54" i="2"/>
  <c r="E250" i="5"/>
  <c r="B88" i="4" s="1"/>
  <c r="F247" i="5"/>
  <c r="F250" i="5" s="1"/>
  <c r="E92" i="17"/>
  <c r="D112" i="4"/>
  <c r="C11" i="4"/>
  <c r="E57" i="6" s="1"/>
  <c r="G57" i="6" s="1"/>
  <c r="I57" i="6" s="1"/>
  <c r="B11" i="4"/>
  <c r="D57" i="6" s="1"/>
  <c r="F57" i="6" s="1"/>
  <c r="H57" i="6" s="1"/>
  <c r="F11" i="4"/>
  <c r="E11" i="4"/>
  <c r="D11" i="4"/>
  <c r="E137" i="5"/>
  <c r="B161" i="5" s="1"/>
  <c r="C138" i="5"/>
  <c r="D231" i="5"/>
  <c r="D232" i="5" s="1"/>
  <c r="D235" i="5"/>
  <c r="D236" i="5" s="1"/>
  <c r="D237" i="5" s="1"/>
  <c r="B40" i="4" s="1"/>
  <c r="H54" i="6"/>
  <c r="E90" i="4"/>
  <c r="D69" i="4"/>
  <c r="C90" i="4"/>
  <c r="B69" i="4"/>
  <c r="D90" i="4"/>
  <c r="C69" i="4"/>
  <c r="B90" i="4"/>
  <c r="E69" i="4"/>
  <c r="F69" i="4"/>
  <c r="F90" i="4"/>
  <c r="E112" i="4"/>
  <c r="G54" i="2"/>
  <c r="D43" i="5"/>
  <c r="E43" i="5" s="1"/>
  <c r="E40" i="5"/>
  <c r="C81" i="4"/>
  <c r="B88" i="5"/>
  <c r="C88" i="5" s="1"/>
  <c r="B81" i="4"/>
  <c r="F81" i="4"/>
  <c r="E81" i="4"/>
  <c r="D81" i="4"/>
  <c r="C60" i="4"/>
  <c r="B82" i="5"/>
  <c r="C82" i="5" s="1"/>
  <c r="B60" i="4"/>
  <c r="F60" i="4"/>
  <c r="D60" i="4"/>
  <c r="E60" i="4"/>
  <c r="B21" i="10"/>
  <c r="B4" i="12"/>
  <c r="E35" i="4"/>
  <c r="F35" i="4"/>
  <c r="D35" i="4"/>
  <c r="C35" i="4"/>
  <c r="F112" i="4"/>
  <c r="C88" i="4" l="1"/>
  <c r="F88" i="4"/>
  <c r="E88" i="4"/>
  <c r="D88" i="4"/>
  <c r="C21" i="20"/>
  <c r="E21" i="20"/>
  <c r="D21" i="20"/>
  <c r="C52" i="5"/>
  <c r="H22" i="9"/>
  <c r="G22" i="9"/>
  <c r="E22" i="9"/>
  <c r="E62" i="4"/>
  <c r="C62" i="4"/>
  <c r="F22" i="9"/>
  <c r="D62" i="4"/>
  <c r="F62" i="4"/>
  <c r="C27" i="2"/>
  <c r="G31" i="4"/>
  <c r="D6" i="11"/>
  <c r="B10" i="20"/>
  <c r="B14" i="17"/>
  <c r="C14" i="10"/>
  <c r="B30" i="8"/>
  <c r="B34" i="8" s="1"/>
  <c r="B15" i="8"/>
  <c r="E14" i="10"/>
  <c r="D30" i="8"/>
  <c r="C21" i="10"/>
  <c r="D82" i="5"/>
  <c r="D83" i="5" s="1"/>
  <c r="C83" i="5"/>
  <c r="B68" i="4" s="1"/>
  <c r="D88" i="5"/>
  <c r="D91" i="5" s="1"/>
  <c r="C91" i="5"/>
  <c r="F40" i="4"/>
  <c r="E40" i="4"/>
  <c r="C40" i="4"/>
  <c r="D40" i="4"/>
  <c r="E6" i="11"/>
  <c r="G21" i="20"/>
  <c r="F21" i="20"/>
  <c r="D52" i="5"/>
  <c r="B15" i="17"/>
  <c r="F30" i="8"/>
  <c r="G14" i="10"/>
  <c r="B66" i="4"/>
  <c r="F66" i="4"/>
  <c r="E66" i="4"/>
  <c r="D66" i="4"/>
  <c r="C66" i="4"/>
  <c r="B19" i="20"/>
  <c r="B22" i="20" s="1"/>
  <c r="C19" i="20" s="1"/>
  <c r="D6" i="17"/>
  <c r="G21" i="9"/>
  <c r="F21" i="9"/>
  <c r="E83" i="4"/>
  <c r="H21" i="9"/>
  <c r="C83" i="4"/>
  <c r="D83" i="4"/>
  <c r="E21" i="9"/>
  <c r="F83" i="4"/>
  <c r="B23" i="10"/>
  <c r="F6" i="11"/>
  <c r="B157" i="5"/>
  <c r="B159" i="5" s="1"/>
  <c r="B163" i="5" s="1"/>
  <c r="E156" i="5"/>
  <c r="D21" i="9"/>
  <c r="B83" i="4"/>
  <c r="B36" i="2"/>
  <c r="B38" i="2" s="1"/>
  <c r="G6" i="11"/>
  <c r="G30" i="8"/>
  <c r="H14" i="10"/>
  <c r="G59" i="6"/>
  <c r="C31" i="4"/>
  <c r="B31" i="4"/>
  <c r="F31" i="4"/>
  <c r="D31" i="4"/>
  <c r="E31" i="4"/>
  <c r="I134" i="5"/>
  <c r="J134" i="5" s="1"/>
  <c r="J138" i="5" s="1"/>
  <c r="E136" i="5"/>
  <c r="B160" i="5" s="1"/>
  <c r="B162" i="5" s="1"/>
  <c r="D22" i="9"/>
  <c r="B62" i="4"/>
  <c r="D56" i="6"/>
  <c r="F56" i="6" s="1"/>
  <c r="B112" i="4"/>
  <c r="F14" i="10"/>
  <c r="E30" i="8"/>
  <c r="C30" i="8"/>
  <c r="D14" i="10"/>
  <c r="F36" i="4"/>
  <c r="E36" i="4"/>
  <c r="C36" i="4"/>
  <c r="D36" i="4"/>
  <c r="B164" i="5" l="1"/>
  <c r="B165" i="5" s="1"/>
  <c r="B168" i="5"/>
  <c r="E158" i="5" s="1"/>
  <c r="E159" i="5" s="1"/>
  <c r="I14" i="10"/>
  <c r="C18" i="10"/>
  <c r="C22" i="20"/>
  <c r="D19" i="20" s="1"/>
  <c r="D22" i="20" s="1"/>
  <c r="E19" i="20" s="1"/>
  <c r="E22" i="20" s="1"/>
  <c r="F19" i="20" s="1"/>
  <c r="F22" i="20" s="1"/>
  <c r="G19" i="20" s="1"/>
  <c r="G22" i="20" s="1"/>
  <c r="C31" i="2"/>
  <c r="C33" i="2" s="1"/>
  <c r="D89" i="4"/>
  <c r="B89" i="4"/>
  <c r="C89" i="4"/>
  <c r="E89" i="4"/>
  <c r="F89" i="4"/>
  <c r="C68" i="4"/>
  <c r="F68" i="4"/>
  <c r="E68" i="4"/>
  <c r="D68" i="4"/>
  <c r="C6" i="11"/>
  <c r="B22" i="8"/>
  <c r="B25" i="8" s="1"/>
  <c r="C4" i="12" s="1"/>
  <c r="B24" i="8"/>
  <c r="B15" i="19" s="1"/>
  <c r="B20" i="17"/>
  <c r="H56" i="6"/>
  <c r="B36" i="4" s="1"/>
  <c r="F59" i="6"/>
  <c r="F20" i="9"/>
  <c r="F23" i="9" s="1"/>
  <c r="E11" i="8" s="1"/>
  <c r="E20" i="9"/>
  <c r="E23" i="9" s="1"/>
  <c r="D11" i="8" s="1"/>
  <c r="H20" i="9"/>
  <c r="H23" i="9" s="1"/>
  <c r="G11" i="8" s="1"/>
  <c r="G20" i="9"/>
  <c r="G23" i="9" s="1"/>
  <c r="F11" i="8" s="1"/>
  <c r="D12" i="4"/>
  <c r="C12" i="4"/>
  <c r="E12" i="4"/>
  <c r="F12" i="4"/>
  <c r="B25" i="10"/>
  <c r="B21" i="17"/>
  <c r="B22" i="17" s="1"/>
  <c r="C22" i="10"/>
  <c r="C23" i="10" s="1"/>
  <c r="D7" i="10" l="1"/>
  <c r="C35" i="2"/>
  <c r="B56" i="2"/>
  <c r="B26" i="11"/>
  <c r="E7" i="11"/>
  <c r="G7" i="11"/>
  <c r="C25" i="10"/>
  <c r="D7" i="11"/>
  <c r="G31" i="8"/>
  <c r="H15" i="10"/>
  <c r="B23" i="17"/>
  <c r="B36" i="8"/>
  <c r="F7" i="11"/>
  <c r="F15" i="10"/>
  <c r="E31" i="8"/>
  <c r="B12" i="4"/>
  <c r="D20" i="9"/>
  <c r="D23" i="9" s="1"/>
  <c r="C11" i="8" s="1"/>
  <c r="C267" i="5"/>
  <c r="G36" i="4"/>
  <c r="E161" i="5"/>
  <c r="E160" i="5"/>
  <c r="G15" i="10"/>
  <c r="F31" i="8"/>
  <c r="C5" i="21"/>
  <c r="E157" i="5"/>
  <c r="B171" i="5"/>
  <c r="B167" i="5"/>
  <c r="B169" i="5"/>
  <c r="B170" i="5" s="1"/>
  <c r="E163" i="5" s="1"/>
  <c r="E166" i="5"/>
  <c r="B13" i="4"/>
  <c r="C8" i="11" s="1"/>
  <c r="B63" i="4"/>
  <c r="C7" i="18" s="1"/>
  <c r="B84" i="4"/>
  <c r="C19" i="11" s="1"/>
  <c r="C8" i="18" s="1"/>
  <c r="B27" i="11" l="1"/>
  <c r="C25" i="11" s="1"/>
  <c r="D4" i="12"/>
  <c r="D267" i="5"/>
  <c r="G267" i="5" s="1"/>
  <c r="G269" i="5" s="1"/>
  <c r="F267" i="5"/>
  <c r="F269" i="5" s="1"/>
  <c r="B19" i="4" s="1"/>
  <c r="C10" i="11" s="1"/>
  <c r="G56" i="2"/>
  <c r="G59" i="2" s="1"/>
  <c r="B9" i="12" s="1"/>
  <c r="E56" i="2"/>
  <c r="D56" i="2"/>
  <c r="B59" i="2"/>
  <c r="D15" i="10"/>
  <c r="C31" i="8"/>
  <c r="D11" i="10"/>
  <c r="C36" i="2"/>
  <c r="C38" i="2"/>
  <c r="C7" i="11"/>
  <c r="C16" i="11"/>
  <c r="D31" i="8"/>
  <c r="C7" i="17"/>
  <c r="D8" i="10"/>
  <c r="I7" i="10"/>
  <c r="B172" i="5"/>
  <c r="B37" i="4" s="1"/>
  <c r="C15" i="11" s="1"/>
  <c r="E164" i="5"/>
  <c r="B26" i="17"/>
  <c r="E167" i="5"/>
  <c r="F84" i="4"/>
  <c r="G19" i="11" s="1"/>
  <c r="G8" i="18" s="1"/>
  <c r="F63" i="4"/>
  <c r="G18" i="11" s="1"/>
  <c r="G7" i="18" s="1"/>
  <c r="E13" i="4"/>
  <c r="E168" i="5"/>
  <c r="G37" i="4" s="1"/>
  <c r="G43" i="4" s="1"/>
  <c r="D84" i="4"/>
  <c r="E19" i="11" s="1"/>
  <c r="E8" i="18" s="1"/>
  <c r="D63" i="4"/>
  <c r="E18" i="11" s="1"/>
  <c r="E7" i="18" s="1"/>
  <c r="C13" i="4"/>
  <c r="E162" i="5"/>
  <c r="E84" i="4"/>
  <c r="F19" i="11" s="1"/>
  <c r="F8" i="18" s="1"/>
  <c r="E63" i="4"/>
  <c r="F18" i="11" s="1"/>
  <c r="F7" i="18" s="1"/>
  <c r="D13" i="4"/>
  <c r="C84" i="4"/>
  <c r="D19" i="11" s="1"/>
  <c r="D8" i="18" s="1"/>
  <c r="C63" i="4"/>
  <c r="D18" i="11" s="1"/>
  <c r="D7" i="18" s="1"/>
  <c r="F13" i="4"/>
  <c r="E15" i="10"/>
  <c r="B34" i="6"/>
  <c r="B119" i="4" l="1"/>
  <c r="B49" i="4"/>
  <c r="B10" i="21"/>
  <c r="F8" i="11"/>
  <c r="F12" i="11" s="1"/>
  <c r="F16" i="11"/>
  <c r="G4" i="12"/>
  <c r="G8" i="11"/>
  <c r="F37" i="4"/>
  <c r="E37" i="4"/>
  <c r="G15" i="11" s="1"/>
  <c r="D37" i="4"/>
  <c r="F15" i="11" s="1"/>
  <c r="C37" i="4"/>
  <c r="I15" i="10"/>
  <c r="D8" i="11"/>
  <c r="D12" i="11" s="1"/>
  <c r="E19" i="4"/>
  <c r="F10" i="11" s="1"/>
  <c r="C19" i="4"/>
  <c r="D10" i="11" s="1"/>
  <c r="D19" i="4"/>
  <c r="E10" i="11" s="1"/>
  <c r="F19" i="4"/>
  <c r="G10" i="11" s="1"/>
  <c r="D59" i="2"/>
  <c r="C15" i="20"/>
  <c r="C8" i="17"/>
  <c r="C12" i="17"/>
  <c r="I11" i="10"/>
  <c r="C13" i="11"/>
  <c r="B40" i="6"/>
  <c r="B37" i="6"/>
  <c r="E8" i="11"/>
  <c r="E12" i="11" s="1"/>
  <c r="B5" i="12"/>
  <c r="D21" i="10"/>
  <c r="I8" i="10"/>
  <c r="B5" i="15" s="1"/>
  <c r="C12" i="11"/>
  <c r="C17" i="11" s="1"/>
  <c r="G16" i="20"/>
  <c r="F16" i="20"/>
  <c r="E59" i="2"/>
  <c r="B6" i="21" l="1"/>
  <c r="C14" i="19"/>
  <c r="C10" i="17"/>
  <c r="C25" i="17" s="1"/>
  <c r="C9" i="17"/>
  <c r="D17" i="11"/>
  <c r="E15" i="11"/>
  <c r="E17" i="11" s="1"/>
  <c r="D15" i="11"/>
  <c r="G12" i="11"/>
  <c r="F17" i="11"/>
  <c r="B11" i="12"/>
  <c r="L4" i="12"/>
  <c r="F25" i="19"/>
  <c r="I7" i="12"/>
  <c r="I6" i="12"/>
  <c r="I5" i="12"/>
  <c r="G25" i="19"/>
  <c r="D99" i="5"/>
  <c r="D97" i="5"/>
  <c r="D147" i="4"/>
  <c r="B147" i="4"/>
  <c r="D98" i="5"/>
  <c r="C181" i="5"/>
  <c r="C147" i="4"/>
  <c r="E16" i="11"/>
  <c r="I21" i="10"/>
  <c r="H35" i="9"/>
  <c r="G35" i="9"/>
  <c r="F10" i="4"/>
  <c r="E10" i="4"/>
  <c r="I9" i="12"/>
  <c r="I8" i="12"/>
  <c r="F147" i="4"/>
  <c r="C185" i="5"/>
  <c r="C186" i="5" s="1"/>
  <c r="B191" i="5" s="1"/>
  <c r="E147" i="4"/>
  <c r="F35" i="9"/>
  <c r="E35" i="9"/>
  <c r="B10" i="4"/>
  <c r="D35" i="9"/>
  <c r="D10" i="4"/>
  <c r="C10" i="4"/>
  <c r="C6" i="18"/>
  <c r="C21" i="11"/>
  <c r="C23" i="11" s="1"/>
  <c r="C2" i="16"/>
  <c r="C4" i="16" s="1"/>
  <c r="D12" i="17"/>
  <c r="D16" i="11"/>
  <c r="G16" i="11"/>
  <c r="E6" i="18" l="1"/>
  <c r="E21" i="11"/>
  <c r="E23" i="11" s="1"/>
  <c r="C17" i="16"/>
  <c r="D5" i="15"/>
  <c r="C16" i="16"/>
  <c r="B13" i="15" s="1"/>
  <c r="C183" i="5"/>
  <c r="B189" i="5" s="1"/>
  <c r="B34" i="4" s="1"/>
  <c r="C182" i="5"/>
  <c r="B190" i="5" s="1"/>
  <c r="D114" i="4"/>
  <c r="D116" i="4" s="1"/>
  <c r="D22" i="4"/>
  <c r="E114" i="4"/>
  <c r="E116" i="4" s="1"/>
  <c r="E22" i="4"/>
  <c r="E23" i="4" s="1"/>
  <c r="D6" i="18"/>
  <c r="D21" i="11"/>
  <c r="D23" i="11" s="1"/>
  <c r="F34" i="4"/>
  <c r="E34" i="4"/>
  <c r="F114" i="4"/>
  <c r="F116" i="4" s="1"/>
  <c r="F22" i="4"/>
  <c r="F25" i="4" s="1"/>
  <c r="F23" i="4"/>
  <c r="C114" i="4"/>
  <c r="C116" i="4" s="1"/>
  <c r="C22" i="4"/>
  <c r="D61" i="4"/>
  <c r="B61" i="4"/>
  <c r="C61" i="4"/>
  <c r="E61" i="4"/>
  <c r="F61" i="4"/>
  <c r="M18" i="12"/>
  <c r="J9" i="21"/>
  <c r="F6" i="18"/>
  <c r="F21" i="11"/>
  <c r="F23" i="11" s="1"/>
  <c r="I11" i="12"/>
  <c r="G17" i="11"/>
  <c r="D82" i="4"/>
  <c r="B82" i="4"/>
  <c r="C82" i="4"/>
  <c r="F82" i="4"/>
  <c r="E82" i="4"/>
  <c r="B114" i="4"/>
  <c r="B116" i="4" s="1"/>
  <c r="B22" i="4"/>
  <c r="J10" i="21"/>
  <c r="M4" i="12"/>
  <c r="B25" i="4" l="1"/>
  <c r="E26" i="4"/>
  <c r="E25" i="4"/>
  <c r="C92" i="4"/>
  <c r="D23" i="4"/>
  <c r="B30" i="17"/>
  <c r="F5" i="15"/>
  <c r="C71" i="4"/>
  <c r="G36" i="9"/>
  <c r="G37" i="9" s="1"/>
  <c r="G39" i="9" s="1"/>
  <c r="G40" i="9" s="1"/>
  <c r="F18" i="8" s="1"/>
  <c r="F20" i="8" s="1"/>
  <c r="F17" i="8"/>
  <c r="E42" i="4"/>
  <c r="E43" i="4" s="1"/>
  <c r="D34" i="4"/>
  <c r="C34" i="4"/>
  <c r="B23" i="4"/>
  <c r="B92" i="4"/>
  <c r="B71" i="4"/>
  <c r="B73" i="4"/>
  <c r="G17" i="8"/>
  <c r="H36" i="9"/>
  <c r="H37" i="9" s="1"/>
  <c r="H39" i="9" s="1"/>
  <c r="H40" i="9" s="1"/>
  <c r="G18" i="8" s="1"/>
  <c r="F42" i="4"/>
  <c r="F43" i="4"/>
  <c r="D36" i="9"/>
  <c r="D37" i="9" s="1"/>
  <c r="D39" i="9" s="1"/>
  <c r="D40" i="9" s="1"/>
  <c r="C18" i="8" s="1"/>
  <c r="C17" i="8"/>
  <c r="C17" i="17" s="1"/>
  <c r="B42" i="4"/>
  <c r="B43" i="4" s="1"/>
  <c r="D92" i="4"/>
  <c r="D73" i="4"/>
  <c r="D71" i="4"/>
  <c r="F26" i="4"/>
  <c r="E92" i="4"/>
  <c r="G6" i="18"/>
  <c r="G21" i="11"/>
  <c r="G23" i="11" s="1"/>
  <c r="F71" i="4"/>
  <c r="F73" i="4"/>
  <c r="C23" i="4"/>
  <c r="D25" i="16"/>
  <c r="D20" i="16"/>
  <c r="D23" i="16"/>
  <c r="D22" i="16"/>
  <c r="E17" i="16"/>
  <c r="D24" i="16"/>
  <c r="H16" i="16"/>
  <c r="B14" i="15"/>
  <c r="C19" i="16"/>
  <c r="D21" i="16"/>
  <c r="F92" i="4"/>
  <c r="E71" i="4"/>
  <c r="C12" i="8" l="1"/>
  <c r="B120" i="4"/>
  <c r="B122" i="4" s="1"/>
  <c r="B50" i="4"/>
  <c r="F12" i="8"/>
  <c r="E47" i="4"/>
  <c r="F96" i="4"/>
  <c r="C27" i="15"/>
  <c r="D131" i="4"/>
  <c r="D8" i="13" s="1"/>
  <c r="D76" i="4"/>
  <c r="D153" i="4" s="1"/>
  <c r="D17" i="17"/>
  <c r="C18" i="17"/>
  <c r="D18" i="17" s="1"/>
  <c r="B9" i="19"/>
  <c r="H9" i="19" s="1"/>
  <c r="D30" i="17"/>
  <c r="F94" i="4"/>
  <c r="E18" i="16"/>
  <c r="G18" i="16" s="1"/>
  <c r="D14" i="15"/>
  <c r="D21" i="15" s="1"/>
  <c r="C26" i="4"/>
  <c r="D96" i="4"/>
  <c r="C20" i="8"/>
  <c r="B76" i="4"/>
  <c r="B153" i="4" s="1"/>
  <c r="B131" i="4"/>
  <c r="B8" i="13" s="1"/>
  <c r="D17" i="8"/>
  <c r="E36" i="9"/>
  <c r="E37" i="9" s="1"/>
  <c r="E39" i="9" s="1"/>
  <c r="E40" i="9" s="1"/>
  <c r="D18" i="8" s="1"/>
  <c r="C42" i="4"/>
  <c r="C43" i="4"/>
  <c r="C24" i="15"/>
  <c r="C25" i="15"/>
  <c r="F131" i="4"/>
  <c r="F8" i="13" s="1"/>
  <c r="F76" i="4"/>
  <c r="F153" i="4" s="1"/>
  <c r="E94" i="4"/>
  <c r="D94" i="4"/>
  <c r="B75" i="4"/>
  <c r="B152" i="4" s="1"/>
  <c r="F36" i="9"/>
  <c r="F37" i="9" s="1"/>
  <c r="F39" i="9" s="1"/>
  <c r="F40" i="9" s="1"/>
  <c r="E18" i="8" s="1"/>
  <c r="E20" i="8" s="1"/>
  <c r="E17" i="8"/>
  <c r="D42" i="4"/>
  <c r="D43" i="4" s="1"/>
  <c r="D26" i="4"/>
  <c r="B22" i="15"/>
  <c r="C20" i="16"/>
  <c r="E20" i="16"/>
  <c r="C26" i="15"/>
  <c r="F23" i="16"/>
  <c r="F75" i="4"/>
  <c r="F152" i="4" s="1"/>
  <c r="G12" i="8"/>
  <c r="F120" i="4"/>
  <c r="F122" i="4" s="1"/>
  <c r="B96" i="4"/>
  <c r="C73" i="4"/>
  <c r="C25" i="4"/>
  <c r="F21" i="16"/>
  <c r="I20" i="16"/>
  <c r="C23" i="15"/>
  <c r="D28" i="16"/>
  <c r="F47" i="4"/>
  <c r="F50" i="4"/>
  <c r="B94" i="4"/>
  <c r="E73" i="4"/>
  <c r="I13" i="15"/>
  <c r="H18" i="16"/>
  <c r="H28" i="16" s="1"/>
  <c r="I54" i="15" s="1"/>
  <c r="F25" i="16"/>
  <c r="C28" i="15"/>
  <c r="D75" i="4"/>
  <c r="D152" i="4" s="1"/>
  <c r="G20" i="8"/>
  <c r="B47" i="4"/>
  <c r="B26" i="4"/>
  <c r="C94" i="4"/>
  <c r="C96" i="4" s="1"/>
  <c r="D25" i="4"/>
  <c r="E12" i="8" l="1"/>
  <c r="D120" i="4"/>
  <c r="D122" i="4" s="1"/>
  <c r="E50" i="4"/>
  <c r="E55" i="4" s="1"/>
  <c r="D47" i="4"/>
  <c r="E120" i="4"/>
  <c r="E122" i="4" s="1"/>
  <c r="C54" i="15"/>
  <c r="E24" i="15"/>
  <c r="F124" i="4"/>
  <c r="H28" i="9" s="1"/>
  <c r="H30" i="9" s="1"/>
  <c r="G13" i="8" s="1"/>
  <c r="F154" i="4"/>
  <c r="F132" i="4"/>
  <c r="F9" i="13" s="1"/>
  <c r="F97" i="4"/>
  <c r="F155" i="4" s="1"/>
  <c r="B51" i="4"/>
  <c r="B52" i="4" s="1"/>
  <c r="B132" i="4"/>
  <c r="B9" i="13" s="1"/>
  <c r="B154" i="4"/>
  <c r="B97" i="4"/>
  <c r="B155" i="4" s="1"/>
  <c r="E131" i="4"/>
  <c r="E8" i="13" s="1"/>
  <c r="E76" i="4"/>
  <c r="E153" i="4" s="1"/>
  <c r="F51" i="4"/>
  <c r="F52" i="4" s="1"/>
  <c r="D12" i="8"/>
  <c r="D50" i="4"/>
  <c r="C120" i="4"/>
  <c r="C122" i="4" s="1"/>
  <c r="C47" i="4"/>
  <c r="C131" i="4"/>
  <c r="C8" i="13" s="1"/>
  <c r="C153" i="4"/>
  <c r="C152" i="4"/>
  <c r="C76" i="4"/>
  <c r="B21" i="15"/>
  <c r="H2" i="14" s="1"/>
  <c r="E28" i="15"/>
  <c r="G16" i="10"/>
  <c r="F32" i="8"/>
  <c r="C75" i="4"/>
  <c r="D132" i="4"/>
  <c r="D9" i="13" s="1"/>
  <c r="D154" i="4"/>
  <c r="D97" i="4"/>
  <c r="D155" i="4" s="1"/>
  <c r="E26" i="15"/>
  <c r="D20" i="8"/>
  <c r="G13" i="15"/>
  <c r="G21" i="15" s="1"/>
  <c r="B7" i="17" s="1"/>
  <c r="I18" i="16"/>
  <c r="C50" i="4"/>
  <c r="B124" i="4"/>
  <c r="D28" i="9" s="1"/>
  <c r="D30" i="9" s="1"/>
  <c r="C13" i="8" s="1"/>
  <c r="C10" i="20" s="1"/>
  <c r="C154" i="4"/>
  <c r="C132" i="4"/>
  <c r="C9" i="13" s="1"/>
  <c r="C97" i="4"/>
  <c r="C155" i="4" s="1"/>
  <c r="G21" i="16"/>
  <c r="E132" i="4"/>
  <c r="E9" i="13" s="1"/>
  <c r="E154" i="4"/>
  <c r="E97" i="4"/>
  <c r="E155" i="4" s="1"/>
  <c r="F28" i="16"/>
  <c r="H16" i="10"/>
  <c r="G32" i="8"/>
  <c r="C21" i="16"/>
  <c r="E21" i="16"/>
  <c r="G8" i="13"/>
  <c r="E96" i="4"/>
  <c r="I5" i="21"/>
  <c r="I21" i="15"/>
  <c r="E75" i="4"/>
  <c r="E152" i="4" s="1"/>
  <c r="E51" i="4"/>
  <c r="E52" i="4" s="1"/>
  <c r="C32" i="8"/>
  <c r="D16" i="10"/>
  <c r="C15" i="8"/>
  <c r="E54" i="4" l="1"/>
  <c r="E150" i="4" s="1"/>
  <c r="E151" i="4"/>
  <c r="C3" i="14"/>
  <c r="E124" i="4"/>
  <c r="G28" i="9" s="1"/>
  <c r="G30" i="9" s="1"/>
  <c r="F13" i="8" s="1"/>
  <c r="I21" i="16"/>
  <c r="F55" i="4"/>
  <c r="D51" i="4"/>
  <c r="D52" i="4" s="1"/>
  <c r="C24" i="8"/>
  <c r="C15" i="19" s="1"/>
  <c r="C33" i="8"/>
  <c r="D17" i="10"/>
  <c r="B127" i="4"/>
  <c r="D18" i="19"/>
  <c r="C27" i="20"/>
  <c r="E16" i="10"/>
  <c r="I16" i="10" s="1"/>
  <c r="D32" i="8"/>
  <c r="D15" i="8"/>
  <c r="C14" i="17"/>
  <c r="L5" i="21"/>
  <c r="C22" i="16"/>
  <c r="E22" i="16"/>
  <c r="D27" i="20"/>
  <c r="C29" i="20" s="1"/>
  <c r="C28" i="20" s="1"/>
  <c r="E18" i="19"/>
  <c r="C51" i="4"/>
  <c r="C52" i="4" s="1"/>
  <c r="G9" i="13"/>
  <c r="H17" i="10"/>
  <c r="G33" i="8"/>
  <c r="G34" i="8" s="1"/>
  <c r="C34" i="8"/>
  <c r="G15" i="8"/>
  <c r="B14" i="20"/>
  <c r="B17" i="20" s="1"/>
  <c r="D7" i="17"/>
  <c r="B8" i="17"/>
  <c r="B4" i="14"/>
  <c r="B5" i="14"/>
  <c r="B3" i="14"/>
  <c r="C124" i="4"/>
  <c r="E28" i="9" s="1"/>
  <c r="E30" i="9" s="1"/>
  <c r="D13" i="8" s="1"/>
  <c r="D124" i="4"/>
  <c r="F28" i="9" s="1"/>
  <c r="F30" i="9" s="1"/>
  <c r="E13" i="8" s="1"/>
  <c r="G10" i="20"/>
  <c r="B55" i="4"/>
  <c r="B27" i="20"/>
  <c r="B25" i="20" s="1"/>
  <c r="E54" i="15"/>
  <c r="C18" i="19"/>
  <c r="F16" i="10"/>
  <c r="E32" i="8"/>
  <c r="E15" i="8"/>
  <c r="H22" i="10" l="1"/>
  <c r="H23" i="10" s="1"/>
  <c r="G26" i="11" s="1"/>
  <c r="E24" i="8"/>
  <c r="E15" i="19" s="1"/>
  <c r="G24" i="8"/>
  <c r="G15" i="19" s="1"/>
  <c r="E25" i="19"/>
  <c r="F151" i="4"/>
  <c r="E163" i="4" s="1"/>
  <c r="F54" i="4"/>
  <c r="F150" i="4" s="1"/>
  <c r="D25" i="19"/>
  <c r="B29" i="20"/>
  <c r="B28" i="20" s="1"/>
  <c r="B30" i="20" s="1"/>
  <c r="B54" i="4"/>
  <c r="B150" i="4" s="1"/>
  <c r="B151" i="4"/>
  <c r="B163" i="4" s="1"/>
  <c r="H18" i="19"/>
  <c r="I22" i="16"/>
  <c r="B8" i="14"/>
  <c r="E16" i="20"/>
  <c r="C16" i="20"/>
  <c r="D16" i="20"/>
  <c r="C25" i="19"/>
  <c r="D22" i="10"/>
  <c r="C21" i="17"/>
  <c r="F17" i="10"/>
  <c r="E33" i="8"/>
  <c r="E34" i="8" s="1"/>
  <c r="E127" i="4"/>
  <c r="B5" i="21"/>
  <c r="B14" i="19"/>
  <c r="B9" i="17"/>
  <c r="B10" i="17" s="1"/>
  <c r="D8" i="17"/>
  <c r="D14" i="17"/>
  <c r="C15" i="17"/>
  <c r="C6" i="21"/>
  <c r="E23" i="16"/>
  <c r="C23" i="16"/>
  <c r="D24" i="8"/>
  <c r="D15" i="19" s="1"/>
  <c r="B156" i="4"/>
  <c r="B43" i="17" s="1"/>
  <c r="B129" i="4"/>
  <c r="E10" i="20"/>
  <c r="D33" i="8"/>
  <c r="D34" i="8" s="1"/>
  <c r="E17" i="10"/>
  <c r="I17" i="10" s="1"/>
  <c r="D127" i="4"/>
  <c r="C14" i="20"/>
  <c r="C55" i="4"/>
  <c r="D10" i="20"/>
  <c r="C127" i="4"/>
  <c r="D55" i="4"/>
  <c r="G17" i="10"/>
  <c r="F33" i="8"/>
  <c r="F34" i="8" s="1"/>
  <c r="F127" i="4"/>
  <c r="F15" i="8"/>
  <c r="F10" i="20"/>
  <c r="F22" i="10" l="1"/>
  <c r="F23" i="10" s="1"/>
  <c r="E26" i="11" s="1"/>
  <c r="E22" i="10"/>
  <c r="E23" i="10" s="1"/>
  <c r="D26" i="11" s="1"/>
  <c r="B25" i="17"/>
  <c r="D10" i="17"/>
  <c r="C129" i="4"/>
  <c r="F156" i="4"/>
  <c r="F43" i="17" s="1"/>
  <c r="F129" i="4"/>
  <c r="I23" i="16"/>
  <c r="J8" i="21"/>
  <c r="G22" i="10"/>
  <c r="G23" i="10" s="1"/>
  <c r="F26" i="11" s="1"/>
  <c r="C17" i="20"/>
  <c r="B5" i="13"/>
  <c r="B134" i="4"/>
  <c r="E156" i="4"/>
  <c r="E129" i="4"/>
  <c r="C7" i="21"/>
  <c r="H14" i="19"/>
  <c r="D21" i="17"/>
  <c r="C17" i="18"/>
  <c r="J6" i="21"/>
  <c r="H25" i="19"/>
  <c r="B164" i="4"/>
  <c r="B157" i="4"/>
  <c r="B166" i="4" s="1"/>
  <c r="B167" i="4" s="1"/>
  <c r="E164" i="4"/>
  <c r="F24" i="8"/>
  <c r="F15" i="19" s="1"/>
  <c r="H15" i="19" s="1"/>
  <c r="C10" i="21" s="1"/>
  <c r="E24" i="16"/>
  <c r="C24" i="16"/>
  <c r="C22" i="17"/>
  <c r="D22" i="17" s="1"/>
  <c r="D15" i="17"/>
  <c r="B12" i="21"/>
  <c r="C256" i="4"/>
  <c r="C253" i="4"/>
  <c r="C250" i="4"/>
  <c r="C247" i="4"/>
  <c r="C244" i="4"/>
  <c r="C241" i="4"/>
  <c r="C238" i="4"/>
  <c r="C235" i="4"/>
  <c r="C232" i="4"/>
  <c r="C229" i="4"/>
  <c r="C226" i="4"/>
  <c r="C223" i="4"/>
  <c r="C220" i="4"/>
  <c r="C217" i="4"/>
  <c r="C214" i="4"/>
  <c r="C257" i="4"/>
  <c r="C254" i="4"/>
  <c r="C251" i="4"/>
  <c r="C248" i="4"/>
  <c r="C245" i="4"/>
  <c r="C242" i="4"/>
  <c r="C239" i="4"/>
  <c r="C236" i="4"/>
  <c r="C233" i="4"/>
  <c r="C230" i="4"/>
  <c r="C227" i="4"/>
  <c r="C224" i="4"/>
  <c r="C221" i="4"/>
  <c r="C218" i="4"/>
  <c r="C215" i="4"/>
  <c r="C258" i="4"/>
  <c r="C255" i="4"/>
  <c r="C252" i="4"/>
  <c r="C249" i="4"/>
  <c r="C246" i="4"/>
  <c r="C243" i="4"/>
  <c r="C240" i="4"/>
  <c r="C237" i="4"/>
  <c r="C234" i="4"/>
  <c r="C231" i="4"/>
  <c r="C228" i="4"/>
  <c r="C225" i="4"/>
  <c r="C222" i="4"/>
  <c r="C219" i="4"/>
  <c r="C216" i="4"/>
  <c r="C213" i="4"/>
  <c r="E165" i="4"/>
  <c r="C151" i="4"/>
  <c r="C156" i="4" s="1"/>
  <c r="C43" i="17" s="1"/>
  <c r="C54" i="4"/>
  <c r="C150" i="4" s="1"/>
  <c r="G23" i="16"/>
  <c r="C8" i="21"/>
  <c r="J7" i="21"/>
  <c r="D23" i="10"/>
  <c r="D151" i="4"/>
  <c r="D54" i="4"/>
  <c r="D150" i="4" s="1"/>
  <c r="D157" i="4" s="1"/>
  <c r="D156" i="4"/>
  <c r="D43" i="17" s="1"/>
  <c r="D129" i="4"/>
  <c r="B17" i="18"/>
  <c r="D9" i="17"/>
  <c r="C208" i="4"/>
  <c r="C205" i="4"/>
  <c r="C202" i="4"/>
  <c r="C199" i="4"/>
  <c r="C196" i="4"/>
  <c r="C193" i="4"/>
  <c r="C190" i="4"/>
  <c r="C187" i="4"/>
  <c r="C184" i="4"/>
  <c r="C181" i="4"/>
  <c r="C178" i="4"/>
  <c r="C175" i="4"/>
  <c r="C172" i="4"/>
  <c r="C209" i="4"/>
  <c r="C206" i="4"/>
  <c r="C203" i="4"/>
  <c r="C200" i="4"/>
  <c r="C197" i="4"/>
  <c r="C194" i="4"/>
  <c r="C191" i="4"/>
  <c r="C188" i="4"/>
  <c r="C185" i="4"/>
  <c r="C182" i="4"/>
  <c r="C179" i="4"/>
  <c r="C176" i="4"/>
  <c r="C173" i="4"/>
  <c r="C207" i="4"/>
  <c r="C204" i="4"/>
  <c r="C201" i="4"/>
  <c r="C198" i="4"/>
  <c r="C195" i="4"/>
  <c r="C192" i="4"/>
  <c r="C189" i="4"/>
  <c r="C186" i="4"/>
  <c r="C183" i="4"/>
  <c r="C180" i="4"/>
  <c r="C177" i="4"/>
  <c r="C174" i="4"/>
  <c r="B165" i="4"/>
  <c r="G17" i="18"/>
  <c r="D9" i="12"/>
  <c r="D208" i="4" l="1"/>
  <c r="E208" i="4" s="1"/>
  <c r="D205" i="4"/>
  <c r="E205" i="4" s="1"/>
  <c r="D202" i="4"/>
  <c r="E202" i="4" s="1"/>
  <c r="D199" i="4"/>
  <c r="E199" i="4" s="1"/>
  <c r="D196" i="4"/>
  <c r="E196" i="4" s="1"/>
  <c r="D193" i="4"/>
  <c r="E193" i="4" s="1"/>
  <c r="D190" i="4"/>
  <c r="E190" i="4" s="1"/>
  <c r="D187" i="4"/>
  <c r="E187" i="4" s="1"/>
  <c r="D184" i="4"/>
  <c r="E184" i="4" s="1"/>
  <c r="D181" i="4"/>
  <c r="E181" i="4" s="1"/>
  <c r="D178" i="4"/>
  <c r="E178" i="4" s="1"/>
  <c r="D175" i="4"/>
  <c r="E175" i="4" s="1"/>
  <c r="D172" i="4"/>
  <c r="E172" i="4" s="1"/>
  <c r="D209" i="4"/>
  <c r="E209" i="4" s="1"/>
  <c r="D206" i="4"/>
  <c r="E206" i="4" s="1"/>
  <c r="D203" i="4"/>
  <c r="E203" i="4" s="1"/>
  <c r="D200" i="4"/>
  <c r="E200" i="4" s="1"/>
  <c r="D197" i="4"/>
  <c r="E197" i="4" s="1"/>
  <c r="D194" i="4"/>
  <c r="E194" i="4" s="1"/>
  <c r="D191" i="4"/>
  <c r="E191" i="4" s="1"/>
  <c r="D188" i="4"/>
  <c r="E188" i="4" s="1"/>
  <c r="D185" i="4"/>
  <c r="E185" i="4" s="1"/>
  <c r="D182" i="4"/>
  <c r="E182" i="4" s="1"/>
  <c r="D179" i="4"/>
  <c r="E179" i="4" s="1"/>
  <c r="D176" i="4"/>
  <c r="E176" i="4" s="1"/>
  <c r="D173" i="4"/>
  <c r="E173" i="4" s="1"/>
  <c r="D198" i="4"/>
  <c r="E198" i="4" s="1"/>
  <c r="D195" i="4"/>
  <c r="E195" i="4" s="1"/>
  <c r="D180" i="4"/>
  <c r="E180" i="4" s="1"/>
  <c r="D192" i="4"/>
  <c r="E192" i="4" s="1"/>
  <c r="D207" i="4"/>
  <c r="E207" i="4" s="1"/>
  <c r="D189" i="4"/>
  <c r="E189" i="4" s="1"/>
  <c r="D177" i="4"/>
  <c r="E177" i="4" s="1"/>
  <c r="D204" i="4"/>
  <c r="E204" i="4" s="1"/>
  <c r="D186" i="4"/>
  <c r="E186" i="4" s="1"/>
  <c r="D201" i="4"/>
  <c r="E201" i="4" s="1"/>
  <c r="D183" i="4"/>
  <c r="E183" i="4" s="1"/>
  <c r="D174" i="4"/>
  <c r="E174" i="4" s="1"/>
  <c r="C26" i="11"/>
  <c r="I23" i="10"/>
  <c r="B7" i="15" s="1"/>
  <c r="E43" i="17"/>
  <c r="E157" i="4"/>
  <c r="D10" i="21"/>
  <c r="G21" i="19"/>
  <c r="I22" i="10"/>
  <c r="C157" i="4"/>
  <c r="E25" i="16"/>
  <c r="C25" i="16"/>
  <c r="B136" i="4"/>
  <c r="B138" i="4"/>
  <c r="D17" i="18"/>
  <c r="D6" i="12"/>
  <c r="F17" i="18"/>
  <c r="D8" i="12"/>
  <c r="F5" i="13"/>
  <c r="F134" i="4"/>
  <c r="C9" i="21"/>
  <c r="E5" i="13"/>
  <c r="E134" i="4"/>
  <c r="B27" i="17"/>
  <c r="D25" i="17"/>
  <c r="B18" i="18"/>
  <c r="B21" i="19"/>
  <c r="D5" i="21"/>
  <c r="C16" i="18"/>
  <c r="B21" i="18"/>
  <c r="C4" i="14"/>
  <c r="D5" i="13"/>
  <c r="D134" i="4"/>
  <c r="L24" i="21"/>
  <c r="I24" i="16"/>
  <c r="F157" i="4"/>
  <c r="E166" i="4" s="1"/>
  <c r="E167" i="4" s="1"/>
  <c r="J12" i="21"/>
  <c r="G5" i="13"/>
  <c r="B6" i="13"/>
  <c r="C5" i="13"/>
  <c r="C134" i="4"/>
  <c r="D256" i="4"/>
  <c r="E256" i="4" s="1"/>
  <c r="D253" i="4"/>
  <c r="E253" i="4" s="1"/>
  <c r="D250" i="4"/>
  <c r="E250" i="4" s="1"/>
  <c r="D247" i="4"/>
  <c r="E247" i="4" s="1"/>
  <c r="D244" i="4"/>
  <c r="E244" i="4" s="1"/>
  <c r="D241" i="4"/>
  <c r="E241" i="4" s="1"/>
  <c r="D238" i="4"/>
  <c r="E238" i="4" s="1"/>
  <c r="D235" i="4"/>
  <c r="E235" i="4" s="1"/>
  <c r="D232" i="4"/>
  <c r="E232" i="4" s="1"/>
  <c r="D229" i="4"/>
  <c r="E229" i="4" s="1"/>
  <c r="D226" i="4"/>
  <c r="E226" i="4" s="1"/>
  <c r="D223" i="4"/>
  <c r="E223" i="4" s="1"/>
  <c r="D220" i="4"/>
  <c r="E220" i="4" s="1"/>
  <c r="D217" i="4"/>
  <c r="E217" i="4" s="1"/>
  <c r="D214" i="4"/>
  <c r="E214" i="4" s="1"/>
  <c r="D257" i="4"/>
  <c r="E257" i="4" s="1"/>
  <c r="D254" i="4"/>
  <c r="E254" i="4" s="1"/>
  <c r="D251" i="4"/>
  <c r="E251" i="4" s="1"/>
  <c r="D248" i="4"/>
  <c r="E248" i="4" s="1"/>
  <c r="D245" i="4"/>
  <c r="E245" i="4" s="1"/>
  <c r="D242" i="4"/>
  <c r="E242" i="4" s="1"/>
  <c r="D239" i="4"/>
  <c r="E239" i="4" s="1"/>
  <c r="D236" i="4"/>
  <c r="E236" i="4" s="1"/>
  <c r="D233" i="4"/>
  <c r="E233" i="4" s="1"/>
  <c r="D230" i="4"/>
  <c r="E230" i="4" s="1"/>
  <c r="D227" i="4"/>
  <c r="E227" i="4" s="1"/>
  <c r="D224" i="4"/>
  <c r="E224" i="4" s="1"/>
  <c r="D221" i="4"/>
  <c r="E221" i="4" s="1"/>
  <c r="D218" i="4"/>
  <c r="E218" i="4" s="1"/>
  <c r="D215" i="4"/>
  <c r="E215" i="4" s="1"/>
  <c r="D255" i="4"/>
  <c r="E255" i="4" s="1"/>
  <c r="D237" i="4"/>
  <c r="E237" i="4" s="1"/>
  <c r="D219" i="4"/>
  <c r="E219" i="4" s="1"/>
  <c r="D231" i="4"/>
  <c r="E231" i="4" s="1"/>
  <c r="D258" i="4"/>
  <c r="E258" i="4" s="1"/>
  <c r="D252" i="4"/>
  <c r="E252" i="4" s="1"/>
  <c r="D234" i="4"/>
  <c r="E234" i="4" s="1"/>
  <c r="D216" i="4"/>
  <c r="E216" i="4" s="1"/>
  <c r="D249" i="4"/>
  <c r="E249" i="4" s="1"/>
  <c r="D213" i="4"/>
  <c r="E213" i="4" s="1"/>
  <c r="D222" i="4"/>
  <c r="E222" i="4" s="1"/>
  <c r="D246" i="4"/>
  <c r="E246" i="4" s="1"/>
  <c r="D228" i="4"/>
  <c r="E228" i="4" s="1"/>
  <c r="D243" i="4"/>
  <c r="E243" i="4" s="1"/>
  <c r="D225" i="4"/>
  <c r="E225" i="4" s="1"/>
  <c r="D240" i="4"/>
  <c r="E240" i="4" s="1"/>
  <c r="D6" i="21"/>
  <c r="C21" i="19"/>
  <c r="D14" i="20"/>
  <c r="D17" i="20" s="1"/>
  <c r="E17" i="18"/>
  <c r="D7" i="12"/>
  <c r="D8" i="21" l="1"/>
  <c r="E21" i="19"/>
  <c r="H5" i="12"/>
  <c r="B139" i="4"/>
  <c r="B142" i="4" s="1"/>
  <c r="B140" i="4"/>
  <c r="B31" i="17"/>
  <c r="E14" i="20"/>
  <c r="E17" i="20" s="1"/>
  <c r="D136" i="4"/>
  <c r="D138" i="4"/>
  <c r="E138" i="4"/>
  <c r="E136" i="4"/>
  <c r="G5" i="21"/>
  <c r="D9" i="21"/>
  <c r="F21" i="19"/>
  <c r="B13" i="19"/>
  <c r="F136" i="4"/>
  <c r="F138" i="4"/>
  <c r="D5" i="12"/>
  <c r="D11" i="12" s="1"/>
  <c r="C30" i="11"/>
  <c r="C28" i="11"/>
  <c r="J5" i="12" s="1"/>
  <c r="C27" i="11"/>
  <c r="D25" i="11" s="1"/>
  <c r="F6" i="13"/>
  <c r="C136" i="4"/>
  <c r="C138" i="4"/>
  <c r="D6" i="13"/>
  <c r="E6" i="13"/>
  <c r="C6" i="13"/>
  <c r="G25" i="16"/>
  <c r="I25" i="16"/>
  <c r="E28" i="16"/>
  <c r="D21" i="19"/>
  <c r="H21" i="19" s="1"/>
  <c r="D7" i="21"/>
  <c r="F7" i="15"/>
  <c r="C12" i="21"/>
  <c r="L26" i="21" s="1"/>
  <c r="B143" i="4" l="1"/>
  <c r="C19" i="8" s="1"/>
  <c r="B146" i="4"/>
  <c r="B148" i="4" s="1"/>
  <c r="C5" i="14"/>
  <c r="G28" i="16"/>
  <c r="E139" i="4"/>
  <c r="E140" i="4" s="1"/>
  <c r="E142" i="4" s="1"/>
  <c r="H8" i="12"/>
  <c r="F14" i="20"/>
  <c r="F17" i="20" s="1"/>
  <c r="F5" i="12"/>
  <c r="K5" i="12"/>
  <c r="E5" i="12"/>
  <c r="H9" i="12"/>
  <c r="F140" i="4"/>
  <c r="F142" i="4"/>
  <c r="F139" i="4"/>
  <c r="G6" i="13"/>
  <c r="H6" i="12"/>
  <c r="C139" i="4"/>
  <c r="C140" i="4" s="1"/>
  <c r="M5" i="21"/>
  <c r="B24" i="21"/>
  <c r="B32" i="20"/>
  <c r="B31" i="20" s="1"/>
  <c r="B35" i="20" s="1"/>
  <c r="B7" i="19"/>
  <c r="B32" i="17"/>
  <c r="D30" i="11"/>
  <c r="D27" i="11"/>
  <c r="E25" i="11" s="1"/>
  <c r="D28" i="11"/>
  <c r="J6" i="12" s="1"/>
  <c r="D12" i="21"/>
  <c r="H7" i="12"/>
  <c r="D139" i="4"/>
  <c r="E143" i="4" l="1"/>
  <c r="F19" i="8" s="1"/>
  <c r="E146" i="4"/>
  <c r="E148" i="4" s="1"/>
  <c r="N5" i="21"/>
  <c r="F146" i="4"/>
  <c r="F148" i="4" s="1"/>
  <c r="F143" i="4"/>
  <c r="G19" i="8" s="1"/>
  <c r="E9" i="12"/>
  <c r="F9" i="12"/>
  <c r="G14" i="20"/>
  <c r="G17" i="20" s="1"/>
  <c r="D140" i="4"/>
  <c r="D142" i="4" s="1"/>
  <c r="B5" i="19"/>
  <c r="B24" i="19" s="1"/>
  <c r="B27" i="19" s="1"/>
  <c r="C142" i="4"/>
  <c r="C8" i="14"/>
  <c r="E30" i="11"/>
  <c r="E27" i="11"/>
  <c r="F25" i="11" s="1"/>
  <c r="E28" i="11"/>
  <c r="J7" i="12" s="1"/>
  <c r="E7" i="12"/>
  <c r="F7" i="12" s="1"/>
  <c r="C24" i="21"/>
  <c r="E6" i="12"/>
  <c r="F6" i="12" s="1"/>
  <c r="F11" i="12" s="1"/>
  <c r="K6" i="12"/>
  <c r="H11" i="12"/>
  <c r="E8" i="12"/>
  <c r="F8" i="12" s="1"/>
  <c r="D12" i="10"/>
  <c r="C22" i="8"/>
  <c r="C25" i="8" s="1"/>
  <c r="D143" i="4" l="1"/>
  <c r="E19" i="8" s="1"/>
  <c r="D146" i="4"/>
  <c r="D148" i="4" s="1"/>
  <c r="C146" i="4"/>
  <c r="C148" i="4" s="1"/>
  <c r="C143" i="4"/>
  <c r="D19" i="8" s="1"/>
  <c r="F28" i="11"/>
  <c r="J8" i="12" s="1"/>
  <c r="K8" i="12" s="1"/>
  <c r="F27" i="11"/>
  <c r="G25" i="11" s="1"/>
  <c r="F30" i="11"/>
  <c r="H12" i="10"/>
  <c r="H18" i="10" s="1"/>
  <c r="H25" i="10" s="1"/>
  <c r="G22" i="8"/>
  <c r="E11" i="12"/>
  <c r="C5" i="12"/>
  <c r="C36" i="8"/>
  <c r="B8" i="20"/>
  <c r="B28" i="19"/>
  <c r="G12" i="10"/>
  <c r="G18" i="10" s="1"/>
  <c r="G25" i="10" s="1"/>
  <c r="F22" i="8"/>
  <c r="D18" i="10"/>
  <c r="K7" i="12"/>
  <c r="G25" i="8" l="1"/>
  <c r="G36" i="8" s="1"/>
  <c r="F25" i="8"/>
  <c r="G5" i="12"/>
  <c r="G27" i="11"/>
  <c r="G28" i="11"/>
  <c r="J9" i="12" s="1"/>
  <c r="G30" i="11"/>
  <c r="D25" i="10"/>
  <c r="E24" i="21"/>
  <c r="C6" i="19"/>
  <c r="E12" i="10"/>
  <c r="D22" i="8"/>
  <c r="D25" i="8" s="1"/>
  <c r="F12" i="10"/>
  <c r="F18" i="10" s="1"/>
  <c r="F25" i="10" s="1"/>
  <c r="E22" i="8"/>
  <c r="E25" i="8" s="1"/>
  <c r="E18" i="10" l="1"/>
  <c r="I12" i="10"/>
  <c r="K9" i="12"/>
  <c r="J11" i="12"/>
  <c r="M19" i="12" s="1"/>
  <c r="C8" i="12"/>
  <c r="G8" i="12" s="1"/>
  <c r="L8" i="12" s="1"/>
  <c r="F36" i="8"/>
  <c r="C7" i="12"/>
  <c r="G7" i="12" s="1"/>
  <c r="L7" i="12" s="1"/>
  <c r="E36" i="8"/>
  <c r="F24" i="21"/>
  <c r="C9" i="12"/>
  <c r="G9" i="12" s="1"/>
  <c r="C6" i="12"/>
  <c r="D36" i="8"/>
  <c r="L5" i="12"/>
  <c r="M5" i="12" l="1"/>
  <c r="G6" i="12"/>
  <c r="C11" i="12"/>
  <c r="M20" i="12" s="1"/>
  <c r="G24" i="21"/>
  <c r="L9" i="12"/>
  <c r="K11" i="12"/>
  <c r="E25" i="10"/>
  <c r="I25" i="10" s="1"/>
  <c r="I18" i="10"/>
  <c r="B6" i="15" s="1"/>
  <c r="L6" i="12" l="1"/>
  <c r="G11" i="12"/>
  <c r="F2" i="16"/>
  <c r="F4" i="16" s="1"/>
  <c r="C6" i="15"/>
  <c r="B8" i="15"/>
  <c r="H24" i="21"/>
  <c r="L11" i="12"/>
  <c r="C44" i="16" l="1"/>
  <c r="B26" i="15" s="1"/>
  <c r="C50" i="16"/>
  <c r="B32" i="15" s="1"/>
  <c r="C47" i="16"/>
  <c r="B29" i="15" s="1"/>
  <c r="C41" i="16"/>
  <c r="B23" i="15" s="1"/>
  <c r="C48" i="16"/>
  <c r="B30" i="15" s="1"/>
  <c r="C45" i="16"/>
  <c r="B27" i="15" s="1"/>
  <c r="C42" i="16"/>
  <c r="B24" i="15" s="1"/>
  <c r="E35" i="16"/>
  <c r="D6" i="15"/>
  <c r="C49" i="16"/>
  <c r="B31" i="15" s="1"/>
  <c r="C46" i="16"/>
  <c r="B28" i="15" s="1"/>
  <c r="C43" i="16"/>
  <c r="B25" i="15" s="1"/>
  <c r="M6" i="12"/>
  <c r="M7" i="12" s="1"/>
  <c r="D15" i="12"/>
  <c r="C5" i="15"/>
  <c r="E5" i="15"/>
  <c r="C7" i="15"/>
  <c r="D46" i="16" l="1"/>
  <c r="D28" i="15" s="1"/>
  <c r="D41" i="16"/>
  <c r="D44" i="16"/>
  <c r="D26" i="15" s="1"/>
  <c r="D48" i="16"/>
  <c r="D30" i="15" s="1"/>
  <c r="D45" i="16"/>
  <c r="D42" i="16"/>
  <c r="D24" i="15" s="1"/>
  <c r="D47" i="16"/>
  <c r="D50" i="16"/>
  <c r="D49" i="16"/>
  <c r="D31" i="15" s="1"/>
  <c r="D43" i="16"/>
  <c r="C8" i="15"/>
  <c r="D26" i="20"/>
  <c r="D25" i="20" s="1"/>
  <c r="D30" i="20" s="1"/>
  <c r="G26" i="20"/>
  <c r="G25" i="20" s="1"/>
  <c r="G30" i="20" s="1"/>
  <c r="F26" i="20"/>
  <c r="F25" i="20" s="1"/>
  <c r="F30" i="20" s="1"/>
  <c r="E26" i="20"/>
  <c r="E25" i="20" s="1"/>
  <c r="E30" i="20" s="1"/>
  <c r="C26" i="20"/>
  <c r="C25" i="20" s="1"/>
  <c r="C30" i="20" s="1"/>
  <c r="C29" i="17"/>
  <c r="E6" i="15"/>
  <c r="E8" i="15" s="1"/>
  <c r="B29" i="21"/>
  <c r="C29" i="21" s="1"/>
  <c r="D8" i="15"/>
  <c r="F6" i="15"/>
  <c r="D14" i="12"/>
  <c r="M8" i="12"/>
  <c r="M9" i="12" s="1"/>
  <c r="D13" i="12" l="1"/>
  <c r="M11" i="12"/>
  <c r="M21" i="12"/>
  <c r="E46" i="16"/>
  <c r="D5" i="14" s="1"/>
  <c r="D27" i="15"/>
  <c r="G6" i="15"/>
  <c r="F8" i="15"/>
  <c r="D32" i="15"/>
  <c r="G32" i="15" s="1"/>
  <c r="E50" i="16"/>
  <c r="D7" i="14" s="1"/>
  <c r="E42" i="16"/>
  <c r="D3" i="14" s="1"/>
  <c r="D23" i="15"/>
  <c r="E44" i="16"/>
  <c r="D4" i="14" s="1"/>
  <c r="D25" i="15"/>
  <c r="E48" i="16"/>
  <c r="D6" i="14" s="1"/>
  <c r="D29" i="15"/>
  <c r="C8" i="19"/>
  <c r="H8" i="19" s="1"/>
  <c r="D29" i="17"/>
  <c r="E9" i="18" l="1"/>
  <c r="E10" i="18" s="1"/>
  <c r="E12" i="18" s="1"/>
  <c r="E14" i="18" s="1"/>
  <c r="E5" i="14"/>
  <c r="D10" i="13" s="1"/>
  <c r="D9" i="18"/>
  <c r="D10" i="18" s="1"/>
  <c r="D12" i="18" s="1"/>
  <c r="D14" i="18" s="1"/>
  <c r="E4" i="14"/>
  <c r="C10" i="13" s="1"/>
  <c r="F32" i="15"/>
  <c r="I10" i="21" s="1"/>
  <c r="E6" i="14"/>
  <c r="E10" i="13" s="1"/>
  <c r="F9" i="18"/>
  <c r="F10" i="18" s="1"/>
  <c r="F12" i="18" s="1"/>
  <c r="F14" i="18" s="1"/>
  <c r="G28" i="15"/>
  <c r="F28" i="15"/>
  <c r="I8" i="21" s="1"/>
  <c r="D54" i="15"/>
  <c r="G24" i="15"/>
  <c r="F24" i="15"/>
  <c r="E7" i="14"/>
  <c r="F10" i="13" s="1"/>
  <c r="G9" i="18"/>
  <c r="G10" i="18" s="1"/>
  <c r="G12" i="18" s="1"/>
  <c r="G14" i="18" s="1"/>
  <c r="F26" i="15"/>
  <c r="I7" i="21" s="1"/>
  <c r="G26" i="15"/>
  <c r="H26" i="15" s="1"/>
  <c r="G30" i="15"/>
  <c r="F30" i="15"/>
  <c r="I9" i="21" s="1"/>
  <c r="D8" i="14"/>
  <c r="C9" i="18"/>
  <c r="C10" i="18" s="1"/>
  <c r="C12" i="18" s="1"/>
  <c r="C14" i="18" s="1"/>
  <c r="E3" i="14"/>
  <c r="G5" i="15"/>
  <c r="G8" i="15" s="1"/>
  <c r="G7" i="15"/>
  <c r="E8" i="14" l="1"/>
  <c r="B10" i="13"/>
  <c r="H28" i="15"/>
  <c r="F42" i="17"/>
  <c r="F44" i="17" s="1"/>
  <c r="I54" i="17" s="1"/>
  <c r="I55" i="17" s="1"/>
  <c r="G16" i="19"/>
  <c r="F11" i="13"/>
  <c r="D42" i="17"/>
  <c r="D44" i="17" s="1"/>
  <c r="E16" i="19"/>
  <c r="D11" i="13"/>
  <c r="C21" i="18"/>
  <c r="C18" i="18"/>
  <c r="B11" i="20"/>
  <c r="F54" i="15"/>
  <c r="C42" i="17"/>
  <c r="C44" i="17" s="1"/>
  <c r="D16" i="19"/>
  <c r="C11" i="13"/>
  <c r="E42" i="17"/>
  <c r="E44" i="17" s="1"/>
  <c r="F16" i="19"/>
  <c r="E11" i="13"/>
  <c r="H30" i="15"/>
  <c r="I6" i="21"/>
  <c r="I12" i="21" s="1"/>
  <c r="H24" i="15"/>
  <c r="G54" i="15"/>
  <c r="H32" i="15"/>
  <c r="H8" i="21" l="1"/>
  <c r="D12" i="13"/>
  <c r="D13" i="13"/>
  <c r="B23" i="20"/>
  <c r="B12" i="20" s="1"/>
  <c r="B5" i="20"/>
  <c r="G10" i="13"/>
  <c r="B42" i="17"/>
  <c r="B44" i="17" s="1"/>
  <c r="B54" i="17" s="1"/>
  <c r="B55" i="17" s="1"/>
  <c r="C16" i="19"/>
  <c r="B11" i="13"/>
  <c r="H7" i="21"/>
  <c r="C13" i="13"/>
  <c r="C14" i="13" s="1"/>
  <c r="D33" i="20" s="1"/>
  <c r="C12" i="13"/>
  <c r="D16" i="18"/>
  <c r="C11" i="20"/>
  <c r="C23" i="20" s="1"/>
  <c r="C12" i="20" s="1"/>
  <c r="C19" i="18"/>
  <c r="H10" i="21"/>
  <c r="F12" i="13"/>
  <c r="F13" i="13" s="1"/>
  <c r="H9" i="21"/>
  <c r="E12" i="13"/>
  <c r="E13" i="13" s="1"/>
  <c r="F10" i="21" l="1"/>
  <c r="G17" i="19"/>
  <c r="F17" i="19"/>
  <c r="F13" i="19" s="1"/>
  <c r="F9" i="21"/>
  <c r="E14" i="13"/>
  <c r="F33" i="20" s="1"/>
  <c r="E17" i="19"/>
  <c r="F8" i="21"/>
  <c r="B24" i="20"/>
  <c r="B38" i="20" s="1"/>
  <c r="H6" i="21"/>
  <c r="G11" i="13"/>
  <c r="B12" i="13"/>
  <c r="E7" i="21"/>
  <c r="G7" i="21" s="1"/>
  <c r="D19" i="19"/>
  <c r="H16" i="19"/>
  <c r="E8" i="21"/>
  <c r="G8" i="21" s="1"/>
  <c r="E19" i="19"/>
  <c r="G19" i="19"/>
  <c r="E10" i="21"/>
  <c r="D17" i="19"/>
  <c r="F7" i="21"/>
  <c r="D14" i="13"/>
  <c r="E33" i="20" s="1"/>
  <c r="D18" i="18"/>
  <c r="D19" i="18"/>
  <c r="D21" i="18"/>
  <c r="F14" i="13"/>
  <c r="G33" i="20" s="1"/>
  <c r="F19" i="19"/>
  <c r="E9" i="21"/>
  <c r="K6" i="21"/>
  <c r="C11" i="19"/>
  <c r="H12" i="21" l="1"/>
  <c r="L6" i="21"/>
  <c r="K7" i="21"/>
  <c r="L7" i="21" s="1"/>
  <c r="M7" i="21" s="1"/>
  <c r="D11" i="19"/>
  <c r="G13" i="19"/>
  <c r="E6" i="21"/>
  <c r="E12" i="21" s="1"/>
  <c r="C19" i="19"/>
  <c r="H19" i="19" s="1"/>
  <c r="G12" i="13"/>
  <c r="G10" i="21"/>
  <c r="E16" i="18"/>
  <c r="D11" i="20"/>
  <c r="D23" i="20" s="1"/>
  <c r="D12" i="20" s="1"/>
  <c r="G9" i="21"/>
  <c r="D13" i="19"/>
  <c r="B13" i="13"/>
  <c r="B14" i="13" s="1"/>
  <c r="E13" i="19"/>
  <c r="C33" i="20" l="1"/>
  <c r="D34" i="20" s="1"/>
  <c r="E34" i="20" s="1"/>
  <c r="F34" i="20" s="1"/>
  <c r="G34" i="20" s="1"/>
  <c r="G14" i="13"/>
  <c r="C19" i="17"/>
  <c r="E18" i="18"/>
  <c r="E19" i="18" s="1"/>
  <c r="E21" i="18"/>
  <c r="L28" i="21"/>
  <c r="F6" i="21"/>
  <c r="G13" i="13"/>
  <c r="C17" i="19"/>
  <c r="K8" i="21" l="1"/>
  <c r="E11" i="19"/>
  <c r="F12" i="21"/>
  <c r="G6" i="21"/>
  <c r="D19" i="17"/>
  <c r="C20" i="17"/>
  <c r="H17" i="19"/>
  <c r="C13" i="19"/>
  <c r="E11" i="20"/>
  <c r="E23" i="20" s="1"/>
  <c r="E12" i="20" s="1"/>
  <c r="F16" i="18"/>
  <c r="C23" i="17" l="1"/>
  <c r="D20" i="17"/>
  <c r="G12" i="21"/>
  <c r="M6" i="21"/>
  <c r="F18" i="18"/>
  <c r="F19" i="18" s="1"/>
  <c r="F21" i="18"/>
  <c r="H13" i="19"/>
  <c r="L8" i="21"/>
  <c r="K9" i="21" l="1"/>
  <c r="F11" i="19"/>
  <c r="N6" i="21"/>
  <c r="N7" i="21" s="1"/>
  <c r="C26" i="17"/>
  <c r="D23" i="17"/>
  <c r="F11" i="20"/>
  <c r="F23" i="20" s="1"/>
  <c r="F12" i="20" s="1"/>
  <c r="G16" i="18"/>
  <c r="M8" i="21"/>
  <c r="D15" i="21" l="1"/>
  <c r="N8" i="21"/>
  <c r="D26" i="17"/>
  <c r="C27" i="17"/>
  <c r="G18" i="18"/>
  <c r="G19" i="18" s="1"/>
  <c r="G21" i="18"/>
  <c r="L9" i="21"/>
  <c r="G11" i="19" l="1"/>
  <c r="H11" i="19" s="1"/>
  <c r="K10" i="21"/>
  <c r="M9" i="21"/>
  <c r="G11" i="20"/>
  <c r="G23" i="20" s="1"/>
  <c r="G12" i="20" s="1"/>
  <c r="C31" i="17"/>
  <c r="D27" i="17"/>
  <c r="N9" i="21" l="1"/>
  <c r="C7" i="19"/>
  <c r="B25" i="21"/>
  <c r="D31" i="17"/>
  <c r="C32" i="17"/>
  <c r="D32" i="17" s="1"/>
  <c r="L10" i="21"/>
  <c r="K12" i="21"/>
  <c r="L25" i="21" s="1"/>
  <c r="H7" i="19" l="1"/>
  <c r="C5" i="19"/>
  <c r="C24" i="19" s="1"/>
  <c r="C27" i="19" s="1"/>
  <c r="C25" i="21"/>
  <c r="C31" i="21" s="1"/>
  <c r="B31" i="21"/>
  <c r="M10" i="21"/>
  <c r="L12" i="21"/>
  <c r="E32" i="17"/>
  <c r="E30" i="17"/>
  <c r="E29" i="17"/>
  <c r="D32" i="20"/>
  <c r="D31" i="20" s="1"/>
  <c r="D35" i="20" s="1"/>
  <c r="G32" i="20"/>
  <c r="G31" i="20" s="1"/>
  <c r="G35" i="20" s="1"/>
  <c r="F32" i="20"/>
  <c r="F31" i="20" s="1"/>
  <c r="F35" i="20" s="1"/>
  <c r="E32" i="20"/>
  <c r="E31" i="20" s="1"/>
  <c r="E35" i="20" s="1"/>
  <c r="C32" i="20"/>
  <c r="C31" i="20" s="1"/>
  <c r="C35" i="20" s="1"/>
  <c r="E31" i="17"/>
  <c r="D16" i="21" l="1"/>
  <c r="M12" i="21"/>
  <c r="N10" i="21"/>
  <c r="D14" i="21" s="1"/>
  <c r="D6" i="19"/>
  <c r="C28" i="19"/>
  <c r="C8" i="20"/>
  <c r="C5" i="20" s="1"/>
  <c r="C24" i="20" s="1"/>
  <c r="C38" i="20" s="1"/>
  <c r="E25" i="21" l="1"/>
  <c r="D5" i="19"/>
  <c r="D24" i="19" s="1"/>
  <c r="D27" i="19" s="1"/>
  <c r="L27" i="21"/>
  <c r="D28" i="19" l="1"/>
  <c r="D8" i="20"/>
  <c r="D5" i="20" s="1"/>
  <c r="D24" i="20" s="1"/>
  <c r="D38" i="20" s="1"/>
  <c r="E6" i="19"/>
  <c r="F25" i="21"/>
  <c r="E5" i="19" l="1"/>
  <c r="E24" i="19" s="1"/>
  <c r="E27" i="19" s="1"/>
  <c r="G25" i="21"/>
  <c r="E26" i="21"/>
  <c r="F26" i="21" l="1"/>
  <c r="H25" i="21"/>
  <c r="E8" i="20"/>
  <c r="E5" i="20" s="1"/>
  <c r="E24" i="20" s="1"/>
  <c r="E38" i="20" s="1"/>
  <c r="E28" i="19"/>
  <c r="F6" i="19"/>
  <c r="E27" i="21" l="1"/>
  <c r="F5" i="19"/>
  <c r="F24" i="19" s="1"/>
  <c r="F27" i="19" s="1"/>
  <c r="G26" i="21"/>
  <c r="H26" i="21" l="1"/>
  <c r="F8" i="20"/>
  <c r="F5" i="20" s="1"/>
  <c r="F24" i="20" s="1"/>
  <c r="F38" i="20" s="1"/>
  <c r="F28" i="19"/>
  <c r="G6" i="19"/>
  <c r="F27" i="21"/>
  <c r="G5" i="19" l="1"/>
  <c r="G24" i="19" s="1"/>
  <c r="G27" i="19" s="1"/>
  <c r="H6" i="19"/>
  <c r="H5" i="19" s="1"/>
  <c r="H24" i="19" s="1"/>
  <c r="E28" i="21"/>
  <c r="G27" i="21"/>
  <c r="F28" i="21" l="1"/>
  <c r="H27" i="21"/>
  <c r="G28" i="19"/>
  <c r="G8" i="20"/>
  <c r="G5" i="20" s="1"/>
  <c r="G24" i="20" s="1"/>
  <c r="H27" i="19"/>
  <c r="G38" i="20" l="1"/>
  <c r="L36" i="21"/>
  <c r="E29" i="21"/>
  <c r="H28" i="19"/>
  <c r="G28" i="21"/>
  <c r="F29" i="21" l="1"/>
  <c r="G29" i="21" s="1"/>
  <c r="E31" i="21"/>
  <c r="H28" i="21"/>
  <c r="D35" i="21"/>
  <c r="F31" i="21" l="1"/>
  <c r="G31" i="21" s="1"/>
  <c r="L33" i="21" s="1"/>
  <c r="L32" i="21" l="1"/>
  <c r="L30" i="21"/>
  <c r="L34" i="21"/>
  <c r="L31" i="21"/>
  <c r="H29" i="21"/>
  <c r="D34" i="21" s="1"/>
  <c r="D36" i="21"/>
</calcChain>
</file>

<file path=xl/sharedStrings.xml><?xml version="1.0" encoding="utf-8"?>
<sst xmlns="http://schemas.openxmlformats.org/spreadsheetml/2006/main" count="1628" uniqueCount="1057">
  <si>
    <t>ESTA PLANILLA PUEDE SER UTILIZADA SOLAMENTE PARA EL TRABAJO PRACTICO:</t>
  </si>
  <si>
    <t>Reglas y consideraciones a tener en cuenta antes de entregar para corregir</t>
  </si>
  <si>
    <t>Tasa porcentual de IVA</t>
  </si>
  <si>
    <r>
      <rPr>
        <sz val="10"/>
        <color rgb="FFFFFFFF"/>
        <rFont val="Arial"/>
      </rPr>
      <t xml:space="preserve">1. TODAS las celdas que tomen datos de otra parte del archivo deben estar linkeadas con una </t>
    </r>
    <r>
      <rPr>
        <b/>
        <sz val="10"/>
        <color rgb="FFFFFFFF"/>
        <rFont val="Arial"/>
      </rPr>
      <t>FÓRMULA</t>
    </r>
    <r>
      <rPr>
        <sz val="10"/>
        <color rgb="FFFFFFFF"/>
        <rFont val="Arial"/>
      </rPr>
      <t xml:space="preserve">. No se corregirán TPs con datos escritos como valores (esto vale incluso para la tasa de HD, IG e IVA). Tampoco se aceptarán fórmulas que hagan referencia a </t>
    </r>
    <r>
      <rPr>
        <b/>
        <sz val="10"/>
        <color rgb="FFFFFFFF"/>
        <rFont val="Arial"/>
      </rPr>
      <t>otros</t>
    </r>
    <r>
      <rPr>
        <sz val="10"/>
        <color rgb="FFFFFFFF"/>
        <rFont val="Arial"/>
      </rPr>
      <t xml:space="preserve"> archivos.</t>
    </r>
  </si>
  <si>
    <t>Tasa porcentual de Impuesto a las Ganancias</t>
  </si>
  <si>
    <t>Honorarios al Directorio</t>
  </si>
  <si>
    <t>Variable sobre Utilidad económica antes de HD e IG</t>
  </si>
  <si>
    <t>Tiempo de Amortización Activos Fijos:</t>
  </si>
  <si>
    <t>Se considera una depreciación lineal y un valor residual nulo</t>
  </si>
  <si>
    <r>
      <rPr>
        <b/>
        <sz val="10"/>
        <color rgb="FFFFFFFF"/>
        <rFont val="Arial"/>
      </rPr>
      <t>2. TODOS</t>
    </r>
    <r>
      <rPr>
        <sz val="10"/>
        <color rgb="FFFFFFFF"/>
        <rFont val="Arial"/>
      </rPr>
      <t xml:space="preserve"> los valores que se ingresen al archivo por primera vez deben tener su respectiva referencia o </t>
    </r>
    <r>
      <rPr>
        <b/>
        <sz val="10"/>
        <color rgb="FFFFFFFF"/>
        <rFont val="Arial"/>
      </rPr>
      <t>FUENTE</t>
    </r>
    <r>
      <rPr>
        <sz val="10"/>
        <color rgb="FFFFFFFF"/>
        <rFont val="Arial"/>
      </rPr>
      <t xml:space="preserve"> (ej. cálculos auxiliares en otra hoja, links, etc.)</t>
    </r>
  </si>
  <si>
    <t xml:space="preserve">    edificios y obras complementarias</t>
  </si>
  <si>
    <t>años</t>
  </si>
  <si>
    <t xml:space="preserve">    instalaciones industriales</t>
  </si>
  <si>
    <r>
      <rPr>
        <b/>
        <sz val="10"/>
        <color rgb="FFFFFFFF"/>
        <rFont val="Arial"/>
      </rPr>
      <t>3.</t>
    </r>
    <r>
      <rPr>
        <sz val="10"/>
        <color rgb="FFFFFFFF"/>
        <rFont val="Arial"/>
      </rPr>
      <t xml:space="preserve"> Los datos utilizados tienen que tener concordancia con los dimensionamientos anteriores.</t>
    </r>
  </si>
  <si>
    <t xml:space="preserve">    máquinas, equipos y accesorios</t>
  </si>
  <si>
    <r>
      <rPr>
        <b/>
        <sz val="10"/>
        <color rgb="FFFFFFFF"/>
        <rFont val="Arial"/>
      </rPr>
      <t>4.</t>
    </r>
    <r>
      <rPr>
        <sz val="10"/>
        <color rgb="FFFFFFFF"/>
        <rFont val="Arial"/>
      </rPr>
      <t xml:space="preserve"> El SET "A" de verificaciones en la hoja “E-Form” debe estar OK antes de entregar una primer versión para corregir.</t>
    </r>
  </si>
  <si>
    <t xml:space="preserve">    rodados y equipos auxiliares</t>
  </si>
  <si>
    <t xml:space="preserve">    muebles y útiles</t>
  </si>
  <si>
    <r>
      <rPr>
        <b/>
        <sz val="10"/>
        <color rgb="FFFFFFFF"/>
        <rFont val="Arial"/>
      </rPr>
      <t xml:space="preserve">5. </t>
    </r>
    <r>
      <rPr>
        <sz val="10"/>
        <color rgb="FFFFFFFF"/>
        <rFont val="Arial"/>
      </rPr>
      <t>El SET "A", “B” y “C” de verificaciones en la hoja “F-Form” debe estar OK antes de la entrega final</t>
    </r>
  </si>
  <si>
    <t>Otros Activos y Cargos Diferidos</t>
  </si>
  <si>
    <t>Imprevistos</t>
  </si>
  <si>
    <t>Nombre del Producto</t>
  </si>
  <si>
    <t>Válvula mariposa sanitaria de acero inoxidable</t>
  </si>
  <si>
    <t>Ventas Anuales Promedio</t>
  </si>
  <si>
    <t>en Unidades</t>
  </si>
  <si>
    <t>Precio Promedio</t>
  </si>
  <si>
    <t>en $</t>
  </si>
  <si>
    <t xml:space="preserve">Cantidad de personal total </t>
  </si>
  <si>
    <t>en Producción</t>
  </si>
  <si>
    <t>personas</t>
  </si>
  <si>
    <t>en Comercialización</t>
  </si>
  <si>
    <t>en Administración</t>
  </si>
  <si>
    <t>Tamaño de la planta en metros cuadrados</t>
  </si>
  <si>
    <t>m2</t>
  </si>
  <si>
    <t>Periodo de Instalación</t>
  </si>
  <si>
    <t>en meses</t>
  </si>
  <si>
    <t>Período de Puesta en Marcha</t>
  </si>
  <si>
    <t>Tasa de Cambio</t>
  </si>
  <si>
    <t>$ por cada</t>
  </si>
  <si>
    <t>U$S</t>
  </si>
  <si>
    <t>Tasa de Credito Bancario</t>
  </si>
  <si>
    <t>anual</t>
  </si>
  <si>
    <t>Rubro a financiar</t>
  </si>
  <si>
    <t>Metalúrgico</t>
  </si>
  <si>
    <t>Año 6</t>
  </si>
  <si>
    <t>% sobre el total del Rubro</t>
  </si>
  <si>
    <t>Dias de Financiación de Proveedores</t>
  </si>
  <si>
    <t>% sobre Compras</t>
  </si>
  <si>
    <t>Tasa de financiación</t>
  </si>
  <si>
    <t>Miguelito</t>
  </si>
  <si>
    <t>ESTA PLANILLA PUEDE SER UTILIZADA SOLAMENTE PARA EL TRABAJO PRACTICO</t>
  </si>
  <si>
    <t>Inversión Inicial en Activo Fijo</t>
  </si>
  <si>
    <t>Gasto interno (en $)</t>
  </si>
  <si>
    <t>Gasto Externo (en $)</t>
  </si>
  <si>
    <t>Año 0</t>
  </si>
  <si>
    <t>Año 1</t>
  </si>
  <si>
    <t>a) Bienes de Uso</t>
  </si>
  <si>
    <t>Terreno y sus mejoras</t>
  </si>
  <si>
    <t>Edificio y obras complementarias</t>
  </si>
  <si>
    <t>Instalaciones industriales</t>
  </si>
  <si>
    <t>Máquinas operativas</t>
  </si>
  <si>
    <t xml:space="preserve">    importadas, valor FOB</t>
  </si>
  <si>
    <t xml:space="preserve">    nacionales, precio en fábrica del proveedor</t>
  </si>
  <si>
    <t>Gastos conexos a la importación de maquinaria</t>
  </si>
  <si>
    <t>Transporte y montaje de la maquinaria</t>
  </si>
  <si>
    <t>Rodados y equipos auxiliares</t>
  </si>
  <si>
    <t>Muebles y útiles*</t>
  </si>
  <si>
    <t>Infraestructura en Redes y Telecomunicaciones</t>
  </si>
  <si>
    <t>Infraestructura en predio propio</t>
  </si>
  <si>
    <t>Total Bienes de uso</t>
  </si>
  <si>
    <t>b) Gastos asimilables o cargos diferidos</t>
  </si>
  <si>
    <t>Investigaciones y estudios</t>
  </si>
  <si>
    <t>Constitución y organización de la empresa</t>
  </si>
  <si>
    <t>Gastos de Admin. e Ing. En en período de Instalación</t>
  </si>
  <si>
    <t>Gastos de puesta en marcha (AL AÑO 1)</t>
  </si>
  <si>
    <t>Patentes y Licencias</t>
  </si>
  <si>
    <t>Publicidad y Marca</t>
  </si>
  <si>
    <t>Infraestructura en predio ajeno</t>
  </si>
  <si>
    <t>Total gastos asimilables o cargos diferidos</t>
  </si>
  <si>
    <t>c) Total Inversiones iniciales Activo Fijo, sin IVA</t>
  </si>
  <si>
    <t xml:space="preserve">d) IVA </t>
  </si>
  <si>
    <t>e) TOTAL INVERSIONES INICIALES ACTIVO FIJO</t>
  </si>
  <si>
    <t>*Incluye depósito, matafuegos, etc.</t>
  </si>
  <si>
    <t>Rubro</t>
  </si>
  <si>
    <t>Inversión</t>
  </si>
  <si>
    <t>Coeficiente</t>
  </si>
  <si>
    <t>Alícuotas de amortización</t>
  </si>
  <si>
    <t>Valor residual</t>
  </si>
  <si>
    <t>original</t>
  </si>
  <si>
    <t>Años 1/3</t>
  </si>
  <si>
    <t>Años 4/5</t>
  </si>
  <si>
    <t>Bienes de Uso</t>
  </si>
  <si>
    <t>Muebles y útiles</t>
  </si>
  <si>
    <t>Subtotal</t>
  </si>
  <si>
    <t xml:space="preserve">Cargos Diferidos </t>
  </si>
  <si>
    <t>Totales, s/IVA</t>
  </si>
  <si>
    <t>MUEBLES Y ÚTILES</t>
  </si>
  <si>
    <t>CONCEPTO</t>
  </si>
  <si>
    <t>CANTIDAD</t>
  </si>
  <si>
    <t>PRECIO UNITARIO</t>
  </si>
  <si>
    <t>TOTAL</t>
  </si>
  <si>
    <t>LINK</t>
  </si>
  <si>
    <t>Ventiladores</t>
  </si>
  <si>
    <t>https://www.mercadolibre.com.ar/ventilador-industrial-2-en-1-pie-pared-30-pulgadas-hamers-international-por-kacemaster-hi-180/p/MLA28530583#polycard_client=search-nordic&amp;searchVariation=MLA28530583&amp;backend_model=search-backend&amp;wid=MLA1477985933&amp;position=6&amp;search_layout=grid&amp;type=product&amp;tracking_id=71c6694a-933b-4410-b2a0-4ecbe665bfed&amp;sid=search</t>
  </si>
  <si>
    <t>Cesto de basura</t>
  </si>
  <si>
    <t>https://www.mercadolibre.com.ar/tacho-cesto-basura-residuos-70lt-florida/p/MLA23829534#polycard_client=search-nordic&amp;searchVariation=MLA23829534&amp;wid=MLA2271277652&amp;position=16&amp;search_layout=grid&amp;type=product&amp;tracking_id=af76bd0f-a8eb-4f24-9f07-c4ab71de3243&amp;sid=search</t>
  </si>
  <si>
    <t>Mesas</t>
  </si>
  <si>
    <t>https://www.mercadolibre.com.ar/mesa-comedor-sala-madera-maciza-moderna-recta-120x80-sajo-tapa-natural/p/MLA35012645#polycard_client=search-nordic&amp;searchVariation=MLA35012645&amp;wid=MLA1418200317&amp;position=4&amp;search_layout=grid&amp;type=product&amp;tracking_id=66e5ed12-2013-47e0-86f6-e4ab8ed83d19&amp;sid=search</t>
  </si>
  <si>
    <t>Sillas</t>
  </si>
  <si>
    <t>https://articulo.mercadolibre.com.ar/MLA-1124805067-juego-de-comedor-sillas-4-fajas-_JM?searchVariation=174238678815&amp;pdp_filters=price%3A*-100000#polycard_client=search-nordic&amp;searchVariation=174238678815&amp;position=31&amp;search_layout=grid&amp;type=item&amp;tracking_id=e1b67c4c-af20-4307-b6d8-7b5e34a787cd</t>
  </si>
  <si>
    <t>Vajilla</t>
  </si>
  <si>
    <t>https://www.mercadolibre.com.ar/set-de-vajilla-x-12-durax-plato-forjado-vaso-lunita-color-transparente/p/MLA52843818#polycard_client=search-nordic&amp;searchVariation=MLA52843818&amp;wid=MLA2186178562&amp;position=5&amp;search_layout=grid&amp;type=product&amp;tracking_id=c1110d7d-01ca-4c87-bc00-8ed6602c3c3d&amp;sid=search</t>
  </si>
  <si>
    <t>Mesada</t>
  </si>
  <si>
    <t>https://www.mercadolibre.com.ar/mesada-cocina-de-acero-inoxidable-160x052-con-bacha-doble/p/MLA37524426#polycard_client=search-nordic&amp;searchVariation=MLA37524426&amp;wid=MLA2085610346&amp;position=4&amp;search_layout=grid&amp;type=product&amp;tracking_id=0932ea22-4e37-446e-a16c-a07cc711af3f&amp;sid=search</t>
  </si>
  <si>
    <t>Escritorio</t>
  </si>
  <si>
    <t>https://www.mercadolibre.com.ar/escritorio-mesa-de-trabajo-home-collection-melamina-1-cajon-color-nevadoeverest/p/MLA25772158#polycard_client=search-nordic&amp;searchVariation=MLA25772158&amp;wid=MLA1398196809&amp;position=23&amp;search_layout=grid&amp;type=product&amp;tracking_id=a45b7b62-b275-469c-adab-bba7621b39df&amp;sid=search</t>
  </si>
  <si>
    <t>Cajoneras</t>
  </si>
  <si>
    <t>https://www.mercadolibre.com.ar/chifonier-cajonera-dakar-zero-4-cajones-melamina-color-venezia/p/MLA28697087#polycard_client=search-nordic&amp;searchVariation=MLA28697087&amp;wid=MLA1905637978&amp;position=4&amp;search_layout=grid&amp;type=product&amp;tracking_id=2d4fad02-85af-41e8-9408-0340c14f6097&amp;sid=search</t>
  </si>
  <si>
    <t>Mesa</t>
  </si>
  <si>
    <t>Sillas ergonómicas</t>
  </si>
  <si>
    <t>https://www.mercadolibre.com.ar/silla-de-oficina-pc-ejecutiva-escritorio-lumbar-blanca-zhome-color-blanco-material-del-tapizado-malla-z-103-b/p/MLA42445941#polycard_client=search-nordic&amp;searchVariation=MLA42445941&amp;wid=MLA1964272712&amp;position=7&amp;search_layout=grid&amp;type=product&amp;tracking_id=4e62f608-2610-47b0-95af-99312d3e9ea2&amp;sid=search</t>
  </si>
  <si>
    <t>Pizarras</t>
  </si>
  <si>
    <t>https://www.mercadolibre.com.ar/pizarraspremium-pizarra-blanca-magnetica-multiuso-80x120cm-marco-pvc/p/MLA23839169#polycard_client=search-nordic&amp;searchVariation=MLA23839169&amp;wid=MLA1472131439&amp;position=5&amp;search_layout=grid&amp;type=product&amp;tracking_id=c12a4fc5-bcee-479b-8dbe-ceab27117bf4&amp;sid=search</t>
  </si>
  <si>
    <t>Inodoros con mochila</t>
  </si>
  <si>
    <t>https://www.mercadolibre.com.ar/inodoro-corto-ferrum-mochila-asiento-deposito-simple-color-blanco/p/MLA50845595#polycard_client=search-nordic&amp;searchVariation=MLA50845595&amp;wid=MLA2215256670&amp;position=4&amp;search_layout=grid&amp;type=product&amp;tracking_id=baa560b3-be5e-4d43-85fe-06829ed36ee3&amp;sid=search</t>
  </si>
  <si>
    <t>Lavamanos</t>
  </si>
  <si>
    <t>https://articulo.mercadolibre.com.ar/MLA-1863892946-bacha-roca-loza-de-colgar-1-agujero-con-griferia-monocomando-_JM?searchVariation=181217673610#polycard_client=search-nordic&amp;searchVariation=181217673610&amp;position=57&amp;search_layout=grid&amp;type=item&amp;tracking_id=dea5c3a7-4839-4eaa-9983-bf1998a2dcdd</t>
  </si>
  <si>
    <t>Lockers</t>
  </si>
  <si>
    <t>https://articulo.mercadolibre.com.ar/MLA-1426467169-lockers-metalicos-16-puertas-con-cerradura-reforzado-_JM?searchVariation=182767673083#is_advertising=true&amp;searchVariation=182767673083&amp;backend_model=search-backend&amp;position=1&amp;search_layout=grid&amp;type=pad&amp;tracking_id=ad2e654e-c51b-451e-8f1d-432ff849d01c&amp;is_advertising=true&amp;ad_domain=VQCATCORE_LST&amp;ad_position=1&amp;ad_click_id=MTNhZGQ4ODEtOTY5OC00M2FlLTljZDctMjkxZDFkMmNhNWU4</t>
  </si>
  <si>
    <t>Espejos</t>
  </si>
  <si>
    <t>https://articulo.mercadolibre.com.ar/MLA-2009868240-espejo-50-cm-bano-redondo-circular-_JM?searchVariation=186863106697#polycard_client=search-nordic&amp;searchVariation=186863106697&amp;position=38&amp;search_layout=grid&amp;type=item&amp;tracking_id=3b35a17a-d86b-419c-b8e4-f78917b25142</t>
  </si>
  <si>
    <t>Duchas</t>
  </si>
  <si>
    <t>https://www.mercadolibre.com.ar/flor-ducha-cuadrada-acero-inoxidable-brazo-cano-cromado-color-gris/p/MLA34134266?pdp_filters=item_id:MLA1807778750#wid=MLA1807778750&amp;sid=search&amp;is_advertising=true&amp;searchVariation=MLA34134266&amp;backend_model=search-backend&amp;position=1&amp;search_layout=grid&amp;type=pad&amp;tracking_id=4a4c48dd-1490-41e8-8de7-2a4c12e7156a&amp;is_advertising=true&amp;ad_domain=VQCATCORE_LST&amp;ad_position=1&amp;ad_click_id=NTEzNDE0OTctYjEyMC00MDk1LWFhNGUtZWRlOWE0YmYzZDg1</t>
  </si>
  <si>
    <t>Mingitorios</t>
  </si>
  <si>
    <t>https://www.mercadolibre.com.ar/mingitorio-oval-piazza-b0601-loza-blanco-urinario-sanitario/p/MLA37737585#polycard_client=search-nordic&amp;searchVariation=MLA37737585&amp;wid=MLA1831629870&amp;position=13&amp;search_layout=grid&amp;type=product&amp;tracking_id=af85aa43-c4f1-4e24-8460-1c5336a15a3a&amp;sid=search</t>
  </si>
  <si>
    <t>Articulos de libreria</t>
  </si>
  <si>
    <t>https://articulo.mercadolibre.com.ar/MLA-1124027479-set-utiles-libreria-articulos-oficina-escritorio-kit-empresa-_JM#polycard_client=search-nordic&amp;position=22&amp;search_layout=grid&amp;type=item&amp;tracking_id=8962efd5-362f-4597-a02d-595a55f1ff39&amp;wid=MLA1124027479&amp;sid=search</t>
  </si>
  <si>
    <t>Herramientas</t>
  </si>
  <si>
    <t>https://articulo.mercadolibre.com.ar/MLA-789232631-valija-aluminio-187-pz-herramientas-y-tubos-la-mas-completa-_JM?searchVariation=61941586109#polycard_client=search-nordic&amp;searchVariation=61941586109&amp;position=17&amp;search_layout=grid&amp;type=item&amp;tracking_id=edf4c3fc-0536-4f9c-9597-227f1ce3f421</t>
  </si>
  <si>
    <t>EQUIPOS AUXILIARES</t>
  </si>
  <si>
    <t>Carteles de señalización</t>
  </si>
  <si>
    <t>https://www.mercadolibre.com.ar/cartel-senalizacion-industrial-modelos-22x28-ever-safe-color-matafuego/p/MLA52220717#polycard_client=search-nordic&amp;searchVariation=MLA52220717&amp;wid=MLA2185827974&amp;position=18&amp;search_layout=grid&amp;type=product&amp;tracking_id=0240d003-55c1-4f1e-a8df-7cecd2bb7534&amp;sid=search</t>
  </si>
  <si>
    <t>Teléfonos</t>
  </si>
  <si>
    <t>https://www.mercadolibre.com.ar/telefono-fijo-de-mesa-pared-cableado-casa-numeros-grandes-libercam-phon-30-color-negro/p/MLA26360634?pdp_filters=item_id:MLA1480424714#wid=MLA1480424714&amp;sid=search&amp;is_advertising=true&amp;searchVariation=MLA26360634&amp;backend_model=search-backend&amp;position=2&amp;search_layout=stack&amp;type=pad&amp;tracking_id=5f679f02-8833-44e3-87db-24b653d43fd9&amp;is_advertising=true&amp;ad_domain=VQCATCORE_LST&amp;ad_position=2&amp;ad_click_id=MTljMDY3OTctY2QwZi00MDMxLTlmZGQtOGY4NjEwZmU1Y2Vh</t>
  </si>
  <si>
    <t>Matafuegos ABC</t>
  </si>
  <si>
    <t>https://articulo.mercadolibre.com.ar/MLA-620271506-matafuegos-nuevos-polvo-triclase-5-kg-tarjeta-soporte-baliza-_JM?searchVariation=15873553124#is_advertising=true&amp;searchVariation=15873553124&amp;backend_model=search-backend&amp;position=3&amp;search_layout=grid&amp;type=pad&amp;tracking_id=be724187-60f5-4e51-a256-d4c073c9a6c3&amp;is_advertising=true&amp;ad_domain=VQCATCORE_LST&amp;ad_position=3&amp;ad_click_id=YmZkYTZmNTgtNmM0ZS00YWI5LWJjY2ItNjBkNjYwN2Q3NTI0</t>
  </si>
  <si>
    <t>Luces de emergencia</t>
  </si>
  <si>
    <t>https://articulo.mercadolibre.com.ar/MLA-1974041224-pack-2-luz-de-emergencia-bateria-recargable-60-led-industria-_JM?searchVariation=186391418629#is_advertising=true&amp;searchVariation=186391418629&amp;backend_model=search-backend&amp;position=8&amp;search_layout=grid&amp;type=pad&amp;tracking_id=607661ae-1f9b-4b22-a31d-58361221510b&amp;is_advertising=true&amp;ad_domain=VQCATCORE_LST&amp;ad_position=8&amp;ad_click_id=ZGU1YTM3MjYtMTY0MS00OGIyLTkxZmYtOWZiN2U3YTA0NTVl</t>
  </si>
  <si>
    <t>Dispenser de agua</t>
  </si>
  <si>
    <t>https://articulo.mercadolibre.com.ar/MLA-736077407-dispenser-de-agua-frio-calor-conexion-a-red-premium-kit-_JM?searchVariation=188767880075#polycard_client=search-nordic&amp;searchVariation=188767880075&amp;position=21&amp;search_layout=grid&amp;type=item&amp;tracking_id=e6d41f5b-3a42-4d30-9313-a15d92cc5846</t>
  </si>
  <si>
    <t>Botiquín primeros auxilios</t>
  </si>
  <si>
    <t>https://articulo.mercadolibre.com.ar/MLA-1485501109-botiquin-primeros-auxilios-30-elementos-eversafe-mol-madera-_JM#is_advertising=true&amp;backend_model=search-backend&amp;position=3&amp;search_layout=grid&amp;type=pad&amp;tracking_id=f021687f-ea43-4d0c-9e68-253307cecea9&amp;is_advertising=true&amp;ad_domain=VQCATCORE_LST&amp;ad_position=3&amp;ad_click_id=YjNmYjQyMGMtYjQ4Yi00ZGNlLWI0ODUtNThlMzY0MGY4NjMz</t>
  </si>
  <si>
    <t>Microondas</t>
  </si>
  <si>
    <t>https://www.mercadolibre.com.ar/microondas-sansei-msarw20uap-rotativo-20l-700w/p/MLA43529502#polycard_client=search_best-seller&amp;tracking_id=78d08ac2-7f3e-437f-9696-aff864c61617&amp;wid=MLA1967730220&amp;sid=search</t>
  </si>
  <si>
    <t>Heladera</t>
  </si>
  <si>
    <t>https://www.mercadolibre.com.ar/heladera-telefunken-300-lts-con-freezer-blanca-hd300b/p/MLA51643130#polycard_client=search-nordic&amp;searchVariation=MLA51643130&amp;wid=MLA2182060712&amp;position=25&amp;search_layout=stack&amp;type=product&amp;tracking_id=3af9a9a8-30e9-4f5b-b201-36219d10f4ab&amp;sid=search</t>
  </si>
  <si>
    <t>Cafetera</t>
  </si>
  <si>
    <t>https://www.mercadolibre.com.ar/cafetera-electrica-de-filtro-sansei-casa9118bp-075l-color-negro/p/MLA27351867?pdp_filters=item_id:MLA1551426198#wid=MLA1551426198&amp;sid=search&amp;is_advertising=true&amp;searchVariation=MLA27351867&amp;backend_model=search-backend&amp;position=1&amp;search_layout=stack&amp;type=pad&amp;tracking_id=c94d15dc-6e57-4d25-a555-c3088b34b24d&amp;is_advertising=true&amp;ad_domain=VQCATCORE_LST&amp;ad_position=1&amp;ad_click_id=YjNmMGYxMmUtMTA0Zi00NWVlLWFmZDktZjI3ZjcxODUyOGVk</t>
  </si>
  <si>
    <t>Aire acondicionado</t>
  </si>
  <si>
    <t>https://www.mercadolibre.com.ar/aire-acondicionado-sansei-split-ultra-friocalor-inverter-3500w3053fg/p/MLA25265609#polycard_client=search-nordic&amp;searchVariation=MLA25265609&amp;wid=MLA1514533665&amp;position=38&amp;search_layout=stack&amp;type=product&amp;tracking_id=e3aa563b-4da8-4c82-bf92-510c068c34ac&amp;sid=search</t>
  </si>
  <si>
    <t>Computadoras</t>
  </si>
  <si>
    <t>https://www.mercadolibre.com.ar/notebook-lenovo-ideapad-slim-156-intel-i3-8gb-ram-256gb-ssd-color-arctic-grey/p/MLA45361885#polycard_client=search-nordic&amp;searchVariation=MLA45361885&amp;wid=MLA2006890214&amp;position=10&amp;search_layout=stack&amp;type=product&amp;tracking_id=b904eb91-8bcb-424e-aba1-4fc7cc598428&amp;sid=search</t>
  </si>
  <si>
    <t>Impresora</t>
  </si>
  <si>
    <t>https://www.mercadolibre.com.ar/impresora-multifuncion-hp-deskjet-ink-advantage-2875-wifi/p/MLA29022615#polycard_client=search_best-seller&amp;tracking_id=d6d87091-7df5-4e4d-9985-2ee499254c67&amp;wid=MLA1445106795&amp;sid=search</t>
  </si>
  <si>
    <t>Zorra manual</t>
  </si>
  <si>
    <t>https://www.equustech.com.ar/productos/zorra-25-tn/</t>
  </si>
  <si>
    <t>zorra eléctrica</t>
  </si>
  <si>
    <t>https://www.equustech.com.ar/productos/traspaletaelectrica2ton/</t>
  </si>
  <si>
    <t>zorra manual</t>
  </si>
  <si>
    <t>zorra manual x2</t>
  </si>
  <si>
    <t>Publicidad y Marca:</t>
  </si>
  <si>
    <t>AR$</t>
  </si>
  <si>
    <t>U$D</t>
  </si>
  <si>
    <t>Registro de Marca con un asesor</t>
  </si>
  <si>
    <t>https://www.mf-ip.com/?gad_source=1&amp;gad_campaignid=21024858891&amp;gbraid=0AAAAA9TjQnqY5jESBbGMmQJdXGapnuKF6&amp;gclid=CjwKCAjw2vTFBhAuEiwAFaScwmbO-ZhVjzjK_ZmXJqp6LiYD8C8V2-AgQGJeZcJfGHwugVOutYJigBoCihUQAvD_BwE</t>
  </si>
  <si>
    <t>Pagina Web</t>
  </si>
  <si>
    <t>Presupuesto SecDev</t>
  </si>
  <si>
    <t>Participación en Ferias</t>
  </si>
  <si>
    <t>https://www.thaiscorp.com/seguritec/en/exhibidor/costos</t>
  </si>
  <si>
    <t>Anuncios en Revistas</t>
  </si>
  <si>
    <t>https://valve-world-americas.com/advertising/magazine</t>
  </si>
  <si>
    <t>Terreno y sus Mejoras:</t>
  </si>
  <si>
    <t>Terreno</t>
  </si>
  <si>
    <t>Propiedad de 2500 m2 divisible</t>
  </si>
  <si>
    <t>Precio del m2= 65 dolares</t>
  </si>
  <si>
    <t>2500 m2</t>
  </si>
  <si>
    <t>https://terreno.mercadolibre.com.ar/MLA-2005698022-terreno-en-venta-en-parque-industrial-pilar-_JM#polycard_client=search-nordic&amp;search_layout=grid&amp;position=1&amp;type=item&amp;tracking_id=81a66e16-5bc6-4283-a724-70591c0fe4b9</t>
  </si>
  <si>
    <t>Infraestructura en Redes y Telecomunicaciones:</t>
  </si>
  <si>
    <t>Concepto</t>
  </si>
  <si>
    <t>Supuesto</t>
  </si>
  <si>
    <t>Costo unitario</t>
  </si>
  <si>
    <t>Total estimado</t>
  </si>
  <si>
    <t>Bandejas portacables (360 m líneas)</t>
  </si>
  <si>
    <t>120 tramos de 3 m</t>
  </si>
  <si>
    <t>Cable UTP Cat 6 (720 m)</t>
  </si>
  <si>
    <t>3 rollos</t>
  </si>
  <si>
    <t>Switch (24 puertos)</t>
  </si>
  <si>
    <t>2 unidades</t>
  </si>
  <si>
    <t>Access Points WiFi (x4)</t>
  </si>
  <si>
    <t>4 unidades</t>
  </si>
  <si>
    <t>Mano de obra (30 bocas)</t>
  </si>
  <si>
    <t>30 bocas</t>
  </si>
  <si>
    <t>Consideramos un 50% del costo para la mano de obra</t>
  </si>
  <si>
    <t>Infraestructura en predio propio:</t>
  </si>
  <si>
    <t>Precio (ARS)</t>
  </si>
  <si>
    <t>Portón corredizo automático (con motor)</t>
  </si>
  <si>
    <t>Iluminación exterior perimetral</t>
  </si>
  <si>
    <t>Cartelería y señalización externa</t>
  </si>
  <si>
    <t>Instalación eléctrica externa (tablero, jabalina, etc.)</t>
  </si>
  <si>
    <t>Bases de hormigón para maquinas</t>
  </si>
  <si>
    <t>Total estimado + mano de obra</t>
  </si>
  <si>
    <t>Edificio y Obras Complementarias:</t>
  </si>
  <si>
    <t>Valor del m2 de Construcción</t>
  </si>
  <si>
    <t>https://tradenews.com.ar/el-costo-de-la-construccion-de-depositos-de-clase-a-ronda-los-us600-el-metro-cuadrado/</t>
  </si>
  <si>
    <t>m2 Total</t>
  </si>
  <si>
    <t>Costo de Licencias (normas API):</t>
  </si>
  <si>
    <t>Tarifario:</t>
  </si>
  <si>
    <t>https://www.api.org/products-and-services/individual-certification-programs/schedules-and-fees?utm_source=chatgpt.com#tab-fees</t>
  </si>
  <si>
    <t>U$</t>
  </si>
  <si>
    <t>Costo de Certificacion:</t>
  </si>
  <si>
    <t>Certificaciones necesarias:</t>
  </si>
  <si>
    <t>Costo Total:</t>
  </si>
  <si>
    <t>Costo certificacion ISO:</t>
  </si>
  <si>
    <t>Tarifario</t>
  </si>
  <si>
    <t>https://www.enlacetecno.com.ar/el-precio-de-la-calidad-cuanto-cuesta-certificarse-en-una-norma-iso-y-por-que-vale-la-pena/</t>
  </si>
  <si>
    <t>Costo U$D</t>
  </si>
  <si>
    <t>Costo AR$</t>
  </si>
  <si>
    <t>Costo de estudio de prefactibilidad:</t>
  </si>
  <si>
    <t>Costo Maquinaria:</t>
  </si>
  <si>
    <t>maquina</t>
  </si>
  <si>
    <t>cantidad</t>
  </si>
  <si>
    <t>precio unitario</t>
  </si>
  <si>
    <t>precio total</t>
  </si>
  <si>
    <t>Torno CNC</t>
  </si>
  <si>
    <t>Brazo robótico de soldadura</t>
  </si>
  <si>
    <t>Brazo robótico de pulido</t>
  </si>
  <si>
    <t>Banco de pruebas</t>
  </si>
  <si>
    <t>Sierra de cinta</t>
  </si>
  <si>
    <t>Posicionador de piezas</t>
  </si>
  <si>
    <t>Flete + carga al medio</t>
  </si>
  <si>
    <t>VALOR FOB</t>
  </si>
  <si>
    <t>Gasto conexo (seguro, flete, derechos de importacion)</t>
  </si>
  <si>
    <t>Montaje de maquinaria</t>
  </si>
  <si>
    <t>Constitución de la Empresa:</t>
  </si>
  <si>
    <t>Honorarios Profesionales (escriban+contador)</t>
  </si>
  <si>
    <t>Inscripción IGJ</t>
  </si>
  <si>
    <t>Publicaicón en Boletín Oficial</t>
  </si>
  <si>
    <t>Libros</t>
  </si>
  <si>
    <t>Caución</t>
  </si>
  <si>
    <t>Total</t>
  </si>
  <si>
    <t>COSTO TOTAL DE PRODUCCION</t>
  </si>
  <si>
    <t>Gastos en el Area de Producción</t>
  </si>
  <si>
    <t>Rubros</t>
  </si>
  <si>
    <t>Año 2</t>
  </si>
  <si>
    <t>Año 3</t>
  </si>
  <si>
    <t>Año 4</t>
  </si>
  <si>
    <t>Año 5</t>
  </si>
  <si>
    <t>Materia prima</t>
  </si>
  <si>
    <t>Mano de obra directa</t>
  </si>
  <si>
    <t>Gastos de fabricación:</t>
  </si>
  <si>
    <t>Amortizaciones</t>
  </si>
  <si>
    <t>Personal indirecto</t>
  </si>
  <si>
    <t>Materiales</t>
  </si>
  <si>
    <t>Energía eléctrica</t>
  </si>
  <si>
    <t>Combustibles</t>
  </si>
  <si>
    <t>Redes y Telecomunicaciones</t>
  </si>
  <si>
    <t>Tasas e impuestos</t>
  </si>
  <si>
    <t>Seguridad e Higiene</t>
  </si>
  <si>
    <t>Tratamiento de efluentes y subproductos</t>
  </si>
  <si>
    <t>Seguros</t>
  </si>
  <si>
    <t>*libre para insertar costos adicionales*</t>
  </si>
  <si>
    <t>Gastos Total de Producción</t>
  </si>
  <si>
    <t>% Gasto Constante</t>
  </si>
  <si>
    <t>% Gasto Variable</t>
  </si>
  <si>
    <t>Gastos a activar</t>
  </si>
  <si>
    <t>Mercadería en Curso y Semielaborada</t>
  </si>
  <si>
    <t>Puesta en marcha</t>
  </si>
  <si>
    <t xml:space="preserve">  Energía eléctrica</t>
  </si>
  <si>
    <t xml:space="preserve">  Combustibles</t>
  </si>
  <si>
    <t xml:space="preserve">  Tasas e impuestos</t>
  </si>
  <si>
    <t>Otros rubros</t>
  </si>
  <si>
    <t xml:space="preserve">  Imprevistos</t>
  </si>
  <si>
    <t>Total gastos a activar</t>
  </si>
  <si>
    <t>Costo en el Area de Producción</t>
  </si>
  <si>
    <t>Menos:</t>
  </si>
  <si>
    <t>Gasto de puesta en marcha</t>
  </si>
  <si>
    <t>Variación Mercadería en proceso</t>
  </si>
  <si>
    <t>Costo de producción anual</t>
  </si>
  <si>
    <t>Costo de prod. Unitario Promedio</t>
  </si>
  <si>
    <t>Gastos en el Area de Administración</t>
  </si>
  <si>
    <t>Personal</t>
  </si>
  <si>
    <t>Amortizaciones de A. Fijo</t>
  </si>
  <si>
    <t>Electricidad</t>
  </si>
  <si>
    <t>Combustible</t>
  </si>
  <si>
    <t>Cámaras y Seguridad</t>
  </si>
  <si>
    <t>Gastos Varios</t>
  </si>
  <si>
    <t>Costo total de Admistración</t>
  </si>
  <si>
    <t>Gastos en el Area de Comercialización</t>
  </si>
  <si>
    <t>Personal (incluye comisiones)</t>
  </si>
  <si>
    <t>Energía Eléctrica</t>
  </si>
  <si>
    <t>Logística y Distribución</t>
  </si>
  <si>
    <t>Gastos Vários</t>
  </si>
  <si>
    <t>Costo total de Comercialización</t>
  </si>
  <si>
    <t>COSTO TOTAL Y RESULTADO A NIVEL ECONOMICO</t>
  </si>
  <si>
    <t>Venta anual, en Unidades Producto 1</t>
  </si>
  <si>
    <t>Precio de venta Producto 1</t>
  </si>
  <si>
    <t>Venta anual, en Unidades Producto 2</t>
  </si>
  <si>
    <t>Precio de venta Producto 2</t>
  </si>
  <si>
    <t>Venta anual, en Unidades Subproducto</t>
  </si>
  <si>
    <t>Precio de venta Subproducto</t>
  </si>
  <si>
    <t>*agregar adicionales si hace falta*</t>
  </si>
  <si>
    <t>VENTAS ANUALES</t>
  </si>
  <si>
    <t xml:space="preserve">Consumo de materia prima </t>
  </si>
  <si>
    <t>Gastos de fabricación</t>
  </si>
  <si>
    <t>Gastos de Producción</t>
  </si>
  <si>
    <t>COSTO DE PRODUCCION ANUAL</t>
  </si>
  <si>
    <t>Producción anual en Unidades</t>
  </si>
  <si>
    <t>Costo de producción unitario Promedio</t>
  </si>
  <si>
    <t>Variación de Stock de Elaborado</t>
  </si>
  <si>
    <t>COSTO DE PRODUCCION DE LO VENDIDO</t>
  </si>
  <si>
    <t>GASTO DE ADMINISTRACION</t>
  </si>
  <si>
    <t xml:space="preserve">GASTO DE COMERCIALIZACION </t>
  </si>
  <si>
    <t>COSTO ANUAL DE LO VENDIDO</t>
  </si>
  <si>
    <t>Costo total unitario promedio</t>
  </si>
  <si>
    <t>UTILIDAD ECONOMICA (a/H. D. e Impuesto)</t>
  </si>
  <si>
    <t xml:space="preserve">Impuesto a la ganancia </t>
  </si>
  <si>
    <t>UTILIDAD ECONOMICA (d/H.D. e Impuesto)</t>
  </si>
  <si>
    <t>% sobre VENTAS</t>
  </si>
  <si>
    <t>FONDOS AUTOGENERADOS</t>
  </si>
  <si>
    <t>Utilidad Económica (d/H.D. e Impuesto)</t>
  </si>
  <si>
    <t>Amortización anual</t>
  </si>
  <si>
    <t>Costo Constante Sector de Producción</t>
  </si>
  <si>
    <t>Costo Variable Sector de Producción</t>
  </si>
  <si>
    <t>Costo Constante Sector de Administración</t>
  </si>
  <si>
    <t>Costo Variable Sector de Administración</t>
  </si>
  <si>
    <t>Costo Constante Sector de Comercialización</t>
  </si>
  <si>
    <t>Costo Variable Sector de Comercialización</t>
  </si>
  <si>
    <t>UTILIDAD MARGINAL</t>
  </si>
  <si>
    <t>PUNTO DE EQUILIBRIO</t>
  </si>
  <si>
    <t>HACER DIAGRAMA DE PUNTO DE EQUILIBRIO PARA EL AÑO 1 Y PARA EL AÑO 5</t>
  </si>
  <si>
    <t>Unidades a vender</t>
  </si>
  <si>
    <t>Precio de venta unitario</t>
  </si>
  <si>
    <t>Costo variable unitario</t>
  </si>
  <si>
    <t>Costo fijo anual</t>
  </si>
  <si>
    <t>Margen de contribución</t>
  </si>
  <si>
    <t>Punto de Equilibrio Cantidad</t>
  </si>
  <si>
    <t>Punto de Equilibrio Ingreso</t>
  </si>
  <si>
    <t>Unidades</t>
  </si>
  <si>
    <t>Costo Variable</t>
  </si>
  <si>
    <t>Costo Fijo</t>
  </si>
  <si>
    <t>Costo Total</t>
  </si>
  <si>
    <t>Ingreso Total</t>
  </si>
  <si>
    <t>m3 de agua consumidos en producción:</t>
  </si>
  <si>
    <t>PLAN DE VENTAS</t>
  </si>
  <si>
    <t>P=</t>
  </si>
  <si>
    <t>m3 de agua consumidos por empleados:</t>
  </si>
  <si>
    <t>AÑO 1</t>
  </si>
  <si>
    <t>AÑO 2</t>
  </si>
  <si>
    <t>AÑO 3</t>
  </si>
  <si>
    <t>AÑO 4</t>
  </si>
  <si>
    <t>AÑO 5</t>
  </si>
  <si>
    <t>cantidad ventas</t>
  </si>
  <si>
    <t>1250 m2 + 7m alto</t>
  </si>
  <si>
    <t>P*Q</t>
  </si>
  <si>
    <t>Descripcion</t>
  </si>
  <si>
    <t>Precio</t>
  </si>
  <si>
    <t>Gasto Total</t>
  </si>
  <si>
    <t>Link</t>
  </si>
  <si>
    <t>Precio Agua ($/m3)</t>
  </si>
  <si>
    <t>https://www.aysa.com.ar/tramites/Conoce-tu-factura</t>
  </si>
  <si>
    <t xml:space="preserve">PRODUCCION </t>
  </si>
  <si>
    <t>Precio gas ($/m3)</t>
  </si>
  <si>
    <t>Precio internet y linea</t>
  </si>
  <si>
    <t>https://www.telecom.com.ar/web/productos/internet</t>
  </si>
  <si>
    <t>Se divide equitativamente entre administración y comercialización</t>
  </si>
  <si>
    <t>TOTAL SERVICIOS MENSUAL</t>
  </si>
  <si>
    <t>SUELDOS</t>
  </si>
  <si>
    <t>Basico/Mes</t>
  </si>
  <si>
    <t>Contribuciones</t>
  </si>
  <si>
    <t>Cantidad</t>
  </si>
  <si>
    <t>Aguinaldo</t>
  </si>
  <si>
    <t>Director general</t>
  </si>
  <si>
    <t>Sueldo de director general divido en las 3 areas para calcular costos de cada area</t>
  </si>
  <si>
    <t>Personal de portería y seguridad</t>
  </si>
  <si>
    <t>Personal de limpieza</t>
  </si>
  <si>
    <t>Gerente Administrativo</t>
  </si>
  <si>
    <t>Contador</t>
  </si>
  <si>
    <t>Encargado de rrhh</t>
  </si>
  <si>
    <t>Analista de compras</t>
  </si>
  <si>
    <t>Gerente Comercial</t>
  </si>
  <si>
    <t>Ejecutivo de ventas</t>
  </si>
  <si>
    <t>Responsable logistica</t>
  </si>
  <si>
    <t>Encargado posventa</t>
  </si>
  <si>
    <t>Peones de carga y decarga - Depósito</t>
  </si>
  <si>
    <t>Gerente de produccion</t>
  </si>
  <si>
    <t>Operario</t>
  </si>
  <si>
    <t>Responsable de prog de maquinas</t>
  </si>
  <si>
    <t>Responsable de HSE y calidad</t>
  </si>
  <si>
    <t>ART</t>
  </si>
  <si>
    <t>Encargado de mantenimiento</t>
  </si>
  <si>
    <t>Sueldo Anual</t>
  </si>
  <si>
    <t>Producción</t>
  </si>
  <si>
    <t>Administración</t>
  </si>
  <si>
    <t>Comercial</t>
  </si>
  <si>
    <t>Total Personal</t>
  </si>
  <si>
    <t>Salarios Promedio Bumeran</t>
  </si>
  <si>
    <t>https://www.bumeran.com.ar/salarios</t>
  </si>
  <si>
    <t>Salarios Reportados</t>
  </si>
  <si>
    <t>cuantogano.com/sueldos/logistica.html</t>
  </si>
  <si>
    <t>MANO OBRA DIRECTA:</t>
  </si>
  <si>
    <t>Operarios (12) + cargas y aguinaldo</t>
  </si>
  <si>
    <t>años 1/3</t>
  </si>
  <si>
    <t>Alicuota Anual</t>
  </si>
  <si>
    <t>Area de producción le corresponde de todos los rubros:</t>
  </si>
  <si>
    <t>Tasas e impuestos PRODUCCIÓN:</t>
  </si>
  <si>
    <t>Tasa municipal anual</t>
  </si>
  <si>
    <t>Del valor del inmueble. Corresponde al 90% del area de produccion</t>
  </si>
  <si>
    <t>Impuesto inmobiliario anual</t>
  </si>
  <si>
    <t>Gasto anual</t>
  </si>
  <si>
    <t>Materiales COMERCIALIZACION y ADMINISTRACION:</t>
  </si>
  <si>
    <t>Año 2 al 5</t>
  </si>
  <si>
    <t>ADMIN</t>
  </si>
  <si>
    <t>COMER</t>
  </si>
  <si>
    <t>Papelería e Utiles</t>
  </si>
  <si>
    <t>Artículos de Tocador y Limpieza</t>
  </si>
  <si>
    <t>Embalaje</t>
  </si>
  <si>
    <t>Para articulos de limpieza se toma el 2% de los sueldos de cada sector</t>
  </si>
  <si>
    <t>Para la papelería e útiles se tomará un 3% de los sueldos de cada sector</t>
  </si>
  <si>
    <t>Para el empaque se considera un gasto de $1000 por válvula</t>
  </si>
  <si>
    <t>Gastos Vários Administración:</t>
  </si>
  <si>
    <t>Implementacion ERP</t>
  </si>
  <si>
    <t>Mantenimiento ERP</t>
  </si>
  <si>
    <t>Capacitaciones</t>
  </si>
  <si>
    <t>$50.000 por empleado</t>
  </si>
  <si>
    <t>Viáticos</t>
  </si>
  <si>
    <t>0,2% del salario</t>
  </si>
  <si>
    <t>Gastos Vários Comercializacion:</t>
  </si>
  <si>
    <t>5% del salario (potenciales viajes aéreos)</t>
  </si>
  <si>
    <t>https://www.thaiscorp.com/seguritec/en/exhibidor/costos?utm_source=chatgpt.com</t>
  </si>
  <si>
    <t>https://valve-world-americas.com/advertising/magazine/?utm_source=chatgpt.com</t>
  </si>
  <si>
    <t>Imputaciones de amortizaciones de Activo Fijo por Sector:</t>
  </si>
  <si>
    <t>Sector</t>
  </si>
  <si>
    <t>Alicuota</t>
  </si>
  <si>
    <t>Amortizacion</t>
  </si>
  <si>
    <t>Administracion</t>
  </si>
  <si>
    <t>Comercializacion</t>
  </si>
  <si>
    <t>Costos de logística y distribución:</t>
  </si>
  <si>
    <t>Cuota</t>
  </si>
  <si>
    <t>Gestión de inventarios</t>
  </si>
  <si>
    <t>Consideramos un 0,5% de las ventas anuales</t>
  </si>
  <si>
    <t>Fletes</t>
  </si>
  <si>
    <t>Consideramos el precio del flete dividido una cantidad promedio de 50 valvulas por flete</t>
  </si>
  <si>
    <t>https://www.fletpack.com.ar/precios.html</t>
  </si>
  <si>
    <t>Consumo energético:</t>
  </si>
  <si>
    <t>consumo</t>
  </si>
  <si>
    <t>potencia</t>
  </si>
  <si>
    <t>consumo anual</t>
  </si>
  <si>
    <t>kwh</t>
  </si>
  <si>
    <t>kwh/año</t>
  </si>
  <si>
    <t>Brazo robotico soldadura</t>
  </si>
  <si>
    <t>Brazo robotico pulido</t>
  </si>
  <si>
    <t>Posicionador</t>
  </si>
  <si>
    <t>hs/año</t>
  </si>
  <si>
    <t>hs/año - 8hs diarias</t>
  </si>
  <si>
    <t>Cargo fijo</t>
  </si>
  <si>
    <t>hs/año - promedio</t>
  </si>
  <si>
    <t>Costo potencia contratada</t>
  </si>
  <si>
    <t>Costo potencia adquirida</t>
  </si>
  <si>
    <t>Cargo variable PICO</t>
  </si>
  <si>
    <t>Potencia total instalada</t>
  </si>
  <si>
    <t>costo de kw instalado</t>
  </si>
  <si>
    <t>Cargo variable RESTO</t>
  </si>
  <si>
    <t>Consumo anual</t>
  </si>
  <si>
    <t>costo kwh/Kw instalado</t>
  </si>
  <si>
    <t>Cargo variable VALLE</t>
  </si>
  <si>
    <t>Consumo mensual</t>
  </si>
  <si>
    <t>consumo produccion</t>
  </si>
  <si>
    <t>consumo otros</t>
  </si>
  <si>
    <t>admin</t>
  </si>
  <si>
    <t>comer</t>
  </si>
  <si>
    <t>produccion año 1</t>
  </si>
  <si>
    <t>kg mp/año</t>
  </si>
  <si>
    <t>mc/se año 1</t>
  </si>
  <si>
    <t>Gasto y consumo de año1 son iguales al 95% de los correspondientes al año 2</t>
  </si>
  <si>
    <t>año 2 - 5</t>
  </si>
  <si>
    <t>año 1</t>
  </si>
  <si>
    <t>Consumo anual area produccion</t>
  </si>
  <si>
    <t>Consumo anual area de produccion</t>
  </si>
  <si>
    <t>Consumo mensual de produccion</t>
  </si>
  <si>
    <t>Potencia instalada</t>
  </si>
  <si>
    <t>Gasto constante</t>
  </si>
  <si>
    <t>Consumo por Kw instalado mensual</t>
  </si>
  <si>
    <t>Gasto especifico cte</t>
  </si>
  <si>
    <t>Costo mensual por Kw instalado</t>
  </si>
  <si>
    <t>Gasto por produccion</t>
  </si>
  <si>
    <t>Costo del Kwh hasta 350 Kwh/Kw</t>
  </si>
  <si>
    <t>Gasto en la mercaderia en proceso</t>
  </si>
  <si>
    <t>Gasto fijo mensual</t>
  </si>
  <si>
    <t>Gasto variable</t>
  </si>
  <si>
    <t>Gasto de los primeros 350 kwh/Kw</t>
  </si>
  <si>
    <t>Gasto mensual total</t>
  </si>
  <si>
    <t>Gasto anual total</t>
  </si>
  <si>
    <t>Gasto específico en PT en regimen</t>
  </si>
  <si>
    <t>Costo promedio del Kwh</t>
  </si>
  <si>
    <t>Gasto específico en PT año 1</t>
  </si>
  <si>
    <t>Gasto en exceso año 1</t>
  </si>
  <si>
    <t>Gasto especifico Variable</t>
  </si>
  <si>
    <t>Gasto especifico total</t>
  </si>
  <si>
    <t>GASTOS FABRICACION</t>
  </si>
  <si>
    <t>produccion anual año 2 - n</t>
  </si>
  <si>
    <t>produccion anual año 1</t>
  </si>
  <si>
    <t>El rubro "repuestos importados" le corresponde al:</t>
  </si>
  <si>
    <t>semielaborado en año 1</t>
  </si>
  <si>
    <t>Año 1 al 3</t>
  </si>
  <si>
    <t>Alícuota anual:</t>
  </si>
  <si>
    <t>Imputac. espec. años 2 y 3:</t>
  </si>
  <si>
    <t>Imputac. espec. año 1:</t>
  </si>
  <si>
    <t>Año 4 al 5</t>
  </si>
  <si>
    <t>Imputación específica:</t>
  </si>
  <si>
    <t>Amortización imputada a la MC y SE</t>
  </si>
  <si>
    <t>Años 2 y 3</t>
  </si>
  <si>
    <t>Años 4 y 5</t>
  </si>
  <si>
    <t>PERSONAL INDIRECTO</t>
  </si>
  <si>
    <t>Según las estimaciones del tecnologo, el gasto en el año 1 es igual all que corresponde en estado en regimen.</t>
  </si>
  <si>
    <t>PERSONAL</t>
  </si>
  <si>
    <t>SUELDO</t>
  </si>
  <si>
    <t>CARGAS SOCIALES</t>
  </si>
  <si>
    <t>GASTO ANUAL</t>
  </si>
  <si>
    <t>AGUINALDO</t>
  </si>
  <si>
    <t>año 2 - n</t>
  </si>
  <si>
    <t>Gasto especifico</t>
  </si>
  <si>
    <t>MATERIA PRIMA A ACTIVAR</t>
  </si>
  <si>
    <t>Consumo materia prima en MC y SE</t>
  </si>
  <si>
    <t>GASTO TOTAL</t>
  </si>
  <si>
    <t>u eq PT</t>
  </si>
  <si>
    <t>MDO directa para MC y SE</t>
  </si>
  <si>
    <t>MATERIALES A ACTIVAR</t>
  </si>
  <si>
    <t>GASTO POR EL PAGO DE TASAS E IMPUESTOS de PRODUCCIÓN</t>
  </si>
  <si>
    <t>del valor del inmueble. Corresponde al 90% del area de produccion</t>
  </si>
  <si>
    <t>Año 2 a 5</t>
  </si>
  <si>
    <t>GASTO POR EL PAGO DE TASAS E IMPUESTOS de ADMINISTRACION</t>
  </si>
  <si>
    <t>del valor del inmueble. Corresponde al 5%</t>
  </si>
  <si>
    <t>GASTO POR EL PAGO DE TASAS E IMPUESTOS de COMERCIALIZACION</t>
  </si>
  <si>
    <t>Total Año 1</t>
  </si>
  <si>
    <t>Total Año 2</t>
  </si>
  <si>
    <t>Impuesto IIBB</t>
  </si>
  <si>
    <t>Gastos de Seguros:</t>
  </si>
  <si>
    <t>Absroción por el área de producción:</t>
  </si>
  <si>
    <t>Absroción por el área de comercializacion:</t>
  </si>
  <si>
    <t>Absroción por el área de administación:</t>
  </si>
  <si>
    <t>Bienes de Uso:</t>
  </si>
  <si>
    <t>Valor Original</t>
  </si>
  <si>
    <t>Prima</t>
  </si>
  <si>
    <t>Edificio</t>
  </si>
  <si>
    <t>Instalaciones</t>
  </si>
  <si>
    <t>Maquinas</t>
  </si>
  <si>
    <t>Rodados y Equipos</t>
  </si>
  <si>
    <t>Muebles y Útiles</t>
  </si>
  <si>
    <t>Bienes de Cambio:</t>
  </si>
  <si>
    <t>Valor Original Año 1</t>
  </si>
  <si>
    <t>Valor Original Año 2 al 5</t>
  </si>
  <si>
    <t>Prima Año 1</t>
  </si>
  <si>
    <t>Prima Año 2 al 5</t>
  </si>
  <si>
    <t>(solo se asignan a produccion)</t>
  </si>
  <si>
    <t>Stock de MP</t>
  </si>
  <si>
    <t>Stock de Materiales</t>
  </si>
  <si>
    <t>Mercaderia en Proceso</t>
  </si>
  <si>
    <t>MANO DE OBRA</t>
  </si>
  <si>
    <t>cant de operarios</t>
  </si>
  <si>
    <t>JORNAL</t>
  </si>
  <si>
    <t>$/hr</t>
  </si>
  <si>
    <t>25,8% Sobre el jornal básico</t>
  </si>
  <si>
    <t>adicionales (aguinaldos, premios, posibles horas extra)</t>
  </si>
  <si>
    <t>50% sobre el básico</t>
  </si>
  <si>
    <t>horas trabajadas al año</t>
  </si>
  <si>
    <t>horas/año</t>
  </si>
  <si>
    <t>Costo por hora</t>
  </si>
  <si>
    <t>AÑOS RÉGIMEN</t>
  </si>
  <si>
    <t>TOTAL MdO</t>
  </si>
  <si>
    <t>$/PT</t>
  </si>
  <si>
    <t>PRODUCCION AÑO 1</t>
  </si>
  <si>
    <t>Estimamos un 90% del total de MdO anual en régimen</t>
  </si>
  <si>
    <t>MANO DE OBRA NETA</t>
  </si>
  <si>
    <t>Volumen de MC y SE</t>
  </si>
  <si>
    <t>PT</t>
  </si>
  <si>
    <t>MANO DE OBRA EN MC Y SE</t>
  </si>
  <si>
    <t>TOTAL MDO AÑO 1 ESPERADO:</t>
  </si>
  <si>
    <t>EXCESO DE MDO POR PEM:</t>
  </si>
  <si>
    <t>GASTOS DE FABRICACIÓN</t>
  </si>
  <si>
    <t>AMORTIZACIONES DEL ÁREA DE FABRICACIÓN</t>
  </si>
  <si>
    <t>RODADOS Y EQUIPOS AUX</t>
  </si>
  <si>
    <t>IMPREVISTOS</t>
  </si>
  <si>
    <t>CARGOS DIFERIDOS</t>
  </si>
  <si>
    <t>AÑOS 4/5</t>
  </si>
  <si>
    <t>Imputación anual</t>
  </si>
  <si>
    <t>AÑOS 1/3</t>
  </si>
  <si>
    <t>MANO DE OBRA INDIRECTA</t>
  </si>
  <si>
    <t>SALARIO MENSUAL (Con Cargas sociales)</t>
  </si>
  <si>
    <t>ASIGNACIÓN A PRODUCCIÓN</t>
  </si>
  <si>
    <t>TOTALES</t>
  </si>
  <si>
    <t>DIRECTOR GENERAL (1/3)</t>
  </si>
  <si>
    <t>GERENTE DE PRODUCCIÓN</t>
  </si>
  <si>
    <t>RESPONSABLE DE PROGRAMACIÓN</t>
  </si>
  <si>
    <t>RESPONSABLE CALIDAD Y SeH</t>
  </si>
  <si>
    <t>ENCARGADO DE MANTENIMIENTO</t>
  </si>
  <si>
    <t>PORTERÍA Y VIGILANCIA</t>
  </si>
  <si>
    <t>PERSONAL DE LIMPIEZA</t>
  </si>
  <si>
    <t>GASTOS EN MATERIALES DE FABRICACIÓN</t>
  </si>
  <si>
    <t>Total de la base año 1</t>
  </si>
  <si>
    <t>Total base años regimen</t>
  </si>
  <si>
    <t>total año 1</t>
  </si>
  <si>
    <t>total años regimen</t>
  </si>
  <si>
    <t>ESPECÍFICOS AÑO 1</t>
  </si>
  <si>
    <t>ESPECÍFICOS REGIMEN</t>
  </si>
  <si>
    <t>Materiales para el mantenimiento</t>
  </si>
  <si>
    <t>Del valor de los BdU que requieren mantenimiento</t>
  </si>
  <si>
    <t>Repuestos</t>
  </si>
  <si>
    <t xml:space="preserve">valor de maquinaria </t>
  </si>
  <si>
    <t>Materiales en producción</t>
  </si>
  <si>
    <t>Gasto en MP</t>
  </si>
  <si>
    <t>Materiales usados por el personal</t>
  </si>
  <si>
    <t>del gasto del personal en el área de producción</t>
  </si>
  <si>
    <t>PARA LA PEM CONSIDERAMOS UN % DE:</t>
  </si>
  <si>
    <t>A APLICAR SOBRE LOS MATERIALES DEL AÑO 1</t>
  </si>
  <si>
    <t>Tipo de cambio</t>
  </si>
  <si>
    <t>Componente</t>
  </si>
  <si>
    <t>Material</t>
  </si>
  <si>
    <t>COSTO</t>
  </si>
  <si>
    <t>um</t>
  </si>
  <si>
    <t>Uso en</t>
  </si>
  <si>
    <t>Barra de Acero Inoxidable 304 d28,6</t>
  </si>
  <si>
    <t>Acero Inoxidable 304</t>
  </si>
  <si>
    <t>USD/KG</t>
  </si>
  <si>
    <t>Maneta</t>
  </si>
  <si>
    <t>https://www.famiq.com.ar/producto/?sub-familia%5B%5D=barras-redondas&amp;sub-familia%5B%5D=barras-cuadradas&amp;sub-familia%5B%5D=barras-hexagonales&amp;nodo=3&amp;bloqueHome=1&amp;caracteristica_calidad=304-304l&amp;caracteristica_diametro-mm%5B%5D=28-6&amp;tipoCatalogo=normal&amp;caracteristica_forma=redonda</t>
  </si>
  <si>
    <t>Perno con Cabezal para Palanca</t>
  </si>
  <si>
    <t>USD/UN</t>
  </si>
  <si>
    <t>Palanca maneta</t>
  </si>
  <si>
    <t>https://articulo.mercadolibre.com.ar/MLA-2127138792-perno-de-carro-de-acero-inoxidable-x-2-pulgadas-color-50-_JM#polycard_client=search-nordic&amp;search_layout=stack&amp;position=6&amp;type=item&amp;tracking_id=c9927400-b1e2-4bb3-9053-b564420e0969</t>
  </si>
  <si>
    <t>Barra de Acero Inoxidable 304 d9,52</t>
  </si>
  <si>
    <t>https://www.famiq.com.ar/producto/?sub-familia=barras-redondas&amp;nodo=S155&amp;caracteristica_diametro-mm%5B%5D=9-52&amp;caracteristica_calidad=304-304l&amp;tipoCatalogo=resumen</t>
  </si>
  <si>
    <t>Resorte Maneta</t>
  </si>
  <si>
    <t>Acero Inoxidable 302</t>
  </si>
  <si>
    <t>https://www.mercadolibre.com.ar/resortes-acero-inoxidable-8mm-x-36-mm-alamb-06-pack-x-4-un/up/MLAU2133390517#polycard_client=search-nordic&amp;wid=MLA1454465469&amp;search_layout=stack&amp;position=9&amp;type=product&amp;tracking_id=4c9ff310-1477-44f8-ab8d-150edac1f232&amp;sid=search</t>
  </si>
  <si>
    <t>Casquilo de Maneta</t>
  </si>
  <si>
    <t>https://www.famiq.com.ar/producto/?nombreEs=CASQUILLO%20PARA%20MANETA%202%20POSICIONES%20NACIONAL%20304%2025.4%20a%20101.6%20mm&amp;sub-familia=repuestos-de-valvulas-mariposa&amp;tipoCatalogo=resumen</t>
  </si>
  <si>
    <t>Tapón Plástico Maneta</t>
  </si>
  <si>
    <t>PTFE con base EPDM</t>
  </si>
  <si>
    <t>https://repuestos.caldereriamanzano.net/producto/tapon-para-maneta-de-valvula-ref-014736/?add-to-cart=5490</t>
  </si>
  <si>
    <t>Tapón de Buje</t>
  </si>
  <si>
    <t>usd/un</t>
  </si>
  <si>
    <t>Consultado en Famiq</t>
  </si>
  <si>
    <t>Buje Plástico para Clapeta</t>
  </si>
  <si>
    <t>PEEK (Polieter Éter Cetona)</t>
  </si>
  <si>
    <t>Forja de Tapa para Válvula</t>
  </si>
  <si>
    <t>Junta O-Ring</t>
  </si>
  <si>
    <t>Vitón(FMK)</t>
  </si>
  <si>
    <t>https://www.famiq.com.ar/producto/?nombreEs=313224&amp;sub-familia=junta-valvula-mariposa-mecanizada&amp;tipoCatalogo=resumen</t>
  </si>
  <si>
    <t>Bulones 304 (Allen 6mm)</t>
  </si>
  <si>
    <t>https://www.famiq.com.ar/producto/?nombreEs=300468&amp;sub-familia=allen-metricos-cabeza-cilindrica&amp;tipoCatalogo=resumen</t>
  </si>
  <si>
    <t>Bulones 304 (Tuerca 6mm)</t>
  </si>
  <si>
    <t>Acero Inoxidable 305</t>
  </si>
  <si>
    <t>https://www.famiq.com.ar/producto/?nombreEs=322124&amp;sub-familia=tuercas-metricas&amp;tipoCatalogo=resumen</t>
  </si>
  <si>
    <t>Arandelas 304</t>
  </si>
  <si>
    <t>https://www.famiq.com.ar/producto/?nombreEs=300667&amp;sub-familia=arandelas-planas&amp;tipoCatalogo=resumen</t>
  </si>
  <si>
    <t>Forja de Clapeta</t>
  </si>
  <si>
    <t>TODOS NUESTROS DESPERDICIOS SON NO RECUPERABLES</t>
  </si>
  <si>
    <t>A LOS PRECIOS CONSULTADOS EN FAMIQ DESCONTAMOS UN MARGEN APROXIMADO DE 50% PARA MP Y DEL 100% PARA REPUESTOS</t>
  </si>
  <si>
    <t>CONSUMOS MP EN AÑOS EN RÉGIMEN</t>
  </si>
  <si>
    <t>FORJA PARA CUERPO</t>
  </si>
  <si>
    <t>Sección operativa</t>
  </si>
  <si>
    <t>Alimentacion (KG)</t>
  </si>
  <si>
    <t>Agregado</t>
  </si>
  <si>
    <t>Desperdicios</t>
  </si>
  <si>
    <t>Producción (KG)</t>
  </si>
  <si>
    <t>Recuperable</t>
  </si>
  <si>
    <t>No recuperable</t>
  </si>
  <si>
    <t>Mecanizado de cuerpo</t>
  </si>
  <si>
    <t>-</t>
  </si>
  <si>
    <t>Rebabado de cuerpo</t>
  </si>
  <si>
    <t>44800/0,98*1.8*0.7=57600</t>
  </si>
  <si>
    <t>MP</t>
  </si>
  <si>
    <t>PRECIO UNIT (USD/KG)</t>
  </si>
  <si>
    <t>NECESIDAD</t>
  </si>
  <si>
    <t>TOTAL ANUAL</t>
  </si>
  <si>
    <t>USD</t>
  </si>
  <si>
    <t>FORJA PARA CLAPETA</t>
  </si>
  <si>
    <t>Mecanizado de forja y clapeta</t>
  </si>
  <si>
    <t>Pulido de clapeta</t>
  </si>
  <si>
    <t>BARRA PARA MANETA</t>
  </si>
  <si>
    <t>Corte de barra</t>
  </si>
  <si>
    <t>Mecanizado de maneta</t>
  </si>
  <si>
    <t>Armado de maneta</t>
  </si>
  <si>
    <t>Soldadura de maneta</t>
  </si>
  <si>
    <t>Desbaste de maneta</t>
  </si>
  <si>
    <t>Pulido de maneta</t>
  </si>
  <si>
    <t>BARRA PARA EJE</t>
  </si>
  <si>
    <t>Mecanizado de eje</t>
  </si>
  <si>
    <t>Pulido de eje</t>
  </si>
  <si>
    <t>USO NECESIDADES ANUALES NETAS PARA ESTAS PIEZAS YA QUE INCLUSO SI SON DESCARTADAS POR EL CC, SE PUEDE DESARMAR LA VÁLVULA Y REUTILIZARSE. Si la pieza estuviera defectuosa se reclamaría al proveedor</t>
  </si>
  <si>
    <t>Nivel</t>
  </si>
  <si>
    <t>Necesidad anual según plan de ventas</t>
  </si>
  <si>
    <t>costo unitario</t>
  </si>
  <si>
    <t>COSTO TOTAL ANUAL</t>
  </si>
  <si>
    <t>Etiqueta Maneta</t>
  </si>
  <si>
    <t>Bulones 304</t>
  </si>
  <si>
    <t>Etiqueta Tapa</t>
  </si>
  <si>
    <t>TOTAL MP:</t>
  </si>
  <si>
    <t>DESPERDICIOS RECUPERABLES:</t>
  </si>
  <si>
    <t>DESPERDICIOS NO RECUPERABLES Y VENDIBLES:</t>
  </si>
  <si>
    <t>KG</t>
  </si>
  <si>
    <t>https://supraciclaje.com/precios-hoy/</t>
  </si>
  <si>
    <t>Precio aprox de chatarra acero inox</t>
  </si>
  <si>
    <t>ingreso por chatarra años en régimen</t>
  </si>
  <si>
    <t>CONSUMOS MP EN AÑO 1</t>
  </si>
  <si>
    <t>COSTO específico MP</t>
  </si>
  <si>
    <t>Producción por año</t>
  </si>
  <si>
    <t>Producción Año 1</t>
  </si>
  <si>
    <t>unid</t>
  </si>
  <si>
    <t>Producción Año 2 - n</t>
  </si>
  <si>
    <t>Stock promedio PT</t>
  </si>
  <si>
    <t>unidades</t>
  </si>
  <si>
    <t>Ventas por año</t>
  </si>
  <si>
    <t>Año 2 - n</t>
  </si>
  <si>
    <t>Materia prima consumida para año 1</t>
  </si>
  <si>
    <t>Consumo MP para mercadería en curso</t>
  </si>
  <si>
    <t>CONSUMO NORMAL MP AÑO 1 = PRODUCCIÓN AÑO 1 * COSTO UNIT MP</t>
  </si>
  <si>
    <t>Consumo MP en PPM</t>
  </si>
  <si>
    <t>Consumo MP resto del año</t>
  </si>
  <si>
    <t>Consumo MP año 1</t>
  </si>
  <si>
    <t>(mc, ppm, produc, etc)</t>
  </si>
  <si>
    <t>CONSUMO REAL AÑO 1:</t>
  </si>
  <si>
    <t>Volumen producción año 1</t>
  </si>
  <si>
    <t>Desperdicios no recuperables año 1</t>
  </si>
  <si>
    <t>CONSUMO EN EXCESO POR PEM:</t>
  </si>
  <si>
    <t>ESTO SE MANDA AL AF</t>
  </si>
  <si>
    <t>CONSUMO POR GEN. STOCK DE PT</t>
  </si>
  <si>
    <t>Ya está contemplado en el volumen de produccion del año 1</t>
  </si>
  <si>
    <t>Para el año 2 - n:</t>
  </si>
  <si>
    <t>CONSUMO POR GEN. STOCK DE MC Y SE:</t>
  </si>
  <si>
    <t>PERO NO VA AL COSTO DE PRODUCCIÓN</t>
  </si>
  <si>
    <t>Materia prima consumida para año 2 - n</t>
  </si>
  <si>
    <t>USO DEL STOCK DE AÑO 0:</t>
  </si>
  <si>
    <t>no se considera para el costo el uso del stock</t>
  </si>
  <si>
    <t>Volumen de producción</t>
  </si>
  <si>
    <t xml:space="preserve">44.800 u </t>
  </si>
  <si>
    <t>Consumo mp</t>
  </si>
  <si>
    <t>53.204 u eq PT</t>
  </si>
  <si>
    <t>Desperdicios no recuperables</t>
  </si>
  <si>
    <t>8.404 u EQ pt</t>
  </si>
  <si>
    <t>lo de la PEM viene en inversión de AT</t>
  </si>
  <si>
    <t>ademas, el stock de PT no va aparte, ya esta considerado en el hecho de que producís 36655 cuando vendes36178</t>
  </si>
  <si>
    <t>INVERSIONES EN ACTIVO DE TRABAJO</t>
  </si>
  <si>
    <r>
      <rPr>
        <b/>
        <sz val="10"/>
        <color theme="1"/>
        <rFont val="Arial"/>
      </rPr>
      <t xml:space="preserve">1. Activo de Trabajo: </t>
    </r>
    <r>
      <rPr>
        <sz val="10"/>
        <color theme="1"/>
        <rFont val="Arial"/>
      </rPr>
      <t>(valor contable)</t>
    </r>
  </si>
  <si>
    <t xml:space="preserve">   a) Disponibilidad Mínima en Caja y Bancos:</t>
  </si>
  <si>
    <t xml:space="preserve">   b) Crédito por Ventas:</t>
  </si>
  <si>
    <t xml:space="preserve">   c) Bienes de cambio:</t>
  </si>
  <si>
    <t xml:space="preserve">   Stock de materias prima:</t>
  </si>
  <si>
    <t xml:space="preserve">   Stock de materiales:</t>
  </si>
  <si>
    <t xml:space="preserve">   Mercadería en curso y semielaborada</t>
  </si>
  <si>
    <t xml:space="preserve">   Stock de elaborados:</t>
  </si>
  <si>
    <t xml:space="preserve">   d) Total Activo de Trabajo, sin IVA:</t>
  </si>
  <si>
    <t>2. Menos:</t>
  </si>
  <si>
    <t xml:space="preserve">    Amortizaciones en Mercadería en proceso</t>
  </si>
  <si>
    <t xml:space="preserve">    Amortizaciones en Stock de elaborado</t>
  </si>
  <si>
    <t xml:space="preserve">    Utilidades en Crédito por ventas</t>
  </si>
  <si>
    <t xml:space="preserve">    Amortizaciones en Crédito por ventas</t>
  </si>
  <si>
    <t>3. Inversiones en Activo de Trabajo, sin IVA</t>
  </si>
  <si>
    <t>4. Incrementos de Activo de Trabajo</t>
  </si>
  <si>
    <t xml:space="preserve">    Incrementos de Inversión en Activo de Trabajo</t>
  </si>
  <si>
    <t>5. Incrementos IVA sobre Inversiones</t>
  </si>
  <si>
    <t xml:space="preserve">    Crédito por Ventas                             </t>
  </si>
  <si>
    <t xml:space="preserve">    Bienes de cambio:</t>
  </si>
  <si>
    <t xml:space="preserve">               Stock de materia prima</t>
  </si>
  <si>
    <t xml:space="preserve">               Stock de materiales</t>
  </si>
  <si>
    <t xml:space="preserve">               Mercadería en proceso</t>
  </si>
  <si>
    <t xml:space="preserve">               Stock de elaborados</t>
  </si>
  <si>
    <t xml:space="preserve">   Total incrementos IVA sobre inversiones</t>
  </si>
  <si>
    <t>6. Incrementos Inversiones en Activo de Trabajo</t>
  </si>
  <si>
    <t>Plan de Ventas:</t>
  </si>
  <si>
    <t>Año</t>
  </si>
  <si>
    <t>Cantidades</t>
  </si>
  <si>
    <t>Ingresos</t>
  </si>
  <si>
    <t>Para la disponibilidad minima de caja y bancos se tomara el 2% de los ingresos esperados por el plan de ventas y, para el año 0, el 80% de la disponibilidad del año 1</t>
  </si>
  <si>
    <t>La materia prima y los materiales se valuan a precio de mercado:</t>
  </si>
  <si>
    <t>Stock Promedio MP</t>
  </si>
  <si>
    <t>Precio Unitario</t>
  </si>
  <si>
    <t>Para el stock de materiales se estima el consumo de 6 meses para el area de producción y de 1 mes para las áreas de administración y comercialización</t>
  </si>
  <si>
    <t>Comercialización</t>
  </si>
  <si>
    <t>La mercaderia en curso y SE y el stock de elaborados se evalua a costo de producción:</t>
  </si>
  <si>
    <t>Costo de prod. unit.</t>
  </si>
  <si>
    <t>Costo Stock prom. PT</t>
  </si>
  <si>
    <t>Para las amortizaciones:</t>
  </si>
  <si>
    <t>Alicuota Amort. Prod</t>
  </si>
  <si>
    <t>Amort. Merc en Proc y SE</t>
  </si>
  <si>
    <t>Amort. Prod. Realiz.</t>
  </si>
  <si>
    <t>Amort. Prod. Realiz. Unit.</t>
  </si>
  <si>
    <t>Amort. Stock PT</t>
  </si>
  <si>
    <t>Calendario de Inversiones</t>
  </si>
  <si>
    <t>Año 0: Preinversion</t>
  </si>
  <si>
    <t>Año 0: Instalación</t>
  </si>
  <si>
    <t>Totales</t>
  </si>
  <si>
    <t>Inversiones en Activo Fijo</t>
  </si>
  <si>
    <t xml:space="preserve">    Bienes de uso</t>
  </si>
  <si>
    <t xml:space="preserve">    Asimilables</t>
  </si>
  <si>
    <t xml:space="preserve">    Subtotal Activo Fijo</t>
  </si>
  <si>
    <t>Inversiones en A. de Trabajo</t>
  </si>
  <si>
    <t xml:space="preserve">   Disp. mínimas C y B</t>
  </si>
  <si>
    <t xml:space="preserve">   Crédito por ventas</t>
  </si>
  <si>
    <t xml:space="preserve">   Bienes de cambio:</t>
  </si>
  <si>
    <t xml:space="preserve">     Stock de Materia Prima</t>
  </si>
  <si>
    <t xml:space="preserve">     Stock de Materiales</t>
  </si>
  <si>
    <t xml:space="preserve">     Mercadería en proceso</t>
  </si>
  <si>
    <t xml:space="preserve">     Stock de Elaborados</t>
  </si>
  <si>
    <t xml:space="preserve">    Subtotal Activo Trabajo</t>
  </si>
  <si>
    <t>IVA:</t>
  </si>
  <si>
    <t xml:space="preserve">    por inversión A. Fijo</t>
  </si>
  <si>
    <t xml:space="preserve">    por inversión A. T.</t>
  </si>
  <si>
    <t xml:space="preserve">   Subtotal IVA Inversión</t>
  </si>
  <si>
    <t>Inversiones Totales</t>
  </si>
  <si>
    <t>inversion en cred x vta =</t>
  </si>
  <si>
    <t>Valor contable - Utilidad - amortiz totales</t>
  </si>
  <si>
    <t>Valor contable =</t>
  </si>
  <si>
    <t>Ventas anuales/dias año * plazo credito</t>
  </si>
  <si>
    <t>IVA plan de Explotación, Cancelación del Credito Fiscal y pago al Fisco por IVA</t>
  </si>
  <si>
    <t>TOTALES PARA LAS TRES AREAS</t>
  </si>
  <si>
    <t>Rubros que abonan IVA</t>
  </si>
  <si>
    <t>Materia Prima</t>
  </si>
  <si>
    <t>Varios</t>
  </si>
  <si>
    <t>Menos: Puesta en marcha</t>
  </si>
  <si>
    <t xml:space="preserve">   (s/mano de obra directa)</t>
  </si>
  <si>
    <t>Merc. en proceso</t>
  </si>
  <si>
    <t>Stock elaborados</t>
  </si>
  <si>
    <t>Total Area Producción</t>
  </si>
  <si>
    <t>Total Area Administración</t>
  </si>
  <si>
    <t>Total Area Comercialización</t>
  </si>
  <si>
    <t>IVA total abonado por insumos</t>
  </si>
  <si>
    <t>IVA total cobrado por ventas</t>
  </si>
  <si>
    <t>a) IVA diferencia</t>
  </si>
  <si>
    <t>b) Crédito Fiscal Anterior</t>
  </si>
  <si>
    <t>c) Crédito Fiscal del Año</t>
  </si>
  <si>
    <t>d) Crédito Fiscal Final Año</t>
  </si>
  <si>
    <t>e) Recuepro de Credito Fiscal</t>
  </si>
  <si>
    <t xml:space="preserve">    Pago al Fisco por IVA</t>
  </si>
  <si>
    <t>Formulación del Proyecto a Nivel Económico</t>
  </si>
  <si>
    <t>Inversión en Activo Fijo</t>
  </si>
  <si>
    <t>Inversión en Activo de Trabajo</t>
  </si>
  <si>
    <t>Credito Fiscal</t>
  </si>
  <si>
    <t>Impuesto a las Ganancias</t>
  </si>
  <si>
    <t>Total Egresos</t>
  </si>
  <si>
    <t>Utilidad Economica Antes  HD e IG</t>
  </si>
  <si>
    <t>Cobro Credito Fiscal</t>
  </si>
  <si>
    <t>Total Ingresos</t>
  </si>
  <si>
    <t>Saldo Anual</t>
  </si>
  <si>
    <t>Saldo Acumulado</t>
  </si>
  <si>
    <t>Suma.</t>
  </si>
  <si>
    <t>Beneficio Neto</t>
  </si>
  <si>
    <t>Periodo de Recupero de la Inversión</t>
  </si>
  <si>
    <t>en años</t>
  </si>
  <si>
    <t>TIR</t>
  </si>
  <si>
    <t>Verificaciones</t>
  </si>
  <si>
    <t>Set A</t>
  </si>
  <si>
    <t>IVA</t>
  </si>
  <si>
    <t>AT</t>
  </si>
  <si>
    <t>BN Proyecto</t>
  </si>
  <si>
    <t>CUADRO DE RESULTADOS PROFORMA</t>
  </si>
  <si>
    <t>Ventas netas</t>
  </si>
  <si>
    <t>(-) Costo de producción de lo Vendido</t>
  </si>
  <si>
    <t>Resultado operativo</t>
  </si>
  <si>
    <t>Gastos de Administración</t>
  </si>
  <si>
    <t>Gastos de Comercialización</t>
  </si>
  <si>
    <t>Gastos Financieros</t>
  </si>
  <si>
    <t>RESULTADO (a/Hon. e Imp.)</t>
  </si>
  <si>
    <t>Menos: Honorarios al Direct.</t>
  </si>
  <si>
    <t>Menos: Impuesto a la Ganancia</t>
  </si>
  <si>
    <t>RESULTADO (d/Hon. e Imp.)</t>
  </si>
  <si>
    <t>Gasto financiero</t>
  </si>
  <si>
    <t>Amortizacion Int. Preoperativos</t>
  </si>
  <si>
    <t>Intereses C No Renovables</t>
  </si>
  <si>
    <t>Intereses C Renovable</t>
  </si>
  <si>
    <t>Gasto operativo</t>
  </si>
  <si>
    <t>Amortizacion de los gastos preoperativos en 3 cuotas</t>
  </si>
  <si>
    <t>PRIMERA ESTRUCTURA FINANCIERA</t>
  </si>
  <si>
    <t>Total Inversión</t>
  </si>
  <si>
    <t>Créditos</t>
  </si>
  <si>
    <t>Capital Propio</t>
  </si>
  <si>
    <t>monto</t>
  </si>
  <si>
    <t>%</t>
  </si>
  <si>
    <t xml:space="preserve">Activo Fijo </t>
  </si>
  <si>
    <t xml:space="preserve">Activo de Trabajo </t>
  </si>
  <si>
    <t xml:space="preserve">IVA </t>
  </si>
  <si>
    <t>CUADRO RESUMEN DE CREDITOS</t>
  </si>
  <si>
    <t>día/mes/año</t>
  </si>
  <si>
    <t>deuda</t>
  </si>
  <si>
    <t>amortización</t>
  </si>
  <si>
    <t>interés</t>
  </si>
  <si>
    <t xml:space="preserve">deuda </t>
  </si>
  <si>
    <t>gasto</t>
  </si>
  <si>
    <t>semestral</t>
  </si>
  <si>
    <t>prom. anual</t>
  </si>
  <si>
    <t>kd</t>
  </si>
  <si>
    <t>bancario</t>
  </si>
  <si>
    <t>1/10/año -1</t>
  </si>
  <si>
    <t>31/12/año -1</t>
  </si>
  <si>
    <t>gastos preoperativos:</t>
  </si>
  <si>
    <t>Totales:</t>
  </si>
  <si>
    <t>Activo Fijo</t>
  </si>
  <si>
    <t>Activo de trabajo</t>
  </si>
  <si>
    <t>% a financiar:</t>
  </si>
  <si>
    <t>Total a financiar:</t>
  </si>
  <si>
    <t>Máquinaria operativa: crédito no renovable</t>
  </si>
  <si>
    <t>Amortización: 6 cuotas semestrales, sistema alemán. Periodo de gracia: 6 meses.</t>
  </si>
  <si>
    <t>Interes:</t>
  </si>
  <si>
    <t>Comisiones y gastos bancarios:</t>
  </si>
  <si>
    <t>Servicio de crédito: Maquinaria operativa</t>
  </si>
  <si>
    <t>Deuda</t>
  </si>
  <si>
    <t>Amortización semestral</t>
  </si>
  <si>
    <t>Interés semestral</t>
  </si>
  <si>
    <t>Interés anual</t>
  </si>
  <si>
    <t>Gasto bancario</t>
  </si>
  <si>
    <t>1/6 Año -1</t>
  </si>
  <si>
    <t>31/12 Año -1</t>
  </si>
  <si>
    <t>Gastos preoperativos</t>
  </si>
  <si>
    <t>01/01 Año 1</t>
  </si>
  <si>
    <t>30/06 Año 1</t>
  </si>
  <si>
    <t>31/12 Año 1</t>
  </si>
  <si>
    <t>30/06 Año 2</t>
  </si>
  <si>
    <t>31/12 Año 2</t>
  </si>
  <si>
    <t>30/06 Año 3</t>
  </si>
  <si>
    <t>31/12 Año 3</t>
  </si>
  <si>
    <t>Materia prima: Crédito renovable</t>
  </si>
  <si>
    <t>No hay período de gracia.</t>
  </si>
  <si>
    <t>Tasa anual de pago semestral vencido, sistema alemán.</t>
  </si>
  <si>
    <t>Comisiones y gastos bancarios: nulos</t>
  </si>
  <si>
    <t>Se requieren 5 créditos de 12 meses.</t>
  </si>
  <si>
    <t>Servicio de crédito: Materia prima</t>
  </si>
  <si>
    <t>30/06 Año 4</t>
  </si>
  <si>
    <t>31/12 Año 4</t>
  </si>
  <si>
    <t>30/06 Año 5</t>
  </si>
  <si>
    <t>31/12 Año 5</t>
  </si>
  <si>
    <t>SEGUNDA ESTRUCTURA FINANCIERA</t>
  </si>
  <si>
    <t>a) Inversión y calendario de activo fijo: incrementos</t>
  </si>
  <si>
    <t>Bienes de uso</t>
  </si>
  <si>
    <t>Cargos diferidos:</t>
  </si>
  <si>
    <t>Totales de activo fijo, sin IVA</t>
  </si>
  <si>
    <t xml:space="preserve">IVA   </t>
  </si>
  <si>
    <t>Totales de activo fijo, con IVA</t>
  </si>
  <si>
    <t>b) Inversión y calendario de activo de trabajo: incrementos</t>
  </si>
  <si>
    <t>Disponibilidad mínima</t>
  </si>
  <si>
    <t>Crédito por ventas (valor contable)</t>
  </si>
  <si>
    <t>Bienes de cambio (valor contable)</t>
  </si>
  <si>
    <t>Totales activo de trabajo, sin IVA</t>
  </si>
  <si>
    <t>Amortizaciones en inventarios</t>
  </si>
  <si>
    <t>Amortizaciones en crédito</t>
  </si>
  <si>
    <t>Utilidades en crédito</t>
  </si>
  <si>
    <t>Inversión activo de trabajo, s/IVA</t>
  </si>
  <si>
    <t>Totales activo de trabajo (v. contable), c/IVA</t>
  </si>
  <si>
    <t>Inversión activo de trabajo, con IVA</t>
  </si>
  <si>
    <t>c) Inversión y calendario totales: incrementos</t>
  </si>
  <si>
    <t>Activo fijo, con IVA</t>
  </si>
  <si>
    <t>Inversión activo de trabajo, c/IVA</t>
  </si>
  <si>
    <t>Inversiones Totales, con IVA</t>
  </si>
  <si>
    <t>d) Financiación global (segunda y definitiva):</t>
  </si>
  <si>
    <t>Porcentaje</t>
  </si>
  <si>
    <t>Crédito renovable</t>
  </si>
  <si>
    <t>Crédito no renovable</t>
  </si>
  <si>
    <t>Capital propio</t>
  </si>
  <si>
    <t>PUNTO DE EQUILIBRIO ECONOMICO FINANCIERO</t>
  </si>
  <si>
    <t>Gasto Financiero</t>
  </si>
  <si>
    <t>HACER DIAGRAMA DE PUNTO DE EQUILIBRIO PARA EL AÑO 1 Y PARA EL AÑO 10</t>
  </si>
  <si>
    <t>AÑO 10</t>
  </si>
  <si>
    <t>Unidades a Vender por Año</t>
  </si>
  <si>
    <t>Precio de Venta Unitario</t>
  </si>
  <si>
    <t>Costo Variable Unitario</t>
  </si>
  <si>
    <t>Costo Fijo Anual</t>
  </si>
  <si>
    <t>Margen de Contribución</t>
  </si>
  <si>
    <t>Punto de Equilibrio (Unidades a vender)</t>
  </si>
  <si>
    <t>Año 10</t>
  </si>
  <si>
    <t>a) IVA pagado en el Costo Total de lo Vendido:</t>
  </si>
  <si>
    <t xml:space="preserve">   Total pagado en el Area de Producción</t>
  </si>
  <si>
    <t xml:space="preserve">  Total pagado en el Area Administrativa</t>
  </si>
  <si>
    <t xml:space="preserve">  Total pagado en el Area Comercial </t>
  </si>
  <si>
    <t xml:space="preserve">  Total pagado por Financiación</t>
  </si>
  <si>
    <t xml:space="preserve">  IVA abonado en Costo Total de lo Vendido:</t>
  </si>
  <si>
    <t>b) IVA diferencia</t>
  </si>
  <si>
    <t>c) Crédito Fiscal Anterior (incrementado)</t>
  </si>
  <si>
    <t>d) Crédito Fiscal del Año (incrementado)</t>
  </si>
  <si>
    <t>e) Crédito Fiscal Final Año</t>
  </si>
  <si>
    <t>f) Recupero Credito Fiscal</t>
  </si>
  <si>
    <t>CUADRO DE FUENTES Y USOS</t>
  </si>
  <si>
    <t>FUENTES: Totales</t>
  </si>
  <si>
    <t>Saldo ejercicio anterior</t>
  </si>
  <si>
    <t>Aporte de capital propio</t>
  </si>
  <si>
    <t xml:space="preserve">Créditos renovables </t>
  </si>
  <si>
    <t xml:space="preserve">Créditos no renovables </t>
  </si>
  <si>
    <t xml:space="preserve">Ventas del ejercicio </t>
  </si>
  <si>
    <t>Recupero Crédito Fiscal</t>
  </si>
  <si>
    <t>USOS: Totales</t>
  </si>
  <si>
    <t>Costo de lo Vendido</t>
  </si>
  <si>
    <t>Impuesto a la Ganancia</t>
  </si>
  <si>
    <t>Cancelación de deudas</t>
  </si>
  <si>
    <t xml:space="preserve">Honorarios del Directorio </t>
  </si>
  <si>
    <t>Dividendos en efectivo</t>
  </si>
  <si>
    <t xml:space="preserve">IVA inversión </t>
  </si>
  <si>
    <t>Otros egresos</t>
  </si>
  <si>
    <t>FUENTES - USOS</t>
  </si>
  <si>
    <t xml:space="preserve">Más: Amortizaciones del ejercicio </t>
  </si>
  <si>
    <t>Saldo al ejercicio siguiente (acumulado)</t>
  </si>
  <si>
    <t>Saldo Propio del Ejercicio</t>
  </si>
  <si>
    <t>BALANCES PROFORMAS</t>
  </si>
  <si>
    <t>ACTIVO CORRIENTE: Total</t>
  </si>
  <si>
    <t xml:space="preserve">Caja y Bancos: </t>
  </si>
  <si>
    <t xml:space="preserve">   - mínimo </t>
  </si>
  <si>
    <t xml:space="preserve">   - saldo acumulado de Fuentes y Usos </t>
  </si>
  <si>
    <t>Crédito por ventas</t>
  </si>
  <si>
    <t>Bienes de cambio</t>
  </si>
  <si>
    <t>Crédito Fiscal</t>
  </si>
  <si>
    <t>ACTIVO NO CORRIENTE: Total</t>
  </si>
  <si>
    <t>Cargos Diferidos:</t>
  </si>
  <si>
    <t xml:space="preserve">   - valor inicial </t>
  </si>
  <si>
    <t xml:space="preserve">     más inversiones del ejercicio </t>
  </si>
  <si>
    <t xml:space="preserve">     menos amortizaciones del ejerc.</t>
  </si>
  <si>
    <t xml:space="preserve">   - valor final del ejercicio</t>
  </si>
  <si>
    <t xml:space="preserve">     más inversiones del ejercicio</t>
  </si>
  <si>
    <t xml:space="preserve">     menos amortizaciones del ejerc</t>
  </si>
  <si>
    <t xml:space="preserve">Crédito Fiscal </t>
  </si>
  <si>
    <t>ACTIVO TOTAL:</t>
  </si>
  <si>
    <t>PASIVO CORRIENTE: Total</t>
  </si>
  <si>
    <t>Deudas comerciales</t>
  </si>
  <si>
    <t>Deudas bancarias</t>
  </si>
  <si>
    <t>PASIVO NO CORRIENTE: Total</t>
  </si>
  <si>
    <t>PASIVO TOTAL:</t>
  </si>
  <si>
    <t>PATRIMONIO NETO:</t>
  </si>
  <si>
    <t>Capital societario</t>
  </si>
  <si>
    <t>Utilidad del ejercicio</t>
  </si>
  <si>
    <t>Utilidad acumulada</t>
  </si>
  <si>
    <t>PASIVO + PATRIMONIO NETO</t>
  </si>
  <si>
    <t>Verificación</t>
  </si>
  <si>
    <t>Formulación del Proyecto a Nivel Financiero</t>
  </si>
  <si>
    <t>Activo de Trabajo</t>
  </si>
  <si>
    <t>Utilidad  Antes  HD e IG</t>
  </si>
  <si>
    <t>Intereses Pagados</t>
  </si>
  <si>
    <t>TIR modificada</t>
  </si>
  <si>
    <t>Formulación para el Inversor</t>
  </si>
  <si>
    <t>Aporte de Capital</t>
  </si>
  <si>
    <t>Saldo propio de Fuentes y Usos</t>
  </si>
  <si>
    <t>Set B</t>
  </si>
  <si>
    <t>BN Inversor 1</t>
  </si>
  <si>
    <t>BN Inversor 2</t>
  </si>
  <si>
    <t>BN Inversor 3</t>
  </si>
  <si>
    <t>BN Inversor 4</t>
  </si>
  <si>
    <t>para el inversor</t>
  </si>
  <si>
    <t>BN Inversor 5</t>
  </si>
  <si>
    <t>en años para el inversor</t>
  </si>
  <si>
    <t>Set C</t>
  </si>
  <si>
    <t>TOR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</si>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</sst>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(\$* #,##0.00_);_(\$* \(#,##0.00\);_(\$* \-??_);_(@_)"/>
    <numFmt numFmtId="165" formatCode="0.0"/>
    <numFmt numFmtId="166" formatCode="[$$]#,##0.00"/>
    <numFmt numFmtId="167" formatCode="#,##0.00\ [$€-1]"/>
    <numFmt numFmtId="168" formatCode="[$USD ]#,##0.00"/>
    <numFmt numFmtId="169" formatCode="[$ $]#,##0.00"/>
    <numFmt numFmtId="170" formatCode="0.000"/>
    <numFmt numFmtId="171" formatCode="[$$]#,##0"/>
    <numFmt numFmtId="172" formatCode="_(* #,##0.00_);_(* \(#,##0.00\);_(* \-??_);_(@_)"/>
    <numFmt numFmtId="173" formatCode="#,##0.0"/>
    <numFmt numFmtId="174" formatCode="0.0%"/>
    <numFmt numFmtId="175" formatCode="[$$]#,##0.0"/>
    <numFmt numFmtId="176" formatCode="[$ $]#,##0"/>
    <numFmt numFmtId="177" formatCode="d&quot; de &quot;mmm&quot; de &quot;yy"/>
    <numFmt numFmtId="178" formatCode="dd/mm/yy"/>
    <numFmt numFmtId="179" formatCode="d/m/yy"/>
  </numFmts>
  <fonts count="33">
    <font>
      <sz val="10"/>
      <color rgb="FF000000"/>
      <name val="Arial"/>
      <scheme val="minor"/>
    </font>
    <font>
      <b/>
      <i/>
      <sz val="10"/>
      <color theme="1"/>
      <name val="Arial"/>
    </font>
    <font>
      <b/>
      <sz val="10"/>
      <color theme="1"/>
      <name val="Arial"/>
    </font>
    <font>
      <b/>
      <sz val="11"/>
      <color rgb="FFFFFFFF"/>
      <name val="Arial"/>
    </font>
    <font>
      <sz val="10"/>
      <name val="Arial"/>
    </font>
    <font>
      <sz val="10"/>
      <color rgb="FFFFFFFF"/>
      <name val="Arial"/>
    </font>
    <font>
      <sz val="10"/>
      <color theme="1"/>
      <name val="Arial"/>
    </font>
    <font>
      <b/>
      <sz val="10"/>
      <color rgb="FFFFFFFF"/>
      <name val="Arial"/>
    </font>
    <font>
      <sz val="10"/>
      <color rgb="FFFFFFFF"/>
      <name val="Arial"/>
      <scheme val="minor"/>
    </font>
    <font>
      <b/>
      <sz val="12"/>
      <color theme="1"/>
      <name val="Arial"/>
    </font>
    <font>
      <sz val="8"/>
      <color theme="1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sz val="11"/>
      <color rgb="FF202122"/>
      <name val="Arial"/>
    </font>
    <font>
      <sz val="12"/>
      <color theme="1"/>
      <name val="Arial"/>
    </font>
    <font>
      <sz val="11"/>
      <color theme="1"/>
      <name val="Arial"/>
      <scheme val="minor"/>
    </font>
    <font>
      <sz val="11"/>
      <color rgb="FF202122"/>
      <name val="Sans-serif"/>
    </font>
    <font>
      <u/>
      <sz val="10"/>
      <color rgb="FF0000FF"/>
      <name val="Arial"/>
    </font>
    <font>
      <sz val="12"/>
      <color theme="1"/>
      <name val="Arial"/>
      <scheme val="minor"/>
    </font>
    <font>
      <u/>
      <sz val="10"/>
      <color rgb="FF0563C1"/>
      <name val="Arial"/>
    </font>
    <font>
      <b/>
      <sz val="10"/>
      <color theme="1"/>
      <name val="Arial"/>
      <scheme val="minor"/>
    </font>
    <font>
      <sz val="9"/>
      <color theme="1"/>
      <name val="Arial"/>
      <scheme val="minor"/>
    </font>
    <font>
      <i/>
      <sz val="8"/>
      <color theme="1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202122"/>
      <name val="Sans-serif"/>
    </font>
    <font>
      <b/>
      <sz val="11"/>
      <color rgb="FF202122"/>
      <name val="Arial"/>
    </font>
    <font>
      <b/>
      <sz val="13"/>
      <color theme="1"/>
      <name val="Arial"/>
    </font>
    <font>
      <b/>
      <sz val="10"/>
      <color theme="0"/>
      <name val="Arial"/>
    </font>
    <font>
      <sz val="12"/>
      <color theme="1"/>
      <name val="Noto Sans Symbols"/>
    </font>
  </fonts>
  <fills count="24">
    <fill>
      <patternFill patternType="none"/>
    </fill>
    <fill>
      <patternFill patternType="gray125"/>
    </fill>
    <fill>
      <patternFill patternType="solid">
        <fgColor rgb="FFFF420E"/>
        <bgColor rgb="FFFF420E"/>
      </patternFill>
    </fill>
    <fill>
      <patternFill patternType="solid">
        <fgColor rgb="FFCCFFCC"/>
        <bgColor rgb="FFCCFFCC"/>
      </patternFill>
    </fill>
    <fill>
      <patternFill patternType="solid">
        <fgColor rgb="FFC0C0C0"/>
        <bgColor rgb="FFC0C0C0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980000"/>
        <bgColor rgb="FF980000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EAECF0"/>
        <bgColor rgb="FFEAECF0"/>
      </patternFill>
    </fill>
    <fill>
      <patternFill patternType="solid">
        <fgColor rgb="FFF8F9FA"/>
        <bgColor rgb="FFF8F9FA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</fills>
  <borders count="102">
    <border>
      <left/>
      <right/>
      <top/>
      <bottom/>
      <diagonal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3C3C3C"/>
      </left>
      <right/>
      <top style="thin">
        <color rgb="FF3C3C3C"/>
      </top>
      <bottom style="thin">
        <color rgb="FF3C3C3C"/>
      </bottom>
      <diagonal/>
    </border>
    <border>
      <left/>
      <right/>
      <top style="thin">
        <color rgb="FF3C3C3C"/>
      </top>
      <bottom style="thin">
        <color rgb="FF3C3C3C"/>
      </bottom>
      <diagonal/>
    </border>
    <border>
      <left/>
      <right style="thin">
        <color rgb="FF3C3C3C"/>
      </right>
      <top style="thin">
        <color rgb="FF3C3C3C"/>
      </top>
      <bottom style="thin">
        <color rgb="FF3C3C3C"/>
      </bottom>
      <diagonal/>
    </border>
    <border>
      <left style="thin">
        <color rgb="FF3C3C3C"/>
      </left>
      <right style="thin">
        <color rgb="FF3C3C3C"/>
      </right>
      <top/>
      <bottom style="thin">
        <color rgb="FF3C3C3C"/>
      </bottom>
      <diagonal/>
    </border>
    <border>
      <left style="double">
        <color rgb="FF3C3C3C"/>
      </left>
      <right style="thin">
        <color rgb="FF3C3C3C"/>
      </right>
      <top style="double">
        <color rgb="FF3C3C3C"/>
      </top>
      <bottom style="hair">
        <color rgb="FF3C3C3C"/>
      </bottom>
      <diagonal/>
    </border>
    <border>
      <left style="thin">
        <color rgb="FF3C3C3C"/>
      </left>
      <right/>
      <top style="double">
        <color rgb="FF3C3C3C"/>
      </top>
      <bottom style="hair">
        <color rgb="FF3C3C3C"/>
      </bottom>
      <diagonal/>
    </border>
    <border>
      <left/>
      <right style="thin">
        <color rgb="FF3C3C3C"/>
      </right>
      <top style="double">
        <color rgb="FF3C3C3C"/>
      </top>
      <bottom style="hair">
        <color rgb="FF3C3C3C"/>
      </bottom>
      <diagonal/>
    </border>
    <border>
      <left/>
      <right style="double">
        <color rgb="FF3C3C3C"/>
      </right>
      <top style="double">
        <color rgb="FF3C3C3C"/>
      </top>
      <bottom style="hair">
        <color rgb="FF3C3C3C"/>
      </bottom>
      <diagonal/>
    </border>
    <border>
      <left style="double">
        <color rgb="FF3C3C3C"/>
      </left>
      <right style="thin">
        <color rgb="FF3C3C3C"/>
      </right>
      <top style="hair">
        <color rgb="FF3C3C3C"/>
      </top>
      <bottom style="double">
        <color rgb="FF3C3C3C"/>
      </bottom>
      <diagonal/>
    </border>
    <border>
      <left style="thin">
        <color rgb="FF3C3C3C"/>
      </left>
      <right style="thin">
        <color rgb="FF3C3C3C"/>
      </right>
      <top style="hair">
        <color rgb="FF3C3C3C"/>
      </top>
      <bottom style="double">
        <color rgb="FF3C3C3C"/>
      </bottom>
      <diagonal/>
    </border>
    <border>
      <left style="thin">
        <color rgb="FF3C3C3C"/>
      </left>
      <right style="double">
        <color rgb="FF3C3C3C"/>
      </right>
      <top style="hair">
        <color rgb="FF3C3C3C"/>
      </top>
      <bottom style="double">
        <color rgb="FF3C3C3C"/>
      </bottom>
      <diagonal/>
    </border>
    <border>
      <left style="double">
        <color rgb="FF3C3C3C"/>
      </left>
      <right style="thin">
        <color rgb="FF3C3C3C"/>
      </right>
      <top/>
      <bottom style="hair">
        <color rgb="FF3C3C3C"/>
      </bottom>
      <diagonal/>
    </border>
    <border>
      <left style="thin">
        <color rgb="FF3C3C3C"/>
      </left>
      <right style="thin">
        <color rgb="FF3C3C3C"/>
      </right>
      <top/>
      <bottom style="hair">
        <color rgb="FF3C3C3C"/>
      </bottom>
      <diagonal/>
    </border>
    <border>
      <left style="double">
        <color rgb="FF3C3C3C"/>
      </left>
      <right style="thin">
        <color rgb="FF3C3C3C"/>
      </right>
      <top style="hair">
        <color rgb="FF3C3C3C"/>
      </top>
      <bottom style="hair">
        <color rgb="FF3C3C3C"/>
      </bottom>
      <diagonal/>
    </border>
    <border>
      <left style="thin">
        <color rgb="FF3C3C3C"/>
      </left>
      <right style="thin">
        <color rgb="FF3C3C3C"/>
      </right>
      <top style="hair">
        <color rgb="FF3C3C3C"/>
      </top>
      <bottom style="hair">
        <color rgb="FF3C3C3C"/>
      </bottom>
      <diagonal/>
    </border>
    <border>
      <left style="thin">
        <color rgb="FF3C3C3C"/>
      </left>
      <right style="thin">
        <color rgb="FF3C3C3C"/>
      </right>
      <top style="double">
        <color rgb="FF3C3C3C"/>
      </top>
      <bottom style="hair">
        <color rgb="FF3C3C3C"/>
      </bottom>
      <diagonal/>
    </border>
    <border>
      <left/>
      <right/>
      <top style="double">
        <color rgb="FF3C3C3C"/>
      </top>
      <bottom style="hair">
        <color rgb="FF3C3C3C"/>
      </bottom>
      <diagonal/>
    </border>
    <border>
      <left style="thin">
        <color rgb="FF3C3C3C"/>
      </left>
      <right style="double">
        <color rgb="FF3C3C3C"/>
      </right>
      <top style="double">
        <color rgb="FF3C3C3C"/>
      </top>
      <bottom style="hair">
        <color rgb="FF3C3C3C"/>
      </bottom>
      <diagonal/>
    </border>
    <border>
      <left style="thin">
        <color rgb="FF3C3C3C"/>
      </left>
      <right style="double">
        <color rgb="FF3C3C3C"/>
      </right>
      <top/>
      <bottom style="hair">
        <color rgb="FF3C3C3C"/>
      </bottom>
      <diagonal/>
    </border>
    <border>
      <left style="thin">
        <color rgb="FF3C3C3C"/>
      </left>
      <right style="double">
        <color rgb="FF3C3C3C"/>
      </right>
      <top style="hair">
        <color rgb="FF3C3C3C"/>
      </top>
      <bottom style="hair">
        <color rgb="FF3C3C3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3C3C3C"/>
      </left>
      <right/>
      <top style="double">
        <color rgb="FF3C3C3C"/>
      </top>
      <bottom style="hair">
        <color rgb="FF3C3C3C"/>
      </bottom>
      <diagonal/>
    </border>
    <border>
      <left style="double">
        <color rgb="FF3C3C3C"/>
      </left>
      <right style="thin">
        <color rgb="FF3C3C3C"/>
      </right>
      <top style="hair">
        <color rgb="FF3C3C3C"/>
      </top>
      <bottom style="thin">
        <color rgb="FF000000"/>
      </bottom>
      <diagonal/>
    </border>
    <border>
      <left style="thin">
        <color rgb="FF3C3C3C"/>
      </left>
      <right style="thin">
        <color rgb="FF3C3C3C"/>
      </right>
      <top style="hair">
        <color rgb="FF3C3C3C"/>
      </top>
      <bottom style="thin">
        <color rgb="FF000000"/>
      </bottom>
      <diagonal/>
    </border>
    <border>
      <left style="thin">
        <color rgb="FF3C3C3C"/>
      </left>
      <right style="double">
        <color rgb="FF3C3C3C"/>
      </right>
      <top style="hair">
        <color rgb="FF3C3C3C"/>
      </top>
      <bottom style="thin">
        <color rgb="FF000000"/>
      </bottom>
      <diagonal/>
    </border>
    <border>
      <left style="thin">
        <color rgb="FF3C3C3C"/>
      </left>
      <right style="double">
        <color rgb="FF3C3C3C"/>
      </right>
      <top style="hair">
        <color rgb="FF3C3C3C"/>
      </top>
      <bottom/>
      <diagonal/>
    </border>
    <border>
      <left style="double">
        <color rgb="FF3C3C3C"/>
      </left>
      <right style="thin">
        <color rgb="FF3C3C3C"/>
      </right>
      <top style="hair">
        <color rgb="FF3C3C3C"/>
      </top>
      <bottom/>
      <diagonal/>
    </border>
    <border>
      <left style="thin">
        <color rgb="FF3C3C3C"/>
      </left>
      <right style="thin">
        <color rgb="FF3C3C3C"/>
      </right>
      <top style="hair">
        <color rgb="FF3C3C3C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3C3C3C"/>
      </left>
      <right style="thin">
        <color rgb="FF3C3C3C"/>
      </right>
      <top style="thin">
        <color rgb="FF3C3C3C"/>
      </top>
      <bottom/>
      <diagonal/>
    </border>
    <border>
      <left style="thin">
        <color rgb="FFA2A9B1"/>
      </left>
      <right/>
      <top style="thin">
        <color rgb="FFA2A9B1"/>
      </top>
      <bottom style="thin">
        <color rgb="FFA2A9B1"/>
      </bottom>
      <diagonal/>
    </border>
    <border>
      <left/>
      <right/>
      <top style="thin">
        <color rgb="FFA2A9B1"/>
      </top>
      <bottom style="thin">
        <color rgb="FFA2A9B1"/>
      </bottom>
      <diagonal/>
    </border>
    <border>
      <left/>
      <right style="thin">
        <color rgb="FFA2A9B1"/>
      </right>
      <top style="thin">
        <color rgb="FFA2A9B1"/>
      </top>
      <bottom style="thin">
        <color rgb="FFA2A9B1"/>
      </bottom>
      <diagonal/>
    </border>
    <border>
      <left style="thin">
        <color rgb="FFA2A9B1"/>
      </left>
      <right style="thin">
        <color rgb="FFA2A9B1"/>
      </right>
      <top style="thin">
        <color rgb="FFA2A9B1"/>
      </top>
      <bottom/>
      <diagonal/>
    </border>
    <border>
      <left style="thin">
        <color rgb="FFA2A9B1"/>
      </left>
      <right style="thin">
        <color rgb="FFA2A9B1"/>
      </right>
      <top/>
      <bottom style="thin">
        <color rgb="FFA2A9B1"/>
      </bottom>
      <diagonal/>
    </border>
    <border>
      <left style="thin">
        <color rgb="FFA2A9B1"/>
      </left>
      <right style="thin">
        <color rgb="FFA2A9B1"/>
      </right>
      <top style="thin">
        <color rgb="FFA2A9B1"/>
      </top>
      <bottom style="thin">
        <color rgb="FFA2A9B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3C3C3C"/>
      </top>
      <bottom style="hair">
        <color rgb="FF3C3C3C"/>
      </bottom>
      <diagonal/>
    </border>
    <border>
      <left/>
      <right/>
      <top style="hair">
        <color rgb="FF3C3C3C"/>
      </top>
      <bottom style="double">
        <color rgb="FF3C3C3C"/>
      </bottom>
      <diagonal/>
    </border>
    <border>
      <left style="thin">
        <color rgb="FF3C3C3C"/>
      </left>
      <right/>
      <top style="hair">
        <color rgb="FF3C3C3C"/>
      </top>
      <bottom style="double">
        <color rgb="FF3C3C3C"/>
      </bottom>
      <diagonal/>
    </border>
    <border>
      <left style="thin">
        <color rgb="FF3C3C3C"/>
      </left>
      <right/>
      <top/>
      <bottom style="hair">
        <color rgb="FF3C3C3C"/>
      </bottom>
      <diagonal/>
    </border>
    <border>
      <left style="thin">
        <color rgb="FF3C3C3C"/>
      </left>
      <right/>
      <top style="hair">
        <color rgb="FF3C3C3C"/>
      </top>
      <bottom style="hair">
        <color rgb="FF3C3C3C"/>
      </bottom>
      <diagonal/>
    </border>
    <border>
      <left style="double">
        <color rgb="FF3C3C3C"/>
      </left>
      <right/>
      <top/>
      <bottom style="hair">
        <color rgb="FF3C3C3C"/>
      </bottom>
      <diagonal/>
    </border>
    <border>
      <left/>
      <right style="double">
        <color rgb="FF3C3C3C"/>
      </right>
      <top style="hair">
        <color rgb="FF3C3C3C"/>
      </top>
      <bottom style="hair">
        <color rgb="FF3C3C3C"/>
      </bottom>
      <diagonal/>
    </border>
    <border>
      <left style="double">
        <color rgb="FF3C3C3C"/>
      </left>
      <right style="double">
        <color rgb="FF3C3C3C"/>
      </right>
      <top style="double">
        <color rgb="FF3C3C3C"/>
      </top>
      <bottom style="hair">
        <color rgb="FF3C3C3C"/>
      </bottom>
      <diagonal/>
    </border>
    <border>
      <left/>
      <right style="thin">
        <color rgb="FF3C3C3C"/>
      </right>
      <top/>
      <bottom style="hair">
        <color rgb="FF3C3C3C"/>
      </bottom>
      <diagonal/>
    </border>
    <border>
      <left style="double">
        <color rgb="FF3C3C3C"/>
      </left>
      <right style="double">
        <color rgb="FF3C3C3C"/>
      </right>
      <top style="hair">
        <color rgb="FF3C3C3C"/>
      </top>
      <bottom style="hair">
        <color rgb="FF3C3C3C"/>
      </bottom>
      <diagonal/>
    </border>
    <border>
      <left/>
      <right style="thin">
        <color rgb="FF3C3C3C"/>
      </right>
      <top style="hair">
        <color rgb="FF3C3C3C"/>
      </top>
      <bottom style="hair">
        <color rgb="FF3C3C3C"/>
      </bottom>
      <diagonal/>
    </border>
    <border>
      <left style="double">
        <color rgb="FF3C3C3C"/>
      </left>
      <right style="double">
        <color rgb="FF3C3C3C"/>
      </right>
      <top style="hair">
        <color rgb="FF3C3C3C"/>
      </top>
      <bottom style="double">
        <color rgb="FF3C3C3C"/>
      </bottom>
      <diagonal/>
    </border>
    <border>
      <left/>
      <right style="thin">
        <color rgb="FF3C3C3C"/>
      </right>
      <top style="hair">
        <color rgb="FF3C3C3C"/>
      </top>
      <bottom style="double">
        <color rgb="FF3C3C3C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3C3C3C"/>
      </left>
      <right style="thin">
        <color rgb="FF3C3C3C"/>
      </right>
      <top style="double">
        <color rgb="FF3C3C3C"/>
      </top>
      <bottom style="thin">
        <color rgb="FF3C3C3C"/>
      </bottom>
      <diagonal/>
    </border>
    <border>
      <left style="thin">
        <color rgb="FF3C3C3C"/>
      </left>
      <right style="thin">
        <color rgb="FF3C3C3C"/>
      </right>
      <top style="double">
        <color rgb="FF3C3C3C"/>
      </top>
      <bottom style="thin">
        <color rgb="FF3C3C3C"/>
      </bottom>
      <diagonal/>
    </border>
    <border>
      <left style="thin">
        <color rgb="FF3C3C3C"/>
      </left>
      <right style="double">
        <color rgb="FF3C3C3C"/>
      </right>
      <top style="double">
        <color rgb="FF3C3C3C"/>
      </top>
      <bottom style="thin">
        <color rgb="FF3C3C3C"/>
      </bottom>
      <diagonal/>
    </border>
    <border>
      <left style="double">
        <color rgb="FF3C3C3C"/>
      </left>
      <right style="thin">
        <color rgb="FF3C3C3C"/>
      </right>
      <top/>
      <bottom/>
      <diagonal/>
    </border>
    <border>
      <left style="thin">
        <color rgb="FF3C3C3C"/>
      </left>
      <right style="thin">
        <color rgb="FF3C3C3C"/>
      </right>
      <top/>
      <bottom/>
      <diagonal/>
    </border>
    <border>
      <left style="thin">
        <color rgb="FF3C3C3C"/>
      </left>
      <right style="double">
        <color rgb="FF3C3C3C"/>
      </right>
      <top/>
      <bottom/>
      <diagonal/>
    </border>
    <border>
      <left style="double">
        <color rgb="FF3C3C3C"/>
      </left>
      <right style="thin">
        <color rgb="FF3C3C3C"/>
      </right>
      <top/>
      <bottom style="double">
        <color rgb="FF3C3C3C"/>
      </bottom>
      <diagonal/>
    </border>
    <border>
      <left style="thin">
        <color rgb="FF3C3C3C"/>
      </left>
      <right style="thin">
        <color rgb="FF3C3C3C"/>
      </right>
      <top/>
      <bottom style="double">
        <color rgb="FF3C3C3C"/>
      </bottom>
      <diagonal/>
    </border>
    <border>
      <left style="thin">
        <color rgb="FF3C3C3C"/>
      </left>
      <right style="double">
        <color rgb="FF3C3C3C"/>
      </right>
      <top/>
      <bottom style="double">
        <color rgb="FF3C3C3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3C3C3C"/>
      </left>
      <right/>
      <top/>
      <bottom style="double">
        <color rgb="FF3C3C3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9" fontId="2" fillId="3" borderId="1" xfId="0" applyNumberFormat="1" applyFont="1" applyFill="1" applyBorder="1"/>
    <xf numFmtId="10" fontId="2" fillId="3" borderId="1" xfId="0" applyNumberFormat="1" applyFont="1" applyFill="1" applyBorder="1"/>
    <xf numFmtId="0" fontId="6" fillId="0" borderId="0" xfId="0" applyFont="1"/>
    <xf numFmtId="0" fontId="6" fillId="0" borderId="0" xfId="0" applyFont="1" applyAlignment="1">
      <alignment horizontal="right"/>
    </xf>
    <xf numFmtId="0" fontId="2" fillId="3" borderId="1" xfId="0" applyFont="1" applyFill="1" applyBorder="1" applyAlignment="1">
      <alignment horizontal="center"/>
    </xf>
    <xf numFmtId="10" fontId="2" fillId="3" borderId="1" xfId="0" applyNumberFormat="1" applyFont="1" applyFill="1" applyBorder="1" applyAlignment="1">
      <alignment horizontal="center"/>
    </xf>
    <xf numFmtId="0" fontId="6" fillId="4" borderId="1" xfId="0" applyFont="1" applyFill="1" applyBorder="1"/>
    <xf numFmtId="0" fontId="2" fillId="0" borderId="0" xfId="0" applyFont="1"/>
    <xf numFmtId="0" fontId="5" fillId="0" borderId="0" xfId="0" applyFont="1"/>
    <xf numFmtId="0" fontId="6" fillId="4" borderId="16" xfId="0" applyFont="1" applyFill="1" applyBorder="1"/>
    <xf numFmtId="0" fontId="8" fillId="0" borderId="0" xfId="0" applyFont="1"/>
    <xf numFmtId="0" fontId="2" fillId="0" borderId="1" xfId="0" applyFont="1" applyBorder="1"/>
    <xf numFmtId="0" fontId="9" fillId="0" borderId="17" xfId="0" applyFont="1" applyBorder="1"/>
    <xf numFmtId="0" fontId="9" fillId="0" borderId="21" xfId="0" applyFont="1" applyBorder="1"/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6" fillId="0" borderId="24" xfId="0" applyFont="1" applyBorder="1"/>
    <xf numFmtId="0" fontId="6" fillId="0" borderId="25" xfId="0" applyFont="1" applyBorder="1"/>
    <xf numFmtId="0" fontId="2" fillId="0" borderId="26" xfId="0" applyFont="1" applyBorder="1"/>
    <xf numFmtId="0" fontId="6" fillId="0" borderId="27" xfId="0" applyFont="1" applyBorder="1"/>
    <xf numFmtId="0" fontId="6" fillId="0" borderId="26" xfId="0" applyFont="1" applyBorder="1"/>
    <xf numFmtId="164" fontId="6" fillId="0" borderId="27" xfId="0" applyNumberFormat="1" applyFont="1" applyBorder="1"/>
    <xf numFmtId="0" fontId="6" fillId="0" borderId="26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164" fontId="6" fillId="0" borderId="22" xfId="0" applyNumberFormat="1" applyFont="1" applyBorder="1"/>
    <xf numFmtId="0" fontId="10" fillId="0" borderId="0" xfId="0" applyFont="1"/>
    <xf numFmtId="0" fontId="2" fillId="0" borderId="1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0" xfId="0" applyFont="1" applyBorder="1"/>
    <xf numFmtId="0" fontId="2" fillId="0" borderId="21" xfId="0" applyFont="1" applyBorder="1"/>
    <xf numFmtId="0" fontId="2" fillId="0" borderId="23" xfId="0" applyFont="1" applyBorder="1"/>
    <xf numFmtId="0" fontId="2" fillId="0" borderId="17" xfId="0" applyFont="1" applyBorder="1"/>
    <xf numFmtId="164" fontId="6" fillId="0" borderId="28" xfId="0" applyNumberFormat="1" applyFont="1" applyBorder="1"/>
    <xf numFmtId="0" fontId="6" fillId="0" borderId="28" xfId="0" applyFont="1" applyBorder="1" applyAlignment="1">
      <alignment horizontal="center"/>
    </xf>
    <xf numFmtId="0" fontId="6" fillId="0" borderId="30" xfId="0" applyFont="1" applyBorder="1"/>
    <xf numFmtId="164" fontId="6" fillId="0" borderId="25" xfId="0" applyNumberFormat="1" applyFont="1" applyBorder="1"/>
    <xf numFmtId="0" fontId="6" fillId="0" borderId="25" xfId="0" applyFont="1" applyBorder="1" applyAlignment="1">
      <alignment horizontal="center"/>
    </xf>
    <xf numFmtId="164" fontId="6" fillId="0" borderId="31" xfId="0" applyNumberFormat="1" applyFont="1" applyBorder="1"/>
    <xf numFmtId="0" fontId="2" fillId="0" borderId="24" xfId="0" applyFont="1" applyBorder="1"/>
    <xf numFmtId="164" fontId="6" fillId="0" borderId="32" xfId="0" applyNumberFormat="1" applyFont="1" applyBorder="1"/>
    <xf numFmtId="2" fontId="6" fillId="0" borderId="27" xfId="0" applyNumberFormat="1" applyFont="1" applyBorder="1"/>
    <xf numFmtId="2" fontId="11" fillId="0" borderId="0" xfId="0" applyNumberFormat="1" applyFont="1"/>
    <xf numFmtId="0" fontId="2" fillId="0" borderId="26" xfId="0" applyFont="1" applyBorder="1" applyAlignment="1">
      <alignment horizontal="left"/>
    </xf>
    <xf numFmtId="164" fontId="2" fillId="0" borderId="27" xfId="0" applyNumberFormat="1" applyFont="1" applyBorder="1"/>
    <xf numFmtId="164" fontId="2" fillId="0" borderId="32" xfId="0" applyNumberFormat="1" applyFont="1" applyBorder="1"/>
    <xf numFmtId="165" fontId="6" fillId="0" borderId="27" xfId="0" applyNumberFormat="1" applyFont="1" applyBorder="1" applyAlignment="1">
      <alignment horizontal="center"/>
    </xf>
    <xf numFmtId="2" fontId="6" fillId="0" borderId="27" xfId="0" applyNumberFormat="1" applyFont="1" applyBorder="1" applyAlignment="1">
      <alignment horizontal="center"/>
    </xf>
    <xf numFmtId="165" fontId="6" fillId="0" borderId="27" xfId="0" applyNumberFormat="1" applyFont="1" applyBorder="1"/>
    <xf numFmtId="165" fontId="6" fillId="0" borderId="32" xfId="0" applyNumberFormat="1" applyFont="1" applyBorder="1"/>
    <xf numFmtId="165" fontId="2" fillId="0" borderId="27" xfId="0" applyNumberFormat="1" applyFont="1" applyBorder="1" applyAlignment="1">
      <alignment horizontal="center"/>
    </xf>
    <xf numFmtId="2" fontId="6" fillId="0" borderId="32" xfId="0" applyNumberFormat="1" applyFont="1" applyBorder="1" applyAlignment="1">
      <alignment horizontal="center"/>
    </xf>
    <xf numFmtId="165" fontId="6" fillId="0" borderId="0" xfId="0" applyNumberFormat="1" applyFont="1"/>
    <xf numFmtId="164" fontId="6" fillId="0" borderId="23" xfId="0" applyNumberFormat="1" applyFont="1" applyBorder="1"/>
    <xf numFmtId="165" fontId="2" fillId="0" borderId="0" xfId="0" applyNumberFormat="1" applyFont="1" applyAlignment="1">
      <alignment horizontal="center"/>
    </xf>
    <xf numFmtId="0" fontId="11" fillId="0" borderId="36" xfId="0" applyFont="1" applyBorder="1" applyAlignment="1">
      <alignment horizontal="center"/>
    </xf>
    <xf numFmtId="0" fontId="12" fillId="0" borderId="35" xfId="0" applyFont="1" applyBorder="1"/>
    <xf numFmtId="0" fontId="13" fillId="5" borderId="36" xfId="0" applyFont="1" applyFill="1" applyBorder="1" applyAlignment="1">
      <alignment horizontal="center" wrapText="1"/>
    </xf>
    <xf numFmtId="166" fontId="14" fillId="0" borderId="36" xfId="0" applyNumberFormat="1" applyFont="1" applyBorder="1" applyAlignment="1">
      <alignment horizontal="center"/>
    </xf>
    <xf numFmtId="166" fontId="15" fillId="0" borderId="36" xfId="0" applyNumberFormat="1" applyFont="1" applyBorder="1" applyAlignment="1">
      <alignment horizontal="center"/>
    </xf>
    <xf numFmtId="0" fontId="16" fillId="5" borderId="36" xfId="0" applyFont="1" applyFill="1" applyBorder="1" applyAlignment="1">
      <alignment horizontal="center" wrapText="1"/>
    </xf>
    <xf numFmtId="0" fontId="17" fillId="0" borderId="0" xfId="0" applyFont="1"/>
    <xf numFmtId="166" fontId="18" fillId="0" borderId="36" xfId="0" applyNumberFormat="1" applyFont="1" applyBorder="1" applyAlignment="1">
      <alignment horizontal="center"/>
    </xf>
    <xf numFmtId="0" fontId="16" fillId="6" borderId="36" xfId="0" applyFont="1" applyFill="1" applyBorder="1" applyAlignment="1">
      <alignment horizontal="center" wrapText="1"/>
    </xf>
    <xf numFmtId="0" fontId="16" fillId="7" borderId="36" xfId="0" applyFont="1" applyFill="1" applyBorder="1" applyAlignment="1">
      <alignment horizontal="center" wrapText="1"/>
    </xf>
    <xf numFmtId="0" fontId="19" fillId="0" borderId="0" xfId="0" applyFont="1"/>
    <xf numFmtId="0" fontId="13" fillId="7" borderId="36" xfId="0" applyFont="1" applyFill="1" applyBorder="1" applyAlignment="1">
      <alignment horizontal="center" wrapText="1"/>
    </xf>
    <xf numFmtId="166" fontId="11" fillId="0" borderId="36" xfId="0" applyNumberFormat="1" applyFont="1" applyBorder="1"/>
    <xf numFmtId="0" fontId="20" fillId="0" borderId="0" xfId="0" applyFont="1"/>
    <xf numFmtId="0" fontId="11" fillId="0" borderId="0" xfId="0" applyFont="1"/>
    <xf numFmtId="167" fontId="20" fillId="0" borderId="36" xfId="0" applyNumberFormat="1" applyFont="1" applyBorder="1"/>
    <xf numFmtId="0" fontId="20" fillId="0" borderId="36" xfId="0" applyFont="1" applyBorder="1"/>
    <xf numFmtId="0" fontId="11" fillId="0" borderId="36" xfId="0" applyFont="1" applyBorder="1"/>
    <xf numFmtId="0" fontId="21" fillId="0" borderId="36" xfId="0" applyFont="1" applyBorder="1"/>
    <xf numFmtId="0" fontId="20" fillId="0" borderId="37" xfId="0" applyFont="1" applyBorder="1" applyAlignment="1">
      <alignment horizontal="center"/>
    </xf>
    <xf numFmtId="166" fontId="11" fillId="0" borderId="0" xfId="0" applyNumberFormat="1" applyFont="1"/>
    <xf numFmtId="0" fontId="11" fillId="0" borderId="37" xfId="0" applyFont="1" applyBorder="1"/>
    <xf numFmtId="166" fontId="11" fillId="0" borderId="37" xfId="0" applyNumberFormat="1" applyFont="1" applyBorder="1"/>
    <xf numFmtId="0" fontId="20" fillId="0" borderId="37" xfId="0" applyFont="1" applyBorder="1"/>
    <xf numFmtId="166" fontId="20" fillId="0" borderId="37" xfId="0" applyNumberFormat="1" applyFont="1" applyBorder="1"/>
    <xf numFmtId="168" fontId="11" fillId="0" borderId="36" xfId="0" applyNumberFormat="1" applyFont="1" applyBorder="1" applyAlignment="1">
      <alignment horizontal="center"/>
    </xf>
    <xf numFmtId="168" fontId="11" fillId="0" borderId="0" xfId="0" applyNumberFormat="1" applyFont="1"/>
    <xf numFmtId="168" fontId="11" fillId="0" borderId="0" xfId="0" applyNumberFormat="1" applyFont="1" applyAlignment="1">
      <alignment horizontal="left"/>
    </xf>
    <xf numFmtId="164" fontId="11" fillId="0" borderId="0" xfId="0" applyNumberFormat="1" applyFont="1"/>
    <xf numFmtId="0" fontId="9" fillId="0" borderId="38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164" fontId="6" fillId="0" borderId="25" xfId="0" applyNumberFormat="1" applyFont="1" applyBorder="1" applyAlignment="1">
      <alignment horizontal="center"/>
    </xf>
    <xf numFmtId="164" fontId="6" fillId="0" borderId="31" xfId="0" applyNumberFormat="1" applyFont="1" applyBorder="1" applyAlignment="1">
      <alignment horizontal="center"/>
    </xf>
    <xf numFmtId="0" fontId="6" fillId="0" borderId="39" xfId="0" applyFont="1" applyBorder="1"/>
    <xf numFmtId="164" fontId="6" fillId="0" borderId="40" xfId="0" applyNumberFormat="1" applyFont="1" applyBorder="1" applyAlignment="1">
      <alignment horizontal="center"/>
    </xf>
    <xf numFmtId="164" fontId="6" fillId="0" borderId="41" xfId="0" applyNumberFormat="1" applyFont="1" applyBorder="1" applyAlignment="1">
      <alignment horizontal="center"/>
    </xf>
    <xf numFmtId="0" fontId="6" fillId="0" borderId="26" xfId="0" applyFont="1" applyBorder="1" applyAlignment="1">
      <alignment horizontal="right"/>
    </xf>
    <xf numFmtId="164" fontId="6" fillId="0" borderId="27" xfId="0" applyNumberFormat="1" applyFont="1" applyBorder="1" applyAlignment="1">
      <alignment horizontal="center"/>
    </xf>
    <xf numFmtId="169" fontId="6" fillId="0" borderId="42" xfId="0" applyNumberFormat="1" applyFont="1" applyBorder="1"/>
    <xf numFmtId="0" fontId="22" fillId="0" borderId="26" xfId="0" applyFont="1" applyBorder="1" applyAlignment="1">
      <alignment horizontal="right"/>
    </xf>
    <xf numFmtId="166" fontId="6" fillId="0" borderId="27" xfId="0" applyNumberFormat="1" applyFont="1" applyBorder="1" applyAlignment="1">
      <alignment horizontal="center"/>
    </xf>
    <xf numFmtId="0" fontId="6" fillId="0" borderId="43" xfId="0" applyFont="1" applyBorder="1"/>
    <xf numFmtId="165" fontId="6" fillId="0" borderId="44" xfId="0" applyNumberFormat="1" applyFont="1" applyBorder="1" applyAlignment="1">
      <alignment horizontal="center"/>
    </xf>
    <xf numFmtId="165" fontId="6" fillId="0" borderId="42" xfId="0" applyNumberFormat="1" applyFont="1" applyBorder="1"/>
    <xf numFmtId="0" fontId="2" fillId="0" borderId="43" xfId="0" applyFont="1" applyBorder="1"/>
    <xf numFmtId="10" fontId="6" fillId="0" borderId="44" xfId="0" applyNumberFormat="1" applyFont="1" applyBorder="1" applyAlignment="1">
      <alignment horizontal="center"/>
    </xf>
    <xf numFmtId="10" fontId="6" fillId="0" borderId="22" xfId="0" applyNumberFormat="1" applyFont="1" applyBorder="1" applyAlignment="1">
      <alignment horizontal="center"/>
    </xf>
    <xf numFmtId="0" fontId="6" fillId="0" borderId="17" xfId="0" applyFont="1" applyBorder="1"/>
    <xf numFmtId="0" fontId="2" fillId="0" borderId="3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64" fontId="6" fillId="0" borderId="32" xfId="0" applyNumberFormat="1" applyFont="1" applyBorder="1" applyAlignment="1">
      <alignment horizontal="center"/>
    </xf>
    <xf numFmtId="164" fontId="6" fillId="0" borderId="22" xfId="0" applyNumberFormat="1" applyFont="1" applyBorder="1" applyAlignment="1">
      <alignment horizontal="center"/>
    </xf>
    <xf numFmtId="164" fontId="6" fillId="0" borderId="23" xfId="0" applyNumberFormat="1" applyFont="1" applyBorder="1" applyAlignment="1">
      <alignment horizontal="center"/>
    </xf>
    <xf numFmtId="170" fontId="6" fillId="0" borderId="0" xfId="0" applyNumberFormat="1" applyFont="1" applyAlignment="1">
      <alignment horizontal="center"/>
    </xf>
    <xf numFmtId="170" fontId="2" fillId="0" borderId="28" xfId="0" applyNumberFormat="1" applyFont="1" applyBorder="1" applyAlignment="1">
      <alignment horizontal="center"/>
    </xf>
    <xf numFmtId="170" fontId="2" fillId="0" borderId="30" xfId="0" applyNumberFormat="1" applyFont="1" applyBorder="1" applyAlignment="1">
      <alignment horizontal="center"/>
    </xf>
    <xf numFmtId="164" fontId="6" fillId="0" borderId="44" xfId="0" applyNumberFormat="1" applyFont="1" applyBorder="1" applyAlignment="1">
      <alignment horizontal="center"/>
    </xf>
    <xf numFmtId="164" fontId="6" fillId="0" borderId="42" xfId="0" applyNumberFormat="1" applyFont="1" applyBorder="1" applyAlignment="1">
      <alignment horizontal="center"/>
    </xf>
    <xf numFmtId="9" fontId="6" fillId="0" borderId="44" xfId="0" applyNumberFormat="1" applyFont="1" applyBorder="1" applyAlignment="1">
      <alignment horizontal="center"/>
    </xf>
    <xf numFmtId="9" fontId="6" fillId="0" borderId="22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4" fontId="6" fillId="0" borderId="28" xfId="0" applyNumberFormat="1" applyFont="1" applyBorder="1" applyAlignment="1">
      <alignment horizontal="center"/>
    </xf>
    <xf numFmtId="164" fontId="6" fillId="0" borderId="30" xfId="0" applyNumberFormat="1" applyFont="1" applyBorder="1" applyAlignment="1">
      <alignment horizontal="center"/>
    </xf>
    <xf numFmtId="0" fontId="22" fillId="0" borderId="26" xfId="0" applyFont="1" applyBorder="1" applyAlignment="1">
      <alignment horizontal="left"/>
    </xf>
    <xf numFmtId="9" fontId="6" fillId="0" borderId="27" xfId="0" applyNumberFormat="1" applyFont="1" applyBorder="1" applyAlignment="1">
      <alignment horizontal="center"/>
    </xf>
    <xf numFmtId="9" fontId="6" fillId="0" borderId="32" xfId="0" applyNumberFormat="1" applyFont="1" applyBorder="1" applyAlignment="1">
      <alignment horizontal="center"/>
    </xf>
    <xf numFmtId="9" fontId="6" fillId="0" borderId="23" xfId="0" applyNumberFormat="1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3" fontId="2" fillId="0" borderId="27" xfId="0" applyNumberFormat="1" applyFont="1" applyBorder="1" applyAlignment="1">
      <alignment horizontal="center"/>
    </xf>
    <xf numFmtId="3" fontId="2" fillId="0" borderId="42" xfId="0" applyNumberFormat="1" applyFont="1" applyBorder="1" applyAlignment="1">
      <alignment horizontal="center"/>
    </xf>
    <xf numFmtId="171" fontId="2" fillId="0" borderId="27" xfId="0" applyNumberFormat="1" applyFont="1" applyBorder="1" applyAlignment="1">
      <alignment horizontal="center"/>
    </xf>
    <xf numFmtId="171" fontId="2" fillId="0" borderId="42" xfId="0" applyNumberFormat="1" applyFont="1" applyBorder="1" applyAlignment="1">
      <alignment horizontal="center"/>
    </xf>
    <xf numFmtId="172" fontId="6" fillId="0" borderId="27" xfId="0" applyNumberFormat="1" applyFont="1" applyBorder="1" applyAlignment="1">
      <alignment horizontal="center"/>
    </xf>
    <xf numFmtId="172" fontId="6" fillId="0" borderId="32" xfId="0" applyNumberFormat="1" applyFont="1" applyBorder="1" applyAlignment="1">
      <alignment horizontal="center"/>
    </xf>
    <xf numFmtId="0" fontId="22" fillId="0" borderId="26" xfId="0" applyFont="1" applyBorder="1"/>
    <xf numFmtId="10" fontId="6" fillId="0" borderId="0" xfId="0" applyNumberFormat="1" applyFont="1"/>
    <xf numFmtId="3" fontId="2" fillId="0" borderId="32" xfId="0" applyNumberFormat="1" applyFont="1" applyBorder="1" applyAlignment="1">
      <alignment horizontal="center"/>
    </xf>
    <xf numFmtId="164" fontId="2" fillId="0" borderId="27" xfId="0" applyNumberFormat="1" applyFont="1" applyBorder="1" applyAlignment="1">
      <alignment horizontal="center"/>
    </xf>
    <xf numFmtId="164" fontId="2" fillId="0" borderId="32" xfId="0" applyNumberFormat="1" applyFont="1" applyBorder="1" applyAlignment="1">
      <alignment horizontal="center"/>
    </xf>
    <xf numFmtId="9" fontId="6" fillId="0" borderId="27" xfId="0" applyNumberFormat="1" applyFont="1" applyBorder="1"/>
    <xf numFmtId="9" fontId="6" fillId="0" borderId="32" xfId="0" applyNumberFormat="1" applyFont="1" applyBorder="1"/>
    <xf numFmtId="166" fontId="6" fillId="0" borderId="27" xfId="0" applyNumberFormat="1" applyFont="1" applyBorder="1"/>
    <xf numFmtId="166" fontId="6" fillId="0" borderId="32" xfId="0" applyNumberFormat="1" applyFont="1" applyBorder="1"/>
    <xf numFmtId="10" fontId="6" fillId="0" borderId="22" xfId="0" applyNumberFormat="1" applyFont="1" applyBorder="1"/>
    <xf numFmtId="10" fontId="6" fillId="0" borderId="23" xfId="0" applyNumberFormat="1" applyFont="1" applyBorder="1"/>
    <xf numFmtId="0" fontId="9" fillId="0" borderId="0" xfId="0" applyFont="1"/>
    <xf numFmtId="0" fontId="6" fillId="0" borderId="36" xfId="0" applyFont="1" applyBorder="1"/>
    <xf numFmtId="3" fontId="6" fillId="0" borderId="36" xfId="0" applyNumberFormat="1" applyFont="1" applyBorder="1"/>
    <xf numFmtId="171" fontId="6" fillId="0" borderId="36" xfId="0" applyNumberFormat="1" applyFont="1" applyBorder="1"/>
    <xf numFmtId="166" fontId="6" fillId="0" borderId="36" xfId="0" applyNumberFormat="1" applyFont="1" applyBorder="1"/>
    <xf numFmtId="164" fontId="6" fillId="0" borderId="36" xfId="0" applyNumberFormat="1" applyFont="1" applyBorder="1"/>
    <xf numFmtId="173" fontId="6" fillId="0" borderId="36" xfId="0" applyNumberFormat="1" applyFont="1" applyBorder="1"/>
    <xf numFmtId="0" fontId="11" fillId="0" borderId="45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171" fontId="11" fillId="0" borderId="46" xfId="0" applyNumberFormat="1" applyFont="1" applyBorder="1" applyAlignment="1">
      <alignment horizontal="center"/>
    </xf>
    <xf numFmtId="0" fontId="11" fillId="0" borderId="47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49" xfId="0" applyFont="1" applyBorder="1" applyAlignment="1">
      <alignment horizontal="center"/>
    </xf>
    <xf numFmtId="3" fontId="11" fillId="0" borderId="0" xfId="0" applyNumberFormat="1" applyFont="1" applyAlignment="1">
      <alignment horizontal="center"/>
    </xf>
    <xf numFmtId="3" fontId="11" fillId="0" borderId="49" xfId="0" applyNumberFormat="1" applyFont="1" applyBorder="1" applyAlignment="1">
      <alignment horizontal="center"/>
    </xf>
    <xf numFmtId="171" fontId="11" fillId="0" borderId="0" xfId="0" applyNumberFormat="1" applyFont="1" applyAlignment="1">
      <alignment horizontal="center"/>
    </xf>
    <xf numFmtId="171" fontId="11" fillId="0" borderId="49" xfId="0" applyNumberFormat="1" applyFont="1" applyBorder="1" applyAlignment="1">
      <alignment horizontal="center"/>
    </xf>
    <xf numFmtId="0" fontId="11" fillId="0" borderId="48" xfId="0" applyFont="1" applyBorder="1"/>
    <xf numFmtId="0" fontId="11" fillId="0" borderId="49" xfId="0" applyFont="1" applyBorder="1"/>
    <xf numFmtId="0" fontId="11" fillId="0" borderId="36" xfId="0" applyFont="1" applyBorder="1" applyAlignment="1">
      <alignment horizontal="left"/>
    </xf>
    <xf numFmtId="0" fontId="11" fillId="0" borderId="50" xfId="0" applyFont="1" applyBorder="1" applyAlignment="1">
      <alignment horizontal="center"/>
    </xf>
    <xf numFmtId="3" fontId="11" fillId="0" borderId="51" xfId="0" applyNumberFormat="1" applyFont="1" applyBorder="1" applyAlignment="1">
      <alignment horizontal="center"/>
    </xf>
    <xf numFmtId="3" fontId="11" fillId="0" borderId="52" xfId="0" applyNumberFormat="1" applyFont="1" applyBorder="1" applyAlignment="1">
      <alignment horizontal="center"/>
    </xf>
    <xf numFmtId="0" fontId="23" fillId="8" borderId="0" xfId="0" applyFont="1" applyFill="1"/>
    <xf numFmtId="0" fontId="11" fillId="6" borderId="36" xfId="0" applyFont="1" applyFill="1" applyBorder="1"/>
    <xf numFmtId="166" fontId="11" fillId="6" borderId="36" xfId="0" applyNumberFormat="1" applyFont="1" applyFill="1" applyBorder="1"/>
    <xf numFmtId="0" fontId="11" fillId="9" borderId="36" xfId="0" applyFont="1" applyFill="1" applyBorder="1"/>
    <xf numFmtId="166" fontId="11" fillId="9" borderId="36" xfId="0" applyNumberFormat="1" applyFont="1" applyFill="1" applyBorder="1"/>
    <xf numFmtId="0" fontId="11" fillId="9" borderId="0" xfId="0" applyFont="1" applyFill="1"/>
    <xf numFmtId="0" fontId="11" fillId="10" borderId="36" xfId="0" applyFont="1" applyFill="1" applyBorder="1"/>
    <xf numFmtId="166" fontId="11" fillId="10" borderId="36" xfId="0" applyNumberFormat="1" applyFont="1" applyFill="1" applyBorder="1"/>
    <xf numFmtId="166" fontId="20" fillId="0" borderId="0" xfId="0" applyNumberFormat="1" applyFont="1"/>
    <xf numFmtId="39" fontId="11" fillId="0" borderId="36" xfId="0" applyNumberFormat="1" applyFont="1" applyBorder="1"/>
    <xf numFmtId="0" fontId="11" fillId="0" borderId="0" xfId="0" applyFont="1" applyAlignment="1">
      <alignment horizontal="right"/>
    </xf>
    <xf numFmtId="0" fontId="20" fillId="0" borderId="53" xfId="0" applyFont="1" applyBorder="1"/>
    <xf numFmtId="0" fontId="11" fillId="0" borderId="54" xfId="0" applyFont="1" applyBorder="1"/>
    <xf numFmtId="0" fontId="11" fillId="0" borderId="55" xfId="0" applyFont="1" applyBorder="1"/>
    <xf numFmtId="0" fontId="11" fillId="0" borderId="56" xfId="0" applyFont="1" applyBorder="1"/>
    <xf numFmtId="164" fontId="11" fillId="0" borderId="57" xfId="0" applyNumberFormat="1" applyFont="1" applyBorder="1"/>
    <xf numFmtId="0" fontId="23" fillId="11" borderId="58" xfId="0" applyFont="1" applyFill="1" applyBorder="1"/>
    <xf numFmtId="10" fontId="11" fillId="0" borderId="37" xfId="0" applyNumberFormat="1" applyFont="1" applyBorder="1"/>
    <xf numFmtId="0" fontId="11" fillId="0" borderId="59" xfId="0" applyFont="1" applyBorder="1"/>
    <xf numFmtId="10" fontId="23" fillId="0" borderId="0" xfId="0" applyNumberFormat="1" applyFont="1" applyAlignment="1">
      <alignment horizontal="right"/>
    </xf>
    <xf numFmtId="0" fontId="23" fillId="0" borderId="0" xfId="0" applyFont="1"/>
    <xf numFmtId="0" fontId="23" fillId="0" borderId="53" xfId="0" applyFont="1" applyBorder="1"/>
    <xf numFmtId="10" fontId="23" fillId="0" borderId="54" xfId="0" applyNumberFormat="1" applyFont="1" applyBorder="1" applyAlignment="1">
      <alignment horizontal="right"/>
    </xf>
    <xf numFmtId="0" fontId="23" fillId="0" borderId="56" xfId="0" applyFont="1" applyBorder="1"/>
    <xf numFmtId="0" fontId="11" fillId="0" borderId="57" xfId="0" applyFont="1" applyBorder="1"/>
    <xf numFmtId="0" fontId="11" fillId="0" borderId="58" xfId="0" applyFont="1" applyBorder="1"/>
    <xf numFmtId="169" fontId="11" fillId="0" borderId="37" xfId="0" applyNumberFormat="1" applyFont="1" applyBorder="1"/>
    <xf numFmtId="0" fontId="20" fillId="0" borderId="36" xfId="0" applyFont="1" applyBorder="1" applyAlignment="1">
      <alignment horizontal="center"/>
    </xf>
    <xf numFmtId="169" fontId="11" fillId="0" borderId="36" xfId="0" applyNumberFormat="1" applyFont="1" applyBorder="1"/>
    <xf numFmtId="166" fontId="20" fillId="0" borderId="36" xfId="0" applyNumberFormat="1" applyFont="1" applyBorder="1"/>
    <xf numFmtId="9" fontId="11" fillId="0" borderId="36" xfId="0" applyNumberFormat="1" applyFont="1" applyBorder="1"/>
    <xf numFmtId="174" fontId="11" fillId="0" borderId="36" xfId="0" applyNumberFormat="1" applyFont="1" applyBorder="1"/>
    <xf numFmtId="171" fontId="11" fillId="0" borderId="36" xfId="0" applyNumberFormat="1" applyFont="1" applyBorder="1"/>
    <xf numFmtId="0" fontId="20" fillId="0" borderId="45" xfId="0" applyFont="1" applyBorder="1"/>
    <xf numFmtId="0" fontId="11" fillId="0" borderId="46" xfId="0" applyFont="1" applyBorder="1"/>
    <xf numFmtId="0" fontId="11" fillId="0" borderId="47" xfId="0" applyFont="1" applyBorder="1"/>
    <xf numFmtId="0" fontId="11" fillId="0" borderId="60" xfId="0" applyFont="1" applyBorder="1" applyAlignment="1">
      <alignment horizontal="center"/>
    </xf>
    <xf numFmtId="0" fontId="13" fillId="5" borderId="60" xfId="0" applyFont="1" applyFill="1" applyBorder="1" applyAlignment="1">
      <alignment horizontal="center" wrapText="1"/>
    </xf>
    <xf numFmtId="4" fontId="11" fillId="0" borderId="36" xfId="0" applyNumberFormat="1" applyFont="1" applyBorder="1"/>
    <xf numFmtId="0" fontId="16" fillId="7" borderId="60" xfId="0" applyFont="1" applyFill="1" applyBorder="1" applyAlignment="1">
      <alignment horizontal="center" wrapText="1"/>
    </xf>
    <xf numFmtId="4" fontId="11" fillId="0" borderId="0" xfId="0" applyNumberFormat="1" applyFont="1"/>
    <xf numFmtId="0" fontId="11" fillId="0" borderId="60" xfId="0" applyFont="1" applyBorder="1"/>
    <xf numFmtId="0" fontId="23" fillId="0" borderId="36" xfId="0" applyFont="1" applyBorder="1" applyAlignment="1">
      <alignment horizontal="left"/>
    </xf>
    <xf numFmtId="0" fontId="23" fillId="0" borderId="36" xfId="0" applyFont="1" applyBorder="1" applyAlignment="1">
      <alignment horizontal="right"/>
    </xf>
    <xf numFmtId="166" fontId="11" fillId="0" borderId="49" xfId="0" applyNumberFormat="1" applyFont="1" applyBorder="1"/>
    <xf numFmtId="0" fontId="23" fillId="0" borderId="36" xfId="0" applyFont="1" applyBorder="1"/>
    <xf numFmtId="1" fontId="11" fillId="0" borderId="0" xfId="0" applyNumberFormat="1" applyFont="1"/>
    <xf numFmtId="0" fontId="23" fillId="0" borderId="0" xfId="0" applyFont="1" applyAlignment="1">
      <alignment horizontal="right"/>
    </xf>
    <xf numFmtId="10" fontId="11" fillId="0" borderId="36" xfId="0" applyNumberFormat="1" applyFont="1" applyBorder="1"/>
    <xf numFmtId="0" fontId="23" fillId="0" borderId="60" xfId="0" applyFont="1" applyBorder="1"/>
    <xf numFmtId="166" fontId="23" fillId="0" borderId="36" xfId="0" applyNumberFormat="1" applyFont="1" applyBorder="1" applyAlignment="1">
      <alignment horizontal="right"/>
    </xf>
    <xf numFmtId="166" fontId="11" fillId="12" borderId="36" xfId="0" applyNumberFormat="1" applyFont="1" applyFill="1" applyBorder="1"/>
    <xf numFmtId="0" fontId="24" fillId="0" borderId="60" xfId="0" applyFont="1" applyBorder="1"/>
    <xf numFmtId="166" fontId="24" fillId="0" borderId="36" xfId="0" applyNumberFormat="1" applyFont="1" applyBorder="1" applyAlignment="1">
      <alignment horizontal="right"/>
    </xf>
    <xf numFmtId="0" fontId="11" fillId="13" borderId="0" xfId="0" applyFont="1" applyFill="1"/>
    <xf numFmtId="0" fontId="11" fillId="0" borderId="50" xfId="0" applyFont="1" applyBorder="1"/>
    <xf numFmtId="0" fontId="11" fillId="0" borderId="51" xfId="0" applyFont="1" applyBorder="1"/>
    <xf numFmtId="0" fontId="11" fillId="0" borderId="52" xfId="0" applyFont="1" applyBorder="1"/>
    <xf numFmtId="0" fontId="11" fillId="0" borderId="45" xfId="0" applyFont="1" applyBorder="1"/>
    <xf numFmtId="0" fontId="11" fillId="0" borderId="46" xfId="0" applyFont="1" applyBorder="1" applyAlignment="1">
      <alignment horizontal="right"/>
    </xf>
    <xf numFmtId="0" fontId="11" fillId="0" borderId="47" xfId="0" applyFont="1" applyBorder="1" applyAlignment="1">
      <alignment horizontal="left"/>
    </xf>
    <xf numFmtId="0" fontId="23" fillId="11" borderId="48" xfId="0" applyFont="1" applyFill="1" applyBorder="1"/>
    <xf numFmtId="9" fontId="23" fillId="0" borderId="0" xfId="0" applyNumberFormat="1" applyFont="1" applyAlignment="1">
      <alignment horizontal="right"/>
    </xf>
    <xf numFmtId="0" fontId="11" fillId="0" borderId="49" xfId="0" applyFont="1" applyBorder="1" applyAlignment="1">
      <alignment horizontal="left"/>
    </xf>
    <xf numFmtId="0" fontId="23" fillId="0" borderId="48" xfId="0" applyFont="1" applyBorder="1"/>
    <xf numFmtId="4" fontId="23" fillId="0" borderId="0" xfId="0" applyNumberFormat="1" applyFont="1" applyAlignment="1">
      <alignment horizontal="right"/>
    </xf>
    <xf numFmtId="0" fontId="23" fillId="0" borderId="62" xfId="0" applyFont="1" applyBorder="1"/>
    <xf numFmtId="175" fontId="23" fillId="0" borderId="59" xfId="0" applyNumberFormat="1" applyFont="1" applyBorder="1" applyAlignment="1">
      <alignment horizontal="right"/>
    </xf>
    <xf numFmtId="0" fontId="23" fillId="0" borderId="63" xfId="0" applyFont="1" applyBorder="1"/>
    <xf numFmtId="175" fontId="23" fillId="0" borderId="64" xfId="0" applyNumberFormat="1" applyFont="1" applyBorder="1" applyAlignment="1">
      <alignment horizontal="right"/>
    </xf>
    <xf numFmtId="0" fontId="24" fillId="0" borderId="60" xfId="0" applyFont="1" applyBorder="1" applyAlignment="1">
      <alignment horizontal="center"/>
    </xf>
    <xf numFmtId="0" fontId="24" fillId="0" borderId="35" xfId="0" applyFont="1" applyBorder="1" applyAlignment="1">
      <alignment horizontal="center"/>
    </xf>
    <xf numFmtId="0" fontId="23" fillId="0" borderId="65" xfId="0" applyFont="1" applyBorder="1"/>
    <xf numFmtId="166" fontId="11" fillId="0" borderId="36" xfId="0" applyNumberFormat="1" applyFont="1" applyBorder="1" applyAlignment="1">
      <alignment horizontal="center"/>
    </xf>
    <xf numFmtId="166" fontId="25" fillId="11" borderId="59" xfId="0" applyNumberFormat="1" applyFont="1" applyFill="1" applyBorder="1" applyAlignment="1">
      <alignment horizontal="center"/>
    </xf>
    <xf numFmtId="166" fontId="23" fillId="11" borderId="59" xfId="0" applyNumberFormat="1" applyFont="1" applyFill="1" applyBorder="1" applyAlignment="1">
      <alignment horizontal="center"/>
    </xf>
    <xf numFmtId="166" fontId="24" fillId="0" borderId="65" xfId="0" applyNumberFormat="1" applyFont="1" applyBorder="1" applyAlignment="1">
      <alignment horizontal="center"/>
    </xf>
    <xf numFmtId="0" fontId="23" fillId="0" borderId="0" xfId="0" applyFont="1" applyAlignment="1">
      <alignment horizontal="center"/>
    </xf>
    <xf numFmtId="166" fontId="23" fillId="0" borderId="49" xfId="0" applyNumberFormat="1" applyFont="1" applyBorder="1" applyAlignment="1">
      <alignment horizontal="center"/>
    </xf>
    <xf numFmtId="166" fontId="11" fillId="0" borderId="51" xfId="0" applyNumberFormat="1" applyFont="1" applyBorder="1"/>
    <xf numFmtId="0" fontId="23" fillId="0" borderId="46" xfId="0" applyFont="1" applyBorder="1"/>
    <xf numFmtId="0" fontId="23" fillId="0" borderId="47" xfId="0" applyFont="1" applyBorder="1"/>
    <xf numFmtId="0" fontId="23" fillId="0" borderId="49" xfId="0" applyFont="1" applyBorder="1"/>
    <xf numFmtId="0" fontId="23" fillId="0" borderId="50" xfId="0" applyFont="1" applyBorder="1"/>
    <xf numFmtId="0" fontId="23" fillId="0" borderId="66" xfId="0" applyFont="1" applyBorder="1"/>
    <xf numFmtId="166" fontId="23" fillId="0" borderId="66" xfId="0" applyNumberFormat="1" applyFont="1" applyBorder="1" applyAlignment="1">
      <alignment horizontal="right"/>
    </xf>
    <xf numFmtId="0" fontId="23" fillId="0" borderId="52" xfId="0" applyFont="1" applyBorder="1"/>
    <xf numFmtId="169" fontId="11" fillId="0" borderId="0" xfId="0" applyNumberFormat="1" applyFont="1"/>
    <xf numFmtId="10" fontId="11" fillId="0" borderId="0" xfId="0" applyNumberFormat="1" applyFont="1"/>
    <xf numFmtId="9" fontId="11" fillId="0" borderId="0" xfId="0" applyNumberFormat="1" applyFont="1"/>
    <xf numFmtId="164" fontId="11" fillId="0" borderId="36" xfId="0" applyNumberFormat="1" applyFont="1" applyBorder="1"/>
    <xf numFmtId="176" fontId="11" fillId="0" borderId="36" xfId="0" applyNumberFormat="1" applyFont="1" applyBorder="1"/>
    <xf numFmtId="176" fontId="20" fillId="0" borderId="36" xfId="0" applyNumberFormat="1" applyFont="1" applyBorder="1"/>
    <xf numFmtId="166" fontId="6" fillId="0" borderId="0" xfId="0" applyNumberFormat="1" applyFont="1"/>
    <xf numFmtId="0" fontId="2" fillId="0" borderId="67" xfId="0" applyFont="1" applyBorder="1"/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6" fillId="0" borderId="0" xfId="0" applyNumberFormat="1" applyFont="1"/>
    <xf numFmtId="166" fontId="6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0" fontId="22" fillId="0" borderId="0" xfId="0" applyFont="1" applyAlignment="1">
      <alignment horizontal="right"/>
    </xf>
    <xf numFmtId="10" fontId="6" fillId="0" borderId="0" xfId="0" applyNumberFormat="1" applyFont="1" applyAlignment="1">
      <alignment horizontal="center"/>
    </xf>
    <xf numFmtId="164" fontId="22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170" fontId="2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172" fontId="6" fillId="0" borderId="0" xfId="0" applyNumberFormat="1" applyFont="1" applyAlignment="1">
      <alignment horizontal="center"/>
    </xf>
    <xf numFmtId="0" fontId="22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9" fontId="6" fillId="0" borderId="0" xfId="0" applyNumberFormat="1" applyFont="1"/>
    <xf numFmtId="0" fontId="26" fillId="0" borderId="36" xfId="0" applyFont="1" applyBorder="1" applyAlignment="1">
      <alignment horizontal="center" vertical="top"/>
    </xf>
    <xf numFmtId="0" fontId="27" fillId="14" borderId="0" xfId="0" applyFont="1" applyFill="1"/>
    <xf numFmtId="0" fontId="27" fillId="0" borderId="0" xfId="0" applyFont="1"/>
    <xf numFmtId="0" fontId="27" fillId="15" borderId="0" xfId="0" applyFont="1" applyFill="1"/>
    <xf numFmtId="0" fontId="28" fillId="16" borderId="73" xfId="0" applyFont="1" applyFill="1" applyBorder="1" applyAlignment="1">
      <alignment horizontal="center"/>
    </xf>
    <xf numFmtId="0" fontId="16" fillId="17" borderId="73" xfId="0" applyFont="1" applyFill="1" applyBorder="1"/>
    <xf numFmtId="0" fontId="28" fillId="17" borderId="73" xfId="0" applyFont="1" applyFill="1" applyBorder="1"/>
    <xf numFmtId="9" fontId="16" fillId="17" borderId="73" xfId="0" applyNumberFormat="1" applyFont="1" applyFill="1" applyBorder="1"/>
    <xf numFmtId="10" fontId="16" fillId="17" borderId="73" xfId="0" applyNumberFormat="1" applyFont="1" applyFill="1" applyBorder="1"/>
    <xf numFmtId="0" fontId="20" fillId="18" borderId="36" xfId="0" applyFont="1" applyFill="1" applyBorder="1"/>
    <xf numFmtId="0" fontId="26" fillId="18" borderId="36" xfId="0" applyFont="1" applyFill="1" applyBorder="1"/>
    <xf numFmtId="166" fontId="20" fillId="18" borderId="36" xfId="0" applyNumberFormat="1" applyFont="1" applyFill="1" applyBorder="1"/>
    <xf numFmtId="0" fontId="16" fillId="11" borderId="0" xfId="0" applyFont="1" applyFill="1"/>
    <xf numFmtId="0" fontId="27" fillId="18" borderId="36" xfId="0" applyFont="1" applyFill="1" applyBorder="1"/>
    <xf numFmtId="166" fontId="11" fillId="18" borderId="36" xfId="0" applyNumberFormat="1" applyFont="1" applyFill="1" applyBorder="1"/>
    <xf numFmtId="0" fontId="20" fillId="19" borderId="0" xfId="0" applyFont="1" applyFill="1"/>
    <xf numFmtId="0" fontId="20" fillId="18" borderId="0" xfId="0" applyFont="1" applyFill="1"/>
    <xf numFmtId="166" fontId="11" fillId="18" borderId="0" xfId="0" applyNumberFormat="1" applyFont="1" applyFill="1"/>
    <xf numFmtId="0" fontId="11" fillId="20" borderId="0" xfId="0" applyFont="1" applyFill="1"/>
    <xf numFmtId="4" fontId="11" fillId="20" borderId="0" xfId="0" applyNumberFormat="1" applyFont="1" applyFill="1"/>
    <xf numFmtId="166" fontId="11" fillId="20" borderId="0" xfId="0" applyNumberFormat="1" applyFont="1" applyFill="1"/>
    <xf numFmtId="0" fontId="11" fillId="18" borderId="0" xfId="0" applyFont="1" applyFill="1"/>
    <xf numFmtId="3" fontId="11" fillId="0" borderId="74" xfId="0" applyNumberFormat="1" applyFont="1" applyBorder="1" applyAlignment="1">
      <alignment horizontal="center" vertical="center"/>
    </xf>
    <xf numFmtId="0" fontId="13" fillId="17" borderId="73" xfId="0" applyFont="1" applyFill="1" applyBorder="1"/>
    <xf numFmtId="0" fontId="16" fillId="17" borderId="0" xfId="0" applyFont="1" applyFill="1"/>
    <xf numFmtId="3" fontId="16" fillId="17" borderId="73" xfId="0" applyNumberFormat="1" applyFont="1" applyFill="1" applyBorder="1"/>
    <xf numFmtId="0" fontId="16" fillId="18" borderId="73" xfId="0" applyFont="1" applyFill="1" applyBorder="1"/>
    <xf numFmtId="165" fontId="11" fillId="0" borderId="0" xfId="0" applyNumberFormat="1" applyFont="1"/>
    <xf numFmtId="3" fontId="11" fillId="18" borderId="0" xfId="0" applyNumberFormat="1" applyFont="1" applyFill="1"/>
    <xf numFmtId="0" fontId="13" fillId="18" borderId="73" xfId="0" applyFont="1" applyFill="1" applyBorder="1"/>
    <xf numFmtId="0" fontId="2" fillId="0" borderId="75" xfId="0" applyFont="1" applyBorder="1"/>
    <xf numFmtId="0" fontId="6" fillId="0" borderId="75" xfId="0" applyFont="1" applyBorder="1"/>
    <xf numFmtId="166" fontId="6" fillId="0" borderId="44" xfId="0" applyNumberFormat="1" applyFont="1" applyBorder="1" applyAlignment="1">
      <alignment horizontal="center"/>
    </xf>
    <xf numFmtId="166" fontId="6" fillId="0" borderId="42" xfId="0" applyNumberFormat="1" applyFont="1" applyBorder="1"/>
    <xf numFmtId="0" fontId="2" fillId="0" borderId="76" xfId="0" applyFont="1" applyBorder="1"/>
    <xf numFmtId="3" fontId="13" fillId="17" borderId="73" xfId="0" applyNumberFormat="1" applyFont="1" applyFill="1" applyBorder="1"/>
    <xf numFmtId="176" fontId="13" fillId="17" borderId="73" xfId="0" applyNumberFormat="1" applyFont="1" applyFill="1" applyBorder="1"/>
    <xf numFmtId="171" fontId="13" fillId="17" borderId="73" xfId="0" applyNumberFormat="1" applyFont="1" applyFill="1" applyBorder="1"/>
    <xf numFmtId="166" fontId="13" fillId="17" borderId="73" xfId="0" applyNumberFormat="1" applyFont="1" applyFill="1" applyBorder="1"/>
    <xf numFmtId="0" fontId="29" fillId="16" borderId="73" xfId="0" applyFont="1" applyFill="1" applyBorder="1" applyAlignment="1">
      <alignment horizontal="center"/>
    </xf>
    <xf numFmtId="0" fontId="2" fillId="0" borderId="22" xfId="0" applyFont="1" applyBorder="1" applyAlignment="1">
      <alignment horizontal="center" wrapText="1"/>
    </xf>
    <xf numFmtId="0" fontId="2" fillId="0" borderId="77" xfId="0" applyFont="1" applyBorder="1" applyAlignment="1">
      <alignment horizontal="center"/>
    </xf>
    <xf numFmtId="0" fontId="2" fillId="21" borderId="75" xfId="0" applyFont="1" applyFill="1" applyBorder="1"/>
    <xf numFmtId="164" fontId="6" fillId="21" borderId="25" xfId="0" applyNumberFormat="1" applyFont="1" applyFill="1" applyBorder="1" applyAlignment="1">
      <alignment horizontal="center"/>
    </xf>
    <xf numFmtId="164" fontId="6" fillId="21" borderId="78" xfId="0" applyNumberFormat="1" applyFont="1" applyFill="1" applyBorder="1" applyAlignment="1">
      <alignment horizontal="center"/>
    </xf>
    <xf numFmtId="164" fontId="6" fillId="21" borderId="31" xfId="0" applyNumberFormat="1" applyFont="1" applyFill="1" applyBorder="1" applyAlignment="1">
      <alignment horizontal="center"/>
    </xf>
    <xf numFmtId="164" fontId="6" fillId="0" borderId="79" xfId="0" applyNumberFormat="1" applyFont="1" applyBorder="1" applyAlignment="1">
      <alignment horizontal="center"/>
    </xf>
    <xf numFmtId="164" fontId="6" fillId="21" borderId="27" xfId="0" applyNumberFormat="1" applyFont="1" applyFill="1" applyBorder="1" applyAlignment="1">
      <alignment horizontal="center"/>
    </xf>
    <xf numFmtId="0" fontId="11" fillId="21" borderId="0" xfId="0" applyFont="1" applyFill="1"/>
    <xf numFmtId="164" fontId="6" fillId="21" borderId="79" xfId="0" applyNumberFormat="1" applyFont="1" applyFill="1" applyBorder="1" applyAlignment="1">
      <alignment horizontal="center"/>
    </xf>
    <xf numFmtId="0" fontId="9" fillId="0" borderId="38" xfId="0" applyFont="1" applyBorder="1" applyAlignment="1">
      <alignment horizontal="left"/>
    </xf>
    <xf numFmtId="0" fontId="9" fillId="0" borderId="80" xfId="0" applyFont="1" applyBorder="1" applyAlignment="1">
      <alignment horizontal="left"/>
    </xf>
    <xf numFmtId="0" fontId="9" fillId="0" borderId="75" xfId="0" applyFont="1" applyBorder="1" applyAlignment="1">
      <alignment horizontal="center"/>
    </xf>
    <xf numFmtId="0" fontId="9" fillId="0" borderId="81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82" xfId="0" applyFont="1" applyBorder="1"/>
    <xf numFmtId="164" fontId="6" fillId="0" borderId="83" xfId="0" applyNumberFormat="1" applyFont="1" applyBorder="1" applyAlignment="1">
      <alignment horizontal="center"/>
    </xf>
    <xf numFmtId="0" fontId="6" fillId="0" borderId="84" xfId="0" applyFont="1" applyBorder="1"/>
    <xf numFmtId="164" fontId="6" fillId="0" borderId="85" xfId="0" applyNumberFormat="1" applyFont="1" applyBorder="1" applyAlignment="1">
      <alignment horizontal="center"/>
    </xf>
    <xf numFmtId="0" fontId="2" fillId="0" borderId="84" xfId="0" applyFont="1" applyBorder="1"/>
    <xf numFmtId="0" fontId="2" fillId="0" borderId="84" xfId="0" applyFont="1" applyBorder="1" applyAlignment="1">
      <alignment horizontal="left"/>
    </xf>
    <xf numFmtId="0" fontId="2" fillId="0" borderId="86" xfId="0" applyFont="1" applyBorder="1"/>
    <xf numFmtId="164" fontId="6" fillId="0" borderId="87" xfId="0" applyNumberFormat="1" applyFont="1" applyBorder="1" applyAlignment="1">
      <alignment horizontal="center"/>
    </xf>
    <xf numFmtId="0" fontId="30" fillId="0" borderId="0" xfId="0" applyFont="1"/>
    <xf numFmtId="0" fontId="2" fillId="0" borderId="77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2" fillId="0" borderId="82" xfId="0" applyFont="1" applyBorder="1" applyAlignment="1">
      <alignment horizontal="center"/>
    </xf>
    <xf numFmtId="164" fontId="6" fillId="0" borderId="78" xfId="0" applyNumberFormat="1" applyFont="1" applyBorder="1" applyAlignment="1">
      <alignment horizontal="center"/>
    </xf>
    <xf numFmtId="0" fontId="2" fillId="0" borderId="84" xfId="0" applyFont="1" applyBorder="1" applyAlignment="1">
      <alignment horizontal="center"/>
    </xf>
    <xf numFmtId="0" fontId="2" fillId="0" borderId="86" xfId="0" applyFont="1" applyBorder="1" applyAlignment="1">
      <alignment horizontal="center"/>
    </xf>
    <xf numFmtId="164" fontId="6" fillId="0" borderId="77" xfId="0" applyNumberFormat="1" applyFont="1" applyBorder="1" applyAlignment="1">
      <alignment horizontal="center"/>
    </xf>
    <xf numFmtId="164" fontId="6" fillId="0" borderId="1" xfId="0" applyNumberFormat="1" applyFont="1" applyBorder="1"/>
    <xf numFmtId="2" fontId="6" fillId="0" borderId="1" xfId="0" applyNumberFormat="1" applyFont="1" applyBorder="1"/>
    <xf numFmtId="9" fontId="6" fillId="0" borderId="1" xfId="0" applyNumberFormat="1" applyFont="1" applyBorder="1"/>
    <xf numFmtId="0" fontId="7" fillId="2" borderId="88" xfId="0" applyFont="1" applyFill="1" applyBorder="1"/>
    <xf numFmtId="0" fontId="6" fillId="0" borderId="88" xfId="0" applyFont="1" applyBorder="1" applyAlignment="1">
      <alignment horizontal="center"/>
    </xf>
    <xf numFmtId="0" fontId="6" fillId="0" borderId="1" xfId="0" applyFont="1" applyBorder="1"/>
    <xf numFmtId="164" fontId="2" fillId="0" borderId="22" xfId="0" applyNumberFormat="1" applyFont="1" applyBorder="1" applyAlignment="1">
      <alignment horizontal="center"/>
    </xf>
    <xf numFmtId="164" fontId="2" fillId="0" borderId="23" xfId="0" applyNumberFormat="1" applyFont="1" applyBorder="1" applyAlignment="1">
      <alignment horizontal="center"/>
    </xf>
    <xf numFmtId="0" fontId="23" fillId="0" borderId="36" xfId="0" applyFont="1" applyBorder="1" applyAlignment="1">
      <alignment horizontal="center"/>
    </xf>
    <xf numFmtId="0" fontId="9" fillId="0" borderId="17" xfId="0" applyFont="1" applyBorder="1" applyAlignment="1">
      <alignment horizontal="left"/>
    </xf>
    <xf numFmtId="0" fontId="2" fillId="0" borderId="79" xfId="0" applyFont="1" applyBorder="1" applyAlignment="1">
      <alignment horizontal="center"/>
    </xf>
    <xf numFmtId="9" fontId="2" fillId="0" borderId="22" xfId="0" applyNumberFormat="1" applyFont="1" applyBorder="1" applyAlignment="1">
      <alignment horizontal="center"/>
    </xf>
    <xf numFmtId="9" fontId="2" fillId="0" borderId="23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9" fillId="0" borderId="89" xfId="0" applyFont="1" applyBorder="1" applyAlignment="1">
      <alignment horizontal="left"/>
    </xf>
    <xf numFmtId="0" fontId="9" fillId="0" borderId="90" xfId="0" applyFont="1" applyBorder="1" applyAlignment="1">
      <alignment horizontal="left"/>
    </xf>
    <xf numFmtId="0" fontId="9" fillId="0" borderId="91" xfId="0" applyFont="1" applyBorder="1" applyAlignment="1">
      <alignment horizontal="left"/>
    </xf>
    <xf numFmtId="0" fontId="2" fillId="0" borderId="92" xfId="0" applyFont="1" applyBorder="1" applyAlignment="1">
      <alignment horizontal="center"/>
    </xf>
    <xf numFmtId="0" fontId="2" fillId="0" borderId="93" xfId="0" applyFont="1" applyBorder="1" applyAlignment="1">
      <alignment horizontal="center"/>
    </xf>
    <xf numFmtId="0" fontId="2" fillId="0" borderId="94" xfId="0" applyFont="1" applyBorder="1" applyAlignment="1">
      <alignment horizontal="center"/>
    </xf>
    <xf numFmtId="0" fontId="2" fillId="0" borderId="95" xfId="0" applyFont="1" applyBorder="1" applyAlignment="1">
      <alignment horizontal="center"/>
    </xf>
    <xf numFmtId="0" fontId="2" fillId="0" borderId="96" xfId="0" applyFont="1" applyBorder="1" applyAlignment="1">
      <alignment horizontal="center"/>
    </xf>
    <xf numFmtId="0" fontId="2" fillId="0" borderId="97" xfId="0" applyFont="1" applyBorder="1" applyAlignment="1">
      <alignment horizontal="center"/>
    </xf>
    <xf numFmtId="9" fontId="6" fillId="0" borderId="28" xfId="0" applyNumberFormat="1" applyFont="1" applyBorder="1"/>
    <xf numFmtId="177" fontId="6" fillId="0" borderId="26" xfId="0" applyNumberFormat="1" applyFont="1" applyBorder="1"/>
    <xf numFmtId="177" fontId="6" fillId="0" borderId="21" xfId="0" applyNumberFormat="1" applyFont="1" applyBorder="1"/>
    <xf numFmtId="9" fontId="6" fillId="0" borderId="22" xfId="0" applyNumberFormat="1" applyFont="1" applyBorder="1"/>
    <xf numFmtId="164" fontId="2" fillId="0" borderId="1" xfId="0" applyNumberFormat="1" applyFont="1" applyBorder="1" applyAlignment="1">
      <alignment horizontal="center"/>
    </xf>
    <xf numFmtId="177" fontId="6" fillId="0" borderId="17" xfId="0" applyNumberFormat="1" applyFont="1" applyBorder="1"/>
    <xf numFmtId="177" fontId="6" fillId="0" borderId="26" xfId="0" applyNumberFormat="1" applyFont="1" applyBorder="1" applyAlignment="1">
      <alignment horizontal="left"/>
    </xf>
    <xf numFmtId="164" fontId="2" fillId="0" borderId="22" xfId="0" applyNumberFormat="1" applyFont="1" applyBorder="1"/>
    <xf numFmtId="9" fontId="2" fillId="0" borderId="22" xfId="0" applyNumberFormat="1" applyFont="1" applyBorder="1"/>
    <xf numFmtId="0" fontId="24" fillId="0" borderId="36" xfId="0" applyFont="1" applyBorder="1"/>
    <xf numFmtId="164" fontId="23" fillId="0" borderId="35" xfId="0" applyNumberFormat="1" applyFont="1" applyBorder="1" applyAlignment="1">
      <alignment horizontal="right"/>
    </xf>
    <xf numFmtId="0" fontId="24" fillId="0" borderId="98" xfId="0" applyFont="1" applyBorder="1"/>
    <xf numFmtId="10" fontId="24" fillId="8" borderId="59" xfId="0" applyNumberFormat="1" applyFont="1" applyFill="1" applyBorder="1" applyAlignment="1">
      <alignment horizontal="right"/>
    </xf>
    <xf numFmtId="166" fontId="23" fillId="0" borderId="59" xfId="0" applyNumberFormat="1" applyFont="1" applyBorder="1" applyAlignment="1">
      <alignment horizontal="right"/>
    </xf>
    <xf numFmtId="0" fontId="24" fillId="0" borderId="0" xfId="0" applyFont="1"/>
    <xf numFmtId="10" fontId="24" fillId="8" borderId="0" xfId="0" applyNumberFormat="1" applyFont="1" applyFill="1" applyAlignment="1">
      <alignment horizontal="right"/>
    </xf>
    <xf numFmtId="0" fontId="24" fillId="19" borderId="0" xfId="0" applyFont="1" applyFill="1" applyAlignment="1">
      <alignment horizontal="center"/>
    </xf>
    <xf numFmtId="0" fontId="24" fillId="21" borderId="0" xfId="0" applyFont="1" applyFill="1" applyAlignment="1">
      <alignment horizontal="center"/>
    </xf>
    <xf numFmtId="0" fontId="23" fillId="0" borderId="98" xfId="0" applyFont="1" applyBorder="1" applyAlignment="1">
      <alignment horizontal="center"/>
    </xf>
    <xf numFmtId="166" fontId="23" fillId="0" borderId="59" xfId="0" applyNumberFormat="1" applyFont="1" applyBorder="1" applyAlignment="1">
      <alignment horizontal="center"/>
    </xf>
    <xf numFmtId="0" fontId="23" fillId="0" borderId="59" xfId="0" applyFont="1" applyBorder="1"/>
    <xf numFmtId="166" fontId="24" fillId="0" borderId="59" xfId="0" applyNumberFormat="1" applyFont="1" applyBorder="1" applyAlignment="1">
      <alignment horizontal="center"/>
    </xf>
    <xf numFmtId="0" fontId="23" fillId="0" borderId="59" xfId="0" applyFont="1" applyBorder="1" applyAlignment="1">
      <alignment horizontal="center"/>
    </xf>
    <xf numFmtId="0" fontId="24" fillId="0" borderId="0" xfId="0" applyFont="1" applyAlignment="1">
      <alignment horizontal="center"/>
    </xf>
    <xf numFmtId="166" fontId="23" fillId="0" borderId="0" xfId="0" applyNumberFormat="1" applyFont="1" applyAlignment="1">
      <alignment horizontal="center"/>
    </xf>
    <xf numFmtId="0" fontId="31" fillId="22" borderId="59" xfId="0" applyFont="1" applyFill="1" applyBorder="1" applyAlignment="1">
      <alignment horizontal="center" vertical="center"/>
    </xf>
    <xf numFmtId="178" fontId="23" fillId="0" borderId="0" xfId="0" applyNumberFormat="1" applyFont="1" applyAlignment="1">
      <alignment horizontal="center"/>
    </xf>
    <xf numFmtId="166" fontId="23" fillId="0" borderId="59" xfId="0" applyNumberFormat="1" applyFont="1" applyBorder="1"/>
    <xf numFmtId="179" fontId="23" fillId="0" borderId="0" xfId="0" applyNumberFormat="1" applyFont="1" applyAlignment="1">
      <alignment horizontal="center"/>
    </xf>
    <xf numFmtId="0" fontId="6" fillId="0" borderId="100" xfId="0" applyFont="1" applyBorder="1"/>
    <xf numFmtId="164" fontId="2" fillId="0" borderId="31" xfId="0" applyNumberFormat="1" applyFont="1" applyBorder="1" applyAlignment="1">
      <alignment horizontal="center"/>
    </xf>
    <xf numFmtId="0" fontId="24" fillId="0" borderId="56" xfId="0" applyFont="1" applyBorder="1"/>
    <xf numFmtId="3" fontId="23" fillId="0" borderId="99" xfId="0" applyNumberFormat="1" applyFont="1" applyBorder="1" applyAlignment="1">
      <alignment horizontal="right"/>
    </xf>
    <xf numFmtId="0" fontId="24" fillId="0" borderId="53" xfId="0" applyFont="1" applyBorder="1"/>
    <xf numFmtId="171" fontId="23" fillId="0" borderId="101" xfId="0" applyNumberFormat="1" applyFont="1" applyBorder="1" applyAlignment="1">
      <alignment horizontal="right"/>
    </xf>
    <xf numFmtId="175" fontId="23" fillId="0" borderId="101" xfId="0" applyNumberFormat="1" applyFont="1" applyBorder="1" applyAlignment="1">
      <alignment horizontal="right"/>
    </xf>
    <xf numFmtId="164" fontId="23" fillId="0" borderId="101" xfId="0" applyNumberFormat="1" applyFont="1" applyBorder="1" applyAlignment="1">
      <alignment horizontal="right"/>
    </xf>
    <xf numFmtId="3" fontId="23" fillId="0" borderId="101" xfId="0" applyNumberFormat="1" applyFont="1" applyBorder="1" applyAlignment="1">
      <alignment horizontal="right"/>
    </xf>
    <xf numFmtId="0" fontId="24" fillId="0" borderId="33" xfId="0" applyFont="1" applyBorder="1"/>
    <xf numFmtId="171" fontId="23" fillId="0" borderId="36" xfId="0" applyNumberFormat="1" applyFont="1" applyBorder="1" applyAlignment="1">
      <alignment horizontal="right"/>
    </xf>
    <xf numFmtId="175" fontId="6" fillId="0" borderId="36" xfId="0" applyNumberFormat="1" applyFont="1" applyBorder="1"/>
    <xf numFmtId="0" fontId="6" fillId="0" borderId="84" xfId="0" applyFont="1" applyBorder="1" applyAlignment="1">
      <alignment horizontal="left"/>
    </xf>
    <xf numFmtId="164" fontId="2" fillId="0" borderId="85" xfId="0" applyNumberFormat="1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172" fontId="6" fillId="0" borderId="79" xfId="0" applyNumberFormat="1" applyFont="1" applyBorder="1" applyAlignment="1">
      <alignment horizontal="center"/>
    </xf>
    <xf numFmtId="172" fontId="6" fillId="0" borderId="27" xfId="0" applyNumberFormat="1" applyFont="1" applyBorder="1"/>
    <xf numFmtId="172" fontId="6" fillId="0" borderId="79" xfId="0" applyNumberFormat="1" applyFont="1" applyBorder="1"/>
    <xf numFmtId="172" fontId="6" fillId="0" borderId="32" xfId="0" applyNumberFormat="1" applyFont="1" applyBorder="1"/>
    <xf numFmtId="164" fontId="2" fillId="0" borderId="79" xfId="0" applyNumberFormat="1" applyFont="1" applyBorder="1" applyAlignment="1">
      <alignment horizontal="center"/>
    </xf>
    <xf numFmtId="164" fontId="6" fillId="0" borderId="77" xfId="0" applyNumberFormat="1" applyFont="1" applyBorder="1"/>
    <xf numFmtId="0" fontId="2" fillId="0" borderId="44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23" borderId="17" xfId="0" applyFont="1" applyFill="1" applyBorder="1"/>
    <xf numFmtId="172" fontId="2" fillId="23" borderId="28" xfId="0" applyNumberFormat="1" applyFont="1" applyFill="1" applyBorder="1" applyAlignment="1">
      <alignment horizontal="center"/>
    </xf>
    <xf numFmtId="0" fontId="2" fillId="23" borderId="26" xfId="0" applyFont="1" applyFill="1" applyBorder="1"/>
    <xf numFmtId="172" fontId="2" fillId="23" borderId="27" xfId="0" applyNumberFormat="1" applyFont="1" applyFill="1" applyBorder="1" applyAlignment="1">
      <alignment horizontal="center"/>
    </xf>
    <xf numFmtId="172" fontId="2" fillId="23" borderId="27" xfId="0" applyNumberFormat="1" applyFont="1" applyFill="1" applyBorder="1"/>
    <xf numFmtId="164" fontId="2" fillId="23" borderId="27" xfId="0" applyNumberFormat="1" applyFont="1" applyFill="1" applyBorder="1" applyAlignment="1">
      <alignment horizontal="center"/>
    </xf>
    <xf numFmtId="0" fontId="2" fillId="23" borderId="21" xfId="0" applyFont="1" applyFill="1" applyBorder="1"/>
    <xf numFmtId="164" fontId="2" fillId="23" borderId="22" xfId="0" applyNumberFormat="1" applyFont="1" applyFill="1" applyBorder="1"/>
    <xf numFmtId="0" fontId="7" fillId="2" borderId="88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32" fillId="0" borderId="0" xfId="0" applyFont="1"/>
    <xf numFmtId="1" fontId="6" fillId="0" borderId="0" xfId="0" applyNumberFormat="1" applyFont="1" applyAlignment="1">
      <alignment horizontal="center"/>
    </xf>
    <xf numFmtId="0" fontId="24" fillId="0" borderId="33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7" fillId="2" borderId="5" xfId="0" applyFont="1" applyFill="1" applyBorder="1" applyAlignment="1">
      <alignment horizontal="left" vertical="center" wrapText="1"/>
    </xf>
    <xf numFmtId="0" fontId="6" fillId="4" borderId="13" xfId="0" applyFont="1" applyFill="1" applyBorder="1" applyAlignment="1">
      <alignment horizontal="left"/>
    </xf>
    <xf numFmtId="0" fontId="6" fillId="4" borderId="1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/>
    </xf>
    <xf numFmtId="0" fontId="2" fillId="0" borderId="18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9" fillId="0" borderId="38" xfId="0" applyFont="1" applyBorder="1" applyAlignment="1">
      <alignment horizontal="center"/>
    </xf>
    <xf numFmtId="0" fontId="20" fillId="0" borderId="33" xfId="0" applyFont="1" applyBorder="1" applyAlignment="1">
      <alignment horizontal="right"/>
    </xf>
    <xf numFmtId="0" fontId="20" fillId="0" borderId="33" xfId="0" applyFont="1" applyBorder="1" applyAlignment="1">
      <alignment horizontal="center"/>
    </xf>
    <xf numFmtId="0" fontId="23" fillId="0" borderId="33" xfId="0" applyFont="1" applyBorder="1" applyAlignment="1">
      <alignment horizontal="center"/>
    </xf>
    <xf numFmtId="0" fontId="11" fillId="0" borderId="61" xfId="0" applyFont="1" applyBorder="1" applyAlignment="1">
      <alignment horizontal="center"/>
    </xf>
    <xf numFmtId="0" fontId="28" fillId="16" borderId="68" xfId="0" applyFont="1" applyFill="1" applyBorder="1" applyAlignment="1">
      <alignment horizontal="center"/>
    </xf>
    <xf numFmtId="0" fontId="28" fillId="16" borderId="7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2" fillId="0" borderId="79" xfId="0" applyFont="1" applyBorder="1" applyAlignment="1">
      <alignment horizontal="center"/>
    </xf>
    <xf numFmtId="0" fontId="31" fillId="22" borderId="57" xfId="0" applyFont="1" applyFill="1" applyBorder="1" applyAlignment="1">
      <alignment horizontal="center" vertical="center" wrapText="1"/>
    </xf>
    <xf numFmtId="0" fontId="24" fillId="19" borderId="33" xfId="0" applyFont="1" applyFill="1" applyBorder="1" applyAlignment="1">
      <alignment horizontal="center"/>
    </xf>
    <xf numFmtId="0" fontId="31" fillId="22" borderId="99" xfId="0" applyFont="1" applyFill="1" applyBorder="1" applyAlignment="1">
      <alignment horizontal="center" vertical="center"/>
    </xf>
    <xf numFmtId="0" fontId="31" fillId="22" borderId="99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/>
    </xf>
    <xf numFmtId="0" fontId="4" fillId="0" borderId="3" xfId="0" applyFont="1" applyBorder="1" applyAlignment="1"/>
    <xf numFmtId="0" fontId="4" fillId="0" borderId="4" xfId="0" applyFont="1" applyBorder="1" applyAlignment="1"/>
    <xf numFmtId="0" fontId="4" fillId="0" borderId="6" xfId="0" applyFont="1" applyBorder="1" applyAlignment="1"/>
    <xf numFmtId="0" fontId="4" fillId="0" borderId="7" xfId="0" applyFont="1" applyBorder="1" applyAlignment="1"/>
    <xf numFmtId="0" fontId="4" fillId="0" borderId="8" xfId="0" applyFont="1" applyBorder="1" applyAlignment="1"/>
    <xf numFmtId="0" fontId="0" fillId="0" borderId="0" xfId="0" applyAlignment="1"/>
    <xf numFmtId="0" fontId="4" fillId="0" borderId="9" xfId="0" applyFont="1" applyBorder="1" applyAlignment="1"/>
    <xf numFmtId="0" fontId="4" fillId="0" borderId="10" xfId="0" applyFont="1" applyBorder="1" applyAlignment="1"/>
    <xf numFmtId="0" fontId="4" fillId="0" borderId="11" xfId="0" applyFont="1" applyBorder="1" applyAlignment="1"/>
    <xf numFmtId="0" fontId="4" fillId="0" borderId="12" xfId="0" applyFont="1" applyBorder="1" applyAlignment="1"/>
    <xf numFmtId="0" fontId="4" fillId="0" borderId="14" xfId="0" applyFont="1" applyBorder="1" applyAlignment="1"/>
    <xf numFmtId="0" fontId="4" fillId="0" borderId="15" xfId="0" applyFont="1" applyBorder="1" applyAlignment="1"/>
    <xf numFmtId="0" fontId="6" fillId="4" borderId="67" xfId="0" applyFont="1" applyFill="1" applyBorder="1"/>
    <xf numFmtId="0" fontId="4" fillId="0" borderId="19" xfId="0" applyFont="1" applyBorder="1" applyAlignment="1"/>
    <xf numFmtId="0" fontId="4" fillId="0" borderId="20" xfId="0" applyFont="1" applyBorder="1" applyAlignment="1"/>
    <xf numFmtId="0" fontId="4" fillId="0" borderId="29" xfId="0" applyFont="1" applyBorder="1" applyAlignment="1"/>
    <xf numFmtId="0" fontId="4" fillId="0" borderId="34" xfId="0" applyFont="1" applyBorder="1" applyAlignment="1"/>
    <xf numFmtId="0" fontId="4" fillId="0" borderId="35" xfId="0" applyFont="1" applyBorder="1" applyAlignment="1"/>
    <xf numFmtId="0" fontId="6" fillId="0" borderId="36" xfId="0" applyFont="1" applyBorder="1" applyAlignment="1">
      <alignment horizontal="center"/>
    </xf>
    <xf numFmtId="0" fontId="11" fillId="0" borderId="0" xfId="0" applyFont="1" applyAlignment="1"/>
    <xf numFmtId="0" fontId="17" fillId="0" borderId="36" xfId="0" applyFont="1" applyBorder="1"/>
    <xf numFmtId="0" fontId="23" fillId="0" borderId="54" xfId="0" applyFont="1" applyBorder="1" applyAlignment="1"/>
    <xf numFmtId="0" fontId="4" fillId="0" borderId="54" xfId="0" applyFont="1" applyBorder="1" applyAlignment="1"/>
    <xf numFmtId="0" fontId="4" fillId="0" borderId="55" xfId="0" applyFont="1" applyBorder="1" applyAlignment="1"/>
    <xf numFmtId="0" fontId="23" fillId="0" borderId="0" xfId="0" applyFont="1" applyAlignment="1"/>
    <xf numFmtId="0" fontId="4" fillId="0" borderId="57" xfId="0" applyFont="1" applyBorder="1" applyAlignment="1"/>
    <xf numFmtId="0" fontId="23" fillId="0" borderId="48" xfId="0" applyFont="1" applyBorder="1" applyAlignment="1"/>
    <xf numFmtId="0" fontId="23" fillId="0" borderId="61" xfId="0" applyFont="1" applyBorder="1" applyAlignment="1"/>
    <xf numFmtId="166" fontId="6" fillId="0" borderId="36" xfId="0" applyNumberFormat="1" applyFont="1" applyBorder="1" applyAlignment="1">
      <alignment horizontal="center"/>
    </xf>
    <xf numFmtId="0" fontId="6" fillId="10" borderId="60" xfId="0" applyFont="1" applyFill="1" applyBorder="1" applyAlignment="1">
      <alignment horizontal="center"/>
    </xf>
    <xf numFmtId="166" fontId="6" fillId="10" borderId="36" xfId="0" applyNumberFormat="1" applyFont="1" applyFill="1" applyBorder="1" applyAlignment="1">
      <alignment horizontal="center"/>
    </xf>
    <xf numFmtId="0" fontId="24" fillId="0" borderId="45" xfId="0" applyFont="1" applyBorder="1" applyAlignment="1"/>
    <xf numFmtId="0" fontId="4" fillId="0" borderId="46" xfId="0" applyFont="1" applyBorder="1" applyAlignment="1"/>
    <xf numFmtId="0" fontId="4" fillId="0" borderId="49" xfId="0" applyFont="1" applyBorder="1" applyAlignment="1"/>
    <xf numFmtId="0" fontId="6" fillId="4" borderId="1" xfId="0" applyFont="1" applyFill="1" applyBorder="1" applyAlignment="1">
      <alignment horizontal="right"/>
    </xf>
    <xf numFmtId="0" fontId="2" fillId="0" borderId="36" xfId="0" applyFont="1" applyBorder="1"/>
    <xf numFmtId="0" fontId="12" fillId="0" borderId="0" xfId="0" applyFont="1"/>
    <xf numFmtId="0" fontId="4" fillId="0" borderId="69" xfId="0" applyFont="1" applyBorder="1" applyAlignment="1"/>
    <xf numFmtId="0" fontId="4" fillId="0" borderId="70" xfId="0" applyFont="1" applyBorder="1" applyAlignment="1"/>
    <xf numFmtId="0" fontId="4" fillId="0" borderId="72" xfId="0" applyFont="1" applyBorder="1" applyAlignment="1"/>
    <xf numFmtId="0" fontId="2" fillId="18" borderId="36" xfId="0" applyFont="1" applyFill="1" applyBorder="1" applyAlignment="1">
      <alignment horizontal="right"/>
    </xf>
    <xf numFmtId="0" fontId="2" fillId="18" borderId="36" xfId="0" applyFont="1" applyFill="1" applyBorder="1"/>
    <xf numFmtId="0" fontId="6" fillId="18" borderId="36" xfId="0" applyFont="1" applyFill="1" applyBorder="1" applyAlignment="1">
      <alignment horizontal="right"/>
    </xf>
    <xf numFmtId="0" fontId="6" fillId="18" borderId="36" xfId="0" applyFont="1" applyFill="1" applyBorder="1"/>
    <xf numFmtId="0" fontId="4" fillId="0" borderId="85" xfId="0" applyFont="1" applyBorder="1" applyAlignment="1"/>
    <xf numFmtId="0" fontId="4" fillId="0" borderId="81" xfId="0" applyFont="1" applyBorder="1" applyAlignment="1"/>
    <xf numFmtId="0" fontId="24" fillId="0" borderId="0" xfId="0" applyFont="1" applyAlignment="1"/>
    <xf numFmtId="0" fontId="4" fillId="0" borderId="98" xfId="0" applyFont="1" applyBorder="1" applyAlignment="1"/>
    <xf numFmtId="0" fontId="4" fillId="0" borderId="59" xfId="0" applyFont="1" applyBorder="1" applyAlignment="1"/>
  </cellXfs>
  <cellStyles count="1">
    <cellStyle name="Normal" xfId="0" builtinId="0"/>
  </cellStyles>
  <dxfs count="10">
    <dxf>
      <font>
        <b/>
        <color rgb="FFFFFFFF"/>
      </font>
      <fill>
        <patternFill patternType="solid">
          <fgColor rgb="FFED1C24"/>
          <bgColor rgb="FFED1C24"/>
        </patternFill>
      </fill>
    </dxf>
    <dxf>
      <font>
        <b/>
        <color rgb="FFFFFFFF"/>
      </font>
      <fill>
        <patternFill patternType="solid">
          <fgColor rgb="FF62A73B"/>
          <bgColor rgb="FF62A73B"/>
        </patternFill>
      </fill>
    </dxf>
    <dxf>
      <font>
        <b/>
        <color rgb="FFFFFFFF"/>
      </font>
      <fill>
        <patternFill patternType="solid">
          <fgColor rgb="FFED1C24"/>
          <bgColor rgb="FFED1C24"/>
        </patternFill>
      </fill>
    </dxf>
    <dxf>
      <font>
        <b/>
        <color rgb="FFFFFFFF"/>
      </font>
      <fill>
        <patternFill patternType="solid">
          <fgColor rgb="FF62A73B"/>
          <bgColor rgb="FF62A73B"/>
        </patternFill>
      </fill>
    </dxf>
    <dxf>
      <font>
        <b/>
        <color rgb="FFFFFFFF"/>
      </font>
      <fill>
        <patternFill patternType="solid">
          <fgColor rgb="FFED1C24"/>
          <bgColor rgb="FFED1C24"/>
        </patternFill>
      </fill>
    </dxf>
    <dxf>
      <font>
        <b/>
        <color rgb="FFFFFFFF"/>
      </font>
      <fill>
        <patternFill patternType="solid">
          <fgColor rgb="FF62A73B"/>
          <bgColor rgb="FF62A73B"/>
        </patternFill>
      </fill>
    </dxf>
    <dxf>
      <font>
        <b/>
        <color rgb="FFFFFFFF"/>
      </font>
      <fill>
        <patternFill patternType="solid">
          <fgColor rgb="FFED1C24"/>
          <bgColor rgb="FFED1C24"/>
        </patternFill>
      </fill>
    </dxf>
    <dxf>
      <font>
        <b/>
        <color rgb="FFFFFFFF"/>
      </font>
      <fill>
        <patternFill patternType="solid">
          <fgColor rgb="FF62A73B"/>
          <bgColor rgb="FF62A73B"/>
        </patternFill>
      </fill>
    </dxf>
    <dxf>
      <font>
        <b/>
        <color rgb="FFFFFFFF"/>
      </font>
      <fill>
        <patternFill patternType="solid">
          <fgColor rgb="FFED1C24"/>
          <bgColor rgb="FFED1C24"/>
        </patternFill>
      </fill>
    </dxf>
    <dxf>
      <font>
        <b/>
        <color rgb="FFFFFFFF"/>
      </font>
      <fill>
        <patternFill patternType="solid">
          <fgColor rgb="FF62A73B"/>
          <bgColor rgb="FF62A73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Punto de Equilibrio - Año 1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'E-Costos'!$C$171</c:f>
              <c:strCache>
                <c:ptCount val="1"/>
                <c:pt idx="0">
                  <c:v>Costo Variable</c:v>
                </c:pt>
              </c:strCache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'E-Costos'!$B$172:$B$209</c:f>
              <c:numCache>
                <c:formatCode>General</c:formatCode>
                <c:ptCount val="3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36178</c:v>
                </c:pt>
              </c:numCache>
            </c:numRef>
          </c:cat>
          <c:val>
            <c:numRef>
              <c:f>'E-Costos'!$C$172:$C$209</c:f>
              <c:numCache>
                <c:formatCode>[$$]#,##0.00</c:formatCode>
                <c:ptCount val="38"/>
                <c:pt idx="0">
                  <c:v>0</c:v>
                </c:pt>
                <c:pt idx="1">
                  <c:v>49821072.446986467</c:v>
                </c:pt>
                <c:pt idx="2">
                  <c:v>99642144.893972933</c:v>
                </c:pt>
                <c:pt idx="3">
                  <c:v>149463217.3409594</c:v>
                </c:pt>
                <c:pt idx="4">
                  <c:v>199284289.78794587</c:v>
                </c:pt>
                <c:pt idx="5">
                  <c:v>249105362.23493233</c:v>
                </c:pt>
                <c:pt idx="6">
                  <c:v>298926434.6819188</c:v>
                </c:pt>
                <c:pt idx="7">
                  <c:v>348747507.12890524</c:v>
                </c:pt>
                <c:pt idx="8">
                  <c:v>398568579.57589173</c:v>
                </c:pt>
                <c:pt idx="9">
                  <c:v>448389652.02287817</c:v>
                </c:pt>
                <c:pt idx="10">
                  <c:v>498210724.46986467</c:v>
                </c:pt>
                <c:pt idx="11">
                  <c:v>548031796.91685116</c:v>
                </c:pt>
                <c:pt idx="12">
                  <c:v>597852869.3638376</c:v>
                </c:pt>
                <c:pt idx="13">
                  <c:v>647673941.81082404</c:v>
                </c:pt>
                <c:pt idx="14">
                  <c:v>697495014.25781047</c:v>
                </c:pt>
                <c:pt idx="15">
                  <c:v>747316086.70479703</c:v>
                </c:pt>
                <c:pt idx="16">
                  <c:v>797137159.15178347</c:v>
                </c:pt>
                <c:pt idx="17">
                  <c:v>846958231.5987699</c:v>
                </c:pt>
                <c:pt idx="18">
                  <c:v>896779304.04575634</c:v>
                </c:pt>
                <c:pt idx="19">
                  <c:v>946600376.4927429</c:v>
                </c:pt>
                <c:pt idx="20">
                  <c:v>996421448.93972933</c:v>
                </c:pt>
                <c:pt idx="21">
                  <c:v>1046242521.3867158</c:v>
                </c:pt>
                <c:pt idx="22">
                  <c:v>1096063593.8337023</c:v>
                </c:pt>
                <c:pt idx="23">
                  <c:v>1145884666.2806888</c:v>
                </c:pt>
                <c:pt idx="24">
                  <c:v>1195705738.7276752</c:v>
                </c:pt>
                <c:pt idx="25">
                  <c:v>1245526811.1746616</c:v>
                </c:pt>
                <c:pt idx="26">
                  <c:v>1295347883.6216481</c:v>
                </c:pt>
                <c:pt idx="27">
                  <c:v>1345168956.0686345</c:v>
                </c:pt>
                <c:pt idx="28">
                  <c:v>1394990028.5156209</c:v>
                </c:pt>
                <c:pt idx="29">
                  <c:v>1444811100.9626074</c:v>
                </c:pt>
                <c:pt idx="30">
                  <c:v>1494632173.4095941</c:v>
                </c:pt>
                <c:pt idx="31">
                  <c:v>1544453245.8565805</c:v>
                </c:pt>
                <c:pt idx="32">
                  <c:v>1594274318.3035669</c:v>
                </c:pt>
                <c:pt idx="33">
                  <c:v>1644095390.7505534</c:v>
                </c:pt>
                <c:pt idx="34">
                  <c:v>1693916463.1975398</c:v>
                </c:pt>
                <c:pt idx="35">
                  <c:v>1743737535.6445262</c:v>
                </c:pt>
                <c:pt idx="36">
                  <c:v>1793558608.0915127</c:v>
                </c:pt>
                <c:pt idx="37">
                  <c:v>1802426758.9870763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1C-49AE-8F4A-26EDF9330C13}"/>
            </c:ext>
          </c:extLst>
        </c:ser>
        <c:ser>
          <c:idx val="1"/>
          <c:order val="1"/>
          <c:tx>
            <c:strRef>
              <c:f>'E-Costos'!$D$171</c:f>
              <c:strCache>
                <c:ptCount val="1"/>
                <c:pt idx="0">
                  <c:v>Costo Fijo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'E-Costos'!$B$172:$B$209</c:f>
              <c:numCache>
                <c:formatCode>General</c:formatCode>
                <c:ptCount val="3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36178</c:v>
                </c:pt>
              </c:numCache>
            </c:numRef>
          </c:cat>
          <c:val>
            <c:numRef>
              <c:f>'E-Costos'!$D$172:$D$209</c:f>
              <c:numCache>
                <c:formatCode>_(\$* #,##0.00_);_(\$* \(#,##0.00\);_(\$* \-??_);_(@_)</c:formatCode>
                <c:ptCount val="38"/>
                <c:pt idx="0">
                  <c:v>1018179694.981709</c:v>
                </c:pt>
                <c:pt idx="1">
                  <c:v>1018179694.981709</c:v>
                </c:pt>
                <c:pt idx="2">
                  <c:v>1018179694.981709</c:v>
                </c:pt>
                <c:pt idx="3">
                  <c:v>1018179694.981709</c:v>
                </c:pt>
                <c:pt idx="4">
                  <c:v>1018179694.981709</c:v>
                </c:pt>
                <c:pt idx="5">
                  <c:v>1018179694.981709</c:v>
                </c:pt>
                <c:pt idx="6">
                  <c:v>1018179694.981709</c:v>
                </c:pt>
                <c:pt idx="7">
                  <c:v>1018179694.981709</c:v>
                </c:pt>
                <c:pt idx="8">
                  <c:v>1018179694.981709</c:v>
                </c:pt>
                <c:pt idx="9">
                  <c:v>1018179694.981709</c:v>
                </c:pt>
                <c:pt idx="10">
                  <c:v>1018179694.981709</c:v>
                </c:pt>
                <c:pt idx="11">
                  <c:v>1018179694.981709</c:v>
                </c:pt>
                <c:pt idx="12">
                  <c:v>1018179694.981709</c:v>
                </c:pt>
                <c:pt idx="13">
                  <c:v>1018179694.981709</c:v>
                </c:pt>
                <c:pt idx="14">
                  <c:v>1018179694.981709</c:v>
                </c:pt>
                <c:pt idx="15">
                  <c:v>1018179694.981709</c:v>
                </c:pt>
                <c:pt idx="16">
                  <c:v>1018179694.981709</c:v>
                </c:pt>
                <c:pt idx="17">
                  <c:v>1018179694.981709</c:v>
                </c:pt>
                <c:pt idx="18">
                  <c:v>1018179694.981709</c:v>
                </c:pt>
                <c:pt idx="19">
                  <c:v>1018179694.981709</c:v>
                </c:pt>
                <c:pt idx="20">
                  <c:v>1018179694.981709</c:v>
                </c:pt>
                <c:pt idx="21">
                  <c:v>1018179694.981709</c:v>
                </c:pt>
                <c:pt idx="22">
                  <c:v>1018179694.981709</c:v>
                </c:pt>
                <c:pt idx="23">
                  <c:v>1018179694.981709</c:v>
                </c:pt>
                <c:pt idx="24">
                  <c:v>1018179694.981709</c:v>
                </c:pt>
                <c:pt idx="25">
                  <c:v>1018179694.981709</c:v>
                </c:pt>
                <c:pt idx="26">
                  <c:v>1018179694.981709</c:v>
                </c:pt>
                <c:pt idx="27">
                  <c:v>1018179694.981709</c:v>
                </c:pt>
                <c:pt idx="28">
                  <c:v>1018179694.981709</c:v>
                </c:pt>
                <c:pt idx="29">
                  <c:v>1018179694.981709</c:v>
                </c:pt>
                <c:pt idx="30">
                  <c:v>1018179694.981709</c:v>
                </c:pt>
                <c:pt idx="31">
                  <c:v>1018179694.981709</c:v>
                </c:pt>
                <c:pt idx="32">
                  <c:v>1018179694.981709</c:v>
                </c:pt>
                <c:pt idx="33">
                  <c:v>1018179694.981709</c:v>
                </c:pt>
                <c:pt idx="34">
                  <c:v>1018179694.981709</c:v>
                </c:pt>
                <c:pt idx="35">
                  <c:v>1018179694.981709</c:v>
                </c:pt>
                <c:pt idx="36">
                  <c:v>1018179694.981709</c:v>
                </c:pt>
                <c:pt idx="37">
                  <c:v>1018179694.981709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1C-49AE-8F4A-26EDF9330C13}"/>
            </c:ext>
          </c:extLst>
        </c:ser>
        <c:ser>
          <c:idx val="2"/>
          <c:order val="2"/>
          <c:tx>
            <c:strRef>
              <c:f>'E-Costos'!$E$171</c:f>
              <c:strCache>
                <c:ptCount val="1"/>
                <c:pt idx="0">
                  <c:v>Costo Total</c:v>
                </c:pt>
              </c:strCache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'E-Costos'!$B$172:$B$209</c:f>
              <c:numCache>
                <c:formatCode>General</c:formatCode>
                <c:ptCount val="3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36178</c:v>
                </c:pt>
              </c:numCache>
            </c:numRef>
          </c:cat>
          <c:val>
            <c:numRef>
              <c:f>'E-Costos'!$E$172:$E$209</c:f>
              <c:numCache>
                <c:formatCode>_(\$* #,##0.00_);_(\$* \(#,##0.00\);_(\$* \-??_);_(@_)</c:formatCode>
                <c:ptCount val="38"/>
                <c:pt idx="0">
                  <c:v>1018179694.981709</c:v>
                </c:pt>
                <c:pt idx="1">
                  <c:v>1068000767.4286954</c:v>
                </c:pt>
                <c:pt idx="2">
                  <c:v>1117821839.8756819</c:v>
                </c:pt>
                <c:pt idx="3">
                  <c:v>1167642912.3226683</c:v>
                </c:pt>
                <c:pt idx="4">
                  <c:v>1217463984.7696548</c:v>
                </c:pt>
                <c:pt idx="5">
                  <c:v>1267285057.2166414</c:v>
                </c:pt>
                <c:pt idx="6">
                  <c:v>1317106129.6636279</c:v>
                </c:pt>
                <c:pt idx="7">
                  <c:v>1366927202.1106143</c:v>
                </c:pt>
                <c:pt idx="8">
                  <c:v>1416748274.5576007</c:v>
                </c:pt>
                <c:pt idx="9">
                  <c:v>1466569347.0045872</c:v>
                </c:pt>
                <c:pt idx="10">
                  <c:v>1516390419.4515736</c:v>
                </c:pt>
                <c:pt idx="11">
                  <c:v>1566211491.89856</c:v>
                </c:pt>
                <c:pt idx="12">
                  <c:v>1616032564.3455467</c:v>
                </c:pt>
                <c:pt idx="13">
                  <c:v>1665853636.7925329</c:v>
                </c:pt>
                <c:pt idx="14">
                  <c:v>1715674709.2395196</c:v>
                </c:pt>
                <c:pt idx="15">
                  <c:v>1765495781.686506</c:v>
                </c:pt>
                <c:pt idx="16">
                  <c:v>1815316854.1334925</c:v>
                </c:pt>
                <c:pt idx="17">
                  <c:v>1865137926.5804789</c:v>
                </c:pt>
                <c:pt idx="18">
                  <c:v>1914958999.0274653</c:v>
                </c:pt>
                <c:pt idx="19">
                  <c:v>1964780071.474452</c:v>
                </c:pt>
                <c:pt idx="20">
                  <c:v>2014601143.9214382</c:v>
                </c:pt>
                <c:pt idx="21">
                  <c:v>2064422216.3684249</c:v>
                </c:pt>
                <c:pt idx="22">
                  <c:v>2114243288.8154113</c:v>
                </c:pt>
                <c:pt idx="23">
                  <c:v>2164064361.2623978</c:v>
                </c:pt>
                <c:pt idx="24">
                  <c:v>2213885433.709384</c:v>
                </c:pt>
                <c:pt idx="25">
                  <c:v>2263706506.1563706</c:v>
                </c:pt>
                <c:pt idx="26">
                  <c:v>2313527578.6033573</c:v>
                </c:pt>
                <c:pt idx="27">
                  <c:v>2363348651.0503435</c:v>
                </c:pt>
                <c:pt idx="28">
                  <c:v>2413169723.4973297</c:v>
                </c:pt>
                <c:pt idx="29">
                  <c:v>2462990795.9443164</c:v>
                </c:pt>
                <c:pt idx="30">
                  <c:v>2512811868.3913031</c:v>
                </c:pt>
                <c:pt idx="31">
                  <c:v>2562632940.8382893</c:v>
                </c:pt>
                <c:pt idx="32">
                  <c:v>2612454013.2852759</c:v>
                </c:pt>
                <c:pt idx="33">
                  <c:v>2662275085.7322626</c:v>
                </c:pt>
                <c:pt idx="34">
                  <c:v>2712096158.1792488</c:v>
                </c:pt>
                <c:pt idx="35">
                  <c:v>2761917230.626235</c:v>
                </c:pt>
                <c:pt idx="36">
                  <c:v>2811738303.0732217</c:v>
                </c:pt>
                <c:pt idx="37">
                  <c:v>2820606453.9687853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1C-49AE-8F4A-26EDF9330C13}"/>
            </c:ext>
          </c:extLst>
        </c:ser>
        <c:ser>
          <c:idx val="3"/>
          <c:order val="3"/>
          <c:tx>
            <c:strRef>
              <c:f>'E-Costos'!$F$171</c:f>
              <c:strCache>
                <c:ptCount val="1"/>
                <c:pt idx="0">
                  <c:v>Ingreso Total</c:v>
                </c:pt>
              </c:strCache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'E-Costos'!$B$172:$B$209</c:f>
              <c:numCache>
                <c:formatCode>General</c:formatCode>
                <c:ptCount val="3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36178</c:v>
                </c:pt>
              </c:numCache>
            </c:numRef>
          </c:cat>
          <c:val>
            <c:numRef>
              <c:f>'E-Costos'!$F$172:$F$209</c:f>
              <c:numCache>
                <c:formatCode>[$$]#,##0</c:formatCode>
                <c:ptCount val="38"/>
                <c:pt idx="0">
                  <c:v>0</c:v>
                </c:pt>
                <c:pt idx="1">
                  <c:v>110000000</c:v>
                </c:pt>
                <c:pt idx="2">
                  <c:v>220000000</c:v>
                </c:pt>
                <c:pt idx="3">
                  <c:v>330000000</c:v>
                </c:pt>
                <c:pt idx="4">
                  <c:v>440000000</c:v>
                </c:pt>
                <c:pt idx="5">
                  <c:v>550000000</c:v>
                </c:pt>
                <c:pt idx="6">
                  <c:v>660000000</c:v>
                </c:pt>
                <c:pt idx="7">
                  <c:v>770000000</c:v>
                </c:pt>
                <c:pt idx="8">
                  <c:v>880000000</c:v>
                </c:pt>
                <c:pt idx="9">
                  <c:v>990000000</c:v>
                </c:pt>
                <c:pt idx="10">
                  <c:v>1100000000</c:v>
                </c:pt>
                <c:pt idx="11">
                  <c:v>1210000000</c:v>
                </c:pt>
                <c:pt idx="12">
                  <c:v>1320000000</c:v>
                </c:pt>
                <c:pt idx="13">
                  <c:v>1430000000</c:v>
                </c:pt>
                <c:pt idx="14">
                  <c:v>1540000000</c:v>
                </c:pt>
                <c:pt idx="15">
                  <c:v>1650000000</c:v>
                </c:pt>
                <c:pt idx="16">
                  <c:v>1760000000</c:v>
                </c:pt>
                <c:pt idx="17">
                  <c:v>1870000000</c:v>
                </c:pt>
                <c:pt idx="18">
                  <c:v>1980000000</c:v>
                </c:pt>
                <c:pt idx="19">
                  <c:v>2090000000</c:v>
                </c:pt>
                <c:pt idx="20">
                  <c:v>2200000000</c:v>
                </c:pt>
                <c:pt idx="21">
                  <c:v>2310000000</c:v>
                </c:pt>
                <c:pt idx="22">
                  <c:v>2420000000</c:v>
                </c:pt>
                <c:pt idx="23">
                  <c:v>2530000000</c:v>
                </c:pt>
                <c:pt idx="24">
                  <c:v>2640000000</c:v>
                </c:pt>
                <c:pt idx="25">
                  <c:v>2750000000</c:v>
                </c:pt>
                <c:pt idx="26">
                  <c:v>2860000000</c:v>
                </c:pt>
                <c:pt idx="27">
                  <c:v>2970000000</c:v>
                </c:pt>
                <c:pt idx="28">
                  <c:v>3080000000</c:v>
                </c:pt>
                <c:pt idx="29">
                  <c:v>3190000000</c:v>
                </c:pt>
                <c:pt idx="30">
                  <c:v>3300000000</c:v>
                </c:pt>
                <c:pt idx="31">
                  <c:v>3410000000</c:v>
                </c:pt>
                <c:pt idx="32">
                  <c:v>3520000000</c:v>
                </c:pt>
                <c:pt idx="33">
                  <c:v>3630000000</c:v>
                </c:pt>
                <c:pt idx="34">
                  <c:v>3740000000</c:v>
                </c:pt>
                <c:pt idx="35">
                  <c:v>3850000000</c:v>
                </c:pt>
                <c:pt idx="36">
                  <c:v>3960000000</c:v>
                </c:pt>
                <c:pt idx="37">
                  <c:v>3979580000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1C-49AE-8F4A-26EDF9330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5354376"/>
        <c:axId val="555652136"/>
      </c:lineChart>
      <c:catAx>
        <c:axId val="1365354376"/>
        <c:scaling>
          <c:orientation val="minMax"/>
          <c:max val="36178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5652136"/>
        <c:crosses val="autoZero"/>
        <c:auto val="1"/>
        <c:lblAlgn val="ctr"/>
        <c:lblOffset val="100"/>
        <c:noMultiLvlLbl val="1"/>
      </c:catAx>
      <c:valAx>
        <c:axId val="5556521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 $]#,##0.0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6535437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Punto de Equilibrio - Año 5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'E-Costos'!$C$212</c:f>
              <c:strCache>
                <c:ptCount val="1"/>
                <c:pt idx="0">
                  <c:v>Costo Variable</c:v>
                </c:pt>
              </c:strCache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'E-Costos'!$B$213:$B$258</c:f>
              <c:numCache>
                <c:formatCode>General</c:formatCode>
                <c:ptCount val="4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37000</c:v>
                </c:pt>
                <c:pt idx="38">
                  <c:v>38000</c:v>
                </c:pt>
                <c:pt idx="39">
                  <c:v>39000</c:v>
                </c:pt>
                <c:pt idx="40">
                  <c:v>40000</c:v>
                </c:pt>
                <c:pt idx="41">
                  <c:v>41000</c:v>
                </c:pt>
                <c:pt idx="42">
                  <c:v>42000</c:v>
                </c:pt>
                <c:pt idx="43">
                  <c:v>43000</c:v>
                </c:pt>
                <c:pt idx="44">
                  <c:v>44000</c:v>
                </c:pt>
                <c:pt idx="45">
                  <c:v>44800</c:v>
                </c:pt>
              </c:numCache>
            </c:numRef>
          </c:cat>
          <c:val>
            <c:numRef>
              <c:f>'E-Costos'!$C$213:$C$258</c:f>
              <c:numCache>
                <c:formatCode>[$$]#,##0.00</c:formatCode>
                <c:ptCount val="46"/>
                <c:pt idx="0">
                  <c:v>0</c:v>
                </c:pt>
                <c:pt idx="1">
                  <c:v>43546330.527049422</c:v>
                </c:pt>
                <c:pt idx="2">
                  <c:v>87092661.054098845</c:v>
                </c:pt>
                <c:pt idx="3">
                  <c:v>130638991.58114827</c:v>
                </c:pt>
                <c:pt idx="4">
                  <c:v>174185322.10819769</c:v>
                </c:pt>
                <c:pt idx="5">
                  <c:v>217731652.63524711</c:v>
                </c:pt>
                <c:pt idx="6">
                  <c:v>261277983.16229653</c:v>
                </c:pt>
                <c:pt idx="7">
                  <c:v>304824313.68934596</c:v>
                </c:pt>
                <c:pt idx="8">
                  <c:v>348370644.21639538</c:v>
                </c:pt>
                <c:pt idx="9">
                  <c:v>391916974.7434448</c:v>
                </c:pt>
                <c:pt idx="10">
                  <c:v>435463305.27049422</c:v>
                </c:pt>
                <c:pt idx="11">
                  <c:v>479009635.79754364</c:v>
                </c:pt>
                <c:pt idx="12">
                  <c:v>522555966.32459307</c:v>
                </c:pt>
                <c:pt idx="13">
                  <c:v>566102296.85164249</c:v>
                </c:pt>
                <c:pt idx="14">
                  <c:v>609648627.37869191</c:v>
                </c:pt>
                <c:pt idx="15">
                  <c:v>653194957.90574133</c:v>
                </c:pt>
                <c:pt idx="16">
                  <c:v>696741288.43279076</c:v>
                </c:pt>
                <c:pt idx="17">
                  <c:v>740287618.95984018</c:v>
                </c:pt>
                <c:pt idx="18">
                  <c:v>783833949.4868896</c:v>
                </c:pt>
                <c:pt idx="19">
                  <c:v>827380280.01393902</c:v>
                </c:pt>
                <c:pt idx="20">
                  <c:v>870926610.54098845</c:v>
                </c:pt>
                <c:pt idx="21">
                  <c:v>914472941.06803787</c:v>
                </c:pt>
                <c:pt idx="22">
                  <c:v>958019271.59508729</c:v>
                </c:pt>
                <c:pt idx="23">
                  <c:v>1001565602.1221367</c:v>
                </c:pt>
                <c:pt idx="24">
                  <c:v>1045111932.6491861</c:v>
                </c:pt>
                <c:pt idx="25">
                  <c:v>1088658263.1762357</c:v>
                </c:pt>
                <c:pt idx="26">
                  <c:v>1132204593.703285</c:v>
                </c:pt>
                <c:pt idx="27">
                  <c:v>1175750924.2303345</c:v>
                </c:pt>
                <c:pt idx="28">
                  <c:v>1219297254.7573838</c:v>
                </c:pt>
                <c:pt idx="29">
                  <c:v>1262843585.2844334</c:v>
                </c:pt>
                <c:pt idx="30">
                  <c:v>1306389915.8114827</c:v>
                </c:pt>
                <c:pt idx="31">
                  <c:v>1349936246.3385322</c:v>
                </c:pt>
                <c:pt idx="32">
                  <c:v>1393482576.8655815</c:v>
                </c:pt>
                <c:pt idx="33">
                  <c:v>1437028907.3926311</c:v>
                </c:pt>
                <c:pt idx="34">
                  <c:v>1480575237.9196804</c:v>
                </c:pt>
                <c:pt idx="35">
                  <c:v>1524121568.4467299</c:v>
                </c:pt>
                <c:pt idx="36">
                  <c:v>1567667898.9737792</c:v>
                </c:pt>
                <c:pt idx="37">
                  <c:v>1611214229.5008287</c:v>
                </c:pt>
                <c:pt idx="38">
                  <c:v>1654760560.027878</c:v>
                </c:pt>
                <c:pt idx="39">
                  <c:v>1698306890.5549276</c:v>
                </c:pt>
                <c:pt idx="40">
                  <c:v>1741853221.0819769</c:v>
                </c:pt>
                <c:pt idx="41">
                  <c:v>1785399551.6090264</c:v>
                </c:pt>
                <c:pt idx="42">
                  <c:v>1828945882.1360757</c:v>
                </c:pt>
                <c:pt idx="43">
                  <c:v>1872492212.6631253</c:v>
                </c:pt>
                <c:pt idx="44">
                  <c:v>1916038543.1901746</c:v>
                </c:pt>
                <c:pt idx="45">
                  <c:v>1950875607.6118143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4-4510-8C61-0E730BE4287E}"/>
            </c:ext>
          </c:extLst>
        </c:ser>
        <c:ser>
          <c:idx val="1"/>
          <c:order val="1"/>
          <c:tx>
            <c:strRef>
              <c:f>'E-Costos'!$D$212</c:f>
              <c:strCache>
                <c:ptCount val="1"/>
                <c:pt idx="0">
                  <c:v>Costo Fijo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'E-Costos'!$B$213:$B$258</c:f>
              <c:numCache>
                <c:formatCode>General</c:formatCode>
                <c:ptCount val="4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37000</c:v>
                </c:pt>
                <c:pt idx="38">
                  <c:v>38000</c:v>
                </c:pt>
                <c:pt idx="39">
                  <c:v>39000</c:v>
                </c:pt>
                <c:pt idx="40">
                  <c:v>40000</c:v>
                </c:pt>
                <c:pt idx="41">
                  <c:v>41000</c:v>
                </c:pt>
                <c:pt idx="42">
                  <c:v>42000</c:v>
                </c:pt>
                <c:pt idx="43">
                  <c:v>43000</c:v>
                </c:pt>
                <c:pt idx="44">
                  <c:v>44000</c:v>
                </c:pt>
                <c:pt idx="45">
                  <c:v>44800</c:v>
                </c:pt>
              </c:numCache>
            </c:numRef>
          </c:cat>
          <c:val>
            <c:numRef>
              <c:f>'E-Costos'!$D$213:$D$258</c:f>
              <c:numCache>
                <c:formatCode>_(\$* #,##0.00_);_(\$* \(#,##0.00\);_(\$* \-??_);_(@_)</c:formatCode>
                <c:ptCount val="46"/>
                <c:pt idx="0">
                  <c:v>872688485.5585115</c:v>
                </c:pt>
                <c:pt idx="1">
                  <c:v>872688485.5585115</c:v>
                </c:pt>
                <c:pt idx="2">
                  <c:v>872688485.5585115</c:v>
                </c:pt>
                <c:pt idx="3">
                  <c:v>872688485.5585115</c:v>
                </c:pt>
                <c:pt idx="4">
                  <c:v>872688485.5585115</c:v>
                </c:pt>
                <c:pt idx="5">
                  <c:v>872688485.5585115</c:v>
                </c:pt>
                <c:pt idx="6">
                  <c:v>872688485.5585115</c:v>
                </c:pt>
                <c:pt idx="7">
                  <c:v>872688485.5585115</c:v>
                </c:pt>
                <c:pt idx="8">
                  <c:v>872688485.5585115</c:v>
                </c:pt>
                <c:pt idx="9">
                  <c:v>872688485.5585115</c:v>
                </c:pt>
                <c:pt idx="10">
                  <c:v>872688485.5585115</c:v>
                </c:pt>
                <c:pt idx="11">
                  <c:v>872688485.5585115</c:v>
                </c:pt>
                <c:pt idx="12">
                  <c:v>872688485.5585115</c:v>
                </c:pt>
                <c:pt idx="13">
                  <c:v>872688485.5585115</c:v>
                </c:pt>
                <c:pt idx="14">
                  <c:v>872688485.5585115</c:v>
                </c:pt>
                <c:pt idx="15">
                  <c:v>872688485.5585115</c:v>
                </c:pt>
                <c:pt idx="16">
                  <c:v>872688485.5585115</c:v>
                </c:pt>
                <c:pt idx="17">
                  <c:v>872688485.5585115</c:v>
                </c:pt>
                <c:pt idx="18">
                  <c:v>872688485.5585115</c:v>
                </c:pt>
                <c:pt idx="19">
                  <c:v>872688485.5585115</c:v>
                </c:pt>
                <c:pt idx="20">
                  <c:v>872688485.5585115</c:v>
                </c:pt>
                <c:pt idx="21">
                  <c:v>872688485.5585115</c:v>
                </c:pt>
                <c:pt idx="22">
                  <c:v>872688485.5585115</c:v>
                </c:pt>
                <c:pt idx="23">
                  <c:v>872688485.5585115</c:v>
                </c:pt>
                <c:pt idx="24">
                  <c:v>872688485.5585115</c:v>
                </c:pt>
                <c:pt idx="25">
                  <c:v>872688485.5585115</c:v>
                </c:pt>
                <c:pt idx="26">
                  <c:v>872688485.5585115</c:v>
                </c:pt>
                <c:pt idx="27">
                  <c:v>872688485.5585115</c:v>
                </c:pt>
                <c:pt idx="28">
                  <c:v>872688485.5585115</c:v>
                </c:pt>
                <c:pt idx="29">
                  <c:v>872688485.5585115</c:v>
                </c:pt>
                <c:pt idx="30">
                  <c:v>872688485.5585115</c:v>
                </c:pt>
                <c:pt idx="31">
                  <c:v>872688485.5585115</c:v>
                </c:pt>
                <c:pt idx="32">
                  <c:v>872688485.5585115</c:v>
                </c:pt>
                <c:pt idx="33">
                  <c:v>872688485.5585115</c:v>
                </c:pt>
                <c:pt idx="34">
                  <c:v>872688485.5585115</c:v>
                </c:pt>
                <c:pt idx="35">
                  <c:v>872688485.5585115</c:v>
                </c:pt>
                <c:pt idx="36">
                  <c:v>872688485.5585115</c:v>
                </c:pt>
                <c:pt idx="37">
                  <c:v>872688485.5585115</c:v>
                </c:pt>
                <c:pt idx="38">
                  <c:v>872688485.5585115</c:v>
                </c:pt>
                <c:pt idx="39">
                  <c:v>872688485.5585115</c:v>
                </c:pt>
                <c:pt idx="40">
                  <c:v>872688485.5585115</c:v>
                </c:pt>
                <c:pt idx="41">
                  <c:v>872688485.5585115</c:v>
                </c:pt>
                <c:pt idx="42">
                  <c:v>872688485.5585115</c:v>
                </c:pt>
                <c:pt idx="43">
                  <c:v>872688485.5585115</c:v>
                </c:pt>
                <c:pt idx="44">
                  <c:v>872688485.5585115</c:v>
                </c:pt>
                <c:pt idx="45">
                  <c:v>872688485.5585115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84-4510-8C61-0E730BE4287E}"/>
            </c:ext>
          </c:extLst>
        </c:ser>
        <c:ser>
          <c:idx val="2"/>
          <c:order val="2"/>
          <c:tx>
            <c:strRef>
              <c:f>'E-Costos'!$E$212</c:f>
              <c:strCache>
                <c:ptCount val="1"/>
                <c:pt idx="0">
                  <c:v>Costo Total</c:v>
                </c:pt>
              </c:strCache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'E-Costos'!$B$213:$B$258</c:f>
              <c:numCache>
                <c:formatCode>General</c:formatCode>
                <c:ptCount val="4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37000</c:v>
                </c:pt>
                <c:pt idx="38">
                  <c:v>38000</c:v>
                </c:pt>
                <c:pt idx="39">
                  <c:v>39000</c:v>
                </c:pt>
                <c:pt idx="40">
                  <c:v>40000</c:v>
                </c:pt>
                <c:pt idx="41">
                  <c:v>41000</c:v>
                </c:pt>
                <c:pt idx="42">
                  <c:v>42000</c:v>
                </c:pt>
                <c:pt idx="43">
                  <c:v>43000</c:v>
                </c:pt>
                <c:pt idx="44">
                  <c:v>44000</c:v>
                </c:pt>
                <c:pt idx="45">
                  <c:v>44800</c:v>
                </c:pt>
              </c:numCache>
            </c:numRef>
          </c:cat>
          <c:val>
            <c:numRef>
              <c:f>'E-Costos'!$E$213:$E$258</c:f>
              <c:numCache>
                <c:formatCode>_(\$* #,##0.00_);_(\$* \(#,##0.00\);_(\$* \-??_);_(@_)</c:formatCode>
                <c:ptCount val="46"/>
                <c:pt idx="0">
                  <c:v>872688485.5585115</c:v>
                </c:pt>
                <c:pt idx="1">
                  <c:v>916234816.08556092</c:v>
                </c:pt>
                <c:pt idx="2">
                  <c:v>959781146.61261034</c:v>
                </c:pt>
                <c:pt idx="3">
                  <c:v>1003327477.1396598</c:v>
                </c:pt>
                <c:pt idx="4">
                  <c:v>1046873807.6667092</c:v>
                </c:pt>
                <c:pt idx="5">
                  <c:v>1090420138.1937585</c:v>
                </c:pt>
                <c:pt idx="6">
                  <c:v>1133966468.720808</c:v>
                </c:pt>
                <c:pt idx="7">
                  <c:v>1177512799.2478576</c:v>
                </c:pt>
                <c:pt idx="8">
                  <c:v>1221059129.7749069</c:v>
                </c:pt>
                <c:pt idx="9">
                  <c:v>1264605460.3019562</c:v>
                </c:pt>
                <c:pt idx="10">
                  <c:v>1308151790.8290057</c:v>
                </c:pt>
                <c:pt idx="11">
                  <c:v>1351698121.3560553</c:v>
                </c:pt>
                <c:pt idx="12">
                  <c:v>1395244451.8831046</c:v>
                </c:pt>
                <c:pt idx="13">
                  <c:v>1438790782.4101539</c:v>
                </c:pt>
                <c:pt idx="14">
                  <c:v>1482337112.9372034</c:v>
                </c:pt>
                <c:pt idx="15">
                  <c:v>1525883443.4642529</c:v>
                </c:pt>
                <c:pt idx="16">
                  <c:v>1569429773.9913023</c:v>
                </c:pt>
                <c:pt idx="17">
                  <c:v>1612976104.5183516</c:v>
                </c:pt>
                <c:pt idx="18">
                  <c:v>1656522435.0454011</c:v>
                </c:pt>
                <c:pt idx="19">
                  <c:v>1700068765.5724506</c:v>
                </c:pt>
                <c:pt idx="20">
                  <c:v>1743615096.0994999</c:v>
                </c:pt>
                <c:pt idx="21">
                  <c:v>1787161426.6265492</c:v>
                </c:pt>
                <c:pt idx="22">
                  <c:v>1830707757.1535988</c:v>
                </c:pt>
                <c:pt idx="23">
                  <c:v>1874254087.6806483</c:v>
                </c:pt>
                <c:pt idx="24">
                  <c:v>1917800418.2076976</c:v>
                </c:pt>
                <c:pt idx="25">
                  <c:v>1961346748.7347472</c:v>
                </c:pt>
                <c:pt idx="26">
                  <c:v>2004893079.2617965</c:v>
                </c:pt>
                <c:pt idx="27">
                  <c:v>2048439409.788846</c:v>
                </c:pt>
                <c:pt idx="28">
                  <c:v>2091985740.3158953</c:v>
                </c:pt>
                <c:pt idx="29">
                  <c:v>2135532070.8429449</c:v>
                </c:pt>
                <c:pt idx="30">
                  <c:v>2179078401.3699942</c:v>
                </c:pt>
                <c:pt idx="31">
                  <c:v>2222624731.8970437</c:v>
                </c:pt>
                <c:pt idx="32">
                  <c:v>2266171062.4240932</c:v>
                </c:pt>
                <c:pt idx="33">
                  <c:v>2309717392.9511423</c:v>
                </c:pt>
                <c:pt idx="34">
                  <c:v>2353263723.4781919</c:v>
                </c:pt>
                <c:pt idx="35">
                  <c:v>2396810054.0052414</c:v>
                </c:pt>
                <c:pt idx="36">
                  <c:v>2440356384.5322905</c:v>
                </c:pt>
                <c:pt idx="37">
                  <c:v>2483902715.0593405</c:v>
                </c:pt>
                <c:pt idx="38">
                  <c:v>2527449045.5863895</c:v>
                </c:pt>
                <c:pt idx="39">
                  <c:v>2570995376.1134391</c:v>
                </c:pt>
                <c:pt idx="40">
                  <c:v>2614541706.6404886</c:v>
                </c:pt>
                <c:pt idx="41">
                  <c:v>2658088037.1675377</c:v>
                </c:pt>
                <c:pt idx="42">
                  <c:v>2701634367.6945872</c:v>
                </c:pt>
                <c:pt idx="43">
                  <c:v>2745180698.2216368</c:v>
                </c:pt>
                <c:pt idx="44">
                  <c:v>2788727028.7486858</c:v>
                </c:pt>
                <c:pt idx="45">
                  <c:v>2823564093.1703258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84-4510-8C61-0E730BE4287E}"/>
            </c:ext>
          </c:extLst>
        </c:ser>
        <c:ser>
          <c:idx val="3"/>
          <c:order val="3"/>
          <c:tx>
            <c:strRef>
              <c:f>'E-Costos'!$F$212</c:f>
              <c:strCache>
                <c:ptCount val="1"/>
                <c:pt idx="0">
                  <c:v>Ingreso Total</c:v>
                </c:pt>
              </c:strCache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'E-Costos'!$B$213:$B$258</c:f>
              <c:numCache>
                <c:formatCode>General</c:formatCode>
                <c:ptCount val="4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37000</c:v>
                </c:pt>
                <c:pt idx="38">
                  <c:v>38000</c:v>
                </c:pt>
                <c:pt idx="39">
                  <c:v>39000</c:v>
                </c:pt>
                <c:pt idx="40">
                  <c:v>40000</c:v>
                </c:pt>
                <c:pt idx="41">
                  <c:v>41000</c:v>
                </c:pt>
                <c:pt idx="42">
                  <c:v>42000</c:v>
                </c:pt>
                <c:pt idx="43">
                  <c:v>43000</c:v>
                </c:pt>
                <c:pt idx="44">
                  <c:v>44000</c:v>
                </c:pt>
                <c:pt idx="45">
                  <c:v>44800</c:v>
                </c:pt>
              </c:numCache>
            </c:numRef>
          </c:cat>
          <c:val>
            <c:numRef>
              <c:f>'E-Costos'!$F$213:$F$258</c:f>
              <c:numCache>
                <c:formatCode>[$$]#,##0</c:formatCode>
                <c:ptCount val="46"/>
                <c:pt idx="0">
                  <c:v>0</c:v>
                </c:pt>
                <c:pt idx="1">
                  <c:v>110000000</c:v>
                </c:pt>
                <c:pt idx="2">
                  <c:v>220000000</c:v>
                </c:pt>
                <c:pt idx="3">
                  <c:v>330000000</c:v>
                </c:pt>
                <c:pt idx="4">
                  <c:v>440000000</c:v>
                </c:pt>
                <c:pt idx="5">
                  <c:v>550000000</c:v>
                </c:pt>
                <c:pt idx="6">
                  <c:v>660000000</c:v>
                </c:pt>
                <c:pt idx="7">
                  <c:v>770000000</c:v>
                </c:pt>
                <c:pt idx="8">
                  <c:v>880000000</c:v>
                </c:pt>
                <c:pt idx="9">
                  <c:v>990000000</c:v>
                </c:pt>
                <c:pt idx="10">
                  <c:v>1100000000</c:v>
                </c:pt>
                <c:pt idx="11">
                  <c:v>1210000000</c:v>
                </c:pt>
                <c:pt idx="12">
                  <c:v>1320000000</c:v>
                </c:pt>
                <c:pt idx="13">
                  <c:v>1430000000</c:v>
                </c:pt>
                <c:pt idx="14">
                  <c:v>1540000000</c:v>
                </c:pt>
                <c:pt idx="15">
                  <c:v>1650000000</c:v>
                </c:pt>
                <c:pt idx="16">
                  <c:v>1760000000</c:v>
                </c:pt>
                <c:pt idx="17">
                  <c:v>1870000000</c:v>
                </c:pt>
                <c:pt idx="18">
                  <c:v>1980000000</c:v>
                </c:pt>
                <c:pt idx="19">
                  <c:v>2090000000</c:v>
                </c:pt>
                <c:pt idx="20">
                  <c:v>2200000000</c:v>
                </c:pt>
                <c:pt idx="21">
                  <c:v>2310000000</c:v>
                </c:pt>
                <c:pt idx="22">
                  <c:v>2420000000</c:v>
                </c:pt>
                <c:pt idx="23">
                  <c:v>2530000000</c:v>
                </c:pt>
                <c:pt idx="24">
                  <c:v>2640000000</c:v>
                </c:pt>
                <c:pt idx="25">
                  <c:v>2750000000</c:v>
                </c:pt>
                <c:pt idx="26">
                  <c:v>2860000000</c:v>
                </c:pt>
                <c:pt idx="27">
                  <c:v>2970000000</c:v>
                </c:pt>
                <c:pt idx="28">
                  <c:v>3080000000</c:v>
                </c:pt>
                <c:pt idx="29">
                  <c:v>3190000000</c:v>
                </c:pt>
                <c:pt idx="30">
                  <c:v>3300000000</c:v>
                </c:pt>
                <c:pt idx="31">
                  <c:v>3410000000</c:v>
                </c:pt>
                <c:pt idx="32">
                  <c:v>3520000000</c:v>
                </c:pt>
                <c:pt idx="33">
                  <c:v>3630000000</c:v>
                </c:pt>
                <c:pt idx="34">
                  <c:v>3740000000</c:v>
                </c:pt>
                <c:pt idx="35">
                  <c:v>3850000000</c:v>
                </c:pt>
                <c:pt idx="36">
                  <c:v>3960000000</c:v>
                </c:pt>
                <c:pt idx="37">
                  <c:v>4070000000</c:v>
                </c:pt>
                <c:pt idx="38">
                  <c:v>4180000000</c:v>
                </c:pt>
                <c:pt idx="39">
                  <c:v>4290000000</c:v>
                </c:pt>
                <c:pt idx="40">
                  <c:v>4400000000</c:v>
                </c:pt>
                <c:pt idx="41">
                  <c:v>4510000000</c:v>
                </c:pt>
                <c:pt idx="42">
                  <c:v>4620000000</c:v>
                </c:pt>
                <c:pt idx="43">
                  <c:v>4730000000</c:v>
                </c:pt>
                <c:pt idx="44">
                  <c:v>4840000000</c:v>
                </c:pt>
                <c:pt idx="45">
                  <c:v>4928000000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84-4510-8C61-0E730BE42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9107758"/>
        <c:axId val="1120016641"/>
      </c:lineChart>
      <c:catAx>
        <c:axId val="19191077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0016641"/>
        <c:crosses val="autoZero"/>
        <c:auto val="1"/>
        <c:lblAlgn val="ctr"/>
        <c:lblOffset val="100"/>
        <c:noMultiLvlLbl val="1"/>
      </c:catAx>
      <c:valAx>
        <c:axId val="11200166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 $]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1910775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lang="en-US" b="1" i="0">
                <a:solidFill>
                  <a:srgbClr val="000000"/>
                </a:solidFill>
                <a:latin typeface="+mn-lt"/>
              </a:rPr>
              <a:t>Punto de Equilibrio - Año 1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'F-2 Estructura'!$C$59</c:f>
              <c:strCache>
                <c:ptCount val="1"/>
                <c:pt idx="0">
                  <c:v>Costo Variable</c:v>
                </c:pt>
              </c:strCache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'F-2 Estructura'!$B$60:$B$97</c:f>
              <c:numCache>
                <c:formatCode>General</c:formatCode>
                <c:ptCount val="3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36178</c:v>
                </c:pt>
              </c:numCache>
            </c:numRef>
          </c:cat>
          <c:val>
            <c:numRef>
              <c:f>'F-2 Estructura'!$C$60:$C$97</c:f>
              <c:numCache>
                <c:formatCode>[$$]#,##0.0</c:formatCode>
                <c:ptCount val="38"/>
                <c:pt idx="0">
                  <c:v>0</c:v>
                </c:pt>
                <c:pt idx="1">
                  <c:v>54423598.965316616</c:v>
                </c:pt>
                <c:pt idx="2">
                  <c:v>108847197.93063323</c:v>
                </c:pt>
                <c:pt idx="3">
                  <c:v>163270796.89594984</c:v>
                </c:pt>
                <c:pt idx="4">
                  <c:v>217694395.86126646</c:v>
                </c:pt>
                <c:pt idx="5">
                  <c:v>272117994.82658309</c:v>
                </c:pt>
                <c:pt idx="6">
                  <c:v>326541593.79189968</c:v>
                </c:pt>
                <c:pt idx="7">
                  <c:v>380965192.75721633</c:v>
                </c:pt>
                <c:pt idx="8">
                  <c:v>435388791.72253293</c:v>
                </c:pt>
                <c:pt idx="9">
                  <c:v>489812390.68784958</c:v>
                </c:pt>
                <c:pt idx="10">
                  <c:v>544235989.65316617</c:v>
                </c:pt>
                <c:pt idx="11">
                  <c:v>598659588.61848283</c:v>
                </c:pt>
                <c:pt idx="12">
                  <c:v>653083187.58379936</c:v>
                </c:pt>
                <c:pt idx="13">
                  <c:v>707506786.54911602</c:v>
                </c:pt>
                <c:pt idx="14">
                  <c:v>761930385.51443267</c:v>
                </c:pt>
                <c:pt idx="15">
                  <c:v>816353984.47974932</c:v>
                </c:pt>
                <c:pt idx="16">
                  <c:v>870777583.44506586</c:v>
                </c:pt>
                <c:pt idx="17">
                  <c:v>925201182.41038251</c:v>
                </c:pt>
                <c:pt idx="18">
                  <c:v>979624781.37569916</c:v>
                </c:pt>
                <c:pt idx="19">
                  <c:v>1034048380.3410157</c:v>
                </c:pt>
                <c:pt idx="20">
                  <c:v>1088471979.3063323</c:v>
                </c:pt>
                <c:pt idx="21">
                  <c:v>1142895578.2716489</c:v>
                </c:pt>
                <c:pt idx="22">
                  <c:v>1197319177.2369657</c:v>
                </c:pt>
                <c:pt idx="23">
                  <c:v>1251742776.2022822</c:v>
                </c:pt>
                <c:pt idx="24">
                  <c:v>1306166375.1675987</c:v>
                </c:pt>
                <c:pt idx="25">
                  <c:v>1360589974.1329155</c:v>
                </c:pt>
                <c:pt idx="26">
                  <c:v>1415013573.098232</c:v>
                </c:pt>
                <c:pt idx="27">
                  <c:v>1469437172.0635488</c:v>
                </c:pt>
                <c:pt idx="28">
                  <c:v>1523860771.0288653</c:v>
                </c:pt>
                <c:pt idx="29">
                  <c:v>1578284369.9941819</c:v>
                </c:pt>
                <c:pt idx="30">
                  <c:v>1632707968.9594986</c:v>
                </c:pt>
                <c:pt idx="31">
                  <c:v>1687131567.9248152</c:v>
                </c:pt>
                <c:pt idx="32">
                  <c:v>1741555166.8901317</c:v>
                </c:pt>
                <c:pt idx="33">
                  <c:v>1795978765.8554485</c:v>
                </c:pt>
                <c:pt idx="34">
                  <c:v>1850402364.820765</c:v>
                </c:pt>
                <c:pt idx="35">
                  <c:v>1904825963.7860816</c:v>
                </c:pt>
                <c:pt idx="36">
                  <c:v>1959249562.7513983</c:v>
                </c:pt>
                <c:pt idx="37">
                  <c:v>1968936963.3672247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16-4A59-AEC4-C4B31E215FDF}"/>
            </c:ext>
          </c:extLst>
        </c:ser>
        <c:ser>
          <c:idx val="1"/>
          <c:order val="1"/>
          <c:tx>
            <c:strRef>
              <c:f>'F-2 Estructura'!$E$59</c:f>
              <c:strCache>
                <c:ptCount val="1"/>
                <c:pt idx="0">
                  <c:v>Costo Total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'F-2 Estructura'!$B$60:$B$97</c:f>
              <c:numCache>
                <c:formatCode>General</c:formatCode>
                <c:ptCount val="3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36178</c:v>
                </c:pt>
              </c:numCache>
            </c:numRef>
          </c:cat>
          <c:val>
            <c:numRef>
              <c:f>'F-2 Estructura'!$E$60:$E$97</c:f>
              <c:numCache>
                <c:formatCode>_(\$* #,##0.00_);_(\$* \(#,##0.00\);_(\$* \-??_);_(@_)</c:formatCode>
                <c:ptCount val="38"/>
                <c:pt idx="0">
                  <c:v>1018179694.981709</c:v>
                </c:pt>
                <c:pt idx="1">
                  <c:v>1072603293.9470257</c:v>
                </c:pt>
                <c:pt idx="2">
                  <c:v>1127026892.9123423</c:v>
                </c:pt>
                <c:pt idx="3">
                  <c:v>1181450491.8776588</c:v>
                </c:pt>
                <c:pt idx="4">
                  <c:v>1235874090.8429754</c:v>
                </c:pt>
                <c:pt idx="5">
                  <c:v>1290297689.8082922</c:v>
                </c:pt>
                <c:pt idx="6">
                  <c:v>1344721288.7736087</c:v>
                </c:pt>
                <c:pt idx="7">
                  <c:v>1399144887.7389255</c:v>
                </c:pt>
                <c:pt idx="8">
                  <c:v>1453568486.704242</c:v>
                </c:pt>
                <c:pt idx="9">
                  <c:v>1507992085.6695585</c:v>
                </c:pt>
                <c:pt idx="10">
                  <c:v>1562415684.6348753</c:v>
                </c:pt>
                <c:pt idx="11">
                  <c:v>1616839283.6001918</c:v>
                </c:pt>
                <c:pt idx="12">
                  <c:v>1671262882.5655084</c:v>
                </c:pt>
                <c:pt idx="13">
                  <c:v>1725686481.5308251</c:v>
                </c:pt>
                <c:pt idx="14">
                  <c:v>1780110080.4961417</c:v>
                </c:pt>
                <c:pt idx="15">
                  <c:v>1834533679.4614582</c:v>
                </c:pt>
                <c:pt idx="16">
                  <c:v>1888957278.426775</c:v>
                </c:pt>
                <c:pt idx="17">
                  <c:v>1943380877.3920915</c:v>
                </c:pt>
                <c:pt idx="18">
                  <c:v>1997804476.357408</c:v>
                </c:pt>
                <c:pt idx="19">
                  <c:v>2052228075.3227248</c:v>
                </c:pt>
                <c:pt idx="20">
                  <c:v>2106651674.2880414</c:v>
                </c:pt>
                <c:pt idx="21">
                  <c:v>2161075273.2533579</c:v>
                </c:pt>
                <c:pt idx="22">
                  <c:v>2215498872.2186747</c:v>
                </c:pt>
                <c:pt idx="23">
                  <c:v>2269922471.1839914</c:v>
                </c:pt>
                <c:pt idx="24">
                  <c:v>2324346070.1493077</c:v>
                </c:pt>
                <c:pt idx="25">
                  <c:v>2378769669.1146245</c:v>
                </c:pt>
                <c:pt idx="26">
                  <c:v>2433193268.0799408</c:v>
                </c:pt>
                <c:pt idx="27">
                  <c:v>2487616867.0452576</c:v>
                </c:pt>
                <c:pt idx="28">
                  <c:v>2542040466.0105743</c:v>
                </c:pt>
                <c:pt idx="29">
                  <c:v>2596464064.9758911</c:v>
                </c:pt>
                <c:pt idx="30">
                  <c:v>2650887663.9412079</c:v>
                </c:pt>
                <c:pt idx="31">
                  <c:v>2705311262.9065242</c:v>
                </c:pt>
                <c:pt idx="32">
                  <c:v>2759734861.8718405</c:v>
                </c:pt>
                <c:pt idx="33">
                  <c:v>2814158460.8371572</c:v>
                </c:pt>
                <c:pt idx="34">
                  <c:v>2868582059.802474</c:v>
                </c:pt>
                <c:pt idx="35">
                  <c:v>2923005658.7677908</c:v>
                </c:pt>
                <c:pt idx="36">
                  <c:v>2977429257.7331076</c:v>
                </c:pt>
                <c:pt idx="37">
                  <c:v>2987116658.3489337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16-4A59-AEC4-C4B31E215FDF}"/>
            </c:ext>
          </c:extLst>
        </c:ser>
        <c:ser>
          <c:idx val="2"/>
          <c:order val="2"/>
          <c:tx>
            <c:strRef>
              <c:f>'F-2 Estructura'!$D$59</c:f>
              <c:strCache>
                <c:ptCount val="1"/>
                <c:pt idx="0">
                  <c:v>Costo Fijo</c:v>
                </c:pt>
              </c:strCache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'F-2 Estructura'!$B$60:$B$97</c:f>
              <c:numCache>
                <c:formatCode>General</c:formatCode>
                <c:ptCount val="3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36178</c:v>
                </c:pt>
              </c:numCache>
            </c:numRef>
          </c:cat>
          <c:val>
            <c:numRef>
              <c:f>'F-2 Estructura'!$D$60:$D$97</c:f>
              <c:numCache>
                <c:formatCode>_(\$* #,##0.00_);_(\$* \(#,##0.00\);_(\$* \-??_);_(@_)</c:formatCode>
                <c:ptCount val="38"/>
                <c:pt idx="0">
                  <c:v>1018179694.981709</c:v>
                </c:pt>
                <c:pt idx="1">
                  <c:v>1018179694.981709</c:v>
                </c:pt>
                <c:pt idx="2">
                  <c:v>1018179694.981709</c:v>
                </c:pt>
                <c:pt idx="3">
                  <c:v>1018179694.981709</c:v>
                </c:pt>
                <c:pt idx="4">
                  <c:v>1018179694.981709</c:v>
                </c:pt>
                <c:pt idx="5">
                  <c:v>1018179694.981709</c:v>
                </c:pt>
                <c:pt idx="6">
                  <c:v>1018179694.981709</c:v>
                </c:pt>
                <c:pt idx="7">
                  <c:v>1018179694.981709</c:v>
                </c:pt>
                <c:pt idx="8">
                  <c:v>1018179694.981709</c:v>
                </c:pt>
                <c:pt idx="9">
                  <c:v>1018179694.981709</c:v>
                </c:pt>
                <c:pt idx="10">
                  <c:v>1018179694.981709</c:v>
                </c:pt>
                <c:pt idx="11">
                  <c:v>1018179694.981709</c:v>
                </c:pt>
                <c:pt idx="12">
                  <c:v>1018179694.981709</c:v>
                </c:pt>
                <c:pt idx="13">
                  <c:v>1018179694.981709</c:v>
                </c:pt>
                <c:pt idx="14">
                  <c:v>1018179694.981709</c:v>
                </c:pt>
                <c:pt idx="15">
                  <c:v>1018179694.981709</c:v>
                </c:pt>
                <c:pt idx="16">
                  <c:v>1018179694.981709</c:v>
                </c:pt>
                <c:pt idx="17">
                  <c:v>1018179694.981709</c:v>
                </c:pt>
                <c:pt idx="18">
                  <c:v>1018179694.981709</c:v>
                </c:pt>
                <c:pt idx="19">
                  <c:v>1018179694.981709</c:v>
                </c:pt>
                <c:pt idx="20">
                  <c:v>1018179694.981709</c:v>
                </c:pt>
                <c:pt idx="21">
                  <c:v>1018179694.981709</c:v>
                </c:pt>
                <c:pt idx="22">
                  <c:v>1018179694.981709</c:v>
                </c:pt>
                <c:pt idx="23">
                  <c:v>1018179694.981709</c:v>
                </c:pt>
                <c:pt idx="24">
                  <c:v>1018179694.981709</c:v>
                </c:pt>
                <c:pt idx="25">
                  <c:v>1018179694.981709</c:v>
                </c:pt>
                <c:pt idx="26">
                  <c:v>1018179694.981709</c:v>
                </c:pt>
                <c:pt idx="27">
                  <c:v>1018179694.981709</c:v>
                </c:pt>
                <c:pt idx="28">
                  <c:v>1018179694.981709</c:v>
                </c:pt>
                <c:pt idx="29">
                  <c:v>1018179694.981709</c:v>
                </c:pt>
                <c:pt idx="30">
                  <c:v>1018179694.981709</c:v>
                </c:pt>
                <c:pt idx="31">
                  <c:v>1018179694.981709</c:v>
                </c:pt>
                <c:pt idx="32">
                  <c:v>1018179694.981709</c:v>
                </c:pt>
                <c:pt idx="33">
                  <c:v>1018179694.981709</c:v>
                </c:pt>
                <c:pt idx="34">
                  <c:v>1018179694.981709</c:v>
                </c:pt>
                <c:pt idx="35">
                  <c:v>1018179694.981709</c:v>
                </c:pt>
                <c:pt idx="36">
                  <c:v>1018179694.981709</c:v>
                </c:pt>
                <c:pt idx="37">
                  <c:v>1018179694.981709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16-4A59-AEC4-C4B31E215FDF}"/>
            </c:ext>
          </c:extLst>
        </c:ser>
        <c:ser>
          <c:idx val="3"/>
          <c:order val="3"/>
          <c:tx>
            <c:strRef>
              <c:f>'F-2 Estructura'!$F$59</c:f>
              <c:strCache>
                <c:ptCount val="1"/>
                <c:pt idx="0">
                  <c:v>Ingreso Total</c:v>
                </c:pt>
              </c:strCache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'F-2 Estructura'!$B$60:$B$97</c:f>
              <c:numCache>
                <c:formatCode>General</c:formatCode>
                <c:ptCount val="38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36178</c:v>
                </c:pt>
              </c:numCache>
            </c:numRef>
          </c:cat>
          <c:val>
            <c:numRef>
              <c:f>'F-2 Estructura'!$F$60:$F$97</c:f>
              <c:numCache>
                <c:formatCode>[$$]#,##0</c:formatCode>
                <c:ptCount val="38"/>
                <c:pt idx="0">
                  <c:v>0</c:v>
                </c:pt>
                <c:pt idx="1">
                  <c:v>110000000</c:v>
                </c:pt>
                <c:pt idx="2">
                  <c:v>220000000</c:v>
                </c:pt>
                <c:pt idx="3">
                  <c:v>330000000</c:v>
                </c:pt>
                <c:pt idx="4">
                  <c:v>440000000</c:v>
                </c:pt>
                <c:pt idx="5">
                  <c:v>550000000</c:v>
                </c:pt>
                <c:pt idx="6">
                  <c:v>660000000</c:v>
                </c:pt>
                <c:pt idx="7">
                  <c:v>770000000</c:v>
                </c:pt>
                <c:pt idx="8">
                  <c:v>880000000</c:v>
                </c:pt>
                <c:pt idx="9">
                  <c:v>990000000</c:v>
                </c:pt>
                <c:pt idx="10">
                  <c:v>1100000000</c:v>
                </c:pt>
                <c:pt idx="11">
                  <c:v>1210000000</c:v>
                </c:pt>
                <c:pt idx="12">
                  <c:v>1320000000</c:v>
                </c:pt>
                <c:pt idx="13">
                  <c:v>1430000000</c:v>
                </c:pt>
                <c:pt idx="14">
                  <c:v>1540000000</c:v>
                </c:pt>
                <c:pt idx="15">
                  <c:v>1650000000</c:v>
                </c:pt>
                <c:pt idx="16">
                  <c:v>1760000000</c:v>
                </c:pt>
                <c:pt idx="17">
                  <c:v>1870000000</c:v>
                </c:pt>
                <c:pt idx="18">
                  <c:v>1980000000</c:v>
                </c:pt>
                <c:pt idx="19">
                  <c:v>2090000000</c:v>
                </c:pt>
                <c:pt idx="20">
                  <c:v>2200000000</c:v>
                </c:pt>
                <c:pt idx="21">
                  <c:v>2310000000</c:v>
                </c:pt>
                <c:pt idx="22">
                  <c:v>2420000000</c:v>
                </c:pt>
                <c:pt idx="23">
                  <c:v>2530000000</c:v>
                </c:pt>
                <c:pt idx="24">
                  <c:v>2640000000</c:v>
                </c:pt>
                <c:pt idx="25">
                  <c:v>2750000000</c:v>
                </c:pt>
                <c:pt idx="26">
                  <c:v>2860000000</c:v>
                </c:pt>
                <c:pt idx="27">
                  <c:v>2970000000</c:v>
                </c:pt>
                <c:pt idx="28">
                  <c:v>3080000000</c:v>
                </c:pt>
                <c:pt idx="29">
                  <c:v>3190000000</c:v>
                </c:pt>
                <c:pt idx="30">
                  <c:v>3300000000</c:v>
                </c:pt>
                <c:pt idx="31">
                  <c:v>3410000000</c:v>
                </c:pt>
                <c:pt idx="32">
                  <c:v>3520000000</c:v>
                </c:pt>
                <c:pt idx="33">
                  <c:v>3630000000</c:v>
                </c:pt>
                <c:pt idx="34">
                  <c:v>3740000000</c:v>
                </c:pt>
                <c:pt idx="35">
                  <c:v>3850000000</c:v>
                </c:pt>
                <c:pt idx="36">
                  <c:v>3960000000</c:v>
                </c:pt>
                <c:pt idx="37">
                  <c:v>3979580000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16-4A59-AEC4-C4B31E215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3131701"/>
        <c:axId val="204232355"/>
      </c:lineChart>
      <c:catAx>
        <c:axId val="653131701"/>
        <c:scaling>
          <c:orientation val="minMax"/>
          <c:max val="36178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232355"/>
        <c:crosses val="autoZero"/>
        <c:auto val="1"/>
        <c:lblAlgn val="ctr"/>
        <c:lblOffset val="100"/>
        <c:noMultiLvlLbl val="1"/>
      </c:catAx>
      <c:valAx>
        <c:axId val="2042323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[$ $]#,##0.0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313170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Punto de Equilibrio - Año 10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'F-2 Estructura'!$C$101</c:f>
              <c:strCache>
                <c:ptCount val="1"/>
                <c:pt idx="0">
                  <c:v>Costo Variable</c:v>
                </c:pt>
              </c:strCache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'F-2 Estructura'!$B$102:$B$147</c:f>
              <c:numCache>
                <c:formatCode>General</c:formatCode>
                <c:ptCount val="4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37000</c:v>
                </c:pt>
                <c:pt idx="38">
                  <c:v>38000</c:v>
                </c:pt>
                <c:pt idx="39">
                  <c:v>39000</c:v>
                </c:pt>
                <c:pt idx="40">
                  <c:v>40000</c:v>
                </c:pt>
                <c:pt idx="41">
                  <c:v>41000</c:v>
                </c:pt>
                <c:pt idx="42">
                  <c:v>42000</c:v>
                </c:pt>
                <c:pt idx="43">
                  <c:v>43000</c:v>
                </c:pt>
                <c:pt idx="44">
                  <c:v>44000</c:v>
                </c:pt>
                <c:pt idx="45">
                  <c:v>44800</c:v>
                </c:pt>
              </c:numCache>
            </c:numRef>
          </c:cat>
          <c:val>
            <c:numRef>
              <c:f>'F-2 Estructura'!$C$102:$C$147</c:f>
              <c:numCache>
                <c:formatCode>[$$]#,##0.0</c:formatCode>
                <c:ptCount val="46"/>
                <c:pt idx="0">
                  <c:v>0</c:v>
                </c:pt>
                <c:pt idx="1">
                  <c:v>45894936.741081432</c:v>
                </c:pt>
                <c:pt idx="2">
                  <c:v>91789873.482162863</c:v>
                </c:pt>
                <c:pt idx="3">
                  <c:v>137684810.22324428</c:v>
                </c:pt>
                <c:pt idx="4">
                  <c:v>183579746.96432573</c:v>
                </c:pt>
                <c:pt idx="5">
                  <c:v>229474683.70540714</c:v>
                </c:pt>
                <c:pt idx="6">
                  <c:v>275369620.44648856</c:v>
                </c:pt>
                <c:pt idx="7">
                  <c:v>321264557.18757004</c:v>
                </c:pt>
                <c:pt idx="8">
                  <c:v>367159493.92865145</c:v>
                </c:pt>
                <c:pt idx="9">
                  <c:v>413054430.66973287</c:v>
                </c:pt>
                <c:pt idx="10">
                  <c:v>458949367.41081429</c:v>
                </c:pt>
                <c:pt idx="11">
                  <c:v>504844304.15189576</c:v>
                </c:pt>
                <c:pt idx="12">
                  <c:v>550739240.89297712</c:v>
                </c:pt>
                <c:pt idx="13">
                  <c:v>596634177.63405859</c:v>
                </c:pt>
                <c:pt idx="14">
                  <c:v>642529114.37514007</c:v>
                </c:pt>
                <c:pt idx="15">
                  <c:v>688424051.11622143</c:v>
                </c:pt>
                <c:pt idx="16">
                  <c:v>734318987.8573029</c:v>
                </c:pt>
                <c:pt idx="17">
                  <c:v>780213924.59838426</c:v>
                </c:pt>
                <c:pt idx="18">
                  <c:v>826108861.33946574</c:v>
                </c:pt>
                <c:pt idx="19">
                  <c:v>872003798.08054721</c:v>
                </c:pt>
                <c:pt idx="20">
                  <c:v>917898734.82162857</c:v>
                </c:pt>
                <c:pt idx="21">
                  <c:v>963793671.56271005</c:v>
                </c:pt>
                <c:pt idx="22">
                  <c:v>1009688608.3037915</c:v>
                </c:pt>
                <c:pt idx="23">
                  <c:v>1055583545.0448729</c:v>
                </c:pt>
                <c:pt idx="24">
                  <c:v>1101478481.7859542</c:v>
                </c:pt>
                <c:pt idx="25">
                  <c:v>1147373418.5270357</c:v>
                </c:pt>
                <c:pt idx="26">
                  <c:v>1193268355.2681172</c:v>
                </c:pt>
                <c:pt idx="27">
                  <c:v>1239163292.0091987</c:v>
                </c:pt>
                <c:pt idx="28">
                  <c:v>1285058228.7502801</c:v>
                </c:pt>
                <c:pt idx="29">
                  <c:v>1330953165.4913614</c:v>
                </c:pt>
                <c:pt idx="30">
                  <c:v>1376848102.2324429</c:v>
                </c:pt>
                <c:pt idx="31">
                  <c:v>1422743038.9735243</c:v>
                </c:pt>
                <c:pt idx="32">
                  <c:v>1468637975.7146058</c:v>
                </c:pt>
                <c:pt idx="33">
                  <c:v>1514532912.4556873</c:v>
                </c:pt>
                <c:pt idx="34">
                  <c:v>1560427849.1967685</c:v>
                </c:pt>
                <c:pt idx="35">
                  <c:v>1606322785.93785</c:v>
                </c:pt>
                <c:pt idx="36">
                  <c:v>1652217722.6789315</c:v>
                </c:pt>
                <c:pt idx="37">
                  <c:v>1698112659.420013</c:v>
                </c:pt>
                <c:pt idx="38">
                  <c:v>1744007596.1610944</c:v>
                </c:pt>
                <c:pt idx="39">
                  <c:v>1789902532.9021757</c:v>
                </c:pt>
                <c:pt idx="40">
                  <c:v>1835797469.6432571</c:v>
                </c:pt>
                <c:pt idx="41">
                  <c:v>1881692406.3843386</c:v>
                </c:pt>
                <c:pt idx="42">
                  <c:v>1927587343.1254201</c:v>
                </c:pt>
                <c:pt idx="43">
                  <c:v>1973482279.8665016</c:v>
                </c:pt>
                <c:pt idx="44">
                  <c:v>2019377216.607583</c:v>
                </c:pt>
                <c:pt idx="45">
                  <c:v>2056093166.000448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CB-4A9D-84A2-AD89799E6972}"/>
            </c:ext>
          </c:extLst>
        </c:ser>
        <c:ser>
          <c:idx val="1"/>
          <c:order val="1"/>
          <c:tx>
            <c:strRef>
              <c:f>'F-2 Estructura'!$D$101</c:f>
              <c:strCache>
                <c:ptCount val="1"/>
                <c:pt idx="0">
                  <c:v>Costo Fijo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'F-2 Estructura'!$B$102:$B$147</c:f>
              <c:numCache>
                <c:formatCode>General</c:formatCode>
                <c:ptCount val="4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37000</c:v>
                </c:pt>
                <c:pt idx="38">
                  <c:v>38000</c:v>
                </c:pt>
                <c:pt idx="39">
                  <c:v>39000</c:v>
                </c:pt>
                <c:pt idx="40">
                  <c:v>40000</c:v>
                </c:pt>
                <c:pt idx="41">
                  <c:v>41000</c:v>
                </c:pt>
                <c:pt idx="42">
                  <c:v>42000</c:v>
                </c:pt>
                <c:pt idx="43">
                  <c:v>43000</c:v>
                </c:pt>
                <c:pt idx="44">
                  <c:v>44000</c:v>
                </c:pt>
                <c:pt idx="45">
                  <c:v>44800</c:v>
                </c:pt>
              </c:numCache>
            </c:numRef>
          </c:cat>
          <c:val>
            <c:numRef>
              <c:f>'F-2 Estructura'!$D$102:$D$147</c:f>
              <c:numCache>
                <c:formatCode>_(\$* #,##0.00_);_(\$* \(#,##0.00\);_(\$* \-??_);_(@_)</c:formatCode>
                <c:ptCount val="46"/>
                <c:pt idx="0">
                  <c:v>872688485.5585115</c:v>
                </c:pt>
                <c:pt idx="1">
                  <c:v>872688485.5585115</c:v>
                </c:pt>
                <c:pt idx="2">
                  <c:v>872688485.5585115</c:v>
                </c:pt>
                <c:pt idx="3">
                  <c:v>872688485.5585115</c:v>
                </c:pt>
                <c:pt idx="4">
                  <c:v>872688485.5585115</c:v>
                </c:pt>
                <c:pt idx="5">
                  <c:v>872688485.5585115</c:v>
                </c:pt>
                <c:pt idx="6">
                  <c:v>872688485.5585115</c:v>
                </c:pt>
                <c:pt idx="7">
                  <c:v>872688485.5585115</c:v>
                </c:pt>
                <c:pt idx="8">
                  <c:v>872688485.5585115</c:v>
                </c:pt>
                <c:pt idx="9">
                  <c:v>872688485.5585115</c:v>
                </c:pt>
                <c:pt idx="10">
                  <c:v>872688485.5585115</c:v>
                </c:pt>
                <c:pt idx="11">
                  <c:v>872688485.5585115</c:v>
                </c:pt>
                <c:pt idx="12">
                  <c:v>872688485.5585115</c:v>
                </c:pt>
                <c:pt idx="13">
                  <c:v>872688485.5585115</c:v>
                </c:pt>
                <c:pt idx="14">
                  <c:v>872688485.5585115</c:v>
                </c:pt>
                <c:pt idx="15">
                  <c:v>872688485.5585115</c:v>
                </c:pt>
                <c:pt idx="16">
                  <c:v>872688485.5585115</c:v>
                </c:pt>
                <c:pt idx="17">
                  <c:v>872688485.5585115</c:v>
                </c:pt>
                <c:pt idx="18">
                  <c:v>872688485.5585115</c:v>
                </c:pt>
                <c:pt idx="19">
                  <c:v>872688485.5585115</c:v>
                </c:pt>
                <c:pt idx="20">
                  <c:v>872688485.5585115</c:v>
                </c:pt>
                <c:pt idx="21">
                  <c:v>872688485.5585115</c:v>
                </c:pt>
                <c:pt idx="22">
                  <c:v>872688485.5585115</c:v>
                </c:pt>
                <c:pt idx="23">
                  <c:v>872688485.5585115</c:v>
                </c:pt>
                <c:pt idx="24">
                  <c:v>872688485.5585115</c:v>
                </c:pt>
                <c:pt idx="25">
                  <c:v>872688485.5585115</c:v>
                </c:pt>
                <c:pt idx="26">
                  <c:v>872688485.5585115</c:v>
                </c:pt>
                <c:pt idx="27">
                  <c:v>872688485.5585115</c:v>
                </c:pt>
                <c:pt idx="28">
                  <c:v>872688485.5585115</c:v>
                </c:pt>
                <c:pt idx="29">
                  <c:v>872688485.5585115</c:v>
                </c:pt>
                <c:pt idx="30">
                  <c:v>872688485.5585115</c:v>
                </c:pt>
                <c:pt idx="31">
                  <c:v>872688485.5585115</c:v>
                </c:pt>
                <c:pt idx="32">
                  <c:v>872688485.5585115</c:v>
                </c:pt>
                <c:pt idx="33">
                  <c:v>872688485.5585115</c:v>
                </c:pt>
                <c:pt idx="34">
                  <c:v>872688485.5585115</c:v>
                </c:pt>
                <c:pt idx="35">
                  <c:v>872688485.5585115</c:v>
                </c:pt>
                <c:pt idx="36">
                  <c:v>872688485.5585115</c:v>
                </c:pt>
                <c:pt idx="37">
                  <c:v>872688485.5585115</c:v>
                </c:pt>
                <c:pt idx="38">
                  <c:v>872688485.5585115</c:v>
                </c:pt>
                <c:pt idx="39">
                  <c:v>872688485.5585115</c:v>
                </c:pt>
                <c:pt idx="40">
                  <c:v>872688485.5585115</c:v>
                </c:pt>
                <c:pt idx="41">
                  <c:v>872688485.5585115</c:v>
                </c:pt>
                <c:pt idx="42">
                  <c:v>872688485.5585115</c:v>
                </c:pt>
                <c:pt idx="43">
                  <c:v>872688485.5585115</c:v>
                </c:pt>
                <c:pt idx="44">
                  <c:v>872688485.5585115</c:v>
                </c:pt>
                <c:pt idx="45">
                  <c:v>872688485.5585115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CB-4A9D-84A2-AD89799E6972}"/>
            </c:ext>
          </c:extLst>
        </c:ser>
        <c:ser>
          <c:idx val="2"/>
          <c:order val="2"/>
          <c:tx>
            <c:strRef>
              <c:f>'F-2 Estructura'!$E$101</c:f>
              <c:strCache>
                <c:ptCount val="1"/>
                <c:pt idx="0">
                  <c:v>Costo Total</c:v>
                </c:pt>
              </c:strCache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'F-2 Estructura'!$B$102:$B$147</c:f>
              <c:numCache>
                <c:formatCode>General</c:formatCode>
                <c:ptCount val="4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37000</c:v>
                </c:pt>
                <c:pt idx="38">
                  <c:v>38000</c:v>
                </c:pt>
                <c:pt idx="39">
                  <c:v>39000</c:v>
                </c:pt>
                <c:pt idx="40">
                  <c:v>40000</c:v>
                </c:pt>
                <c:pt idx="41">
                  <c:v>41000</c:v>
                </c:pt>
                <c:pt idx="42">
                  <c:v>42000</c:v>
                </c:pt>
                <c:pt idx="43">
                  <c:v>43000</c:v>
                </c:pt>
                <c:pt idx="44">
                  <c:v>44000</c:v>
                </c:pt>
                <c:pt idx="45">
                  <c:v>44800</c:v>
                </c:pt>
              </c:numCache>
            </c:numRef>
          </c:cat>
          <c:val>
            <c:numRef>
              <c:f>'F-2 Estructura'!$E$102:$E$147</c:f>
              <c:numCache>
                <c:formatCode>_(\$* #,##0.00_);_(\$* \(#,##0.00\);_(\$* \-??_);_(@_)</c:formatCode>
                <c:ptCount val="46"/>
                <c:pt idx="0">
                  <c:v>872688485.5585115</c:v>
                </c:pt>
                <c:pt idx="1">
                  <c:v>918583422.29959297</c:v>
                </c:pt>
                <c:pt idx="2">
                  <c:v>964478359.04067433</c:v>
                </c:pt>
                <c:pt idx="3">
                  <c:v>1010373295.7817558</c:v>
                </c:pt>
                <c:pt idx="4">
                  <c:v>1056268232.5228372</c:v>
                </c:pt>
                <c:pt idx="5">
                  <c:v>1102163169.2639186</c:v>
                </c:pt>
                <c:pt idx="6">
                  <c:v>1148058106.0050001</c:v>
                </c:pt>
                <c:pt idx="7">
                  <c:v>1193953042.7460816</c:v>
                </c:pt>
                <c:pt idx="8">
                  <c:v>1239847979.4871631</c:v>
                </c:pt>
                <c:pt idx="9">
                  <c:v>1285742916.2282443</c:v>
                </c:pt>
                <c:pt idx="10">
                  <c:v>1331637852.9693258</c:v>
                </c:pt>
                <c:pt idx="11">
                  <c:v>1377532789.7104073</c:v>
                </c:pt>
                <c:pt idx="12">
                  <c:v>1423427726.4514885</c:v>
                </c:pt>
                <c:pt idx="13">
                  <c:v>1469322663.1925702</c:v>
                </c:pt>
                <c:pt idx="14">
                  <c:v>1515217599.9336514</c:v>
                </c:pt>
                <c:pt idx="15">
                  <c:v>1561112536.6747329</c:v>
                </c:pt>
                <c:pt idx="16">
                  <c:v>1607007473.4158144</c:v>
                </c:pt>
                <c:pt idx="17">
                  <c:v>1652902410.1568956</c:v>
                </c:pt>
                <c:pt idx="18">
                  <c:v>1698797346.8979774</c:v>
                </c:pt>
                <c:pt idx="19">
                  <c:v>1744692283.6390586</c:v>
                </c:pt>
                <c:pt idx="20">
                  <c:v>1790587220.3801401</c:v>
                </c:pt>
                <c:pt idx="21">
                  <c:v>1836482157.1212215</c:v>
                </c:pt>
                <c:pt idx="22">
                  <c:v>1882377093.862303</c:v>
                </c:pt>
                <c:pt idx="23">
                  <c:v>1928272030.6033845</c:v>
                </c:pt>
                <c:pt idx="24">
                  <c:v>1974166967.3444657</c:v>
                </c:pt>
                <c:pt idx="25">
                  <c:v>2020061904.0855472</c:v>
                </c:pt>
                <c:pt idx="26">
                  <c:v>2065956840.8266287</c:v>
                </c:pt>
                <c:pt idx="27">
                  <c:v>2111851777.5677102</c:v>
                </c:pt>
                <c:pt idx="28">
                  <c:v>2157746714.3087916</c:v>
                </c:pt>
                <c:pt idx="29">
                  <c:v>2203641651.0498729</c:v>
                </c:pt>
                <c:pt idx="30">
                  <c:v>2249536587.7909546</c:v>
                </c:pt>
                <c:pt idx="31">
                  <c:v>2295431524.5320358</c:v>
                </c:pt>
                <c:pt idx="32">
                  <c:v>2341326461.2731171</c:v>
                </c:pt>
                <c:pt idx="33">
                  <c:v>2387221398.0141988</c:v>
                </c:pt>
                <c:pt idx="34">
                  <c:v>2433116334.75528</c:v>
                </c:pt>
                <c:pt idx="35">
                  <c:v>2479011271.4963617</c:v>
                </c:pt>
                <c:pt idx="36">
                  <c:v>2524906208.237443</c:v>
                </c:pt>
                <c:pt idx="37">
                  <c:v>2570801144.9785242</c:v>
                </c:pt>
                <c:pt idx="38">
                  <c:v>2616696081.7196059</c:v>
                </c:pt>
                <c:pt idx="39">
                  <c:v>2662591018.4606872</c:v>
                </c:pt>
                <c:pt idx="40">
                  <c:v>2708485955.2017689</c:v>
                </c:pt>
                <c:pt idx="41">
                  <c:v>2754380891.9428501</c:v>
                </c:pt>
                <c:pt idx="42">
                  <c:v>2800275828.6839314</c:v>
                </c:pt>
                <c:pt idx="43">
                  <c:v>2846170765.4250131</c:v>
                </c:pt>
                <c:pt idx="44">
                  <c:v>2892065702.1660948</c:v>
                </c:pt>
                <c:pt idx="45">
                  <c:v>2928781651.5589595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CB-4A9D-84A2-AD89799E6972}"/>
            </c:ext>
          </c:extLst>
        </c:ser>
        <c:ser>
          <c:idx val="3"/>
          <c:order val="3"/>
          <c:tx>
            <c:strRef>
              <c:f>'F-2 Estructura'!$F$101</c:f>
              <c:strCache>
                <c:ptCount val="1"/>
                <c:pt idx="0">
                  <c:v>Ingreso Total</c:v>
                </c:pt>
              </c:strCache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'F-2 Estructura'!$B$102:$B$147</c:f>
              <c:numCache>
                <c:formatCode>General</c:formatCode>
                <c:ptCount val="4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37000</c:v>
                </c:pt>
                <c:pt idx="38">
                  <c:v>38000</c:v>
                </c:pt>
                <c:pt idx="39">
                  <c:v>39000</c:v>
                </c:pt>
                <c:pt idx="40">
                  <c:v>40000</c:v>
                </c:pt>
                <c:pt idx="41">
                  <c:v>41000</c:v>
                </c:pt>
                <c:pt idx="42">
                  <c:v>42000</c:v>
                </c:pt>
                <c:pt idx="43">
                  <c:v>43000</c:v>
                </c:pt>
                <c:pt idx="44">
                  <c:v>44000</c:v>
                </c:pt>
                <c:pt idx="45">
                  <c:v>44800</c:v>
                </c:pt>
              </c:numCache>
            </c:numRef>
          </c:cat>
          <c:val>
            <c:numRef>
              <c:f>'F-2 Estructura'!$F$102:$F$147</c:f>
              <c:numCache>
                <c:formatCode>[$$]#,##0</c:formatCode>
                <c:ptCount val="46"/>
                <c:pt idx="0">
                  <c:v>0</c:v>
                </c:pt>
                <c:pt idx="1">
                  <c:v>110000000</c:v>
                </c:pt>
                <c:pt idx="2">
                  <c:v>220000000</c:v>
                </c:pt>
                <c:pt idx="3">
                  <c:v>330000000</c:v>
                </c:pt>
                <c:pt idx="4">
                  <c:v>440000000</c:v>
                </c:pt>
                <c:pt idx="5">
                  <c:v>550000000</c:v>
                </c:pt>
                <c:pt idx="6">
                  <c:v>660000000</c:v>
                </c:pt>
                <c:pt idx="7">
                  <c:v>770000000</c:v>
                </c:pt>
                <c:pt idx="8">
                  <c:v>880000000</c:v>
                </c:pt>
                <c:pt idx="9">
                  <c:v>990000000</c:v>
                </c:pt>
                <c:pt idx="10">
                  <c:v>1100000000</c:v>
                </c:pt>
                <c:pt idx="11">
                  <c:v>1210000000</c:v>
                </c:pt>
                <c:pt idx="12">
                  <c:v>1320000000</c:v>
                </c:pt>
                <c:pt idx="13">
                  <c:v>1430000000</c:v>
                </c:pt>
                <c:pt idx="14">
                  <c:v>1540000000</c:v>
                </c:pt>
                <c:pt idx="15">
                  <c:v>1650000000</c:v>
                </c:pt>
                <c:pt idx="16">
                  <c:v>1760000000</c:v>
                </c:pt>
                <c:pt idx="17">
                  <c:v>1870000000</c:v>
                </c:pt>
                <c:pt idx="18">
                  <c:v>1980000000</c:v>
                </c:pt>
                <c:pt idx="19">
                  <c:v>2090000000</c:v>
                </c:pt>
                <c:pt idx="20">
                  <c:v>2200000000</c:v>
                </c:pt>
                <c:pt idx="21">
                  <c:v>2310000000</c:v>
                </c:pt>
                <c:pt idx="22">
                  <c:v>2420000000</c:v>
                </c:pt>
                <c:pt idx="23">
                  <c:v>2530000000</c:v>
                </c:pt>
                <c:pt idx="24">
                  <c:v>2640000000</c:v>
                </c:pt>
                <c:pt idx="25">
                  <c:v>2750000000</c:v>
                </c:pt>
                <c:pt idx="26">
                  <c:v>2860000000</c:v>
                </c:pt>
                <c:pt idx="27">
                  <c:v>2970000000</c:v>
                </c:pt>
                <c:pt idx="28">
                  <c:v>3080000000</c:v>
                </c:pt>
                <c:pt idx="29">
                  <c:v>3190000000</c:v>
                </c:pt>
                <c:pt idx="30">
                  <c:v>3300000000</c:v>
                </c:pt>
                <c:pt idx="31">
                  <c:v>3410000000</c:v>
                </c:pt>
                <c:pt idx="32">
                  <c:v>3520000000</c:v>
                </c:pt>
                <c:pt idx="33">
                  <c:v>3630000000</c:v>
                </c:pt>
                <c:pt idx="34">
                  <c:v>3740000000</c:v>
                </c:pt>
                <c:pt idx="35">
                  <c:v>3850000000</c:v>
                </c:pt>
                <c:pt idx="36">
                  <c:v>3960000000</c:v>
                </c:pt>
                <c:pt idx="37">
                  <c:v>4070000000</c:v>
                </c:pt>
                <c:pt idx="38">
                  <c:v>4180000000</c:v>
                </c:pt>
                <c:pt idx="39">
                  <c:v>4290000000</c:v>
                </c:pt>
                <c:pt idx="40">
                  <c:v>4400000000</c:v>
                </c:pt>
                <c:pt idx="41">
                  <c:v>4510000000</c:v>
                </c:pt>
                <c:pt idx="42">
                  <c:v>4620000000</c:v>
                </c:pt>
                <c:pt idx="43">
                  <c:v>4730000000</c:v>
                </c:pt>
                <c:pt idx="44">
                  <c:v>4840000000</c:v>
                </c:pt>
                <c:pt idx="45">
                  <c:v>4928000000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CB-4A9D-84A2-AD89799E6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577801"/>
        <c:axId val="107271445"/>
      </c:lineChart>
      <c:catAx>
        <c:axId val="9415778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7271445"/>
        <c:crosses val="autoZero"/>
        <c:auto val="1"/>
        <c:lblAlgn val="ctr"/>
        <c:lblOffset val="100"/>
        <c:noMultiLvlLbl val="1"/>
      </c:catAx>
      <c:valAx>
        <c:axId val="1072714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 $]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157780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114300</xdr:colOff>
      <xdr:row>172</xdr:row>
      <xdr:rowOff>95250</xdr:rowOff>
    </xdr:from>
    <xdr:ext cx="8686800" cy="504825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247650</xdr:colOff>
      <xdr:row>213</xdr:row>
      <xdr:rowOff>0</xdr:rowOff>
    </xdr:from>
    <xdr:ext cx="8782050" cy="5048250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14</xdr:row>
      <xdr:rowOff>142875</xdr:rowOff>
    </xdr:from>
    <xdr:ext cx="4638675" cy="24384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138</xdr:row>
      <xdr:rowOff>123825</xdr:rowOff>
    </xdr:from>
    <xdr:ext cx="7343775" cy="236220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114</xdr:row>
      <xdr:rowOff>104775</xdr:rowOff>
    </xdr:from>
    <xdr:ext cx="4914900" cy="704850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119</xdr:row>
      <xdr:rowOff>66675</xdr:rowOff>
    </xdr:from>
    <xdr:ext cx="2790825" cy="2390775"/>
    <xdr:pic>
      <xdr:nvPicPr>
        <xdr:cNvPr id="3" name="image4.png" title="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714375</xdr:colOff>
      <xdr:row>11</xdr:row>
      <xdr:rowOff>133350</xdr:rowOff>
    </xdr:from>
    <xdr:ext cx="8496300" cy="2638425"/>
    <xdr:pic>
      <xdr:nvPicPr>
        <xdr:cNvPr id="2" name="image5.png" title="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390525</xdr:colOff>
      <xdr:row>58</xdr:row>
      <xdr:rowOff>0</xdr:rowOff>
    </xdr:from>
    <xdr:ext cx="8686800" cy="5048250"/>
    <xdr:graphicFrame macro="">
      <xdr:nvGraphicFramePr>
        <xdr:cNvPr id="3" name="Chart 3" title="Gráfico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571500</xdr:colOff>
      <xdr:row>98</xdr:row>
      <xdr:rowOff>85725</xdr:rowOff>
    </xdr:from>
    <xdr:ext cx="8782050" cy="5048250"/>
    <xdr:graphicFrame macro="">
      <xdr:nvGraphicFramePr>
        <xdr:cNvPr id="4" name="Chart 4" title="Gráfico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articulo.mercadolibre.com.ar/MLA-1863892946-bacha-roca-loza-de-colgar-1-agujero-con-griferia-monocomando-_JM?searchVariation=181217673610" TargetMode="External"/><Relationship Id="rId18" Type="http://schemas.openxmlformats.org/officeDocument/2006/relationships/hyperlink" Target="https://articulo.mercadolibre.com.ar/MLA-1124027479-set-utiles-libreria-articulos-oficina-escritorio-kit-empresa-_JM" TargetMode="External"/><Relationship Id="rId26" Type="http://schemas.openxmlformats.org/officeDocument/2006/relationships/hyperlink" Target="https://www.mercadolibre.com.ar/microondas-sansei-msarw20uap-rotativo-20l-700w/p/MLA43529502" TargetMode="External"/><Relationship Id="rId39" Type="http://schemas.openxmlformats.org/officeDocument/2006/relationships/hyperlink" Target="https://tradenews.com.ar/el-costo-de-la-construccion-de-depositos-de-clase-a-ronda-los-us600-el-metro-cuadrado/" TargetMode="External"/><Relationship Id="rId21" Type="http://schemas.openxmlformats.org/officeDocument/2006/relationships/hyperlink" Target="https://www.mercadolibre.com.ar/telefono-fijo-de-mesa-pared-cableado-casa-numeros-grandes-libercam-phon-30-color-negro/p/MLA26360634?pdp_filters=item_id:MLA1480424714" TargetMode="External"/><Relationship Id="rId34" Type="http://schemas.openxmlformats.org/officeDocument/2006/relationships/hyperlink" Target="https://www.equustech.com.ar/productos/zorra-25-tn/?utm_source=chatgpt.com" TargetMode="External"/><Relationship Id="rId7" Type="http://schemas.openxmlformats.org/officeDocument/2006/relationships/hyperlink" Target="https://www.mercadolibre.com.ar/escritorio-mesa-de-trabajo-home-collection-melamina-1-cajon-color-nevadoeverest/p/MLA25772158" TargetMode="External"/><Relationship Id="rId2" Type="http://schemas.openxmlformats.org/officeDocument/2006/relationships/hyperlink" Target="https://www.mercadolibre.com.ar/tacho-cesto-basura-residuos-70lt-florida/p/MLA23829534" TargetMode="External"/><Relationship Id="rId16" Type="http://schemas.openxmlformats.org/officeDocument/2006/relationships/hyperlink" Target="https://www.mercadolibre.com.ar/flor-ducha-cuadrada-acero-inoxidable-brazo-cano-cromado-color-gris/p/MLA34134266?pdp_filters=item_id:MLA1807778750" TargetMode="External"/><Relationship Id="rId20" Type="http://schemas.openxmlformats.org/officeDocument/2006/relationships/hyperlink" Target="https://www.mercadolibre.com.ar/cartel-senalizacion-industrial-modelos-22x28-ever-safe-color-matafuego/p/MLA52220717" TargetMode="External"/><Relationship Id="rId29" Type="http://schemas.openxmlformats.org/officeDocument/2006/relationships/hyperlink" Target="https://www.mercadolibre.com.ar/aire-acondicionado-sansei-split-ultra-friocalor-inverter-3500w3053fg/p/MLA25265609" TargetMode="External"/><Relationship Id="rId41" Type="http://schemas.openxmlformats.org/officeDocument/2006/relationships/hyperlink" Target="https://www.enlacetecno.com.ar/el-precio-de-la-calidad-cuanto-cuesta-certificarse-en-una-norma-iso-y-por-que-vale-la-pena/?utm_source=chatgpt.com" TargetMode="External"/><Relationship Id="rId1" Type="http://schemas.openxmlformats.org/officeDocument/2006/relationships/hyperlink" Target="https://www.mercadolibre.com.ar/ventilador-industrial-2-en-1-pie-pared-30-pulgadas-hamers-international-por-kacemaster-hi-180/p/MLA28530583" TargetMode="External"/><Relationship Id="rId6" Type="http://schemas.openxmlformats.org/officeDocument/2006/relationships/hyperlink" Target="https://www.mercadolibre.com.ar/mesada-cocina-de-acero-inoxidable-160x052-con-bacha-doble/p/MLA37524426" TargetMode="External"/><Relationship Id="rId11" Type="http://schemas.openxmlformats.org/officeDocument/2006/relationships/hyperlink" Target="https://www.mercadolibre.com.ar/pizarraspremium-pizarra-blanca-magnetica-multiuso-80x120cm-marco-pvc/p/MLA23839169" TargetMode="External"/><Relationship Id="rId24" Type="http://schemas.openxmlformats.org/officeDocument/2006/relationships/hyperlink" Target="https://articulo.mercadolibre.com.ar/MLA-736077407-dispenser-de-agua-frio-calor-conexion-a-red-premium-kit-_JM?searchVariation=188767880075" TargetMode="External"/><Relationship Id="rId32" Type="http://schemas.openxmlformats.org/officeDocument/2006/relationships/hyperlink" Target="https://www.equustech.com.ar/productos/zorra-25-tn/" TargetMode="External"/><Relationship Id="rId37" Type="http://schemas.openxmlformats.org/officeDocument/2006/relationships/hyperlink" Target="https://valve-world-americas.com/advertising/magazine/?utm_source=chatgpt.com" TargetMode="External"/><Relationship Id="rId40" Type="http://schemas.openxmlformats.org/officeDocument/2006/relationships/hyperlink" Target="https://www.api.org/products-and-services/individual-certification-programs/schedules-and-fees?utm_source=chatgpt.com" TargetMode="External"/><Relationship Id="rId5" Type="http://schemas.openxmlformats.org/officeDocument/2006/relationships/hyperlink" Target="https://www.mercadolibre.com.ar/set-de-vajilla-x-12-durax-plato-forjado-vaso-lunita-color-transparente/p/MLA52843818" TargetMode="External"/><Relationship Id="rId15" Type="http://schemas.openxmlformats.org/officeDocument/2006/relationships/hyperlink" Target="https://articulo.mercadolibre.com.ar/MLA-2009868240-espejo-50-cm-bano-redondo-circular-_JM?searchVariation=186863106697" TargetMode="External"/><Relationship Id="rId23" Type="http://schemas.openxmlformats.org/officeDocument/2006/relationships/hyperlink" Target="https://articulo.mercadolibre.com.ar/MLA-1974041224-pack-2-luz-de-emergencia-bateria-recargable-60-led-industria-_JM?searchVariation=186391418629" TargetMode="External"/><Relationship Id="rId28" Type="http://schemas.openxmlformats.org/officeDocument/2006/relationships/hyperlink" Target="https://www.mercadolibre.com.ar/cafetera-electrica-de-filtro-sansei-casa9118bp-075l-color-negro/p/MLA27351867?pdp_filters=item_id:MLA1551426198" TargetMode="External"/><Relationship Id="rId36" Type="http://schemas.openxmlformats.org/officeDocument/2006/relationships/hyperlink" Target="https://www.thaiscorp.com/seguritec/en/exhibidor/costos?utm_source=chatgpt.com" TargetMode="External"/><Relationship Id="rId10" Type="http://schemas.openxmlformats.org/officeDocument/2006/relationships/hyperlink" Target="https://www.mercadolibre.com.ar/silla-de-oficina-pc-ejecutiva-escritorio-lumbar-blanca-zhome-color-blanco-material-del-tapizado-malla-z-103-b/p/MLA42445941" TargetMode="External"/><Relationship Id="rId19" Type="http://schemas.openxmlformats.org/officeDocument/2006/relationships/hyperlink" Target="https://articulo.mercadolibre.com.ar/MLA-789232631-valija-aluminio-187-pz-herramientas-y-tubos-la-mas-completa-_JM?searchVariation=61941586109" TargetMode="External"/><Relationship Id="rId31" Type="http://schemas.openxmlformats.org/officeDocument/2006/relationships/hyperlink" Target="https://www.mercadolibre.com.ar/impresora-multifuncion-hp-deskjet-ink-advantage-2875-wifi/p/MLA29022615" TargetMode="External"/><Relationship Id="rId4" Type="http://schemas.openxmlformats.org/officeDocument/2006/relationships/hyperlink" Target="https://articulo.mercadolibre.com.ar/MLA-1124805067-juego-de-comedor-sillas-4-fajas-_JM?searchVariation=174238678815&amp;pdp_filters=price%3A*-100000" TargetMode="External"/><Relationship Id="rId9" Type="http://schemas.openxmlformats.org/officeDocument/2006/relationships/hyperlink" Target="https://www.mercadolibre.com.ar/escritorio-mesa-de-trabajo-home-collection-melamina-1-cajon-color-nevadoeverest/p/MLA25772158" TargetMode="External"/><Relationship Id="rId14" Type="http://schemas.openxmlformats.org/officeDocument/2006/relationships/hyperlink" Target="https://articulo.mercadolibre.com.ar/MLA-1426467169-lockers-metalicos-16-puertas-con-cerradura-reforzado-_JM?searchVariation=182767673083" TargetMode="External"/><Relationship Id="rId22" Type="http://schemas.openxmlformats.org/officeDocument/2006/relationships/hyperlink" Target="https://articulo.mercadolibre.com.ar/MLA-620271506-matafuegos-nuevos-polvo-triclase-5-kg-tarjeta-soporte-baliza-_JM?searchVariation=15873553124" TargetMode="External"/><Relationship Id="rId27" Type="http://schemas.openxmlformats.org/officeDocument/2006/relationships/hyperlink" Target="https://www.mercadolibre.com.ar/heladera-telefunken-300-lts-con-freezer-blanca-hd300b/p/MLA51643130" TargetMode="External"/><Relationship Id="rId30" Type="http://schemas.openxmlformats.org/officeDocument/2006/relationships/hyperlink" Target="https://www.mercadolibre.com.ar/notebook-lenovo-ideapad-slim-156-intel-i3-8gb-ram-256gb-ssd-color-arctic-grey/p/MLA45361885" TargetMode="External"/><Relationship Id="rId35" Type="http://schemas.openxmlformats.org/officeDocument/2006/relationships/hyperlink" Target="https://www.mf-ip.com/?gad_source=1&amp;gad_campaignid=21024858891&amp;gbraid=0AAAAA9TjQnqY5jESBbGMmQJdXGapnuKF6&amp;gclid=CjwKCAjw2vTFBhAuEiwAFaScwmbO-ZhVjzjK_ZmXJqp6LiYD8C8V2-AgQGJeZcJfGHwugVOutYJigBoCihUQAvD_BwE" TargetMode="External"/><Relationship Id="rId8" Type="http://schemas.openxmlformats.org/officeDocument/2006/relationships/hyperlink" Target="https://www.mercadolibre.com.ar/chifonier-cajonera-dakar-zero-4-cajones-melamina-color-venezia/p/MLA28697087" TargetMode="External"/><Relationship Id="rId3" Type="http://schemas.openxmlformats.org/officeDocument/2006/relationships/hyperlink" Target="https://www.mercadolibre.com.ar/mesa-comedor-sala-madera-maciza-moderna-recta-120x80-sajo-tapa-natural/p/MLA35012645" TargetMode="External"/><Relationship Id="rId12" Type="http://schemas.openxmlformats.org/officeDocument/2006/relationships/hyperlink" Target="https://www.mercadolibre.com.ar/inodoro-corto-ferrum-mochila-asiento-deposito-simple-color-blanco/p/MLA50845595" TargetMode="External"/><Relationship Id="rId17" Type="http://schemas.openxmlformats.org/officeDocument/2006/relationships/hyperlink" Target="https://www.mercadolibre.com.ar/mingitorio-oval-piazza-b0601-loza-blanco-urinario-sanitario/p/MLA37737585" TargetMode="External"/><Relationship Id="rId25" Type="http://schemas.openxmlformats.org/officeDocument/2006/relationships/hyperlink" Target="https://articulo.mercadolibre.com.ar/MLA-1485501109-botiquin-primeros-auxilios-30-elementos-eversafe-mol-madera-_JM" TargetMode="External"/><Relationship Id="rId33" Type="http://schemas.openxmlformats.org/officeDocument/2006/relationships/hyperlink" Target="https://www.equustech.com.ar/productos/traspaletaelectrica2ton/?pf=gs&amp;variant=137167674&amp;utm_source=chatgpt.com" TargetMode="External"/><Relationship Id="rId38" Type="http://schemas.openxmlformats.org/officeDocument/2006/relationships/hyperlink" Target="https://terreno.mercadolibre.com.ar/MLA-2005698022-terreno-en-venta-en-parque-industrial-pilar-_J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https://www.bumeran.com.ar/salarios" TargetMode="External"/><Relationship Id="rId7" Type="http://schemas.openxmlformats.org/officeDocument/2006/relationships/hyperlink" Target="https://www.fletpack.com.ar/precios.html" TargetMode="External"/><Relationship Id="rId2" Type="http://schemas.openxmlformats.org/officeDocument/2006/relationships/hyperlink" Target="https://www.telecom.com.ar/web/productos/internet" TargetMode="External"/><Relationship Id="rId1" Type="http://schemas.openxmlformats.org/officeDocument/2006/relationships/hyperlink" Target="https://www.aysa.com.ar/tramites/Conoce-tu-factura" TargetMode="External"/><Relationship Id="rId6" Type="http://schemas.openxmlformats.org/officeDocument/2006/relationships/hyperlink" Target="https://valve-world-americas.com/advertising/magazine/?utm_source=chatgpt.com" TargetMode="External"/><Relationship Id="rId5" Type="http://schemas.openxmlformats.org/officeDocument/2006/relationships/hyperlink" Target="https://www.thaiscorp.com/seguritec/en/exhibidor/costos?utm_source=chatgpt.com" TargetMode="External"/><Relationship Id="rId4" Type="http://schemas.openxmlformats.org/officeDocument/2006/relationships/hyperlink" Target="http://cuantogano.com/sueldos/logistica.htm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miq.com.ar/producto/?nombreEs=300468&amp;sub-familia=allen-metricos-cabeza-cilindrica&amp;tipoCatalogo=resumen" TargetMode="External"/><Relationship Id="rId3" Type="http://schemas.openxmlformats.org/officeDocument/2006/relationships/hyperlink" Target="https://www.famiq.com.ar/producto/?sub-familia=barras-redondas&amp;nodo=S155&amp;caracteristica_diametro-mm%5B%5D=9-52&amp;caracteristica_calidad=304-304l&amp;tipoCatalogo=resumen" TargetMode="External"/><Relationship Id="rId7" Type="http://schemas.openxmlformats.org/officeDocument/2006/relationships/hyperlink" Target="https://www.famiq.com.ar/producto/?nombreEs=313224&amp;sub-familia=junta-valvula-mariposa-mecanizada&amp;tipoCatalogo=resumen" TargetMode="External"/><Relationship Id="rId12" Type="http://schemas.openxmlformats.org/officeDocument/2006/relationships/drawing" Target="../drawings/drawing3.xml"/><Relationship Id="rId2" Type="http://schemas.openxmlformats.org/officeDocument/2006/relationships/hyperlink" Target="https://articulo.mercadolibre.com.ar/MLA-2127138792-perno-de-carro-de-acero-inoxidable-x-2-pulgadas-color-50-_JM" TargetMode="External"/><Relationship Id="rId1" Type="http://schemas.openxmlformats.org/officeDocument/2006/relationships/hyperlink" Target="https://www.famiq.com.ar/producto/?sub-familia%5B%5D=barras-redondas&amp;sub-familia%5B%5D=barras-cuadradas&amp;sub-familia%5B%5D=barras-hexagonales&amp;nodo=3&amp;bloqueHome=1&amp;caracteristica_calidad=304-304l&amp;caracteristica_diametro-mm%5B%5D=28-6&amp;tipoCatalogo=normal&amp;caracteristica_forma=redonda" TargetMode="External"/><Relationship Id="rId6" Type="http://schemas.openxmlformats.org/officeDocument/2006/relationships/hyperlink" Target="https://repuestos.caldereriamanzano.net/producto/tapon-para-maneta-de-valvula-ref-014736/?add-to-cart=5490" TargetMode="External"/><Relationship Id="rId11" Type="http://schemas.openxmlformats.org/officeDocument/2006/relationships/hyperlink" Target="https://supraciclaje.com/precios-hoy/" TargetMode="External"/><Relationship Id="rId5" Type="http://schemas.openxmlformats.org/officeDocument/2006/relationships/hyperlink" Target="https://www.famiq.com.ar/producto/?nombreEs=CASQUILLO%20PARA%20MANETA%202%20POSICIONES%20NACIONAL%20304%2025.4%20a%20101.6%20mm&amp;sub-familia=repuestos-de-valvulas-mariposa&amp;tipoCatalogo=resumen" TargetMode="External"/><Relationship Id="rId10" Type="http://schemas.openxmlformats.org/officeDocument/2006/relationships/hyperlink" Target="https://www.famiq.com.ar/producto/?nombreEs=300667&amp;sub-familia=arandelas-planas&amp;tipoCatalogo=resumen" TargetMode="External"/><Relationship Id="rId4" Type="http://schemas.openxmlformats.org/officeDocument/2006/relationships/hyperlink" Target="https://www.mercadolibre.com.ar/resortes-acero-inoxidable-8mm-x-36-mm-alamb-06-pack-x-4-un/up/MLAU2133390517" TargetMode="External"/><Relationship Id="rId9" Type="http://schemas.openxmlformats.org/officeDocument/2006/relationships/hyperlink" Target="https://www.famiq.com.ar/producto/?nombreEs=322124&amp;sub-familia=tuercas-metricas&amp;tipoCatalogo=resumen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0"/>
  <sheetViews>
    <sheetView workbookViewId="0"/>
  </sheetViews>
  <sheetFormatPr defaultColWidth="12.5703125" defaultRowHeight="15" customHeight="1"/>
  <cols>
    <col min="1" max="1" width="42.140625" customWidth="1"/>
    <col min="2" max="3" width="11" customWidth="1"/>
    <col min="4" max="4" width="17.28515625" customWidth="1"/>
    <col min="5" max="5" width="11" customWidth="1"/>
    <col min="6" max="6" width="6.85546875" customWidth="1"/>
    <col min="7" max="12" width="11" customWidth="1"/>
    <col min="13" max="13" width="16.85546875" customWidth="1"/>
    <col min="14" max="26" width="11" customWidth="1"/>
  </cols>
  <sheetData>
    <row r="1" spans="1:13" ht="12.75" customHeight="1">
      <c r="A1" s="1" t="s">
        <v>0</v>
      </c>
      <c r="E1" s="2">
        <v>6</v>
      </c>
    </row>
    <row r="2" spans="1:13" ht="12.75" customHeight="1">
      <c r="G2" s="456" t="s">
        <v>1</v>
      </c>
      <c r="H2" s="475"/>
      <c r="I2" s="475"/>
      <c r="J2" s="475"/>
      <c r="K2" s="475"/>
      <c r="L2" s="475"/>
      <c r="M2" s="476"/>
    </row>
    <row r="3" spans="1:13" ht="14.25" customHeight="1">
      <c r="A3" s="3" t="s">
        <v>2</v>
      </c>
      <c r="B3" s="4">
        <v>0.21</v>
      </c>
      <c r="G3" s="457" t="s">
        <v>3</v>
      </c>
      <c r="H3" s="477"/>
      <c r="I3" s="477"/>
      <c r="J3" s="477"/>
      <c r="K3" s="477"/>
      <c r="L3" s="477"/>
      <c r="M3" s="478"/>
    </row>
    <row r="4" spans="1:13" ht="12.75" customHeight="1">
      <c r="A4" s="3" t="s">
        <v>4</v>
      </c>
      <c r="B4" s="4">
        <v>0.35</v>
      </c>
      <c r="G4" s="479"/>
      <c r="H4" s="480"/>
      <c r="I4" s="480"/>
      <c r="J4" s="480"/>
      <c r="K4" s="480"/>
      <c r="L4" s="480"/>
      <c r="M4" s="481"/>
    </row>
    <row r="5" spans="1:13" ht="12.75" customHeight="1">
      <c r="A5" s="3" t="s">
        <v>5</v>
      </c>
      <c r="B5" s="5">
        <v>7.8E-2</v>
      </c>
      <c r="C5" s="6" t="s">
        <v>6</v>
      </c>
      <c r="G5" s="479"/>
      <c r="H5" s="480"/>
      <c r="I5" s="480"/>
      <c r="J5" s="480"/>
      <c r="K5" s="480"/>
      <c r="L5" s="480"/>
      <c r="M5" s="481"/>
    </row>
    <row r="6" spans="1:13" ht="12.75" customHeight="1">
      <c r="G6" s="482"/>
      <c r="H6" s="483"/>
      <c r="I6" s="483"/>
      <c r="J6" s="483"/>
      <c r="K6" s="483"/>
      <c r="L6" s="483"/>
      <c r="M6" s="484"/>
    </row>
    <row r="7" spans="1:13" ht="14.25" customHeight="1">
      <c r="A7" s="3" t="s">
        <v>7</v>
      </c>
      <c r="B7" s="6" t="s">
        <v>8</v>
      </c>
      <c r="G7" s="453" t="s">
        <v>9</v>
      </c>
      <c r="H7" s="477"/>
      <c r="I7" s="477"/>
      <c r="J7" s="477"/>
      <c r="K7" s="477"/>
      <c r="L7" s="477"/>
      <c r="M7" s="478"/>
    </row>
    <row r="8" spans="1:13" ht="12.75" customHeight="1">
      <c r="A8" s="7" t="s">
        <v>10</v>
      </c>
      <c r="B8" s="8">
        <v>30</v>
      </c>
      <c r="C8" s="6" t="s">
        <v>11</v>
      </c>
      <c r="G8" s="482"/>
      <c r="H8" s="483"/>
      <c r="I8" s="483"/>
      <c r="J8" s="483"/>
      <c r="K8" s="483"/>
      <c r="L8" s="483"/>
      <c r="M8" s="484"/>
    </row>
    <row r="9" spans="1:13" ht="12.75" customHeight="1">
      <c r="A9" s="7" t="s">
        <v>12</v>
      </c>
      <c r="B9" s="8">
        <v>10</v>
      </c>
      <c r="C9" s="6" t="s">
        <v>11</v>
      </c>
      <c r="G9" s="458" t="s">
        <v>13</v>
      </c>
      <c r="H9" s="475"/>
      <c r="I9" s="475"/>
      <c r="J9" s="475"/>
      <c r="K9" s="475"/>
      <c r="L9" s="475"/>
      <c r="M9" s="476"/>
    </row>
    <row r="10" spans="1:13" ht="14.25" customHeight="1">
      <c r="A10" s="7" t="s">
        <v>14</v>
      </c>
      <c r="B10" s="8">
        <v>10</v>
      </c>
      <c r="C10" s="6" t="s">
        <v>11</v>
      </c>
      <c r="G10" s="453" t="s">
        <v>15</v>
      </c>
      <c r="H10" s="477"/>
      <c r="I10" s="477"/>
      <c r="J10" s="477"/>
      <c r="K10" s="477"/>
      <c r="L10" s="477"/>
      <c r="M10" s="478"/>
    </row>
    <row r="11" spans="1:13" ht="12.75" customHeight="1">
      <c r="A11" s="7" t="s">
        <v>16</v>
      </c>
      <c r="B11" s="8">
        <v>5</v>
      </c>
      <c r="C11" s="6" t="s">
        <v>11</v>
      </c>
      <c r="G11" s="482"/>
      <c r="H11" s="483"/>
      <c r="I11" s="483"/>
      <c r="J11" s="483"/>
      <c r="K11" s="483"/>
      <c r="L11" s="483"/>
      <c r="M11" s="484"/>
    </row>
    <row r="12" spans="1:13" ht="14.25" customHeight="1">
      <c r="A12" s="7" t="s">
        <v>17</v>
      </c>
      <c r="B12" s="8">
        <v>5</v>
      </c>
      <c r="C12" s="6" t="s">
        <v>11</v>
      </c>
      <c r="G12" s="453" t="s">
        <v>18</v>
      </c>
      <c r="H12" s="477"/>
      <c r="I12" s="477"/>
      <c r="J12" s="477"/>
      <c r="K12" s="477"/>
      <c r="L12" s="477"/>
      <c r="M12" s="478"/>
    </row>
    <row r="13" spans="1:13" ht="12.75" customHeight="1">
      <c r="A13" s="7" t="s">
        <v>19</v>
      </c>
      <c r="B13" s="8">
        <v>5</v>
      </c>
      <c r="C13" s="6" t="s">
        <v>11</v>
      </c>
      <c r="G13" s="482"/>
      <c r="H13" s="483"/>
      <c r="I13" s="483"/>
      <c r="J13" s="483"/>
      <c r="K13" s="483"/>
      <c r="L13" s="483"/>
      <c r="M13" s="484"/>
    </row>
    <row r="14" spans="1:13" ht="12.75" customHeight="1">
      <c r="A14" s="7" t="s">
        <v>20</v>
      </c>
      <c r="B14" s="9">
        <v>9.7000000000000003E-2</v>
      </c>
    </row>
    <row r="15" spans="1:13" ht="12.75" customHeight="1"/>
    <row r="16" spans="1:13" ht="12.75" customHeight="1">
      <c r="A16" s="3" t="s">
        <v>21</v>
      </c>
      <c r="B16" s="454" t="s">
        <v>22</v>
      </c>
      <c r="C16" s="485"/>
      <c r="D16" s="485"/>
      <c r="E16" s="485"/>
      <c r="F16" s="485"/>
      <c r="G16" s="486"/>
    </row>
    <row r="17" spans="1:5" ht="12.75" customHeight="1"/>
    <row r="18" spans="1:5" ht="12.75" customHeight="1">
      <c r="A18" s="3" t="s">
        <v>23</v>
      </c>
      <c r="B18" s="10">
        <v>44800</v>
      </c>
      <c r="C18" s="6" t="s">
        <v>24</v>
      </c>
    </row>
    <row r="19" spans="1:5" ht="12.75" customHeight="1">
      <c r="A19" s="3" t="s">
        <v>25</v>
      </c>
      <c r="B19" s="10">
        <v>110000</v>
      </c>
      <c r="C19" s="6" t="s">
        <v>26</v>
      </c>
    </row>
    <row r="20" spans="1:5" ht="12.75" customHeight="1"/>
    <row r="21" spans="1:5" ht="12.75" customHeight="1">
      <c r="A21" s="3" t="s">
        <v>27</v>
      </c>
    </row>
    <row r="22" spans="1:5" ht="12.75" customHeight="1">
      <c r="A22" s="3" t="s">
        <v>28</v>
      </c>
      <c r="B22" s="10">
        <v>16</v>
      </c>
      <c r="C22" s="6" t="s">
        <v>29</v>
      </c>
    </row>
    <row r="23" spans="1:5" ht="12.75" customHeight="1">
      <c r="A23" s="3" t="s">
        <v>30</v>
      </c>
      <c r="B23" s="10">
        <v>5</v>
      </c>
      <c r="C23" s="6" t="s">
        <v>29</v>
      </c>
    </row>
    <row r="24" spans="1:5" ht="12.75" customHeight="1">
      <c r="A24" s="3" t="s">
        <v>31</v>
      </c>
      <c r="B24" s="10">
        <v>4</v>
      </c>
      <c r="C24" s="6" t="s">
        <v>29</v>
      </c>
    </row>
    <row r="25" spans="1:5" ht="12.75" customHeight="1"/>
    <row r="26" spans="1:5" ht="12.75" customHeight="1">
      <c r="A26" s="3" t="s">
        <v>32</v>
      </c>
      <c r="B26" s="10">
        <v>2500</v>
      </c>
      <c r="C26" s="6" t="s">
        <v>33</v>
      </c>
    </row>
    <row r="27" spans="1:5" ht="12.75" customHeight="1">
      <c r="A27" s="3" t="s">
        <v>34</v>
      </c>
      <c r="B27" s="10">
        <v>12</v>
      </c>
      <c r="C27" s="6" t="s">
        <v>35</v>
      </c>
    </row>
    <row r="28" spans="1:5" ht="12.75" customHeight="1">
      <c r="A28" s="3" t="s">
        <v>36</v>
      </c>
      <c r="B28" s="10">
        <v>4</v>
      </c>
      <c r="C28" s="6" t="s">
        <v>35</v>
      </c>
    </row>
    <row r="29" spans="1:5" ht="12.75" customHeight="1"/>
    <row r="30" spans="1:5" ht="12.75" customHeight="1"/>
    <row r="31" spans="1:5" ht="12.75" customHeight="1">
      <c r="A31" s="3" t="s">
        <v>37</v>
      </c>
      <c r="B31" s="10">
        <v>1300</v>
      </c>
      <c r="C31" s="6" t="s">
        <v>38</v>
      </c>
      <c r="D31" s="10">
        <v>1</v>
      </c>
      <c r="E31" s="6" t="s">
        <v>39</v>
      </c>
    </row>
    <row r="32" spans="1:5" ht="12.75" customHeight="1">
      <c r="A32" s="11"/>
    </row>
    <row r="33" spans="1:7" ht="12.75" customHeight="1">
      <c r="A33" s="11"/>
    </row>
    <row r="34" spans="1:7" ht="12.75" customHeight="1">
      <c r="A34" s="3" t="s">
        <v>40</v>
      </c>
      <c r="B34" s="487">
        <v>65</v>
      </c>
      <c r="C34" s="6" t="s">
        <v>41</v>
      </c>
    </row>
    <row r="35" spans="1:7" ht="12.75" customHeight="1">
      <c r="A35" s="3" t="s">
        <v>42</v>
      </c>
      <c r="B35" s="455" t="s">
        <v>43</v>
      </c>
      <c r="C35" s="485"/>
      <c r="D35" s="486"/>
      <c r="G35" s="12" t="s">
        <v>44</v>
      </c>
    </row>
    <row r="36" spans="1:7" ht="12.75" customHeight="1">
      <c r="A36" s="3" t="s">
        <v>45</v>
      </c>
      <c r="B36" s="13">
        <v>50</v>
      </c>
    </row>
    <row r="37" spans="1:7" ht="12.75" customHeight="1">
      <c r="A37" s="3"/>
    </row>
    <row r="38" spans="1:7" ht="12.75" customHeight="1">
      <c r="A38" s="3" t="s">
        <v>46</v>
      </c>
      <c r="B38" s="10">
        <v>30</v>
      </c>
    </row>
    <row r="39" spans="1:7" ht="12.75" customHeight="1">
      <c r="A39" s="3" t="s">
        <v>47</v>
      </c>
      <c r="B39" s="10">
        <v>50</v>
      </c>
    </row>
    <row r="40" spans="1:7" ht="12.75" customHeight="1">
      <c r="A40" s="3" t="s">
        <v>48</v>
      </c>
      <c r="B40" s="10">
        <v>30</v>
      </c>
      <c r="C40" s="6" t="s">
        <v>41</v>
      </c>
    </row>
    <row r="41" spans="1:7" ht="12.75" customHeight="1"/>
    <row r="42" spans="1:7" ht="12.75" customHeight="1"/>
    <row r="43" spans="1:7" ht="12.75" customHeight="1"/>
    <row r="44" spans="1:7" ht="12.75" customHeight="1"/>
    <row r="45" spans="1:7" ht="12.75" customHeight="1"/>
    <row r="46" spans="1:7" ht="12.75" customHeight="1"/>
    <row r="47" spans="1:7" ht="12.75" customHeight="1"/>
    <row r="48" spans="1:7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spans="11:11" ht="12.75" customHeight="1"/>
    <row r="226" spans="11:11" ht="12.75" customHeight="1"/>
    <row r="227" spans="11:11" ht="12.75" customHeight="1"/>
    <row r="228" spans="11:11" ht="12.75" customHeight="1"/>
    <row r="229" spans="11:11" ht="12.75" customHeight="1"/>
    <row r="230" spans="11:11" ht="12.75" customHeight="1"/>
    <row r="231" spans="11:11" ht="12.75" customHeight="1"/>
    <row r="232" spans="11:11" ht="12.75" customHeight="1"/>
    <row r="233" spans="11:11" ht="12.75" customHeight="1"/>
    <row r="234" spans="11:11" ht="12.75" customHeight="1">
      <c r="K234" s="14" t="s">
        <v>49</v>
      </c>
    </row>
    <row r="235" spans="11:11" ht="12.75" customHeight="1"/>
    <row r="236" spans="11:11" ht="12.75" customHeight="1"/>
    <row r="237" spans="11:11" ht="12.75" customHeight="1"/>
    <row r="238" spans="11:11" ht="12.75" customHeight="1"/>
    <row r="239" spans="11:11" ht="12.75" customHeight="1"/>
    <row r="240" spans="11:11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G12:M13"/>
    <mergeCell ref="B16:G16"/>
    <mergeCell ref="B35:D35"/>
    <mergeCell ref="G2:M2"/>
    <mergeCell ref="G3:M6"/>
    <mergeCell ref="G7:M8"/>
    <mergeCell ref="G9:M9"/>
    <mergeCell ref="G10:M11"/>
  </mergeCells>
  <pageMargins left="0.75" right="0.75" top="0.7" bottom="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workbookViewId="0">
      <selection activeCell="B17" sqref="B17"/>
    </sheetView>
  </sheetViews>
  <sheetFormatPr defaultColWidth="12.5703125" defaultRowHeight="15" customHeight="1"/>
  <cols>
    <col min="1" max="1" width="45.28515625" customWidth="1"/>
    <col min="2" max="2" width="18" bestFit="1" customWidth="1"/>
    <col min="3" max="3" width="14.5703125" customWidth="1"/>
    <col min="4" max="4" width="21.5703125" customWidth="1"/>
    <col min="5" max="5" width="14.5703125" customWidth="1"/>
    <col min="6" max="6" width="14.7109375" customWidth="1"/>
    <col min="7" max="7" width="16.140625" customWidth="1"/>
    <col min="8" max="26" width="11.28515625" customWidth="1"/>
  </cols>
  <sheetData>
    <row r="1" spans="1:26" ht="12.75" customHeight="1">
      <c r="A1" s="1" t="s">
        <v>50</v>
      </c>
      <c r="B1" s="6"/>
      <c r="C1" s="6"/>
      <c r="D1" s="6"/>
      <c r="E1" s="15">
        <f>InfoInicial!E1</f>
        <v>6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>
      <c r="A3" s="16" t="s">
        <v>51</v>
      </c>
      <c r="B3" s="459" t="s">
        <v>52</v>
      </c>
      <c r="C3" s="488"/>
      <c r="D3" s="459" t="s">
        <v>53</v>
      </c>
      <c r="E3" s="489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>
      <c r="A4" s="17"/>
      <c r="B4" s="18" t="s">
        <v>54</v>
      </c>
      <c r="C4" s="18" t="s">
        <v>55</v>
      </c>
      <c r="D4" s="18" t="s">
        <v>54</v>
      </c>
      <c r="E4" s="19" t="s">
        <v>55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>
      <c r="A5" s="20"/>
      <c r="B5" s="21"/>
      <c r="C5" s="21"/>
      <c r="D5" s="21"/>
      <c r="E5" s="21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22" t="s">
        <v>56</v>
      </c>
      <c r="B6" s="23"/>
      <c r="C6" s="23"/>
      <c r="D6" s="23"/>
      <c r="E6" s="23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>
      <c r="A7" s="24" t="s">
        <v>57</v>
      </c>
      <c r="B7" s="25">
        <f>'C. Aux. - Inv AF y Am'!C60*InfoInicial!B31</f>
        <v>211250000</v>
      </c>
      <c r="C7" s="25">
        <v>0</v>
      </c>
      <c r="D7" s="25">
        <v>0</v>
      </c>
      <c r="E7" s="25">
        <v>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>
      <c r="A8" s="24" t="s">
        <v>58</v>
      </c>
      <c r="B8" s="25">
        <f>'C. Aux. - Inv AF y Am'!B90</f>
        <v>975000000</v>
      </c>
      <c r="C8" s="25">
        <v>0</v>
      </c>
      <c r="D8" s="25">
        <v>0</v>
      </c>
      <c r="E8" s="25">
        <v>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>
      <c r="A9" s="24" t="s">
        <v>59</v>
      </c>
      <c r="B9" s="25">
        <v>0</v>
      </c>
      <c r="C9" s="25">
        <v>0</v>
      </c>
      <c r="D9" s="25">
        <v>0</v>
      </c>
      <c r="E9" s="25">
        <v>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>
      <c r="A10" s="24" t="s">
        <v>60</v>
      </c>
      <c r="B10" s="25"/>
      <c r="C10" s="25"/>
      <c r="D10" s="25"/>
      <c r="E10" s="2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>
      <c r="A11" s="24" t="s">
        <v>61</v>
      </c>
      <c r="B11" s="25"/>
      <c r="C11" s="25"/>
      <c r="D11" s="25">
        <f>'C. Aux. - Inv AF y Am'!D121*InfoInicial!B31</f>
        <v>694746000</v>
      </c>
      <c r="E11" s="2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>
      <c r="A12" s="24" t="s">
        <v>62</v>
      </c>
      <c r="B12" s="25"/>
      <c r="C12" s="25"/>
      <c r="D12" s="25"/>
      <c r="E12" s="25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>
      <c r="A13" s="26" t="s">
        <v>63</v>
      </c>
      <c r="B13" s="25"/>
      <c r="C13" s="25"/>
      <c r="D13" s="25">
        <f>'C. Aux. - Inv AF y Am'!C123*InfoInicial!B31</f>
        <v>95894500</v>
      </c>
      <c r="E13" s="2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>
      <c r="A14" s="24" t="s">
        <v>64</v>
      </c>
      <c r="B14" s="25">
        <f>'C. Aux. - Inv AF y Am'!B125</f>
        <v>9000000</v>
      </c>
      <c r="C14" s="25"/>
      <c r="D14" s="25"/>
      <c r="E14" s="2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>
      <c r="A15" s="24" t="s">
        <v>65</v>
      </c>
      <c r="B15" s="25">
        <f>'C. Aux. - Inv AF y Am'!D39</f>
        <v>17123903</v>
      </c>
      <c r="C15" s="25">
        <v>0</v>
      </c>
      <c r="D15" s="25">
        <v>0</v>
      </c>
      <c r="E15" s="25">
        <v>0</v>
      </c>
      <c r="F15" s="11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>
      <c r="A16" s="24" t="s">
        <v>66</v>
      </c>
      <c r="B16" s="25">
        <f>'C. Aux. - Inv AF y Am'!D22</f>
        <v>8033066</v>
      </c>
      <c r="C16" s="25">
        <v>0</v>
      </c>
      <c r="D16" s="25">
        <v>0</v>
      </c>
      <c r="E16" s="25">
        <v>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>
      <c r="A17" s="24" t="s">
        <v>67</v>
      </c>
      <c r="B17" s="25">
        <f>'C. Aux. - Inv AF y Am'!D72*1.5</f>
        <v>9528000</v>
      </c>
      <c r="C17" s="25">
        <v>0</v>
      </c>
      <c r="D17" s="25">
        <v>0</v>
      </c>
      <c r="E17" s="25">
        <v>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>
      <c r="A18" s="24" t="s">
        <v>68</v>
      </c>
      <c r="B18" s="25">
        <f>'C. Aux. - Inv AF y Am'!B82*1.5</f>
        <v>7687500</v>
      </c>
      <c r="C18" s="25">
        <v>0</v>
      </c>
      <c r="D18" s="25">
        <v>0</v>
      </c>
      <c r="E18" s="25">
        <v>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>
      <c r="A19" s="24" t="s">
        <v>20</v>
      </c>
      <c r="B19" s="25">
        <f>SUM(B7:B18)*InfoInicial!B14</f>
        <v>120049379.493</v>
      </c>
      <c r="C19" s="25"/>
      <c r="D19" s="25">
        <f>SUM(D7:D18)*InfoInicial!B14</f>
        <v>76692128.5</v>
      </c>
      <c r="E19" s="25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>
      <c r="A20" s="24"/>
      <c r="B20" s="25"/>
      <c r="C20" s="25"/>
      <c r="D20" s="25"/>
      <c r="E20" s="2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>
      <c r="A21" s="22" t="s">
        <v>69</v>
      </c>
      <c r="B21" s="25">
        <f>SUM(B7:B19)</f>
        <v>1357671848.493</v>
      </c>
      <c r="C21" s="25"/>
      <c r="D21" s="25">
        <f>SUM(D7:D19)</f>
        <v>867332628.5</v>
      </c>
      <c r="E21" s="25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>
      <c r="A22" s="24"/>
      <c r="B22" s="25"/>
      <c r="C22" s="25"/>
      <c r="D22" s="25"/>
      <c r="E22" s="2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>
      <c r="A23" s="22" t="s">
        <v>70</v>
      </c>
      <c r="B23" s="25"/>
      <c r="C23" s="25"/>
      <c r="D23" s="25"/>
      <c r="E23" s="25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>
      <c r="A24" s="24" t="s">
        <v>71</v>
      </c>
      <c r="B24" s="25">
        <f>'C. Aux. - Inv AF y Am'!C108</f>
        <v>32500000</v>
      </c>
      <c r="C24" s="25"/>
      <c r="D24" s="25"/>
      <c r="E24" s="2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>
      <c r="A25" s="24" t="s">
        <v>72</v>
      </c>
      <c r="B25" s="25">
        <f>'C. Aux. - Inv AF y Am'!B135</f>
        <v>1224000</v>
      </c>
      <c r="C25" s="25"/>
      <c r="D25" s="25"/>
      <c r="E25" s="25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>
      <c r="A26" s="24" t="s">
        <v>73</v>
      </c>
      <c r="B26" s="25"/>
      <c r="C26" s="25"/>
      <c r="D26" s="25"/>
      <c r="E26" s="2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>
      <c r="A27" s="26" t="s">
        <v>74</v>
      </c>
      <c r="B27" s="25">
        <v>0</v>
      </c>
      <c r="C27" s="25">
        <f>'CÁLCULOS MP'!F104*InfoInicial!B31</f>
        <v>345465036.63241404</v>
      </c>
      <c r="D27" s="25"/>
      <c r="E27" s="25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>
      <c r="A28" s="26" t="s">
        <v>75</v>
      </c>
      <c r="B28" s="25">
        <f>'C. Aux. - Inv AF y Am'!B105+'C. Aux. - Inv AF y Am'!C99</f>
        <v>22282000</v>
      </c>
      <c r="C28" s="25"/>
      <c r="D28" s="25"/>
      <c r="E28" s="25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>
      <c r="A29" s="26" t="s">
        <v>76</v>
      </c>
      <c r="B29" s="25">
        <f>'C. Aux. - Inv AF y Am'!B51+'C. Aux. - Inv AF y Am'!B52</f>
        <v>2120000</v>
      </c>
      <c r="C29" s="25"/>
      <c r="D29" s="25"/>
      <c r="E29" s="25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>
      <c r="A30" s="26" t="s">
        <v>77</v>
      </c>
      <c r="B30" s="25">
        <v>0</v>
      </c>
      <c r="C30" s="25"/>
      <c r="D30" s="25"/>
      <c r="E30" s="2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>
      <c r="A31" s="24" t="s">
        <v>20</v>
      </c>
      <c r="B31" s="25">
        <f>SUM(B24:B30)*InfoInicial!B5</f>
        <v>4533828</v>
      </c>
      <c r="C31" s="25">
        <f>SUM(C24:C30)*InfoInicial!C4</f>
        <v>0</v>
      </c>
      <c r="D31" s="25"/>
      <c r="E31" s="25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>
      <c r="A32" s="24"/>
      <c r="B32" s="25"/>
      <c r="C32" s="25"/>
      <c r="D32" s="25"/>
      <c r="E32" s="25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>
      <c r="A33" s="22" t="s">
        <v>78</v>
      </c>
      <c r="B33" s="25">
        <f t="shared" ref="B33:C33" si="0">SUM(B24:B31)</f>
        <v>62659828</v>
      </c>
      <c r="C33" s="25">
        <f t="shared" si="0"/>
        <v>345465036.63241404</v>
      </c>
      <c r="D33" s="25"/>
      <c r="E33" s="2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>
      <c r="A34" s="24"/>
      <c r="B34" s="25"/>
      <c r="C34" s="25"/>
      <c r="D34" s="25"/>
      <c r="E34" s="25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>
      <c r="A35" s="22" t="s">
        <v>79</v>
      </c>
      <c r="B35" s="25">
        <f>B21+B33</f>
        <v>1420331676.493</v>
      </c>
      <c r="C35" s="25">
        <f t="shared" ref="C35:E35" si="1">C33+C21</f>
        <v>345465036.63241404</v>
      </c>
      <c r="D35" s="25">
        <f t="shared" si="1"/>
        <v>867332628.5</v>
      </c>
      <c r="E35" s="25">
        <f t="shared" si="1"/>
        <v>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>
      <c r="A36" s="22" t="s">
        <v>80</v>
      </c>
      <c r="B36" s="25">
        <f>B35*InfoInicial!B3</f>
        <v>298269652.06352997</v>
      </c>
      <c r="C36" s="25">
        <f>C35*InfoInicial!B3</f>
        <v>72547657.692806944</v>
      </c>
      <c r="D36" s="25">
        <f>D35*InfoInicial!B3</f>
        <v>182139851.98499998</v>
      </c>
      <c r="E36" s="25">
        <f>E35*InfoInicial!B3</f>
        <v>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>
      <c r="A37" s="24"/>
      <c r="B37" s="25"/>
      <c r="C37" s="25"/>
      <c r="D37" s="25"/>
      <c r="E37" s="2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>
      <c r="A38" s="27" t="s">
        <v>81</v>
      </c>
      <c r="B38" s="28">
        <f t="shared" ref="B38:E38" si="2">B35+B36</f>
        <v>1718601328.55653</v>
      </c>
      <c r="C38" s="28">
        <f t="shared" si="2"/>
        <v>418012694.325221</v>
      </c>
      <c r="D38" s="28">
        <f t="shared" si="2"/>
        <v>1049472480.485</v>
      </c>
      <c r="E38" s="28">
        <f t="shared" si="2"/>
        <v>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>
      <c r="A39" s="29" t="s">
        <v>82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>
      <c r="A41" s="30" t="s">
        <v>83</v>
      </c>
      <c r="B41" s="31" t="s">
        <v>84</v>
      </c>
      <c r="C41" s="31" t="s">
        <v>85</v>
      </c>
      <c r="D41" s="459" t="s">
        <v>86</v>
      </c>
      <c r="E41" s="490"/>
      <c r="F41" s="488"/>
      <c r="G41" s="32" t="s">
        <v>87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>
      <c r="A42" s="33"/>
      <c r="B42" s="18" t="s">
        <v>88</v>
      </c>
      <c r="C42" s="18"/>
      <c r="D42" s="18" t="s">
        <v>89</v>
      </c>
      <c r="E42" s="18" t="s">
        <v>90</v>
      </c>
      <c r="F42" s="18"/>
      <c r="G42" s="34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>
      <c r="A43" s="35" t="s">
        <v>91</v>
      </c>
      <c r="B43" s="36"/>
      <c r="C43" s="36"/>
      <c r="D43" s="36"/>
      <c r="E43" s="36"/>
      <c r="F43" s="37"/>
      <c r="G43" s="38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>
      <c r="A44" s="24"/>
      <c r="B44" s="25"/>
      <c r="C44" s="39"/>
      <c r="D44" s="39"/>
      <c r="E44" s="39"/>
      <c r="F44" s="40"/>
      <c r="G44" s="41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>
      <c r="A45" s="42" t="s">
        <v>67</v>
      </c>
      <c r="B45" s="39">
        <f t="shared" ref="B45:B46" si="3">B17</f>
        <v>9528000</v>
      </c>
      <c r="C45" s="39"/>
      <c r="D45" s="39"/>
      <c r="E45" s="39"/>
      <c r="F45" s="40"/>
      <c r="G45" s="41">
        <f t="shared" ref="G45:G46" si="4">B45</f>
        <v>9528000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>
      <c r="A46" s="42" t="s">
        <v>68</v>
      </c>
      <c r="B46" s="39">
        <f t="shared" si="3"/>
        <v>7687500</v>
      </c>
      <c r="C46" s="39"/>
      <c r="D46" s="39"/>
      <c r="E46" s="39"/>
      <c r="F46" s="40"/>
      <c r="G46" s="41">
        <f t="shared" si="4"/>
        <v>7687500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>
      <c r="A47" s="24" t="s">
        <v>57</v>
      </c>
      <c r="B47" s="25">
        <f t="shared" ref="B47:B48" si="5">B7</f>
        <v>211250000</v>
      </c>
      <c r="C47" s="25"/>
      <c r="D47" s="25"/>
      <c r="E47" s="25"/>
      <c r="F47" s="25"/>
      <c r="G47" s="43">
        <f>B47-D47*3-E47*2</f>
        <v>211250000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>
      <c r="A48" s="24" t="s">
        <v>58</v>
      </c>
      <c r="B48" s="25">
        <f t="shared" si="5"/>
        <v>975000000</v>
      </c>
      <c r="C48" s="23">
        <v>0.03</v>
      </c>
      <c r="D48" s="25">
        <f>B48/30</f>
        <v>32500000</v>
      </c>
      <c r="E48" s="25">
        <f>B48/30</f>
        <v>32500000</v>
      </c>
      <c r="F48" s="25"/>
      <c r="G48" s="43">
        <f>B48-D48*5</f>
        <v>812500000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>
      <c r="A49" s="24" t="s">
        <v>59</v>
      </c>
      <c r="B49" s="25"/>
      <c r="C49" s="44">
        <v>0.1</v>
      </c>
      <c r="D49" s="25">
        <f t="shared" ref="D49:D50" si="6">B49/10</f>
        <v>0</v>
      </c>
      <c r="E49" s="25">
        <f t="shared" ref="E49:E50" si="7">B49/10</f>
        <v>0</v>
      </c>
      <c r="F49" s="25"/>
      <c r="G49" s="43">
        <f t="shared" ref="G49:G53" si="8">B49-D49*3-E49*2</f>
        <v>0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>
      <c r="A50" s="26" t="s">
        <v>60</v>
      </c>
      <c r="B50" s="25">
        <f>SUM(B11:E14)</f>
        <v>799640500</v>
      </c>
      <c r="C50" s="44">
        <v>0.1</v>
      </c>
      <c r="D50" s="25">
        <f t="shared" si="6"/>
        <v>79964050</v>
      </c>
      <c r="E50" s="25">
        <f t="shared" si="7"/>
        <v>79964050</v>
      </c>
      <c r="F50" s="25"/>
      <c r="G50" s="43">
        <f t="shared" si="8"/>
        <v>399820250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>
      <c r="A51" s="26" t="s">
        <v>65</v>
      </c>
      <c r="B51" s="25">
        <f t="shared" ref="B51:B52" si="9">B15</f>
        <v>17123903</v>
      </c>
      <c r="C51" s="44">
        <v>0.2</v>
      </c>
      <c r="D51" s="25">
        <f t="shared" ref="D51:D52" si="10">B51/5</f>
        <v>3424780.6</v>
      </c>
      <c r="E51" s="25">
        <f t="shared" ref="E51:E52" si="11">B51/5</f>
        <v>3424780.6</v>
      </c>
      <c r="F51" s="25"/>
      <c r="G51" s="43">
        <f t="shared" si="8"/>
        <v>0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>
      <c r="A52" s="26" t="s">
        <v>92</v>
      </c>
      <c r="B52" s="25">
        <f t="shared" si="9"/>
        <v>8033066</v>
      </c>
      <c r="C52" s="44">
        <v>0.2</v>
      </c>
      <c r="D52" s="25">
        <f t="shared" si="10"/>
        <v>1606613.2</v>
      </c>
      <c r="E52" s="25">
        <f t="shared" si="11"/>
        <v>1606613.2</v>
      </c>
      <c r="F52" s="25"/>
      <c r="G52" s="43">
        <f t="shared" si="8"/>
        <v>0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>
      <c r="A53" s="26" t="s">
        <v>20</v>
      </c>
      <c r="B53" s="25">
        <f>SUM(B19:D19)</f>
        <v>196741507.993</v>
      </c>
      <c r="C53" s="45"/>
      <c r="D53" s="25">
        <f>B53*InfoInicial!B14</f>
        <v>19083926.275320999</v>
      </c>
      <c r="E53" s="25">
        <f>B53*InfoInicial!B14</f>
        <v>19083926.275320999</v>
      </c>
      <c r="F53" s="25"/>
      <c r="G53" s="43">
        <f t="shared" si="8"/>
        <v>101321876.61639501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>
      <c r="A54" s="46" t="s">
        <v>93</v>
      </c>
      <c r="B54" s="47">
        <f>SUM(B45:B53)</f>
        <v>2225004476.993</v>
      </c>
      <c r="C54" s="44"/>
      <c r="D54" s="47">
        <f t="shared" ref="D54:E54" si="12">SUM(D48:D53)</f>
        <v>136579370.07532099</v>
      </c>
      <c r="E54" s="47">
        <f t="shared" si="12"/>
        <v>136579370.07532099</v>
      </c>
      <c r="F54" s="47"/>
      <c r="G54" s="48">
        <f>SUM(G44:G53)</f>
        <v>1542107626.616395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>
      <c r="A55" s="22"/>
      <c r="B55" s="49"/>
      <c r="C55" s="50"/>
      <c r="D55" s="51"/>
      <c r="E55" s="51"/>
      <c r="F55" s="51"/>
      <c r="G55" s="52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>
      <c r="A56" s="46" t="s">
        <v>94</v>
      </c>
      <c r="B56" s="25">
        <f>SUM(B33:E33)</f>
        <v>408124864.63241404</v>
      </c>
      <c r="C56" s="44">
        <v>0.2</v>
      </c>
      <c r="D56" s="25">
        <f>B56*C56</f>
        <v>81624972.926482812</v>
      </c>
      <c r="E56" s="25">
        <f>B56*C56</f>
        <v>81624972.926482812</v>
      </c>
      <c r="F56" s="25"/>
      <c r="G56" s="43">
        <f>B56-D56*3-E56*2</f>
        <v>0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>
      <c r="A57" s="46"/>
      <c r="B57" s="25"/>
      <c r="C57" s="25"/>
      <c r="D57" s="25"/>
      <c r="E57" s="25"/>
      <c r="F57" s="25"/>
      <c r="G57" s="43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>
      <c r="A58" s="22"/>
      <c r="B58" s="23"/>
      <c r="C58" s="23"/>
      <c r="D58" s="53"/>
      <c r="E58" s="50"/>
      <c r="F58" s="50"/>
      <c r="G58" s="54"/>
      <c r="H58" s="55"/>
      <c r="I58" s="55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>
      <c r="A59" s="27" t="s">
        <v>95</v>
      </c>
      <c r="B59" s="28">
        <f>B54+B56</f>
        <v>2633129341.6254139</v>
      </c>
      <c r="C59" s="28"/>
      <c r="D59" s="28">
        <f t="shared" ref="D59:E59" si="13">D54+D56</f>
        <v>218204343.00180382</v>
      </c>
      <c r="E59" s="28">
        <f t="shared" si="13"/>
        <v>218204343.00180382</v>
      </c>
      <c r="F59" s="28"/>
      <c r="G59" s="56">
        <f>G54+G56</f>
        <v>1542107626.616395</v>
      </c>
      <c r="H59" s="57"/>
      <c r="I59" s="57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2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2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mergeCells count="3">
    <mergeCell ref="B3:C3"/>
    <mergeCell ref="D3:E3"/>
    <mergeCell ref="D41:F41"/>
  </mergeCells>
  <pageMargins left="0.42986111111111103" right="0.75" top="0.55972222222222201" bottom="1.4298611111111099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 summaryRight="0"/>
  </sheetPr>
  <dimension ref="A1:P165"/>
  <sheetViews>
    <sheetView workbookViewId="0">
      <selection activeCell="C61" sqref="C61"/>
    </sheetView>
  </sheetViews>
  <sheetFormatPr defaultColWidth="12.5703125" defaultRowHeight="15" customHeight="1"/>
  <cols>
    <col min="1" max="1" width="35.28515625" customWidth="1"/>
    <col min="2" max="2" width="22" customWidth="1"/>
    <col min="3" max="3" width="20" customWidth="1"/>
    <col min="4" max="4" width="29.42578125" customWidth="1"/>
    <col min="5" max="5" width="22.7109375" customWidth="1"/>
    <col min="6" max="6" width="20.28515625" customWidth="1"/>
    <col min="7" max="7" width="29.42578125" customWidth="1"/>
  </cols>
  <sheetData>
    <row r="1" spans="1:6" ht="15" customHeight="1">
      <c r="A1" s="460" t="s">
        <v>96</v>
      </c>
      <c r="B1" s="491"/>
      <c r="C1" s="491"/>
      <c r="D1" s="491"/>
      <c r="E1" s="492"/>
      <c r="F1" s="493"/>
    </row>
    <row r="2" spans="1:6" ht="15" customHeight="1">
      <c r="A2" s="58" t="s">
        <v>97</v>
      </c>
      <c r="B2" s="58" t="s">
        <v>98</v>
      </c>
      <c r="C2" s="58" t="s">
        <v>99</v>
      </c>
      <c r="D2" s="58" t="s">
        <v>100</v>
      </c>
      <c r="E2" s="58" t="s">
        <v>101</v>
      </c>
      <c r="F2" s="59"/>
    </row>
    <row r="3" spans="1:6" ht="15" customHeight="1">
      <c r="A3" s="60" t="s">
        <v>102</v>
      </c>
      <c r="B3" s="58">
        <v>3</v>
      </c>
      <c r="C3" s="61">
        <v>134679</v>
      </c>
      <c r="D3" s="62">
        <f t="shared" ref="D3:D15" si="0">B3*C3</f>
        <v>404037</v>
      </c>
      <c r="E3" s="59" t="s">
        <v>103</v>
      </c>
      <c r="F3" s="59"/>
    </row>
    <row r="4" spans="1:6" ht="15" customHeight="1">
      <c r="A4" s="63" t="s">
        <v>104</v>
      </c>
      <c r="B4" s="58">
        <v>12</v>
      </c>
      <c r="C4" s="61">
        <v>29334</v>
      </c>
      <c r="D4" s="62">
        <f t="shared" si="0"/>
        <v>352008</v>
      </c>
      <c r="E4" s="64" t="s">
        <v>105</v>
      </c>
    </row>
    <row r="5" spans="1:6" ht="15" customHeight="1">
      <c r="A5" s="63" t="s">
        <v>106</v>
      </c>
      <c r="B5" s="58">
        <v>4</v>
      </c>
      <c r="C5" s="65">
        <v>81299</v>
      </c>
      <c r="D5" s="62">
        <f t="shared" si="0"/>
        <v>325196</v>
      </c>
      <c r="E5" s="64" t="s">
        <v>107</v>
      </c>
      <c r="F5" s="59"/>
    </row>
    <row r="6" spans="1:6" ht="15" customHeight="1">
      <c r="A6" s="63" t="s">
        <v>108</v>
      </c>
      <c r="B6" s="58">
        <v>16</v>
      </c>
      <c r="C6" s="61">
        <v>34484</v>
      </c>
      <c r="D6" s="62">
        <f t="shared" si="0"/>
        <v>551744</v>
      </c>
      <c r="E6" s="64" t="s">
        <v>109</v>
      </c>
      <c r="F6" s="59"/>
    </row>
    <row r="7" spans="1:6" ht="15" customHeight="1">
      <c r="A7" s="63" t="s">
        <v>110</v>
      </c>
      <c r="B7" s="58">
        <v>2</v>
      </c>
      <c r="C7" s="61">
        <v>20076</v>
      </c>
      <c r="D7" s="62">
        <f t="shared" si="0"/>
        <v>40152</v>
      </c>
      <c r="E7" s="59" t="s">
        <v>111</v>
      </c>
      <c r="F7" s="59"/>
    </row>
    <row r="8" spans="1:6" ht="15" customHeight="1">
      <c r="A8" s="63" t="s">
        <v>112</v>
      </c>
      <c r="B8" s="58">
        <v>1</v>
      </c>
      <c r="C8" s="61">
        <v>168556</v>
      </c>
      <c r="D8" s="62">
        <f t="shared" si="0"/>
        <v>168556</v>
      </c>
      <c r="E8" s="64" t="s">
        <v>113</v>
      </c>
      <c r="F8" s="59"/>
    </row>
    <row r="9" spans="1:6" ht="15" customHeight="1">
      <c r="A9" s="63" t="s">
        <v>114</v>
      </c>
      <c r="B9" s="58">
        <v>15</v>
      </c>
      <c r="C9" s="65">
        <v>65999</v>
      </c>
      <c r="D9" s="62">
        <f t="shared" si="0"/>
        <v>989985</v>
      </c>
      <c r="E9" s="64" t="s">
        <v>115</v>
      </c>
      <c r="F9" s="59"/>
    </row>
    <row r="10" spans="1:6" ht="15" customHeight="1">
      <c r="A10" s="63" t="s">
        <v>116</v>
      </c>
      <c r="B10" s="58">
        <v>12</v>
      </c>
      <c r="C10" s="61">
        <v>80999</v>
      </c>
      <c r="D10" s="62">
        <f t="shared" si="0"/>
        <v>971988</v>
      </c>
      <c r="E10" s="64" t="s">
        <v>117</v>
      </c>
      <c r="F10" s="59"/>
    </row>
    <row r="11" spans="1:6" ht="15" customHeight="1">
      <c r="A11" s="63" t="s">
        <v>118</v>
      </c>
      <c r="B11" s="58">
        <v>5</v>
      </c>
      <c r="C11" s="61">
        <v>65999</v>
      </c>
      <c r="D11" s="62">
        <f t="shared" si="0"/>
        <v>329995</v>
      </c>
      <c r="E11" s="64" t="s">
        <v>115</v>
      </c>
      <c r="F11" s="59"/>
    </row>
    <row r="12" spans="1:6" ht="15" customHeight="1">
      <c r="A12" s="63" t="s">
        <v>119</v>
      </c>
      <c r="B12" s="58">
        <v>14</v>
      </c>
      <c r="C12" s="61">
        <v>72584</v>
      </c>
      <c r="D12" s="62">
        <f t="shared" si="0"/>
        <v>1016176</v>
      </c>
      <c r="E12" s="64" t="s">
        <v>120</v>
      </c>
      <c r="F12" s="59"/>
    </row>
    <row r="13" spans="1:6" ht="15" customHeight="1">
      <c r="A13" s="63" t="s">
        <v>121</v>
      </c>
      <c r="B13" s="58">
        <v>2</v>
      </c>
      <c r="C13" s="61">
        <v>47990</v>
      </c>
      <c r="D13" s="62">
        <f t="shared" si="0"/>
        <v>95980</v>
      </c>
      <c r="E13" s="64" t="s">
        <v>122</v>
      </c>
      <c r="F13" s="59"/>
    </row>
    <row r="14" spans="1:6" ht="15" customHeight="1">
      <c r="A14" s="63" t="s">
        <v>123</v>
      </c>
      <c r="B14" s="58">
        <v>6</v>
      </c>
      <c r="C14" s="61">
        <v>188516</v>
      </c>
      <c r="D14" s="62">
        <f t="shared" si="0"/>
        <v>1131096</v>
      </c>
      <c r="E14" s="64" t="s">
        <v>124</v>
      </c>
      <c r="F14" s="59"/>
    </row>
    <row r="15" spans="1:6" ht="15" customHeight="1">
      <c r="A15" s="63" t="s">
        <v>125</v>
      </c>
      <c r="B15" s="58">
        <v>4</v>
      </c>
      <c r="C15" s="61">
        <v>75241</v>
      </c>
      <c r="D15" s="62">
        <f t="shared" si="0"/>
        <v>300964</v>
      </c>
      <c r="E15" s="64" t="s">
        <v>126</v>
      </c>
      <c r="F15" s="59"/>
    </row>
    <row r="16" spans="1:6" ht="15" customHeight="1">
      <c r="A16" s="63" t="s">
        <v>127</v>
      </c>
      <c r="B16" s="58">
        <v>12</v>
      </c>
      <c r="C16" s="61">
        <v>612628</v>
      </c>
      <c r="D16" s="62">
        <f>C16</f>
        <v>612628</v>
      </c>
      <c r="E16" s="64" t="s">
        <v>128</v>
      </c>
      <c r="F16" s="59"/>
    </row>
    <row r="17" spans="1:6" ht="15" customHeight="1">
      <c r="A17" s="63" t="s">
        <v>129</v>
      </c>
      <c r="B17" s="58">
        <v>4</v>
      </c>
      <c r="C17" s="61">
        <v>23991</v>
      </c>
      <c r="D17" s="62">
        <f t="shared" ref="D17:D19" si="1">B17*C17</f>
        <v>95964</v>
      </c>
      <c r="E17" s="64" t="s">
        <v>130</v>
      </c>
      <c r="F17" s="59"/>
    </row>
    <row r="18" spans="1:6" ht="15" customHeight="1">
      <c r="A18" s="63" t="s">
        <v>131</v>
      </c>
      <c r="B18" s="58">
        <v>2</v>
      </c>
      <c r="C18" s="61">
        <v>9390</v>
      </c>
      <c r="D18" s="62">
        <f t="shared" si="1"/>
        <v>18780</v>
      </c>
      <c r="E18" s="64" t="s">
        <v>132</v>
      </c>
      <c r="F18" s="59"/>
    </row>
    <row r="19" spans="1:6" ht="15" customHeight="1">
      <c r="A19" s="63" t="s">
        <v>133</v>
      </c>
      <c r="B19" s="58">
        <v>2</v>
      </c>
      <c r="C19" s="65">
        <v>54625</v>
      </c>
      <c r="D19" s="62">
        <f t="shared" si="1"/>
        <v>109250</v>
      </c>
      <c r="E19" s="64" t="s">
        <v>134</v>
      </c>
      <c r="F19" s="59"/>
    </row>
    <row r="20" spans="1:6" ht="15" customHeight="1">
      <c r="A20" s="66" t="s">
        <v>135</v>
      </c>
      <c r="B20" s="58">
        <v>64</v>
      </c>
      <c r="C20" s="61">
        <v>98164</v>
      </c>
      <c r="D20" s="62">
        <f>C20*2</f>
        <v>196328</v>
      </c>
      <c r="E20" s="64" t="s">
        <v>136</v>
      </c>
      <c r="F20" s="59"/>
    </row>
    <row r="21" spans="1:6" ht="15" customHeight="1">
      <c r="A21" s="66" t="s">
        <v>137</v>
      </c>
      <c r="B21" s="58">
        <v>12</v>
      </c>
      <c r="C21" s="65">
        <v>322239</v>
      </c>
      <c r="D21" s="62">
        <f>C21</f>
        <v>322239</v>
      </c>
      <c r="E21" s="64" t="s">
        <v>138</v>
      </c>
      <c r="F21" s="59"/>
    </row>
    <row r="22" spans="1:6">
      <c r="C22" s="58" t="s">
        <v>100</v>
      </c>
      <c r="D22" s="62">
        <f>SUM(D3:D21)</f>
        <v>8033066</v>
      </c>
    </row>
    <row r="24" spans="1:6" ht="12.6">
      <c r="A24" s="460" t="s">
        <v>139</v>
      </c>
      <c r="B24" s="491"/>
      <c r="C24" s="491"/>
      <c r="D24" s="491"/>
      <c r="E24" s="492"/>
    </row>
    <row r="25" spans="1:6" ht="12.6">
      <c r="A25" s="58" t="s">
        <v>97</v>
      </c>
      <c r="B25" s="58" t="s">
        <v>98</v>
      </c>
      <c r="C25" s="58" t="s">
        <v>99</v>
      </c>
      <c r="D25" s="58" t="s">
        <v>100</v>
      </c>
      <c r="E25" s="58" t="s">
        <v>101</v>
      </c>
    </row>
    <row r="26" spans="1:6" ht="15.6">
      <c r="A26" s="67" t="s">
        <v>140</v>
      </c>
      <c r="B26" s="58">
        <v>10</v>
      </c>
      <c r="C26" s="61">
        <v>2831</v>
      </c>
      <c r="D26" s="65">
        <f t="shared" ref="D26:D38" si="2">B26*C26</f>
        <v>28310</v>
      </c>
      <c r="E26" s="64" t="s">
        <v>141</v>
      </c>
      <c r="F26" s="59"/>
    </row>
    <row r="27" spans="1:6" ht="15.6">
      <c r="A27" s="67" t="s">
        <v>142</v>
      </c>
      <c r="B27" s="58">
        <v>14</v>
      </c>
      <c r="C27" s="61">
        <v>21500</v>
      </c>
      <c r="D27" s="65">
        <f t="shared" si="2"/>
        <v>301000</v>
      </c>
      <c r="E27" s="64" t="s">
        <v>143</v>
      </c>
      <c r="F27" s="59"/>
    </row>
    <row r="28" spans="1:6" ht="15.6">
      <c r="A28" s="67" t="s">
        <v>144</v>
      </c>
      <c r="B28" s="58">
        <v>6</v>
      </c>
      <c r="C28" s="61">
        <v>89179</v>
      </c>
      <c r="D28" s="65">
        <f t="shared" si="2"/>
        <v>535074</v>
      </c>
      <c r="E28" s="64" t="s">
        <v>145</v>
      </c>
      <c r="F28" s="59"/>
    </row>
    <row r="29" spans="1:6" ht="15.6">
      <c r="A29" s="67" t="s">
        <v>146</v>
      </c>
      <c r="B29" s="58">
        <v>4</v>
      </c>
      <c r="C29" s="61">
        <v>14400</v>
      </c>
      <c r="D29" s="65">
        <f t="shared" si="2"/>
        <v>57600</v>
      </c>
      <c r="E29" s="64" t="s">
        <v>147</v>
      </c>
      <c r="F29" s="59"/>
    </row>
    <row r="30" spans="1:6" ht="15.6">
      <c r="A30" s="67" t="s">
        <v>148</v>
      </c>
      <c r="B30" s="58">
        <v>4</v>
      </c>
      <c r="C30" s="61">
        <v>276749</v>
      </c>
      <c r="D30" s="65">
        <f t="shared" si="2"/>
        <v>1106996</v>
      </c>
      <c r="E30" s="68" t="s">
        <v>149</v>
      </c>
      <c r="F30" s="59"/>
    </row>
    <row r="31" spans="1:6" ht="15.6">
      <c r="A31" s="67" t="s">
        <v>150</v>
      </c>
      <c r="B31" s="58">
        <v>6</v>
      </c>
      <c r="C31" s="65">
        <v>16872</v>
      </c>
      <c r="D31" s="65">
        <f t="shared" si="2"/>
        <v>101232</v>
      </c>
      <c r="E31" s="64" t="s">
        <v>151</v>
      </c>
      <c r="F31" s="59"/>
    </row>
    <row r="32" spans="1:6" ht="15.6">
      <c r="A32" s="67" t="s">
        <v>152</v>
      </c>
      <c r="B32" s="58">
        <v>4</v>
      </c>
      <c r="C32" s="61">
        <v>104799</v>
      </c>
      <c r="D32" s="65">
        <f t="shared" si="2"/>
        <v>419196</v>
      </c>
      <c r="E32" s="64" t="s">
        <v>153</v>
      </c>
      <c r="F32" s="59"/>
    </row>
    <row r="33" spans="1:6" ht="15.6">
      <c r="A33" s="67" t="s">
        <v>154</v>
      </c>
      <c r="B33" s="58">
        <v>1</v>
      </c>
      <c r="C33" s="61">
        <v>388778</v>
      </c>
      <c r="D33" s="65">
        <f t="shared" si="2"/>
        <v>388778</v>
      </c>
      <c r="E33" s="64" t="s">
        <v>155</v>
      </c>
      <c r="F33" s="59"/>
    </row>
    <row r="34" spans="1:6" ht="15.6">
      <c r="A34" s="67" t="s">
        <v>156</v>
      </c>
      <c r="B34" s="58">
        <v>4</v>
      </c>
      <c r="C34" s="61">
        <v>19049</v>
      </c>
      <c r="D34" s="65">
        <f t="shared" si="2"/>
        <v>76196</v>
      </c>
      <c r="E34" s="64" t="s">
        <v>157</v>
      </c>
      <c r="F34" s="59"/>
    </row>
    <row r="35" spans="1:6" ht="15.6">
      <c r="A35" s="67" t="s">
        <v>158</v>
      </c>
      <c r="B35" s="58">
        <v>5</v>
      </c>
      <c r="C35" s="61">
        <v>619999</v>
      </c>
      <c r="D35" s="65">
        <f t="shared" si="2"/>
        <v>3099995</v>
      </c>
      <c r="E35" s="64" t="s">
        <v>159</v>
      </c>
      <c r="F35" s="59"/>
    </row>
    <row r="36" spans="1:6" ht="15.6">
      <c r="A36" s="67" t="s">
        <v>160</v>
      </c>
      <c r="B36" s="58">
        <v>15</v>
      </c>
      <c r="C36" s="61">
        <v>631904</v>
      </c>
      <c r="D36" s="65">
        <f t="shared" si="2"/>
        <v>9478560</v>
      </c>
      <c r="E36" s="64" t="s">
        <v>161</v>
      </c>
      <c r="F36" s="59"/>
    </row>
    <row r="37" spans="1:6" ht="15.6">
      <c r="A37" s="67" t="s">
        <v>162</v>
      </c>
      <c r="B37" s="58">
        <v>4</v>
      </c>
      <c r="C37" s="61">
        <v>163399</v>
      </c>
      <c r="D37" s="65">
        <f t="shared" si="2"/>
        <v>653596</v>
      </c>
      <c r="E37" s="64" t="s">
        <v>163</v>
      </c>
      <c r="F37" s="59"/>
    </row>
    <row r="38" spans="1:6" ht="15.6">
      <c r="A38" s="69" t="s">
        <v>164</v>
      </c>
      <c r="B38" s="58">
        <v>2</v>
      </c>
      <c r="C38" s="65">
        <v>438685</v>
      </c>
      <c r="D38" s="65">
        <f t="shared" si="2"/>
        <v>877370</v>
      </c>
      <c r="E38" s="64" t="s">
        <v>165</v>
      </c>
      <c r="F38" s="59"/>
    </row>
    <row r="39" spans="1:6" ht="14.1">
      <c r="C39" s="58" t="s">
        <v>100</v>
      </c>
      <c r="D39" s="62">
        <f>SUM(D26:D38)</f>
        <v>17123903</v>
      </c>
    </row>
    <row r="41" spans="1:6" ht="12.6">
      <c r="A41" s="58" t="s">
        <v>166</v>
      </c>
      <c r="B41" s="70">
        <v>2525828</v>
      </c>
      <c r="C41" s="68" t="s">
        <v>167</v>
      </c>
    </row>
    <row r="42" spans="1:6" ht="12.6">
      <c r="A42" s="58" t="s">
        <v>168</v>
      </c>
      <c r="B42" s="70">
        <v>438685</v>
      </c>
      <c r="C42" s="68" t="s">
        <v>165</v>
      </c>
    </row>
    <row r="43" spans="1:6" ht="12.6">
      <c r="A43" s="58" t="s">
        <v>169</v>
      </c>
      <c r="B43" s="70">
        <f>B42*2</f>
        <v>877370</v>
      </c>
    </row>
    <row r="48" spans="1:6" ht="12.95">
      <c r="A48" s="71" t="s">
        <v>170</v>
      </c>
    </row>
    <row r="50" spans="1:16" ht="12.95">
      <c r="A50" s="72"/>
      <c r="B50" s="73" t="s">
        <v>171</v>
      </c>
      <c r="C50" s="74" t="s">
        <v>172</v>
      </c>
      <c r="D50" s="72"/>
      <c r="N50" s="72"/>
      <c r="O50" s="72"/>
      <c r="P50" s="72"/>
    </row>
    <row r="51" spans="1:16" ht="12.6">
      <c r="A51" s="75" t="s">
        <v>173</v>
      </c>
      <c r="B51" s="70">
        <v>120000</v>
      </c>
      <c r="C51" s="70"/>
      <c r="D51" s="64" t="s">
        <v>174</v>
      </c>
    </row>
    <row r="52" spans="1:16" ht="12.6">
      <c r="A52" s="75" t="s">
        <v>175</v>
      </c>
      <c r="B52" s="70">
        <v>2000000</v>
      </c>
      <c r="C52" s="70"/>
      <c r="D52" s="72" t="s">
        <v>176</v>
      </c>
    </row>
    <row r="53" spans="1:16" ht="12.6">
      <c r="A53" s="75" t="s">
        <v>177</v>
      </c>
      <c r="B53" s="70">
        <f>C53*InfoInicial!B31</f>
        <v>4550000</v>
      </c>
      <c r="C53" s="70">
        <v>3500</v>
      </c>
      <c r="D53" s="68" t="s">
        <v>178</v>
      </c>
    </row>
    <row r="54" spans="1:16" ht="12.6">
      <c r="A54" s="75" t="s">
        <v>179</v>
      </c>
      <c r="B54" s="70">
        <f>C54*InfoInicial!B31</f>
        <v>2210000</v>
      </c>
      <c r="C54" s="70">
        <v>1700</v>
      </c>
      <c r="D54" s="68" t="s">
        <v>180</v>
      </c>
    </row>
    <row r="57" spans="1:16" ht="12.95">
      <c r="A57" s="71" t="s">
        <v>181</v>
      </c>
    </row>
    <row r="59" spans="1:16" ht="12.6">
      <c r="A59" s="75" t="s">
        <v>182</v>
      </c>
      <c r="B59" s="76" t="s">
        <v>183</v>
      </c>
      <c r="C59" s="75" t="s">
        <v>184</v>
      </c>
    </row>
    <row r="60" spans="1:16" ht="12.6">
      <c r="A60" s="75" t="s">
        <v>185</v>
      </c>
      <c r="B60" s="75" t="s">
        <v>171</v>
      </c>
      <c r="C60" s="70">
        <v>162500</v>
      </c>
      <c r="D60" s="64" t="s">
        <v>186</v>
      </c>
    </row>
    <row r="61" spans="1:16" ht="12.6">
      <c r="B61" s="75" t="s">
        <v>172</v>
      </c>
      <c r="C61" s="70">
        <f>C60*InfoInicial!B31</f>
        <v>211250000</v>
      </c>
    </row>
    <row r="63" spans="1:16" ht="12.95">
      <c r="A63" s="71" t="s">
        <v>187</v>
      </c>
    </row>
    <row r="66" spans="1:5" ht="12.95">
      <c r="A66" s="77" t="s">
        <v>188</v>
      </c>
      <c r="B66" s="77" t="s">
        <v>189</v>
      </c>
      <c r="C66" s="77" t="s">
        <v>190</v>
      </c>
      <c r="D66" s="77" t="s">
        <v>191</v>
      </c>
    </row>
    <row r="67" spans="1:5" ht="12.6">
      <c r="A67" s="72" t="s">
        <v>192</v>
      </c>
      <c r="B67" s="72" t="s">
        <v>193</v>
      </c>
      <c r="C67" s="78">
        <v>19000</v>
      </c>
      <c r="D67" s="78">
        <f>C67*120</f>
        <v>2280000</v>
      </c>
    </row>
    <row r="68" spans="1:5" ht="12.6">
      <c r="A68" s="72" t="s">
        <v>194</v>
      </c>
      <c r="B68" s="72" t="s">
        <v>195</v>
      </c>
      <c r="C68" s="78">
        <v>133000</v>
      </c>
      <c r="D68" s="78">
        <f>C68*3</f>
        <v>399000</v>
      </c>
    </row>
    <row r="69" spans="1:5" ht="12.6">
      <c r="A69" s="72" t="s">
        <v>196</v>
      </c>
      <c r="B69" s="72" t="s">
        <v>197</v>
      </c>
      <c r="C69" s="78">
        <v>74000</v>
      </c>
      <c r="D69" s="78">
        <f>C69*2</f>
        <v>148000</v>
      </c>
    </row>
    <row r="70" spans="1:5" ht="12.6">
      <c r="A70" s="72" t="s">
        <v>198</v>
      </c>
      <c r="B70" s="72" t="s">
        <v>199</v>
      </c>
      <c r="C70" s="78">
        <v>624000</v>
      </c>
      <c r="D70" s="78">
        <f>C70*4</f>
        <v>2496000</v>
      </c>
    </row>
    <row r="71" spans="1:5" ht="12.6">
      <c r="A71" s="79" t="s">
        <v>200</v>
      </c>
      <c r="B71" s="79" t="s">
        <v>201</v>
      </c>
      <c r="C71" s="80">
        <v>34300</v>
      </c>
      <c r="D71" s="80">
        <f>C71*30</f>
        <v>1029000</v>
      </c>
    </row>
    <row r="72" spans="1:5" ht="12.6">
      <c r="C72" s="72" t="s">
        <v>191</v>
      </c>
      <c r="D72" s="78">
        <f>SUM(D67:D71)</f>
        <v>6352000</v>
      </c>
      <c r="E72" s="72" t="s">
        <v>202</v>
      </c>
    </row>
    <row r="74" spans="1:5" ht="12.95">
      <c r="A74" s="71" t="s">
        <v>203</v>
      </c>
    </row>
    <row r="76" spans="1:5" ht="12.95">
      <c r="A76" s="77" t="s">
        <v>188</v>
      </c>
      <c r="B76" s="77" t="s">
        <v>204</v>
      </c>
    </row>
    <row r="77" spans="1:5" ht="12.6">
      <c r="A77" s="72" t="s">
        <v>205</v>
      </c>
      <c r="B77" s="78">
        <f>1200000*2</f>
        <v>2400000</v>
      </c>
    </row>
    <row r="78" spans="1:5" ht="12.6">
      <c r="A78" s="72" t="s">
        <v>206</v>
      </c>
      <c r="B78" s="78">
        <v>500000</v>
      </c>
    </row>
    <row r="79" spans="1:5" ht="12.6">
      <c r="A79" s="72" t="s">
        <v>207</v>
      </c>
      <c r="B79" s="78">
        <v>300000</v>
      </c>
      <c r="C79" s="72"/>
    </row>
    <row r="80" spans="1:5" ht="12.6">
      <c r="A80" s="72" t="s">
        <v>208</v>
      </c>
      <c r="B80" s="78">
        <v>350000</v>
      </c>
    </row>
    <row r="81" spans="1:4" ht="12.6">
      <c r="A81" s="79" t="s">
        <v>209</v>
      </c>
      <c r="B81" s="80">
        <v>1575000</v>
      </c>
    </row>
    <row r="82" spans="1:4" ht="12.6">
      <c r="A82" s="72" t="s">
        <v>191</v>
      </c>
      <c r="B82" s="78">
        <f>SUM(B77:B81)</f>
        <v>5125000</v>
      </c>
      <c r="C82" s="72" t="s">
        <v>202</v>
      </c>
    </row>
    <row r="83" spans="1:4" ht="12.6">
      <c r="A83" s="72" t="s">
        <v>210</v>
      </c>
      <c r="B83" s="78">
        <f>B82*1.5</f>
        <v>7687500</v>
      </c>
    </row>
    <row r="85" spans="1:4" ht="12.95">
      <c r="A85" s="71" t="s">
        <v>211</v>
      </c>
      <c r="B85" s="78"/>
      <c r="C85" s="72"/>
    </row>
    <row r="86" spans="1:4" ht="12.6">
      <c r="A86" s="72"/>
      <c r="B86" s="78"/>
      <c r="C86" s="72"/>
    </row>
    <row r="87" spans="1:4" ht="12.95">
      <c r="A87" s="81"/>
      <c r="B87" s="82" t="s">
        <v>171</v>
      </c>
      <c r="C87" s="81" t="s">
        <v>172</v>
      </c>
    </row>
    <row r="88" spans="1:4" ht="12.6">
      <c r="A88" s="72" t="s">
        <v>212</v>
      </c>
      <c r="B88" s="78">
        <f>C88*InfoInicial!B31</f>
        <v>780000</v>
      </c>
      <c r="C88" s="78">
        <v>600</v>
      </c>
      <c r="D88" s="64" t="s">
        <v>213</v>
      </c>
    </row>
    <row r="89" spans="1:4" ht="12.6">
      <c r="A89" s="79" t="s">
        <v>214</v>
      </c>
      <c r="B89" s="79">
        <v>1250</v>
      </c>
      <c r="C89" s="79"/>
    </row>
    <row r="90" spans="1:4" ht="12.6">
      <c r="A90" s="72"/>
      <c r="B90" s="78">
        <f>B89*B88</f>
        <v>975000000</v>
      </c>
    </row>
    <row r="92" spans="1:4" ht="12.95">
      <c r="A92" s="71" t="s">
        <v>215</v>
      </c>
    </row>
    <row r="94" spans="1:4" ht="12.6">
      <c r="A94" s="72" t="s">
        <v>216</v>
      </c>
      <c r="B94" s="64" t="s">
        <v>217</v>
      </c>
    </row>
    <row r="96" spans="1:4" ht="12.95">
      <c r="A96" s="72"/>
      <c r="B96" s="74" t="s">
        <v>218</v>
      </c>
      <c r="C96" s="74" t="s">
        <v>171</v>
      </c>
    </row>
    <row r="97" spans="1:3" ht="12.6">
      <c r="A97" s="75" t="s">
        <v>219</v>
      </c>
      <c r="B97" s="78">
        <v>1070</v>
      </c>
      <c r="C97" s="70">
        <f>B97*InfoInicial!B31</f>
        <v>1391000</v>
      </c>
    </row>
    <row r="98" spans="1:3" ht="12.6">
      <c r="A98" s="75" t="s">
        <v>220</v>
      </c>
      <c r="B98" s="75">
        <v>2</v>
      </c>
      <c r="C98" s="75"/>
    </row>
    <row r="99" spans="1:3" ht="12.6">
      <c r="A99" s="75" t="s">
        <v>221</v>
      </c>
      <c r="B99" s="70">
        <f>B97*B98</f>
        <v>2140</v>
      </c>
      <c r="C99" s="70">
        <f>B99*InfoInicial!B31</f>
        <v>2782000</v>
      </c>
    </row>
    <row r="100" spans="1:3" ht="12.6">
      <c r="A100" s="72"/>
    </row>
    <row r="101" spans="1:3" ht="12.95">
      <c r="A101" s="71" t="s">
        <v>222</v>
      </c>
    </row>
    <row r="103" spans="1:3" ht="12.6">
      <c r="A103" s="72" t="s">
        <v>223</v>
      </c>
      <c r="B103" s="68" t="s">
        <v>224</v>
      </c>
    </row>
    <row r="104" spans="1:3" ht="12.95">
      <c r="A104" s="74" t="s">
        <v>225</v>
      </c>
      <c r="B104" s="74" t="s">
        <v>226</v>
      </c>
    </row>
    <row r="105" spans="1:3" ht="12.6">
      <c r="A105" s="70">
        <v>15000</v>
      </c>
      <c r="B105" s="70">
        <f>A105*InfoInicial!B31</f>
        <v>19500000</v>
      </c>
    </row>
    <row r="107" spans="1:3" ht="12.95">
      <c r="A107" s="71" t="s">
        <v>227</v>
      </c>
      <c r="B107" s="75" t="s">
        <v>225</v>
      </c>
      <c r="C107" s="75" t="s">
        <v>226</v>
      </c>
    </row>
    <row r="108" spans="1:3" ht="12.6">
      <c r="B108" s="70">
        <v>25000</v>
      </c>
      <c r="C108" s="70">
        <f>B108*InfoInicial!B31</f>
        <v>32500000</v>
      </c>
    </row>
    <row r="111" spans="1:3" ht="12.95">
      <c r="A111" s="71" t="s">
        <v>228</v>
      </c>
    </row>
    <row r="113" spans="1:6" ht="12.6">
      <c r="A113" s="58" t="s">
        <v>229</v>
      </c>
      <c r="B113" s="58" t="s">
        <v>230</v>
      </c>
      <c r="C113" s="58" t="s">
        <v>231</v>
      </c>
      <c r="D113" s="58" t="s">
        <v>232</v>
      </c>
    </row>
    <row r="114" spans="1:6" ht="12.6">
      <c r="A114" s="58" t="s">
        <v>233</v>
      </c>
      <c r="B114" s="58">
        <v>6</v>
      </c>
      <c r="C114" s="83">
        <v>14950</v>
      </c>
      <c r="D114" s="83">
        <f t="shared" ref="D114:D119" si="3">B114*C114</f>
        <v>89700</v>
      </c>
    </row>
    <row r="115" spans="1:6" ht="12.6">
      <c r="A115" s="58" t="s">
        <v>234</v>
      </c>
      <c r="B115" s="58">
        <v>1</v>
      </c>
      <c r="C115" s="83">
        <v>18800</v>
      </c>
      <c r="D115" s="83">
        <f t="shared" si="3"/>
        <v>18800</v>
      </c>
    </row>
    <row r="116" spans="1:6" ht="12.6">
      <c r="A116" s="58" t="s">
        <v>235</v>
      </c>
      <c r="B116" s="58">
        <v>5</v>
      </c>
      <c r="C116" s="83">
        <v>69000</v>
      </c>
      <c r="D116" s="83">
        <f t="shared" si="3"/>
        <v>345000</v>
      </c>
    </row>
    <row r="117" spans="1:6" ht="12.6">
      <c r="A117" s="58" t="s">
        <v>236</v>
      </c>
      <c r="B117" s="58">
        <v>3</v>
      </c>
      <c r="C117" s="83">
        <v>22000</v>
      </c>
      <c r="D117" s="83">
        <f t="shared" si="3"/>
        <v>66000</v>
      </c>
    </row>
    <row r="118" spans="1:6" ht="12.6">
      <c r="A118" s="58" t="s">
        <v>237</v>
      </c>
      <c r="B118" s="58">
        <v>2</v>
      </c>
      <c r="C118" s="83">
        <v>2960</v>
      </c>
      <c r="D118" s="83">
        <f t="shared" si="3"/>
        <v>5920</v>
      </c>
    </row>
    <row r="119" spans="1:6" ht="12.6">
      <c r="A119" s="58" t="s">
        <v>238</v>
      </c>
      <c r="B119" s="58">
        <v>1</v>
      </c>
      <c r="C119" s="83">
        <v>7000</v>
      </c>
      <c r="D119" s="83">
        <f t="shared" si="3"/>
        <v>7000</v>
      </c>
    </row>
    <row r="120" spans="1:6" ht="12.6">
      <c r="C120" s="58" t="s">
        <v>100</v>
      </c>
      <c r="D120" s="83">
        <f>SUM(D113:D119)</f>
        <v>532420</v>
      </c>
      <c r="E120" s="72" t="s">
        <v>239</v>
      </c>
      <c r="F120" s="84">
        <v>2000</v>
      </c>
    </row>
    <row r="121" spans="1:6" ht="12.6">
      <c r="C121" s="83" t="s">
        <v>240</v>
      </c>
      <c r="D121" s="83">
        <f>D120+F120</f>
        <v>534420</v>
      </c>
    </row>
    <row r="123" spans="1:6" ht="12.6">
      <c r="A123" s="494" t="s">
        <v>241</v>
      </c>
      <c r="B123" s="480"/>
      <c r="C123" s="85">
        <v>73765</v>
      </c>
    </row>
    <row r="125" spans="1:6" ht="12.6">
      <c r="A125" s="72" t="s">
        <v>242</v>
      </c>
      <c r="B125" s="78">
        <f>SUM(B114:B119)*500000</f>
        <v>9000000</v>
      </c>
    </row>
    <row r="128" spans="1:6" ht="12.95">
      <c r="A128" s="71" t="s">
        <v>243</v>
      </c>
    </row>
    <row r="130" spans="1:5" ht="12.6">
      <c r="A130" s="72" t="s">
        <v>244</v>
      </c>
      <c r="B130" s="86">
        <v>600000</v>
      </c>
      <c r="D130" s="480"/>
      <c r="E130" s="480"/>
    </row>
    <row r="131" spans="1:5" ht="12.6">
      <c r="A131" s="72" t="s">
        <v>245</v>
      </c>
      <c r="B131" s="86">
        <v>4000</v>
      </c>
    </row>
    <row r="132" spans="1:5" ht="12.6">
      <c r="A132" s="72" t="s">
        <v>246</v>
      </c>
      <c r="B132" s="86">
        <v>150000</v>
      </c>
    </row>
    <row r="133" spans="1:5" ht="12.6">
      <c r="A133" s="72" t="s">
        <v>247</v>
      </c>
      <c r="B133" s="86">
        <v>120000</v>
      </c>
    </row>
    <row r="134" spans="1:5" ht="12.6">
      <c r="A134" s="79" t="s">
        <v>248</v>
      </c>
      <c r="B134" s="80">
        <v>350000</v>
      </c>
      <c r="C134" s="86"/>
      <c r="D134" s="86"/>
      <c r="E134" s="86"/>
    </row>
    <row r="135" spans="1:5" ht="12.95">
      <c r="A135" s="71" t="s">
        <v>249</v>
      </c>
      <c r="B135" s="78">
        <f>SUM(B130:B134)</f>
        <v>1224000</v>
      </c>
      <c r="C135" s="86"/>
      <c r="D135" s="86"/>
      <c r="E135" s="86"/>
    </row>
    <row r="136" spans="1:5" ht="12.6">
      <c r="B136" s="86"/>
      <c r="C136" s="86"/>
      <c r="D136" s="86"/>
      <c r="E136" s="86"/>
    </row>
    <row r="137" spans="1:5" ht="12.6">
      <c r="B137" s="86"/>
      <c r="C137" s="86"/>
      <c r="D137" s="86"/>
      <c r="E137" s="86"/>
    </row>
    <row r="138" spans="1:5" ht="12.6">
      <c r="B138" s="86"/>
      <c r="C138" s="86"/>
      <c r="D138" s="86"/>
      <c r="E138" s="86"/>
    </row>
    <row r="139" spans="1:5" ht="12.6">
      <c r="B139" s="86"/>
      <c r="C139" s="86"/>
      <c r="D139" s="86"/>
      <c r="E139" s="86"/>
    </row>
    <row r="140" spans="1:5" ht="12.6">
      <c r="B140" s="86"/>
      <c r="C140" s="86"/>
      <c r="D140" s="86"/>
      <c r="E140" s="86"/>
    </row>
    <row r="141" spans="1:5" ht="12.6">
      <c r="B141" s="86"/>
      <c r="C141" s="86"/>
      <c r="D141" s="86"/>
      <c r="E141" s="86"/>
    </row>
    <row r="142" spans="1:5" ht="12.6">
      <c r="B142" s="86"/>
      <c r="C142" s="86"/>
      <c r="D142" s="86"/>
      <c r="E142" s="86"/>
    </row>
    <row r="143" spans="1:5" ht="12.6">
      <c r="B143" s="86"/>
      <c r="C143" s="86"/>
      <c r="D143" s="86"/>
      <c r="E143" s="86"/>
    </row>
    <row r="144" spans="1:5" ht="12.6">
      <c r="B144" s="86"/>
      <c r="C144" s="86"/>
      <c r="D144" s="86"/>
      <c r="E144" s="86"/>
    </row>
    <row r="145" spans="2:5" ht="12.6">
      <c r="B145" s="86"/>
      <c r="C145" s="86"/>
      <c r="D145" s="86"/>
      <c r="E145" s="86"/>
    </row>
    <row r="146" spans="2:5" ht="12.6">
      <c r="B146" s="86"/>
      <c r="C146" s="86"/>
      <c r="D146" s="86"/>
      <c r="E146" s="86"/>
    </row>
    <row r="147" spans="2:5" ht="12.6">
      <c r="B147" s="86"/>
      <c r="C147" s="86"/>
      <c r="D147" s="86"/>
      <c r="E147" s="86"/>
    </row>
    <row r="148" spans="2:5" ht="12.6">
      <c r="B148" s="86"/>
      <c r="C148" s="86"/>
      <c r="D148" s="86"/>
      <c r="E148" s="86"/>
    </row>
    <row r="149" spans="2:5" ht="12.6">
      <c r="B149" s="86"/>
      <c r="C149" s="86"/>
      <c r="D149" s="86"/>
      <c r="E149" s="86"/>
    </row>
    <row r="150" spans="2:5" ht="12.6">
      <c r="B150" s="86"/>
      <c r="C150" s="86"/>
      <c r="D150" s="86"/>
      <c r="E150" s="86"/>
    </row>
    <row r="151" spans="2:5" ht="12.6">
      <c r="B151" s="86"/>
      <c r="C151" s="86"/>
      <c r="D151" s="86"/>
      <c r="E151" s="86"/>
    </row>
    <row r="152" spans="2:5" ht="12.6">
      <c r="B152" s="86"/>
      <c r="C152" s="86"/>
      <c r="D152" s="86"/>
      <c r="E152" s="86"/>
    </row>
    <row r="153" spans="2:5" ht="12.6">
      <c r="B153" s="86"/>
      <c r="C153" s="86"/>
      <c r="D153" s="86"/>
      <c r="E153" s="86"/>
    </row>
    <row r="154" spans="2:5" ht="12.6">
      <c r="B154" s="86"/>
      <c r="C154" s="86"/>
      <c r="D154" s="86"/>
      <c r="E154" s="86"/>
    </row>
    <row r="155" spans="2:5" ht="12.6">
      <c r="B155" s="86"/>
      <c r="C155" s="86"/>
      <c r="D155" s="86"/>
      <c r="E155" s="86"/>
    </row>
    <row r="156" spans="2:5" ht="12.6">
      <c r="B156" s="86"/>
      <c r="C156" s="86"/>
      <c r="D156" s="86"/>
      <c r="E156" s="86"/>
    </row>
    <row r="157" spans="2:5" ht="12.6">
      <c r="B157" s="86"/>
      <c r="C157" s="86"/>
      <c r="D157" s="86"/>
      <c r="E157" s="86"/>
    </row>
    <row r="158" spans="2:5" ht="12.6">
      <c r="B158" s="86"/>
      <c r="C158" s="86"/>
      <c r="D158" s="86"/>
      <c r="E158" s="86"/>
    </row>
    <row r="159" spans="2:5" ht="12.6">
      <c r="B159" s="86"/>
      <c r="C159" s="86"/>
      <c r="D159" s="86"/>
      <c r="E159" s="86"/>
    </row>
    <row r="160" spans="2:5" ht="12.6">
      <c r="B160" s="86"/>
      <c r="C160" s="86"/>
      <c r="D160" s="86"/>
      <c r="E160" s="86"/>
    </row>
    <row r="161" spans="2:5" ht="12.6">
      <c r="B161" s="86"/>
      <c r="C161" s="86"/>
      <c r="D161" s="86"/>
      <c r="E161" s="86"/>
    </row>
    <row r="162" spans="2:5" ht="12.6">
      <c r="B162" s="86"/>
      <c r="C162" s="86"/>
      <c r="D162" s="86"/>
      <c r="E162" s="86"/>
    </row>
    <row r="163" spans="2:5" ht="12.6">
      <c r="B163" s="86"/>
      <c r="C163" s="86"/>
      <c r="D163" s="86"/>
      <c r="E163" s="86"/>
    </row>
    <row r="164" spans="2:5" ht="12.6">
      <c r="B164" s="86"/>
      <c r="C164" s="86"/>
      <c r="D164" s="86"/>
      <c r="E164" s="86"/>
    </row>
    <row r="165" spans="2:5" ht="12.6">
      <c r="B165" s="86"/>
      <c r="C165" s="86"/>
      <c r="D165" s="86"/>
      <c r="E165" s="86"/>
    </row>
  </sheetData>
  <mergeCells count="4">
    <mergeCell ref="A1:E1"/>
    <mergeCell ref="A24:E24"/>
    <mergeCell ref="A123:B123"/>
    <mergeCell ref="D130:E130"/>
  </mergeCells>
  <hyperlinks>
    <hyperlink ref="E3" r:id="rId1" location="polycard_client=search-nordic&amp;searchVariation=MLA28530583&amp;backend_model=search-backend&amp;wid=MLA1477985933&amp;position=6&amp;search_layout=grid&amp;type=product&amp;tracking_id=71c6694a-933b-4410-b2a0-4ecbe665bfed&amp;sid=search" xr:uid="{00000000-0004-0000-0200-000000000000}"/>
    <hyperlink ref="E4" r:id="rId2" location="polycard_client=search-nordic&amp;searchVariation=MLA23829534&amp;wid=MLA2271277652&amp;position=16&amp;search_layout=grid&amp;type=product&amp;tracking_id=af76bd0f-a8eb-4f24-9f07-c4ab71de3243&amp;sid=search" xr:uid="{00000000-0004-0000-0200-000001000000}"/>
    <hyperlink ref="E5" r:id="rId3" location="polycard_client=search-nordic&amp;searchVariation=MLA35012645&amp;wid=MLA1418200317&amp;position=4&amp;search_layout=grid&amp;type=product&amp;tracking_id=66e5ed12-2013-47e0-86f6-e4ab8ed83d19&amp;sid=search" xr:uid="{00000000-0004-0000-0200-000002000000}"/>
    <hyperlink ref="E6" r:id="rId4" location="polycard_client=search-nordic&amp;searchVariation=174238678815&amp;position=31&amp;search_layout=grid&amp;type=item&amp;tracking_id=e1b67c4c-af20-4307-b6d8-7b5e34a787cd" xr:uid="{00000000-0004-0000-0200-000003000000}"/>
    <hyperlink ref="E7" r:id="rId5" location="polycard_client=search-nordic&amp;searchVariation=MLA52843818&amp;wid=MLA2186178562&amp;position=5&amp;search_layout=grid&amp;type=product&amp;tracking_id=c1110d7d-01ca-4c87-bc00-8ed6602c3c3d&amp;sid=search" xr:uid="{00000000-0004-0000-0200-000004000000}"/>
    <hyperlink ref="E8" r:id="rId6" location="polycard_client=search-nordic&amp;searchVariation=MLA37524426&amp;wid=MLA2085610346&amp;position=4&amp;search_layout=grid&amp;type=product&amp;tracking_id=0932ea22-4e37-446e-a16c-a07cc711af3f&amp;sid=search" xr:uid="{00000000-0004-0000-0200-000005000000}"/>
    <hyperlink ref="E9" r:id="rId7" location="polycard_client=search-nordic&amp;searchVariation=MLA25772158&amp;wid=MLA1398196809&amp;position=23&amp;search_layout=grid&amp;type=product&amp;tracking_id=a45b7b62-b275-469c-adab-bba7621b39df&amp;sid=search" xr:uid="{00000000-0004-0000-0200-000006000000}"/>
    <hyperlink ref="E10" r:id="rId8" location="polycard_client=search-nordic&amp;searchVariation=MLA28697087&amp;wid=MLA1905637978&amp;position=4&amp;search_layout=grid&amp;type=product&amp;tracking_id=2d4fad02-85af-41e8-9408-0340c14f6097&amp;sid=search" xr:uid="{00000000-0004-0000-0200-000007000000}"/>
    <hyperlink ref="E11" r:id="rId9" location="polycard_client=search-nordic&amp;searchVariation=MLA25772158&amp;wid=MLA1398196809&amp;position=23&amp;search_layout=grid&amp;type=product&amp;tracking_id=a45b7b62-b275-469c-adab-bba7621b39df&amp;sid=search" xr:uid="{00000000-0004-0000-0200-000008000000}"/>
    <hyperlink ref="E12" r:id="rId10" location="polycard_client=search-nordic&amp;searchVariation=MLA42445941&amp;wid=MLA1964272712&amp;position=7&amp;search_layout=grid&amp;type=product&amp;tracking_id=4e62f608-2610-47b0-95af-99312d3e9ea2&amp;sid=search" xr:uid="{00000000-0004-0000-0200-000009000000}"/>
    <hyperlink ref="E13" r:id="rId11" location="polycard_client=search-nordic&amp;searchVariation=MLA23839169&amp;wid=MLA1472131439&amp;position=5&amp;search_layout=grid&amp;type=product&amp;tracking_id=c12a4fc5-bcee-479b-8dbe-ceab27117bf4&amp;sid=search" xr:uid="{00000000-0004-0000-0200-00000A000000}"/>
    <hyperlink ref="E14" r:id="rId12" location="polycard_client=search-nordic&amp;searchVariation=MLA50845595&amp;wid=MLA2215256670&amp;position=4&amp;search_layout=grid&amp;type=product&amp;tracking_id=baa560b3-be5e-4d43-85fe-06829ed36ee3&amp;sid=search" xr:uid="{00000000-0004-0000-0200-00000B000000}"/>
    <hyperlink ref="E15" r:id="rId13" location="polycard_client=search-nordic&amp;searchVariation=181217673610&amp;position=57&amp;search_layout=grid&amp;type=item&amp;tracking_id=dea5c3a7-4839-4eaa-9983-bf1998a2dcdd" xr:uid="{00000000-0004-0000-0200-00000C000000}"/>
    <hyperlink ref="E16" r:id="rId14" location="is_advertising=true&amp;searchVariation=182767673083&amp;backend_model=search-backend&amp;position=1&amp;search_layout=grid&amp;type=pad&amp;tracking_id=ad2e654e-c51b-451e-8f1d-432ff849d01c&amp;is_advertising=true&amp;ad_domain=VQCATCORE_LST&amp;ad_position=1&amp;ad_click_id=MTNhZGQ4ODEtOTY5OC00M2FlLTljZDctMjkxZDFkMmNhNWU4" xr:uid="{00000000-0004-0000-0200-00000D000000}"/>
    <hyperlink ref="E17" r:id="rId15" location="polycard_client=search-nordic&amp;searchVariation=186863106697&amp;position=38&amp;search_layout=grid&amp;type=item&amp;tracking_id=3b35a17a-d86b-419c-b8e4-f78917b25142" xr:uid="{00000000-0004-0000-0200-00000E000000}"/>
    <hyperlink ref="E18" r:id="rId16" location="wid=MLA1807778750&amp;sid=search&amp;is_advertising=true&amp;searchVariation=MLA34134266&amp;backend_model=search-backend&amp;position=1&amp;search_layout=grid&amp;type=pad&amp;tracking_id=4a4c48dd-1490-41e8-8de7-2a4c12e7156a&amp;is_advertising=true&amp;ad_domain=VQCATCORE_LST&amp;ad_position=1&amp;ad_click_id=NTEzNDE0OTctYjEyMC00MDk1LWFhNGUtZWRlOWE0YmYzZDg1" xr:uid="{00000000-0004-0000-0200-00000F000000}"/>
    <hyperlink ref="E19" r:id="rId17" location="polycard_client=search-nordic&amp;searchVariation=MLA37737585&amp;wid=MLA1831629870&amp;position=13&amp;search_layout=grid&amp;type=product&amp;tracking_id=af85aa43-c4f1-4e24-8460-1c5336a15a3a&amp;sid=search" xr:uid="{00000000-0004-0000-0200-000010000000}"/>
    <hyperlink ref="E20" r:id="rId18" location="polycard_client=search-nordic&amp;position=22&amp;search_layout=grid&amp;type=item&amp;tracking_id=8962efd5-362f-4597-a02d-595a55f1ff39&amp;wid=MLA1124027479&amp;sid=search" xr:uid="{00000000-0004-0000-0200-000011000000}"/>
    <hyperlink ref="E21" r:id="rId19" location="polycard_client=search-nordic&amp;searchVariation=61941586109&amp;position=17&amp;search_layout=grid&amp;type=item&amp;tracking_id=edf4c3fc-0536-4f9c-9597-227f1ce3f421" xr:uid="{00000000-0004-0000-0200-000012000000}"/>
    <hyperlink ref="E26" r:id="rId20" location="polycard_client=search-nordic&amp;searchVariation=MLA52220717&amp;wid=MLA2185827974&amp;position=18&amp;search_layout=grid&amp;type=product&amp;tracking_id=0240d003-55c1-4f1e-a8df-7cecd2bb7534&amp;sid=search" xr:uid="{00000000-0004-0000-0200-000013000000}"/>
    <hyperlink ref="E27" r:id="rId21" location="wid=MLA1480424714&amp;sid=search&amp;is_advertising=true&amp;searchVariation=MLA26360634&amp;backend_model=search-backend&amp;position=2&amp;search_layout=stack&amp;type=pad&amp;tracking_id=5f679f02-8833-44e3-87db-24b653d43fd9&amp;is_advertising=true&amp;ad_domain=VQCATCORE_LST&amp;ad_position=2&amp;ad_click_id=MTljMDY3OTctY2QwZi00MDMxLTlmZGQtOGY4NjEwZmU1Y2Vh" xr:uid="{00000000-0004-0000-0200-000014000000}"/>
    <hyperlink ref="E28" r:id="rId22" location="is_advertising=true&amp;searchVariation=15873553124&amp;backend_model=search-backend&amp;position=3&amp;search_layout=grid&amp;type=pad&amp;tracking_id=be724187-60f5-4e51-a256-d4c073c9a6c3&amp;is_advertising=true&amp;ad_domain=VQCATCORE_LST&amp;ad_position=3&amp;ad_click_id=YmZkYTZmNTgtNmM0ZS00YWI5LWJjY2ItNjBkNjYwN2Q3NTI0" xr:uid="{00000000-0004-0000-0200-000015000000}"/>
    <hyperlink ref="E29" r:id="rId23" location="is_advertising=true&amp;searchVariation=186391418629&amp;backend_model=search-backend&amp;position=8&amp;search_layout=grid&amp;type=pad&amp;tracking_id=607661ae-1f9b-4b22-a31d-58361221510b&amp;is_advertising=true&amp;ad_domain=VQCATCORE_LST&amp;ad_position=8&amp;ad_click_id=ZGU1YTM3MjYtMTY0MS00OGIyLTkxZmYtOWZiN2U3YTA0NTVl" xr:uid="{00000000-0004-0000-0200-000016000000}"/>
    <hyperlink ref="E30" r:id="rId24" location="polycard_client=search-nordic&amp;searchVariation=188767880075&amp;position=21&amp;search_layout=grid&amp;type=item&amp;tracking_id=e6d41f5b-3a42-4d30-9313-a15d92cc5846" xr:uid="{00000000-0004-0000-0200-000017000000}"/>
    <hyperlink ref="E31" r:id="rId25" location="is_advertising=true&amp;backend_model=search-backend&amp;position=3&amp;search_layout=grid&amp;type=pad&amp;tracking_id=f021687f-ea43-4d0c-9e68-253307cecea9&amp;is_advertising=true&amp;ad_domain=VQCATCORE_LST&amp;ad_position=3&amp;ad_click_id=YjNmYjQyMGMtYjQ4Yi00ZGNlLWI0ODUtNThlMzY0MGY4NjMz" xr:uid="{00000000-0004-0000-0200-000018000000}"/>
    <hyperlink ref="E32" r:id="rId26" location="polycard_client=search_best-seller&amp;tracking_id=78d08ac2-7f3e-437f-9696-aff864c61617&amp;wid=MLA1967730220&amp;sid=search" xr:uid="{00000000-0004-0000-0200-000019000000}"/>
    <hyperlink ref="E33" r:id="rId27" location="polycard_client=search-nordic&amp;searchVariation=MLA51643130&amp;wid=MLA2182060712&amp;position=25&amp;search_layout=stack&amp;type=product&amp;tracking_id=3af9a9a8-30e9-4f5b-b201-36219d10f4ab&amp;sid=search" xr:uid="{00000000-0004-0000-0200-00001A000000}"/>
    <hyperlink ref="E34" r:id="rId28" location="wid=MLA1551426198&amp;sid=search&amp;is_advertising=true&amp;searchVariation=MLA27351867&amp;backend_model=search-backend&amp;position=1&amp;search_layout=stack&amp;type=pad&amp;tracking_id=c94d15dc-6e57-4d25-a555-c3088b34b24d&amp;is_advertising=true&amp;ad_domain=VQCATCORE_LST&amp;ad_position=1&amp;ad_click_id=YjNmMGYxMmUtMTA0Zi00NWVlLWFmZDktZjI3ZjcxODUyOGVk" xr:uid="{00000000-0004-0000-0200-00001B000000}"/>
    <hyperlink ref="E35" r:id="rId29" location="polycard_client=search-nordic&amp;searchVariation=MLA25265609&amp;wid=MLA1514533665&amp;position=38&amp;search_layout=stack&amp;type=product&amp;tracking_id=e3aa563b-4da8-4c82-bf92-510c068c34ac&amp;sid=search" xr:uid="{00000000-0004-0000-0200-00001C000000}"/>
    <hyperlink ref="E36" r:id="rId30" location="polycard_client=search-nordic&amp;searchVariation=MLA45361885&amp;wid=MLA2006890214&amp;position=10&amp;search_layout=stack&amp;type=product&amp;tracking_id=b904eb91-8bcb-424e-aba1-4fc7cc598428&amp;sid=search" xr:uid="{00000000-0004-0000-0200-00001D000000}"/>
    <hyperlink ref="E37" r:id="rId31" location="polycard_client=search_best-seller&amp;tracking_id=d6d87091-7df5-4e4d-9985-2ee499254c67&amp;wid=MLA1445106795&amp;sid=search" xr:uid="{00000000-0004-0000-0200-00001E000000}"/>
    <hyperlink ref="E38" r:id="rId32" xr:uid="{00000000-0004-0000-0200-00001F000000}"/>
    <hyperlink ref="C41" r:id="rId33" xr:uid="{00000000-0004-0000-0200-000020000000}"/>
    <hyperlink ref="C42" r:id="rId34" xr:uid="{00000000-0004-0000-0200-000021000000}"/>
    <hyperlink ref="D51" r:id="rId35" xr:uid="{00000000-0004-0000-0200-000022000000}"/>
    <hyperlink ref="D53" r:id="rId36" xr:uid="{00000000-0004-0000-0200-000023000000}"/>
    <hyperlink ref="D54" r:id="rId37" xr:uid="{00000000-0004-0000-0200-000024000000}"/>
    <hyperlink ref="D60" r:id="rId38" location="polycard_client=search-nordic&amp;search_layout=grid&amp;position=1&amp;type=item&amp;tracking_id=81a66e16-5bc6-4283-a724-70591c0fe4b9" xr:uid="{00000000-0004-0000-0200-000025000000}"/>
    <hyperlink ref="D88" r:id="rId39" xr:uid="{00000000-0004-0000-0200-000026000000}"/>
    <hyperlink ref="B94" r:id="rId40" location="tab-fees" xr:uid="{00000000-0004-0000-0200-000027000000}"/>
    <hyperlink ref="B103" r:id="rId41" xr:uid="{00000000-0004-0000-0200-000028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8"/>
  <sheetViews>
    <sheetView tabSelected="1" topLeftCell="A53" workbookViewId="0">
      <selection activeCell="B63" sqref="B63"/>
    </sheetView>
  </sheetViews>
  <sheetFormatPr defaultColWidth="12.5703125" defaultRowHeight="15" customHeight="1"/>
  <cols>
    <col min="1" max="1" width="40.85546875" customWidth="1"/>
    <col min="2" max="2" width="24.28515625" customWidth="1"/>
    <col min="3" max="3" width="24" customWidth="1"/>
    <col min="4" max="4" width="18.7109375" customWidth="1"/>
    <col min="5" max="5" width="20.42578125" customWidth="1"/>
    <col min="6" max="6" width="20.5703125" customWidth="1"/>
    <col min="7" max="7" width="17.28515625" customWidth="1"/>
    <col min="8" max="8" width="22.140625" customWidth="1"/>
    <col min="9" max="9" width="18.85546875" customWidth="1"/>
    <col min="10" max="26" width="11.28515625" customWidth="1"/>
  </cols>
  <sheetData>
    <row r="1" spans="1:26" ht="12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>
      <c r="A3" s="1" t="s">
        <v>0</v>
      </c>
      <c r="B3" s="6"/>
      <c r="C3" s="6"/>
      <c r="D3" s="6"/>
      <c r="E3" s="15">
        <f>InfoInicial!E1</f>
        <v>6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>
      <c r="A4" s="87" t="s">
        <v>250</v>
      </c>
      <c r="B4" s="88"/>
      <c r="C4" s="88"/>
      <c r="D4" s="88"/>
      <c r="E4" s="88"/>
      <c r="F4" s="89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>
      <c r="A5" s="90"/>
      <c r="B5" s="91" t="s">
        <v>251</v>
      </c>
      <c r="C5" s="91"/>
      <c r="D5" s="91"/>
      <c r="E5" s="91"/>
      <c r="F5" s="92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90" t="s">
        <v>252</v>
      </c>
      <c r="B6" s="18" t="s">
        <v>55</v>
      </c>
      <c r="C6" s="18" t="s">
        <v>253</v>
      </c>
      <c r="D6" s="18" t="s">
        <v>254</v>
      </c>
      <c r="E6" s="18" t="s">
        <v>255</v>
      </c>
      <c r="F6" s="19" t="s">
        <v>256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>
      <c r="A7" s="20" t="s">
        <v>257</v>
      </c>
      <c r="B7" s="93">
        <f>('CÁLCULOS MP'!F102)*InfoInicial!B31</f>
        <v>1489817567.4465647</v>
      </c>
      <c r="C7" s="93">
        <f>+'CÁLCULOS MP'!$B$78*InfoInicial!$B$31</f>
        <v>1444462102.2840002</v>
      </c>
      <c r="D7" s="93">
        <f>+'CÁLCULOS MP'!$B$78*InfoInicial!$B$31</f>
        <v>1444462102.2840002</v>
      </c>
      <c r="E7" s="93">
        <f>+'CÁLCULOS MP'!$B$78*InfoInicial!$B$31</f>
        <v>1444462102.2840002</v>
      </c>
      <c r="F7" s="94">
        <f>+'CÁLCULOS MP'!$B$78*InfoInicial!$B$31</f>
        <v>1444462102.2840002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>
      <c r="A8" s="95" t="s">
        <v>258</v>
      </c>
      <c r="B8" s="96">
        <f>'AUX - COSTO DE PRODUC'!B17</f>
        <v>129094862.39999998</v>
      </c>
      <c r="C8" s="96">
        <f>'AUX - COSTO DE PRODUC'!$B$12</f>
        <v>143438735.99999997</v>
      </c>
      <c r="D8" s="96">
        <f>'AUX - COSTO DE PRODUC'!$B$12</f>
        <v>143438735.99999997</v>
      </c>
      <c r="E8" s="96">
        <f>'AUX - COSTO DE PRODUC'!$B$12</f>
        <v>143438735.99999997</v>
      </c>
      <c r="F8" s="97">
        <f>'AUX - COSTO DE PRODUC'!$B$12</f>
        <v>143438735.99999997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>
      <c r="A9" s="20" t="s">
        <v>259</v>
      </c>
      <c r="B9" s="93"/>
      <c r="C9" s="93"/>
      <c r="D9" s="93"/>
      <c r="E9" s="93"/>
      <c r="F9" s="41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>
      <c r="A10" s="98" t="s">
        <v>260</v>
      </c>
      <c r="B10" s="99">
        <f>'AUX - COSTO DE PRODUC'!$B$40</f>
        <v>149298049.30648282</v>
      </c>
      <c r="C10" s="99">
        <f>'AUX - COSTO DE PRODUC'!$B$40</f>
        <v>149298049.30648282</v>
      </c>
      <c r="D10" s="99">
        <f>'AUX - COSTO DE PRODUC'!$B$40</f>
        <v>149298049.30648282</v>
      </c>
      <c r="E10" s="99">
        <f>'AUX - COSTO DE PRODUC'!$B$37</f>
        <v>149298049.30648282</v>
      </c>
      <c r="F10" s="100">
        <f>'AUX - COSTO DE PRODUC'!$B$37</f>
        <v>149298049.30648282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>
      <c r="A11" s="98" t="s">
        <v>261</v>
      </c>
      <c r="B11" s="99">
        <f>'AUX - COSTO DE PRODUC'!$D$51</f>
        <v>136015992</v>
      </c>
      <c r="C11" s="99">
        <f>'AUX - COSTO DE PRODUC'!$D$51</f>
        <v>136015992</v>
      </c>
      <c r="D11" s="99">
        <f>'AUX - COSTO DE PRODUC'!$D$51</f>
        <v>136015992</v>
      </c>
      <c r="E11" s="99">
        <f>'AUX - COSTO DE PRODUC'!$D$51</f>
        <v>136015992</v>
      </c>
      <c r="F11" s="100">
        <f>'AUX - COSTO DE PRODUC'!$D$51</f>
        <v>136015992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>
      <c r="A12" s="98" t="s">
        <v>262</v>
      </c>
      <c r="B12" s="99">
        <f>'AUX - COSTO DE PRODUC'!$F$59</f>
        <v>58465764.579931289</v>
      </c>
      <c r="C12" s="99">
        <f>'AUX - COSTO DE PRODUC'!$G$59</f>
        <v>57988971.484680012</v>
      </c>
      <c r="D12" s="99">
        <f>'AUX - COSTO DE PRODUC'!$G$59</f>
        <v>57988971.484680012</v>
      </c>
      <c r="E12" s="99">
        <f>'AUX - COSTO DE PRODUC'!$G$59</f>
        <v>57988971.484680012</v>
      </c>
      <c r="F12" s="100">
        <f>'AUX - COSTO DE PRODUC'!$G$59</f>
        <v>57988971.484680012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>
      <c r="A13" s="98" t="s">
        <v>263</v>
      </c>
      <c r="B13" s="99">
        <f>'C. Aux. Costos'!B165</f>
        <v>47167835.734394722</v>
      </c>
      <c r="C13" s="99">
        <f>'C. Aux. Costos'!E157</f>
        <v>44809443.947674982</v>
      </c>
      <c r="D13" s="99">
        <f>'C. Aux. Costos'!E157</f>
        <v>44809443.947674982</v>
      </c>
      <c r="E13" s="99">
        <f>'C. Aux. Costos'!E157</f>
        <v>44809443.947674982</v>
      </c>
      <c r="F13" s="100">
        <f>'C. Aux. Costos'!E157</f>
        <v>44809443.947674982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>
      <c r="A14" s="98" t="s">
        <v>264</v>
      </c>
      <c r="B14" s="99">
        <v>0</v>
      </c>
      <c r="C14" s="99">
        <v>0</v>
      </c>
      <c r="D14" s="99">
        <v>0</v>
      </c>
      <c r="E14" s="99">
        <v>0</v>
      </c>
      <c r="F14" s="100">
        <v>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>
      <c r="A15" s="98" t="s">
        <v>265</v>
      </c>
      <c r="B15" s="99">
        <v>0</v>
      </c>
      <c r="C15" s="99">
        <v>0</v>
      </c>
      <c r="D15" s="99">
        <v>0</v>
      </c>
      <c r="E15" s="99">
        <v>0</v>
      </c>
      <c r="F15" s="100">
        <v>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>
      <c r="A16" s="98" t="s">
        <v>266</v>
      </c>
      <c r="B16" s="99">
        <f>'C. Aux. Costos'!B60</f>
        <v>21937500</v>
      </c>
      <c r="C16" s="99">
        <f>'C. Aux. Costos'!B60</f>
        <v>21937500</v>
      </c>
      <c r="D16" s="99">
        <f>'C. Aux. Costos'!B60</f>
        <v>21937500</v>
      </c>
      <c r="E16" s="99">
        <f>'C. Aux. Costos'!B60</f>
        <v>21937500</v>
      </c>
      <c r="F16" s="100">
        <f>'C. Aux. Costos'!B60</f>
        <v>21937500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>
      <c r="A17" s="98" t="s">
        <v>267</v>
      </c>
      <c r="B17" s="99">
        <v>0</v>
      </c>
      <c r="C17" s="99">
        <v>0</v>
      </c>
      <c r="D17" s="99">
        <v>0</v>
      </c>
      <c r="E17" s="99">
        <v>0</v>
      </c>
      <c r="F17" s="100">
        <v>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>
      <c r="A18" s="98" t="s">
        <v>268</v>
      </c>
      <c r="B18" s="99">
        <v>0</v>
      </c>
      <c r="C18" s="99">
        <v>0</v>
      </c>
      <c r="D18" s="99">
        <v>0</v>
      </c>
      <c r="E18" s="99">
        <v>0</v>
      </c>
      <c r="F18" s="100">
        <v>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>
      <c r="A19" s="101" t="s">
        <v>269</v>
      </c>
      <c r="B19" s="99">
        <f>'C. Aux. Costos'!$E$263*0.9+'C. Aux. Costos'!$F$269</f>
        <v>24990083.544820219</v>
      </c>
      <c r="C19" s="99">
        <f>'C. Aux. Costos'!$E$263*0.9+'C. Aux. Costos'!$G$269</f>
        <v>24990083.544820219</v>
      </c>
      <c r="D19" s="99">
        <f>'C. Aux. Costos'!$E$263*0.9+'C. Aux. Costos'!$G$269</f>
        <v>24990083.544820219</v>
      </c>
      <c r="E19" s="99">
        <f>'C. Aux. Costos'!$E$263*0.9+'C. Aux. Costos'!$G$269</f>
        <v>24990083.544820219</v>
      </c>
      <c r="F19" s="100">
        <f>'C. Aux. Costos'!$E$263*0.9+'C. Aux. Costos'!$G$269</f>
        <v>24990083.544820219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>
      <c r="A20" s="101" t="s">
        <v>270</v>
      </c>
      <c r="B20" s="99"/>
      <c r="C20" s="99"/>
      <c r="D20" s="99"/>
      <c r="E20" s="99"/>
      <c r="F20" s="100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>
      <c r="A21" s="101" t="s">
        <v>270</v>
      </c>
      <c r="B21" s="99"/>
      <c r="C21" s="99"/>
      <c r="D21" s="99"/>
      <c r="E21" s="99"/>
      <c r="F21" s="100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>
      <c r="A22" s="26" t="s">
        <v>20</v>
      </c>
      <c r="B22" s="102">
        <f>SUM(B7:B16)*InfoInicial!$B$14</f>
        <v>197084364.43233526</v>
      </c>
      <c r="C22" s="102">
        <f>SUM(C7:C16)*InfoInicial!$B$14</f>
        <v>193801227.11721528</v>
      </c>
      <c r="D22" s="102">
        <f>SUM(D7:D16)*InfoInicial!$B$14</f>
        <v>193801227.11721528</v>
      </c>
      <c r="E22" s="102">
        <f>SUM(E7:E16)*InfoInicial!$B$14</f>
        <v>193801227.11721528</v>
      </c>
      <c r="F22" s="100">
        <f>SUM(F7:F16)*InfoInicial!$B$14</f>
        <v>193801227.11721528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>
      <c r="A23" s="22" t="s">
        <v>271</v>
      </c>
      <c r="B23" s="102">
        <f t="shared" ref="B23:F23" si="0">SUM(B7:B22)</f>
        <v>2253872019.4445291</v>
      </c>
      <c r="C23" s="102">
        <f t="shared" si="0"/>
        <v>2216742105.6848736</v>
      </c>
      <c r="D23" s="102">
        <f t="shared" si="0"/>
        <v>2216742105.6848736</v>
      </c>
      <c r="E23" s="102">
        <f t="shared" si="0"/>
        <v>2216742105.6848736</v>
      </c>
      <c r="F23" s="100">
        <f t="shared" si="0"/>
        <v>2216742105.6848736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>
      <c r="A24" s="103"/>
      <c r="B24" s="104"/>
      <c r="C24" s="104"/>
      <c r="D24" s="104"/>
      <c r="E24" s="104"/>
      <c r="F24" s="105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>
      <c r="A25" s="106" t="s">
        <v>272</v>
      </c>
      <c r="B25" s="107">
        <f t="shared" ref="B25:F25" si="1">(B10+B11+B16+B22)/B23</f>
        <v>0.22376421615239386</v>
      </c>
      <c r="C25" s="107">
        <f t="shared" si="1"/>
        <v>0.22603115046118336</v>
      </c>
      <c r="D25" s="107">
        <f t="shared" si="1"/>
        <v>0.22603115046118336</v>
      </c>
      <c r="E25" s="107">
        <f t="shared" si="1"/>
        <v>0.22603115046118336</v>
      </c>
      <c r="F25" s="107">
        <f t="shared" si="1"/>
        <v>0.22603115046118336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>
      <c r="A26" s="33" t="s">
        <v>273</v>
      </c>
      <c r="B26" s="108">
        <f t="shared" ref="B26:F26" si="2">(B7+B8+B12+B13)/B23</f>
        <v>0.76514816071318392</v>
      </c>
      <c r="C26" s="108">
        <f t="shared" si="2"/>
        <v>0.76269551130035718</v>
      </c>
      <c r="D26" s="108">
        <f t="shared" si="2"/>
        <v>0.76269551130035718</v>
      </c>
      <c r="E26" s="108">
        <f t="shared" si="2"/>
        <v>0.76269551130035718</v>
      </c>
      <c r="F26" s="108">
        <f t="shared" si="2"/>
        <v>0.76269551130035718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>
      <c r="A28" s="109"/>
      <c r="B28" s="31" t="s">
        <v>274</v>
      </c>
      <c r="C28" s="31"/>
      <c r="D28" s="31"/>
      <c r="E28" s="31"/>
      <c r="F28" s="31"/>
      <c r="G28" s="110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>
      <c r="A29" s="90"/>
      <c r="B29" s="91" t="s">
        <v>275</v>
      </c>
      <c r="C29" s="91"/>
      <c r="D29" s="91"/>
      <c r="E29" s="91"/>
      <c r="F29" s="91"/>
      <c r="G29" s="92" t="s">
        <v>276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>
      <c r="A30" s="90" t="s">
        <v>252</v>
      </c>
      <c r="B30" s="111" t="s">
        <v>55</v>
      </c>
      <c r="C30" s="111" t="s">
        <v>253</v>
      </c>
      <c r="D30" s="111" t="s">
        <v>254</v>
      </c>
      <c r="E30" s="111" t="s">
        <v>255</v>
      </c>
      <c r="F30" s="111" t="s">
        <v>256</v>
      </c>
      <c r="G30" s="112" t="s">
        <v>55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>
      <c r="A31" s="20" t="s">
        <v>257</v>
      </c>
      <c r="B31" s="93">
        <f>'CÁLCULOS MP'!$F$107*InfoInicial!$B$31</f>
        <v>25600511.366372682</v>
      </c>
      <c r="C31" s="93">
        <f>'CÁLCULOS MP'!F107*InfoInicial!B31</f>
        <v>25600511.366372682</v>
      </c>
      <c r="D31" s="93">
        <f>'C. Aux. Costos'!$C$215</f>
        <v>25600511.366372682</v>
      </c>
      <c r="E31" s="93">
        <f>'C. Aux. Costos'!$C$215</f>
        <v>25600511.366372682</v>
      </c>
      <c r="F31" s="93">
        <f>'C. Aux. Costos'!$C$215</f>
        <v>25600511.366372682</v>
      </c>
      <c r="G31" s="94">
        <f>'CÁLCULOS MP'!F104*InfoInicial!B31</f>
        <v>345465036.63241404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>
      <c r="A32" s="95" t="s">
        <v>258</v>
      </c>
      <c r="B32" s="96">
        <f>'C. Aux. Costos'!$C$217</f>
        <v>2542195.4549999996</v>
      </c>
      <c r="C32" s="96">
        <f>'C. Aux. Costos'!$C$217</f>
        <v>2542195.4549999996</v>
      </c>
      <c r="D32" s="96">
        <f>'C. Aux. Costos'!$C$217</f>
        <v>2542195.4549999996</v>
      </c>
      <c r="E32" s="96">
        <f>'C. Aux. Costos'!$C$217</f>
        <v>2542195.4549999996</v>
      </c>
      <c r="F32" s="96">
        <f>'C. Aux. Costos'!$C$217</f>
        <v>2542195.4549999996</v>
      </c>
      <c r="G32" s="97">
        <f>B8-'AUX - COSTO DE PRODUC'!B19</f>
        <v>12128257.409999996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>
      <c r="A33" s="20" t="s">
        <v>259</v>
      </c>
      <c r="B33" s="39"/>
      <c r="C33" s="39"/>
      <c r="D33" s="39"/>
      <c r="E33" s="39"/>
      <c r="F33" s="39"/>
      <c r="G33" s="41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>
      <c r="A34" s="98" t="s">
        <v>260</v>
      </c>
      <c r="B34" s="99">
        <f>'C. Aux. Costos'!B189</f>
        <v>2084275.5642021201</v>
      </c>
      <c r="C34" s="99">
        <f>'C. Aux. Costos'!B190</f>
        <v>1740277.0480925112</v>
      </c>
      <c r="D34" s="99">
        <f>'C. Aux. Costos'!B190</f>
        <v>1740277.0480925112</v>
      </c>
      <c r="E34" s="99">
        <f>'C. Aux. Costos'!B191</f>
        <v>1740277.0480925112</v>
      </c>
      <c r="F34" s="99">
        <f>'C. Aux. Costos'!B191</f>
        <v>1740277.0480925112</v>
      </c>
      <c r="G34" s="113">
        <v>0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>
      <c r="A35" s="98" t="s">
        <v>261</v>
      </c>
      <c r="B35" s="99">
        <f>'C. Aux. Costos'!C208</f>
        <v>997150.30289620988</v>
      </c>
      <c r="C35" s="99">
        <f>'C. Aux. Costos'!B208</f>
        <v>1005986.6571428572</v>
      </c>
      <c r="D35" s="99">
        <f>'C. Aux. Costos'!B208</f>
        <v>1005986.6571428572</v>
      </c>
      <c r="E35" s="99">
        <f>'C. Aux. Costos'!B208</f>
        <v>1005986.6571428572</v>
      </c>
      <c r="F35" s="99">
        <f>'C. Aux. Costos'!B208</f>
        <v>1005986.6571428572</v>
      </c>
      <c r="G35" s="113">
        <v>0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>
      <c r="A36" s="98" t="s">
        <v>262</v>
      </c>
      <c r="B36" s="99">
        <f>'C. Aux. Costos'!A215*SUM('AUX - COSTO DE PRODUC'!H54:H57)</f>
        <v>1254338.5953812706</v>
      </c>
      <c r="C36" s="99">
        <f>'C. Aux. Costos'!$A$215*SUM('AUX - COSTO DE PRODUC'!$I$54:$I$57)</f>
        <v>1027750.9678311591</v>
      </c>
      <c r="D36" s="99">
        <f>'C. Aux. Costos'!$A$215*SUM('AUX - COSTO DE PRODUC'!$I$54:$I$57)</f>
        <v>1027750.9678311591</v>
      </c>
      <c r="E36" s="99">
        <f>'C. Aux. Costos'!$A$215*SUM('AUX - COSTO DE PRODUC'!$I$54:$I$57)</f>
        <v>1027750.9678311591</v>
      </c>
      <c r="F36" s="99">
        <f>'C. Aux. Costos'!$A$215*SUM('AUX - COSTO DE PRODUC'!$I$54:$I$57)</f>
        <v>1027750.9678311591</v>
      </c>
      <c r="G36" s="113">
        <f>'AUX - COSTO DE PRODUC'!B60*B36</f>
        <v>125433.85953812707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>
      <c r="A37" s="98" t="s">
        <v>277</v>
      </c>
      <c r="B37" s="99">
        <f>'C. Aux. Costos'!B172</f>
        <v>417982.83005702466</v>
      </c>
      <c r="C37" s="99">
        <f>'C. Aux. Costos'!E164</f>
        <v>417982.83005702466</v>
      </c>
      <c r="D37" s="99">
        <f>'C. Aux. Costos'!E164</f>
        <v>417982.83005702466</v>
      </c>
      <c r="E37" s="99">
        <f>'C. Aux. Costos'!E164</f>
        <v>417982.83005702466</v>
      </c>
      <c r="F37" s="99">
        <f>'C. Aux. Costos'!E164</f>
        <v>417982.83005702466</v>
      </c>
      <c r="G37" s="113">
        <f>'C. Aux. Costos'!E168</f>
        <v>8146716.9855761752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>
      <c r="A38" s="98" t="s">
        <v>278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113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>
      <c r="A39" s="98" t="s">
        <v>265</v>
      </c>
      <c r="B39" s="99">
        <v>0</v>
      </c>
      <c r="C39" s="99">
        <v>0</v>
      </c>
      <c r="D39" s="99">
        <v>0</v>
      </c>
      <c r="E39" s="99">
        <v>0</v>
      </c>
      <c r="F39" s="99">
        <v>0</v>
      </c>
      <c r="G39" s="113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>
      <c r="A40" s="98" t="s">
        <v>279</v>
      </c>
      <c r="B40" s="99">
        <f>'C. Aux. Costos'!D237</f>
        <v>192693.92880058408</v>
      </c>
      <c r="C40" s="99">
        <f>'C. Aux. Costos'!D232</f>
        <v>194401.50669642855</v>
      </c>
      <c r="D40" s="99">
        <f>'C. Aux. Costos'!D232</f>
        <v>194401.50669642855</v>
      </c>
      <c r="E40" s="99">
        <f>'C. Aux. Costos'!D232</f>
        <v>194401.50669642855</v>
      </c>
      <c r="F40" s="99">
        <f>'C. Aux. Costos'!D232</f>
        <v>194401.50669642855</v>
      </c>
      <c r="G40" s="113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>
      <c r="A41" s="98" t="s">
        <v>280</v>
      </c>
      <c r="B41" s="99"/>
      <c r="C41" s="99"/>
      <c r="D41" s="99"/>
      <c r="E41" s="99"/>
      <c r="F41" s="99"/>
      <c r="G41" s="113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>
      <c r="A42" s="24" t="s">
        <v>281</v>
      </c>
      <c r="B42" s="99">
        <f>SUM(B31:B40)*InfoInicial!$B$14</f>
        <v>3209647.3601428592</v>
      </c>
      <c r="C42" s="99">
        <f>SUM(C31:C40)*InfoInicial!$B$14</f>
        <v>3155323.2656256887</v>
      </c>
      <c r="D42" s="99">
        <f>SUM(D31:D40)*InfoInicial!$B$14</f>
        <v>3155323.2656256887</v>
      </c>
      <c r="E42" s="99">
        <f>SUM(E31:E40)*InfoInicial!$B$14</f>
        <v>3155323.2656256887</v>
      </c>
      <c r="F42" s="99">
        <f>SUM(F31:F40)*InfoInicial!$B$14</f>
        <v>3155323.2656256887</v>
      </c>
      <c r="G42" s="113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>
      <c r="A43" s="33" t="s">
        <v>282</v>
      </c>
      <c r="B43" s="114">
        <f t="shared" ref="B43:G43" si="3">SUM(B31:B42)</f>
        <v>36298795.402852744</v>
      </c>
      <c r="C43" s="114">
        <f t="shared" si="3"/>
        <v>35684429.09681835</v>
      </c>
      <c r="D43" s="114">
        <f t="shared" si="3"/>
        <v>35684429.09681835</v>
      </c>
      <c r="E43" s="114">
        <f t="shared" si="3"/>
        <v>35684429.09681835</v>
      </c>
      <c r="F43" s="114">
        <f t="shared" si="3"/>
        <v>35684429.09681835</v>
      </c>
      <c r="G43" s="115">
        <f t="shared" si="3"/>
        <v>365865444.88752836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>
      <c r="A44" s="11"/>
      <c r="B44" s="116"/>
      <c r="C44" s="116"/>
      <c r="D44" s="116"/>
      <c r="E44" s="116"/>
      <c r="F44" s="116"/>
      <c r="G44" s="11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>
      <c r="A45" s="35"/>
      <c r="B45" s="117" t="s">
        <v>283</v>
      </c>
      <c r="C45" s="117"/>
      <c r="D45" s="117"/>
      <c r="E45" s="117"/>
      <c r="F45" s="118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>
      <c r="A46" s="33"/>
      <c r="B46" s="111" t="s">
        <v>55</v>
      </c>
      <c r="C46" s="111" t="s">
        <v>253</v>
      </c>
      <c r="D46" s="111" t="s">
        <v>254</v>
      </c>
      <c r="E46" s="111" t="s">
        <v>255</v>
      </c>
      <c r="F46" s="19" t="s">
        <v>256</v>
      </c>
      <c r="G46" s="11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>
      <c r="A47" s="42" t="s">
        <v>271</v>
      </c>
      <c r="B47" s="93">
        <f>B23+B43+G43</f>
        <v>2656036259.73491</v>
      </c>
      <c r="C47" s="93">
        <f t="shared" ref="C47:F47" si="4">C23+C43</f>
        <v>2252426534.781692</v>
      </c>
      <c r="D47" s="93">
        <f t="shared" si="4"/>
        <v>2252426534.781692</v>
      </c>
      <c r="E47" s="93">
        <f t="shared" si="4"/>
        <v>2252426534.781692</v>
      </c>
      <c r="F47" s="93">
        <f t="shared" si="4"/>
        <v>2252426534.781692</v>
      </c>
      <c r="G47" s="11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>
      <c r="A48" s="24" t="s">
        <v>284</v>
      </c>
      <c r="B48" s="99"/>
      <c r="C48" s="99"/>
      <c r="D48" s="99"/>
      <c r="E48" s="99"/>
      <c r="F48" s="43"/>
      <c r="G48" s="11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>
      <c r="A49" s="24" t="s">
        <v>285</v>
      </c>
      <c r="B49" s="99">
        <f>G43</f>
        <v>365865444.88752836</v>
      </c>
      <c r="C49" s="99">
        <v>0</v>
      </c>
      <c r="D49" s="99">
        <v>0</v>
      </c>
      <c r="E49" s="99">
        <v>0</v>
      </c>
      <c r="F49" s="43">
        <v>0</v>
      </c>
      <c r="G49" s="11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>
      <c r="A50" s="24" t="s">
        <v>286</v>
      </c>
      <c r="B50" s="99">
        <f>B43</f>
        <v>36298795.402852744</v>
      </c>
      <c r="C50" s="99">
        <f t="shared" ref="C50:E50" si="5">B43-C43</f>
        <v>614366.30603439361</v>
      </c>
      <c r="D50" s="99">
        <f t="shared" si="5"/>
        <v>0</v>
      </c>
      <c r="E50" s="99">
        <f t="shared" si="5"/>
        <v>0</v>
      </c>
      <c r="F50" s="113">
        <f>F42-E42</f>
        <v>0</v>
      </c>
      <c r="G50" s="11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>
      <c r="A51" s="22" t="s">
        <v>287</v>
      </c>
      <c r="B51" s="99">
        <f>B47-B49</f>
        <v>2290170814.8473816</v>
      </c>
      <c r="C51" s="99">
        <f t="shared" ref="C51:F51" si="6">C47-C50</f>
        <v>2251812168.4756575</v>
      </c>
      <c r="D51" s="99">
        <f t="shared" si="6"/>
        <v>2252426534.781692</v>
      </c>
      <c r="E51" s="99">
        <f t="shared" si="6"/>
        <v>2252426534.781692</v>
      </c>
      <c r="F51" s="99">
        <f t="shared" si="6"/>
        <v>2252426534.781692</v>
      </c>
      <c r="G51" s="11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>
      <c r="A52" s="106" t="s">
        <v>288</v>
      </c>
      <c r="B52" s="119">
        <f>B51/'C. Aux. Costos'!O7</f>
        <v>62479.083749758058</v>
      </c>
      <c r="C52" s="119">
        <f>C51/'C. Aux. Costos'!$P$7</f>
        <v>50263.664474903067</v>
      </c>
      <c r="D52" s="119">
        <f>D51/'C. Aux. Costos'!$P$7</f>
        <v>50277.378008519911</v>
      </c>
      <c r="E52" s="119">
        <f>E51/'C. Aux. Costos'!$P$7</f>
        <v>50277.378008519911</v>
      </c>
      <c r="F52" s="119">
        <f>F51/'C. Aux. Costos'!$P$7</f>
        <v>50277.378008519911</v>
      </c>
      <c r="G52" s="11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>
      <c r="A53" s="106"/>
      <c r="B53" s="119"/>
      <c r="C53" s="119"/>
      <c r="D53" s="119"/>
      <c r="E53" s="119"/>
      <c r="F53" s="120"/>
      <c r="G53" s="11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>
      <c r="A54" s="106" t="s">
        <v>272</v>
      </c>
      <c r="B54" s="121">
        <f t="shared" ref="B54:F54" si="7">1-B55</f>
        <v>0.28822033358156285</v>
      </c>
      <c r="C54" s="121">
        <f t="shared" si="7"/>
        <v>0.23736923294615175</v>
      </c>
      <c r="D54" s="121">
        <f t="shared" si="7"/>
        <v>0.23730448869964282</v>
      </c>
      <c r="E54" s="121">
        <f t="shared" si="7"/>
        <v>0.23730448869964282</v>
      </c>
      <c r="F54" s="121">
        <f t="shared" si="7"/>
        <v>0.23730448869964282</v>
      </c>
      <c r="G54" s="11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>
      <c r="A55" s="33" t="s">
        <v>273</v>
      </c>
      <c r="B55" s="122">
        <f t="shared" ref="B55:F55" si="8">((B47*B26)-B49-B50)/B51</f>
        <v>0.71177966641843715</v>
      </c>
      <c r="C55" s="122">
        <f t="shared" si="8"/>
        <v>0.76263076705384825</v>
      </c>
      <c r="D55" s="122">
        <f t="shared" si="8"/>
        <v>0.76269551130035718</v>
      </c>
      <c r="E55" s="122">
        <f t="shared" si="8"/>
        <v>0.76269551130035718</v>
      </c>
      <c r="F55" s="122">
        <f t="shared" si="8"/>
        <v>0.76269551130035718</v>
      </c>
      <c r="G55" s="11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>
      <c r="A58" s="30"/>
      <c r="B58" s="31" t="s">
        <v>289</v>
      </c>
      <c r="C58" s="31"/>
      <c r="D58" s="31"/>
      <c r="E58" s="31"/>
      <c r="F58" s="110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>
      <c r="A59" s="123" t="s">
        <v>252</v>
      </c>
      <c r="B59" s="18" t="s">
        <v>55</v>
      </c>
      <c r="C59" s="18" t="s">
        <v>253</v>
      </c>
      <c r="D59" s="18" t="s">
        <v>254</v>
      </c>
      <c r="E59" s="18" t="s">
        <v>255</v>
      </c>
      <c r="F59" s="19" t="s">
        <v>256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>
      <c r="A60" s="109" t="s">
        <v>290</v>
      </c>
      <c r="B60" s="124">
        <f>'C. Aux. Costos'!$E$41</f>
        <v>93450288</v>
      </c>
      <c r="C60" s="124">
        <f>'C. Aux. Costos'!$E$41</f>
        <v>93450288</v>
      </c>
      <c r="D60" s="124">
        <f>'C. Aux. Costos'!$E$41</f>
        <v>93450288</v>
      </c>
      <c r="E60" s="124">
        <f>'C. Aux. Costos'!$E$41</f>
        <v>93450288</v>
      </c>
      <c r="F60" s="125">
        <f>'C. Aux. Costos'!$E$41</f>
        <v>93450288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>
      <c r="A61" s="24" t="s">
        <v>291</v>
      </c>
      <c r="B61" s="99">
        <f>'C. Aux. Costos'!$D$98</f>
        <v>10910217.150090192</v>
      </c>
      <c r="C61" s="99">
        <f>'C. Aux. Costos'!$D$98</f>
        <v>10910217.150090192</v>
      </c>
      <c r="D61" s="99">
        <f>'C. Aux. Costos'!$D$98</f>
        <v>10910217.150090192</v>
      </c>
      <c r="E61" s="99">
        <f>'C. Aux. Costos'!$D$98</f>
        <v>10910217.150090192</v>
      </c>
      <c r="F61" s="43">
        <f>'C. Aux. Costos'!$D$98</f>
        <v>10910217.150090192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>
      <c r="A62" s="24" t="s">
        <v>262</v>
      </c>
      <c r="B62" s="99">
        <f>'C. Aux. Costos'!B71</f>
        <v>4248014.4000000004</v>
      </c>
      <c r="C62" s="99">
        <f>'C. Aux. Costos'!$D$71</f>
        <v>4248014.4000000004</v>
      </c>
      <c r="D62" s="99">
        <f>'C. Aux. Costos'!$D$71</f>
        <v>4248014.4000000004</v>
      </c>
      <c r="E62" s="99">
        <f>'C. Aux. Costos'!$D$71</f>
        <v>4248014.4000000004</v>
      </c>
      <c r="F62" s="113">
        <f>'C. Aux. Costos'!$D$71</f>
        <v>4248014.4000000004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>
      <c r="A63" s="24" t="s">
        <v>292</v>
      </c>
      <c r="B63" s="99">
        <f>'C. Aux. Costos'!B165*0.05</f>
        <v>2358391.7867197362</v>
      </c>
      <c r="C63" s="99">
        <f>'C. Aux. Costos'!$E$157*0.05</f>
        <v>2240472.1973837493</v>
      </c>
      <c r="D63" s="99">
        <f>'C. Aux. Costos'!$E$157*0.05</f>
        <v>2240472.1973837493</v>
      </c>
      <c r="E63" s="99">
        <f>'C. Aux. Costos'!$E$157*0.05</f>
        <v>2240472.1973837493</v>
      </c>
      <c r="F63" s="113">
        <f>'C. Aux. Costos'!$E$157*0.05</f>
        <v>2240472.1973837493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>
      <c r="A64" s="24" t="s">
        <v>293</v>
      </c>
      <c r="B64" s="99">
        <v>0</v>
      </c>
      <c r="C64" s="99">
        <v>0</v>
      </c>
      <c r="D64" s="99">
        <v>0</v>
      </c>
      <c r="E64" s="99">
        <v>0</v>
      </c>
      <c r="F64" s="113">
        <v>0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>
      <c r="A65" s="26" t="s">
        <v>265</v>
      </c>
      <c r="B65" s="99">
        <f>'C. Aux. Costos'!$C$9/2</f>
        <v>166740</v>
      </c>
      <c r="C65" s="99">
        <f>'C. Aux. Costos'!$C$9/2</f>
        <v>166740</v>
      </c>
      <c r="D65" s="99">
        <f>'C. Aux. Costos'!$C$9/2</f>
        <v>166740</v>
      </c>
      <c r="E65" s="99">
        <f>'C. Aux. Costos'!$C$9/2</f>
        <v>166740</v>
      </c>
      <c r="F65" s="113">
        <f>'C. Aux. Costos'!$C$9/2</f>
        <v>166740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>
      <c r="A66" s="24" t="s">
        <v>266</v>
      </c>
      <c r="B66" s="99">
        <f>'C. Aux. Costos'!$E$244</f>
        <v>1218750</v>
      </c>
      <c r="C66" s="99">
        <f>'C. Aux. Costos'!$E$244</f>
        <v>1218750</v>
      </c>
      <c r="D66" s="99">
        <f>'C. Aux. Costos'!$E$244</f>
        <v>1218750</v>
      </c>
      <c r="E66" s="99">
        <f>'C. Aux. Costos'!$E$244</f>
        <v>1218750</v>
      </c>
      <c r="F66" s="113">
        <f>'C. Aux. Costos'!$E$244</f>
        <v>1218750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>
      <c r="A67" s="24" t="s">
        <v>294</v>
      </c>
      <c r="B67" s="99">
        <v>0</v>
      </c>
      <c r="C67" s="99">
        <v>0</v>
      </c>
      <c r="D67" s="99">
        <v>0</v>
      </c>
      <c r="E67" s="99">
        <v>0</v>
      </c>
      <c r="F67" s="113">
        <v>0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>
      <c r="A68" s="126" t="s">
        <v>295</v>
      </c>
      <c r="B68" s="99">
        <f>'C. Aux. Costos'!C83</f>
        <v>54386900.575999998</v>
      </c>
      <c r="C68" s="99">
        <f>'C. Aux. Costos'!$D$83</f>
        <v>24386900.576000001</v>
      </c>
      <c r="D68" s="99">
        <f>'C. Aux. Costos'!$D$83</f>
        <v>24386900.576000001</v>
      </c>
      <c r="E68" s="99">
        <f>'C. Aux. Costos'!$D$83</f>
        <v>24386900.576000001</v>
      </c>
      <c r="F68" s="113">
        <f>'C. Aux. Costos'!$D$83</f>
        <v>24386900.576000001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>
      <c r="A69" s="126" t="s">
        <v>269</v>
      </c>
      <c r="B69" s="99">
        <f>'C. Aux. Costos'!$E$263*0.05</f>
        <v>1200348.2659999998</v>
      </c>
      <c r="C69" s="99">
        <f>'C. Aux. Costos'!$E$263*0.05</f>
        <v>1200348.2659999998</v>
      </c>
      <c r="D69" s="99">
        <f>'C. Aux. Costos'!$E$263*0.05</f>
        <v>1200348.2659999998</v>
      </c>
      <c r="E69" s="99">
        <f>'C. Aux. Costos'!$E$263*0.05</f>
        <v>1200348.2659999998</v>
      </c>
      <c r="F69" s="113">
        <f>'C. Aux. Costos'!$E$263*0.05</f>
        <v>1200348.2659999998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>
      <c r="A70" s="126" t="s">
        <v>270</v>
      </c>
      <c r="B70" s="99"/>
      <c r="C70" s="99"/>
      <c r="D70" s="99"/>
      <c r="E70" s="99"/>
      <c r="F70" s="113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>
      <c r="A71" s="24" t="s">
        <v>20</v>
      </c>
      <c r="B71" s="99">
        <f>SUM(B60:B69)*InfoInicial!$B$14</f>
        <v>16290146.067344565</v>
      </c>
      <c r="C71" s="99">
        <f>SUM(C60:C69)*InfoInicial!$B$14</f>
        <v>13368707.867178973</v>
      </c>
      <c r="D71" s="99">
        <f>SUM(D60:D69)*InfoInicial!$B$14</f>
        <v>13368707.867178973</v>
      </c>
      <c r="E71" s="99">
        <f>SUM(E60:E69)*InfoInicial!$B$14</f>
        <v>13368707.867178973</v>
      </c>
      <c r="F71" s="113">
        <f>SUM(F60:F69)*InfoInicial!$B$14</f>
        <v>13368707.867178973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>
      <c r="A72" s="24"/>
      <c r="B72" s="49"/>
      <c r="C72" s="49"/>
      <c r="D72" s="49"/>
      <c r="E72" s="49"/>
      <c r="F72" s="52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>
      <c r="A73" s="22" t="s">
        <v>296</v>
      </c>
      <c r="B73" s="99">
        <f t="shared" ref="B73:F73" si="9">SUM(B60:B71)</f>
        <v>184229796.24615452</v>
      </c>
      <c r="C73" s="99">
        <f t="shared" si="9"/>
        <v>151190438.45665291</v>
      </c>
      <c r="D73" s="99">
        <f t="shared" si="9"/>
        <v>151190438.45665291</v>
      </c>
      <c r="E73" s="99">
        <f t="shared" si="9"/>
        <v>151190438.45665291</v>
      </c>
      <c r="F73" s="113">
        <f t="shared" si="9"/>
        <v>151190438.45665291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>
      <c r="A74" s="22"/>
      <c r="B74" s="99"/>
      <c r="C74" s="99"/>
      <c r="D74" s="99"/>
      <c r="E74" s="99"/>
      <c r="F74" s="113"/>
      <c r="G74" s="11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>
      <c r="A75" s="106" t="s">
        <v>272</v>
      </c>
      <c r="B75" s="127">
        <f t="shared" ref="B75:F75" si="10">(B71+B69+B68+B66+B65+B63+B62+B61+B60)/B73</f>
        <v>0.99999999999999989</v>
      </c>
      <c r="C75" s="127">
        <f t="shared" si="10"/>
        <v>1</v>
      </c>
      <c r="D75" s="127">
        <f t="shared" si="10"/>
        <v>1</v>
      </c>
      <c r="E75" s="127">
        <f t="shared" si="10"/>
        <v>1</v>
      </c>
      <c r="F75" s="128">
        <f t="shared" si="10"/>
        <v>1</v>
      </c>
      <c r="G75" s="11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>
      <c r="A76" s="33" t="s">
        <v>273</v>
      </c>
      <c r="B76" s="122">
        <f t="shared" ref="B76:F76" si="11">0/B73</f>
        <v>0</v>
      </c>
      <c r="C76" s="122">
        <f t="shared" si="11"/>
        <v>0</v>
      </c>
      <c r="D76" s="122">
        <f t="shared" si="11"/>
        <v>0</v>
      </c>
      <c r="E76" s="122">
        <f t="shared" si="11"/>
        <v>0</v>
      </c>
      <c r="F76" s="129">
        <f t="shared" si="11"/>
        <v>0</v>
      </c>
      <c r="G76" s="11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>
      <c r="A79" s="30"/>
      <c r="B79" s="31" t="s">
        <v>297</v>
      </c>
      <c r="C79" s="31"/>
      <c r="D79" s="31"/>
      <c r="E79" s="31"/>
      <c r="F79" s="110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>
      <c r="A80" s="123" t="s">
        <v>252</v>
      </c>
      <c r="B80" s="18" t="s">
        <v>55</v>
      </c>
      <c r="C80" s="18" t="s">
        <v>253</v>
      </c>
      <c r="D80" s="18" t="s">
        <v>254</v>
      </c>
      <c r="E80" s="18" t="s">
        <v>255</v>
      </c>
      <c r="F80" s="19" t="s">
        <v>256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>
      <c r="A81" s="20" t="s">
        <v>298</v>
      </c>
      <c r="B81" s="93">
        <f>'C. Aux. Costos'!$E$42</f>
        <v>75249200</v>
      </c>
      <c r="C81" s="93">
        <f>'C. Aux. Costos'!$E$42</f>
        <v>75249200</v>
      </c>
      <c r="D81" s="93">
        <f>'C. Aux. Costos'!$E$42</f>
        <v>75249200</v>
      </c>
      <c r="E81" s="93">
        <f>'C. Aux. Costos'!$E$42</f>
        <v>75249200</v>
      </c>
      <c r="F81" s="94">
        <f>'C. Aux. Costos'!$E$42</f>
        <v>75249200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>
      <c r="A82" s="24" t="s">
        <v>291</v>
      </c>
      <c r="B82" s="99">
        <f>'C. Aux. Costos'!$D$99</f>
        <v>10910217.150090192</v>
      </c>
      <c r="C82" s="99">
        <f>'C. Aux. Costos'!$D$99</f>
        <v>10910217.150090192</v>
      </c>
      <c r="D82" s="99">
        <f>'C. Aux. Costos'!$D$99</f>
        <v>10910217.150090192</v>
      </c>
      <c r="E82" s="99">
        <f>'C. Aux. Costos'!$D$99</f>
        <v>10910217.150090192</v>
      </c>
      <c r="F82" s="43">
        <f>'C. Aux. Costos'!$D$99</f>
        <v>10910217.150090192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>
      <c r="A83" s="24" t="s">
        <v>262</v>
      </c>
      <c r="B83" s="99">
        <f>'C. Aux. Costos'!C71</f>
        <v>39827960</v>
      </c>
      <c r="C83" s="99">
        <f>'C. Aux. Costos'!$E$71</f>
        <v>48095960</v>
      </c>
      <c r="D83" s="99">
        <f>'C. Aux. Costos'!$E$71</f>
        <v>48095960</v>
      </c>
      <c r="E83" s="99">
        <f>'C. Aux. Costos'!$E$71</f>
        <v>48095960</v>
      </c>
      <c r="F83" s="113">
        <f>'C. Aux. Costos'!$E$71</f>
        <v>48095960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>
      <c r="A84" s="24" t="s">
        <v>299</v>
      </c>
      <c r="B84" s="99">
        <f>'C. Aux. Costos'!B165*0.05</f>
        <v>2358391.7867197362</v>
      </c>
      <c r="C84" s="99">
        <f>'C. Aux. Costos'!$E$157*0.05</f>
        <v>2240472.1973837493</v>
      </c>
      <c r="D84" s="99">
        <f>'C. Aux. Costos'!$E$157*0.05</f>
        <v>2240472.1973837493</v>
      </c>
      <c r="E84" s="99">
        <f>'C. Aux. Costos'!$E$157*0.05</f>
        <v>2240472.1973837493</v>
      </c>
      <c r="F84" s="113">
        <f>'C. Aux. Costos'!$E$157*0.05</f>
        <v>2240472.1973837493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>
      <c r="A85" s="24" t="s">
        <v>293</v>
      </c>
      <c r="B85" s="99">
        <v>0</v>
      </c>
      <c r="C85" s="99">
        <v>0</v>
      </c>
      <c r="D85" s="99">
        <v>0</v>
      </c>
      <c r="E85" s="99">
        <v>0</v>
      </c>
      <c r="F85" s="113">
        <v>0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>
      <c r="A86" s="26" t="s">
        <v>265</v>
      </c>
      <c r="B86" s="99">
        <f>'C. Aux. Costos'!$C$9/2</f>
        <v>166740</v>
      </c>
      <c r="C86" s="99">
        <f>'C. Aux. Costos'!$C$9/2</f>
        <v>166740</v>
      </c>
      <c r="D86" s="99">
        <f>'C. Aux. Costos'!$C$9/2</f>
        <v>166740</v>
      </c>
      <c r="E86" s="99">
        <f>'C. Aux. Costos'!$C$9/2</f>
        <v>166740</v>
      </c>
      <c r="F86" s="113">
        <f>'C. Aux. Costos'!$C$9/2</f>
        <v>166740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>
      <c r="A87" s="24" t="s">
        <v>300</v>
      </c>
      <c r="B87" s="99">
        <f>'C. Aux. Costos'!D105</f>
        <v>29225600</v>
      </c>
      <c r="C87" s="99">
        <f>'C. Aux. Costos'!$E$105</f>
        <v>35840000</v>
      </c>
      <c r="D87" s="99">
        <f>'C. Aux. Costos'!$E$105</f>
        <v>35840000</v>
      </c>
      <c r="E87" s="99">
        <f>'C. Aux. Costos'!$E$105</f>
        <v>35840000</v>
      </c>
      <c r="F87" s="113">
        <f>'C. Aux. Costos'!$E$105</f>
        <v>35840000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>
      <c r="A88" s="24" t="s">
        <v>266</v>
      </c>
      <c r="B88" s="99">
        <f>'C. Aux. Costos'!$E$250</f>
        <v>161959550</v>
      </c>
      <c r="C88" s="99">
        <f>'C. Aux. Costos'!$F$250</f>
        <v>198338750</v>
      </c>
      <c r="D88" s="99">
        <f>'C. Aux. Costos'!$F$250</f>
        <v>198338750</v>
      </c>
      <c r="E88" s="99">
        <f>'C. Aux. Costos'!$F$250</f>
        <v>198338750</v>
      </c>
      <c r="F88" s="113">
        <f>'C. Aux. Costos'!$F$250</f>
        <v>198338750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>
      <c r="A89" s="126" t="s">
        <v>301</v>
      </c>
      <c r="B89" s="99">
        <f>'C. Aux. Costos'!$C$91</f>
        <v>10772460</v>
      </c>
      <c r="C89" s="99">
        <f>'C. Aux. Costos'!$C$91</f>
        <v>10772460</v>
      </c>
      <c r="D89" s="99">
        <f>'C. Aux. Costos'!$C$91</f>
        <v>10772460</v>
      </c>
      <c r="E89" s="99">
        <f>'C. Aux. Costos'!$C$91</f>
        <v>10772460</v>
      </c>
      <c r="F89" s="113">
        <f>'C. Aux. Costos'!$C$91</f>
        <v>10772460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>
      <c r="A90" s="126" t="s">
        <v>269</v>
      </c>
      <c r="B90" s="99">
        <f>'C. Aux. Costos'!$E$263*0.05</f>
        <v>1200348.2659999998</v>
      </c>
      <c r="C90" s="99">
        <f>'C. Aux. Costos'!$E$263*0.05</f>
        <v>1200348.2659999998</v>
      </c>
      <c r="D90" s="99">
        <f>'C. Aux. Costos'!$E$263*0.05</f>
        <v>1200348.2659999998</v>
      </c>
      <c r="E90" s="99">
        <f>'C. Aux. Costos'!$E$263*0.05</f>
        <v>1200348.2659999998</v>
      </c>
      <c r="F90" s="113">
        <f>'C. Aux. Costos'!$E$263*0.05</f>
        <v>1200348.2659999998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>
      <c r="A91" s="126" t="s">
        <v>270</v>
      </c>
      <c r="B91" s="99"/>
      <c r="C91" s="99"/>
      <c r="D91" s="99"/>
      <c r="E91" s="99"/>
      <c r="F91" s="113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>
      <c r="A92" s="24" t="s">
        <v>20</v>
      </c>
      <c r="B92" s="99">
        <f>SUM(B81:B90)*InfoInicial!$B$14</f>
        <v>32172035.31867256</v>
      </c>
      <c r="C92" s="99">
        <f>SUM(C81:C90)*InfoInicial!$B$14</f>
        <v>37132972.318506971</v>
      </c>
      <c r="D92" s="99">
        <f>SUM(D81:D90)*InfoInicial!$B$14</f>
        <v>37132972.318506971</v>
      </c>
      <c r="E92" s="99">
        <f>SUM(E81:E90)*InfoInicial!$B$14</f>
        <v>37132972.318506971</v>
      </c>
      <c r="F92" s="113">
        <f>SUM(F81:F90)*InfoInicial!$B$14</f>
        <v>37132972.318506971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>
      <c r="A93" s="24"/>
      <c r="B93" s="49"/>
      <c r="C93" s="49"/>
      <c r="D93" s="49"/>
      <c r="E93" s="49"/>
      <c r="F93" s="52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>
      <c r="A94" s="22" t="s">
        <v>302</v>
      </c>
      <c r="B94" s="99">
        <f t="shared" ref="B94:F94" si="12">SUM(B81:B92)</f>
        <v>363842502.52148241</v>
      </c>
      <c r="C94" s="99">
        <f t="shared" si="12"/>
        <v>419947119.93198091</v>
      </c>
      <c r="D94" s="99">
        <f t="shared" si="12"/>
        <v>419947119.93198091</v>
      </c>
      <c r="E94" s="99">
        <f t="shared" si="12"/>
        <v>419947119.93198091</v>
      </c>
      <c r="F94" s="113">
        <f t="shared" si="12"/>
        <v>419947119.93198091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>
      <c r="A95" s="22"/>
      <c r="B95" s="99"/>
      <c r="C95" s="99"/>
      <c r="D95" s="99"/>
      <c r="E95" s="99"/>
      <c r="F95" s="113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>
      <c r="A96" s="106" t="s">
        <v>272</v>
      </c>
      <c r="B96" s="127">
        <f>(B92+B90+B89+B86+B84+B83+B82+B81+'C. Aux. Costos'!E247+'C. Aux. Costos'!E248)/B94</f>
        <v>0.47788837564741704</v>
      </c>
      <c r="C96" s="127">
        <f>(C92+C90+C89+C86+C84+C83+C82+C81+'C. Aux. Costos'!$F$247+'C. Aux. Costos'!$F$248)/C94</f>
        <v>0.44526348927519094</v>
      </c>
      <c r="D96" s="127">
        <f>(D92+D90+D89+D86+D84+D83+D82+D81+'C. Aux. Costos'!$F$247+'C. Aux. Costos'!$F$248)/D94</f>
        <v>0.44526348927519094</v>
      </c>
      <c r="E96" s="127">
        <f>(E92+E90+E89+E86+E84+E83+E82+E81+'C. Aux. Costos'!$F$247+'C. Aux. Costos'!$F$248)/E94</f>
        <v>0.44526348927519094</v>
      </c>
      <c r="F96" s="128">
        <f>(F92+F90+F89+F86+F84+F83+F82+F81+'C. Aux. Costos'!$F$247+'C. Aux. Costos'!$F$248)/F94</f>
        <v>0.44526348927519094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>
      <c r="A97" s="33" t="s">
        <v>273</v>
      </c>
      <c r="B97" s="122">
        <f>(B87+'C. Aux. Costos'!E249)/B94</f>
        <v>0.52211162435258307</v>
      </c>
      <c r="C97" s="122">
        <f>(C87+'C. Aux. Costos'!$F$249)/C94</f>
        <v>0.55473651072480901</v>
      </c>
      <c r="D97" s="122">
        <f>(D87+'C. Aux. Costos'!$F$249)/D94</f>
        <v>0.55473651072480901</v>
      </c>
      <c r="E97" s="122">
        <f>(E87+'C. Aux. Costos'!$F$249)/E94</f>
        <v>0.55473651072480901</v>
      </c>
      <c r="F97" s="129">
        <f>(F87+'C. Aux. Costos'!$F$249)/F94</f>
        <v>0.55473651072480901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>
      <c r="A100" s="461" t="s">
        <v>303</v>
      </c>
      <c r="B100" s="488"/>
      <c r="C100" s="130"/>
      <c r="D100" s="130"/>
      <c r="E100" s="130"/>
      <c r="F100" s="131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>
      <c r="A101" s="24"/>
      <c r="B101" s="91" t="s">
        <v>55</v>
      </c>
      <c r="C101" s="91" t="s">
        <v>253</v>
      </c>
      <c r="D101" s="91" t="s">
        <v>254</v>
      </c>
      <c r="E101" s="91" t="s">
        <v>255</v>
      </c>
      <c r="F101" s="19" t="s">
        <v>256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>
      <c r="A102" s="24" t="s">
        <v>304</v>
      </c>
      <c r="B102" s="132">
        <f>'C. Aux. Costos'!O4</f>
        <v>36532</v>
      </c>
      <c r="C102" s="132">
        <f>'C. Aux. Costos'!P4</f>
        <v>44800</v>
      </c>
      <c r="D102" s="132">
        <f>'C. Aux. Costos'!P4</f>
        <v>44800</v>
      </c>
      <c r="E102" s="132">
        <f>'C. Aux. Costos'!P4</f>
        <v>44800</v>
      </c>
      <c r="F102" s="133">
        <f>'C. Aux. Costos'!P4</f>
        <v>44800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>
      <c r="A103" s="24" t="s">
        <v>305</v>
      </c>
      <c r="B103" s="134">
        <f>'C. Aux. Costos'!R2</f>
        <v>110000</v>
      </c>
      <c r="C103" s="134">
        <f>'C. Aux. Costos'!R2</f>
        <v>110000</v>
      </c>
      <c r="D103" s="134">
        <f>'C. Aux. Costos'!R2</f>
        <v>110000</v>
      </c>
      <c r="E103" s="134">
        <f>'C. Aux. Costos'!R2</f>
        <v>110000</v>
      </c>
      <c r="F103" s="135">
        <f>'C. Aux. Costos'!R2</f>
        <v>110000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>
      <c r="A104" s="24" t="s">
        <v>306</v>
      </c>
      <c r="B104" s="136"/>
      <c r="C104" s="136"/>
      <c r="D104" s="136"/>
      <c r="E104" s="136"/>
      <c r="F104" s="137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>
      <c r="A105" s="24" t="s">
        <v>307</v>
      </c>
      <c r="B105" s="99"/>
      <c r="C105" s="99"/>
      <c r="D105" s="99"/>
      <c r="E105" s="99"/>
      <c r="F105" s="113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>
      <c r="A106" s="24" t="s">
        <v>308</v>
      </c>
      <c r="B106" s="99"/>
      <c r="C106" s="99"/>
      <c r="D106" s="99"/>
      <c r="E106" s="99"/>
      <c r="F106" s="113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>
      <c r="A107" s="24" t="s">
        <v>309</v>
      </c>
      <c r="B107" s="99"/>
      <c r="C107" s="99"/>
      <c r="D107" s="99"/>
      <c r="E107" s="99"/>
      <c r="F107" s="113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>
      <c r="A108" s="138" t="s">
        <v>310</v>
      </c>
      <c r="B108" s="99"/>
      <c r="C108" s="99"/>
      <c r="D108" s="99"/>
      <c r="E108" s="99"/>
      <c r="F108" s="113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>
      <c r="A109" s="138" t="s">
        <v>310</v>
      </c>
      <c r="B109" s="99"/>
      <c r="C109" s="99"/>
      <c r="D109" s="99"/>
      <c r="E109" s="99"/>
      <c r="F109" s="113"/>
      <c r="G109" s="139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>
      <c r="A110" s="22" t="s">
        <v>311</v>
      </c>
      <c r="B110" s="99">
        <f>'C. Aux. Costos'!O5</f>
        <v>4018520000</v>
      </c>
      <c r="C110" s="99">
        <f>'C. Aux. Costos'!P5</f>
        <v>4928000000</v>
      </c>
      <c r="D110" s="99">
        <f>'C. Aux. Costos'!P5</f>
        <v>4928000000</v>
      </c>
      <c r="E110" s="99">
        <f>'C. Aux. Costos'!P5</f>
        <v>4928000000</v>
      </c>
      <c r="F110" s="113">
        <f>'C. Aux. Costos'!P5</f>
        <v>4928000000</v>
      </c>
      <c r="G110" s="139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>
      <c r="A111" s="24"/>
      <c r="B111" s="99"/>
      <c r="C111" s="99"/>
      <c r="D111" s="99"/>
      <c r="E111" s="99"/>
      <c r="F111" s="113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>
      <c r="A112" s="24" t="s">
        <v>312</v>
      </c>
      <c r="B112" s="99">
        <f t="shared" ref="B112:F112" si="13">B7</f>
        <v>1489817567.4465647</v>
      </c>
      <c r="C112" s="99">
        <f t="shared" si="13"/>
        <v>1444462102.2840002</v>
      </c>
      <c r="D112" s="99">
        <f t="shared" si="13"/>
        <v>1444462102.2840002</v>
      </c>
      <c r="E112" s="99">
        <f t="shared" si="13"/>
        <v>1444462102.2840002</v>
      </c>
      <c r="F112" s="113">
        <f t="shared" si="13"/>
        <v>1444462102.2840002</v>
      </c>
      <c r="G112" s="139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>
      <c r="A113" s="24" t="s">
        <v>258</v>
      </c>
      <c r="B113" s="99">
        <f t="shared" ref="B113:F113" si="14">B8</f>
        <v>129094862.39999998</v>
      </c>
      <c r="C113" s="99">
        <f t="shared" si="14"/>
        <v>143438735.99999997</v>
      </c>
      <c r="D113" s="99">
        <f t="shared" si="14"/>
        <v>143438735.99999997</v>
      </c>
      <c r="E113" s="99">
        <f t="shared" si="14"/>
        <v>143438735.99999997</v>
      </c>
      <c r="F113" s="113">
        <f t="shared" si="14"/>
        <v>143438735.99999997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>
      <c r="A114" s="24" t="s">
        <v>313</v>
      </c>
      <c r="B114" s="99">
        <f t="shared" ref="B114:F114" si="15">SUM(B10:B21)</f>
        <v>437875225.16562903</v>
      </c>
      <c r="C114" s="99">
        <f t="shared" si="15"/>
        <v>435040040.28365803</v>
      </c>
      <c r="D114" s="99">
        <f t="shared" si="15"/>
        <v>435040040.28365803</v>
      </c>
      <c r="E114" s="99">
        <f t="shared" si="15"/>
        <v>435040040.28365803</v>
      </c>
      <c r="F114" s="113">
        <f t="shared" si="15"/>
        <v>435040040.28365803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>
      <c r="A115" s="24"/>
      <c r="B115" s="99"/>
      <c r="C115" s="99"/>
      <c r="D115" s="99"/>
      <c r="E115" s="99"/>
      <c r="F115" s="113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>
      <c r="A116" s="22" t="s">
        <v>314</v>
      </c>
      <c r="B116" s="99">
        <f t="shared" ref="B116:F116" si="16">SUM(B112:B114)</f>
        <v>2056787655.0121937</v>
      </c>
      <c r="C116" s="99">
        <f t="shared" si="16"/>
        <v>2022940878.5676582</v>
      </c>
      <c r="D116" s="99">
        <f t="shared" si="16"/>
        <v>2022940878.5676582</v>
      </c>
      <c r="E116" s="99">
        <f t="shared" si="16"/>
        <v>2022940878.5676582</v>
      </c>
      <c r="F116" s="113">
        <f t="shared" si="16"/>
        <v>2022940878.5676582</v>
      </c>
      <c r="G116" s="139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>
      <c r="A117" s="24"/>
      <c r="B117" s="99"/>
      <c r="C117" s="99"/>
      <c r="D117" s="99"/>
      <c r="E117" s="99"/>
      <c r="F117" s="113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>
      <c r="A118" s="24" t="s">
        <v>284</v>
      </c>
      <c r="B118" s="99"/>
      <c r="C118" s="99"/>
      <c r="D118" s="99"/>
      <c r="E118" s="99"/>
      <c r="F118" s="113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>
      <c r="A119" s="26" t="s">
        <v>276</v>
      </c>
      <c r="B119" s="99">
        <f>G43</f>
        <v>365865444.88752836</v>
      </c>
      <c r="C119" s="99"/>
      <c r="D119" s="99"/>
      <c r="E119" s="99"/>
      <c r="F119" s="113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>
      <c r="A120" s="26" t="s">
        <v>286</v>
      </c>
      <c r="B120" s="99">
        <f>B43</f>
        <v>36298795.402852744</v>
      </c>
      <c r="C120" s="99">
        <f t="shared" ref="C120:F120" si="17">C43-B43</f>
        <v>-614366.30603439361</v>
      </c>
      <c r="D120" s="99">
        <f t="shared" si="17"/>
        <v>0</v>
      </c>
      <c r="E120" s="99">
        <f t="shared" si="17"/>
        <v>0</v>
      </c>
      <c r="F120" s="113">
        <f t="shared" si="17"/>
        <v>0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>
      <c r="A121" s="24"/>
      <c r="B121" s="99"/>
      <c r="C121" s="99"/>
      <c r="D121" s="99"/>
      <c r="E121" s="99"/>
      <c r="F121" s="113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>
      <c r="A122" s="22" t="s">
        <v>315</v>
      </c>
      <c r="B122" s="99">
        <f t="shared" ref="B122:F122" si="18">B116-B119-B120</f>
        <v>1654623414.7218125</v>
      </c>
      <c r="C122" s="99">
        <f t="shared" si="18"/>
        <v>2023555244.8736925</v>
      </c>
      <c r="D122" s="99">
        <f t="shared" si="18"/>
        <v>2022940878.5676582</v>
      </c>
      <c r="E122" s="99">
        <f t="shared" si="18"/>
        <v>2022940878.5676582</v>
      </c>
      <c r="F122" s="113">
        <f t="shared" si="18"/>
        <v>2022940878.5676582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>
      <c r="A123" s="26" t="s">
        <v>316</v>
      </c>
      <c r="B123" s="132">
        <f>'C. Aux. Costos'!O7</f>
        <v>36655</v>
      </c>
      <c r="C123" s="132">
        <f>'C. Aux. Costos'!P7</f>
        <v>44800</v>
      </c>
      <c r="D123" s="132">
        <f>'C. Aux. Costos'!P7</f>
        <v>44800</v>
      </c>
      <c r="E123" s="132">
        <f>'C. Aux. Costos'!P7</f>
        <v>44800</v>
      </c>
      <c r="F123" s="140">
        <f>'C. Aux. Costos'!P7</f>
        <v>44800</v>
      </c>
      <c r="G123" s="139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>
      <c r="A124" s="24" t="s">
        <v>317</v>
      </c>
      <c r="B124" s="99">
        <f t="shared" ref="B124:F124" si="19">B122/B123</f>
        <v>45140.456001140701</v>
      </c>
      <c r="C124" s="99">
        <f t="shared" si="19"/>
        <v>45168.643858787778</v>
      </c>
      <c r="D124" s="99">
        <f t="shared" si="19"/>
        <v>45154.930325170943</v>
      </c>
      <c r="E124" s="99">
        <f t="shared" si="19"/>
        <v>45154.930325170943</v>
      </c>
      <c r="F124" s="113">
        <f t="shared" si="19"/>
        <v>45154.930325170943</v>
      </c>
      <c r="G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>
      <c r="A125" s="24"/>
      <c r="B125" s="141"/>
      <c r="C125" s="141"/>
      <c r="D125" s="141"/>
      <c r="E125" s="141"/>
      <c r="F125" s="142"/>
      <c r="G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>
      <c r="A126" s="24" t="s">
        <v>284</v>
      </c>
      <c r="B126" s="141"/>
      <c r="C126" s="141"/>
      <c r="D126" s="99"/>
      <c r="E126" s="141"/>
      <c r="F126" s="142"/>
      <c r="G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>
      <c r="A127" s="24" t="s">
        <v>318</v>
      </c>
      <c r="B127" s="99">
        <f>'E-InvAT'!C13</f>
        <v>21531997.512544114</v>
      </c>
      <c r="C127" s="99">
        <f>'E-InvAT'!C13-'E-InvAT'!D13</f>
        <v>-13445.608097657561</v>
      </c>
      <c r="D127" s="99">
        <f>'E-InvAT'!D13-'E-InvAT'!E13</f>
        <v>6541.3555352315307</v>
      </c>
      <c r="E127" s="86">
        <f>'E-InvAT'!E13-'E-InvAT'!F13</f>
        <v>0</v>
      </c>
      <c r="F127" s="113">
        <f>'E-InvAT'!F13-'E-InvAT'!G13</f>
        <v>0</v>
      </c>
      <c r="G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>
      <c r="A128" s="24"/>
      <c r="B128" s="141"/>
      <c r="C128" s="141"/>
      <c r="D128" s="141"/>
      <c r="E128" s="141"/>
      <c r="F128" s="142"/>
      <c r="G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>
      <c r="A129" s="22" t="s">
        <v>319</v>
      </c>
      <c r="B129" s="99">
        <f t="shared" ref="B129:F129" si="20">B122-B127</f>
        <v>1633091417.2092683</v>
      </c>
      <c r="C129" s="99">
        <f t="shared" si="20"/>
        <v>2023568690.4817901</v>
      </c>
      <c r="D129" s="99">
        <f t="shared" si="20"/>
        <v>2022934337.2121229</v>
      </c>
      <c r="E129" s="99">
        <f t="shared" si="20"/>
        <v>2022940878.5676582</v>
      </c>
      <c r="F129" s="113">
        <f t="shared" si="20"/>
        <v>2022940878.5676582</v>
      </c>
      <c r="G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>
      <c r="A130" s="24"/>
      <c r="B130" s="99"/>
      <c r="C130" s="99"/>
      <c r="D130" s="99"/>
      <c r="E130" s="99"/>
      <c r="F130" s="113"/>
      <c r="G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>
      <c r="A131" s="22" t="s">
        <v>320</v>
      </c>
      <c r="B131" s="99">
        <f t="shared" ref="B131:F131" si="21">B73</f>
        <v>184229796.24615452</v>
      </c>
      <c r="C131" s="99">
        <f t="shared" si="21"/>
        <v>151190438.45665291</v>
      </c>
      <c r="D131" s="99">
        <f t="shared" si="21"/>
        <v>151190438.45665291</v>
      </c>
      <c r="E131" s="99">
        <f t="shared" si="21"/>
        <v>151190438.45665291</v>
      </c>
      <c r="F131" s="113">
        <f t="shared" si="21"/>
        <v>151190438.45665291</v>
      </c>
      <c r="G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>
      <c r="A132" s="22" t="s">
        <v>321</v>
      </c>
      <c r="B132" s="141">
        <f t="shared" ref="B132:F132" si="22">B94</f>
        <v>363842502.52148241</v>
      </c>
      <c r="C132" s="141">
        <f t="shared" si="22"/>
        <v>419947119.93198091</v>
      </c>
      <c r="D132" s="141">
        <f t="shared" si="22"/>
        <v>419947119.93198091</v>
      </c>
      <c r="E132" s="141">
        <f t="shared" si="22"/>
        <v>419947119.93198091</v>
      </c>
      <c r="F132" s="142">
        <f t="shared" si="22"/>
        <v>419947119.93198091</v>
      </c>
      <c r="G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>
      <c r="A133" s="24"/>
      <c r="B133" s="141"/>
      <c r="C133" s="141"/>
      <c r="D133" s="141"/>
      <c r="E133" s="141"/>
      <c r="F133" s="142"/>
      <c r="G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>
      <c r="A134" s="22" t="s">
        <v>322</v>
      </c>
      <c r="B134" s="141">
        <f t="shared" ref="B134:F134" si="23">SUM(B129:B132)</f>
        <v>2181163715.9769053</v>
      </c>
      <c r="C134" s="141">
        <f t="shared" si="23"/>
        <v>2594706248.8704243</v>
      </c>
      <c r="D134" s="141">
        <f t="shared" si="23"/>
        <v>2594071895.6007571</v>
      </c>
      <c r="E134" s="141">
        <f t="shared" si="23"/>
        <v>2594078436.9562922</v>
      </c>
      <c r="F134" s="142">
        <f t="shared" si="23"/>
        <v>2594078436.9562922</v>
      </c>
      <c r="G134" s="139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>
      <c r="A135" s="24"/>
      <c r="B135" s="141"/>
      <c r="C135" s="141"/>
      <c r="D135" s="141"/>
      <c r="E135" s="141"/>
      <c r="F135" s="142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>
      <c r="A136" s="22" t="s">
        <v>323</v>
      </c>
      <c r="B136" s="141">
        <f t="shared" ref="B136:F136" si="24">B134/B102</f>
        <v>59705.565421463521</v>
      </c>
      <c r="C136" s="141">
        <f t="shared" si="24"/>
        <v>57917.550198000543</v>
      </c>
      <c r="D136" s="141">
        <f t="shared" si="24"/>
        <v>57903.390526802614</v>
      </c>
      <c r="E136" s="141">
        <f t="shared" si="24"/>
        <v>57903.536539202949</v>
      </c>
      <c r="F136" s="142">
        <f t="shared" si="24"/>
        <v>57903.536539202949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>
      <c r="A137" s="24"/>
      <c r="B137" s="141"/>
      <c r="C137" s="141"/>
      <c r="D137" s="141"/>
      <c r="E137" s="141"/>
      <c r="F137" s="142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>
      <c r="A138" s="22" t="s">
        <v>324</v>
      </c>
      <c r="B138" s="141">
        <f t="shared" ref="B138:F138" si="25">B110-B134</f>
        <v>1837356284.0230947</v>
      </c>
      <c r="C138" s="141">
        <f t="shared" si="25"/>
        <v>2333293751.1295757</v>
      </c>
      <c r="D138" s="141">
        <f t="shared" si="25"/>
        <v>2333928104.3992429</v>
      </c>
      <c r="E138" s="141">
        <f t="shared" si="25"/>
        <v>2333921563.0437078</v>
      </c>
      <c r="F138" s="142">
        <f t="shared" si="25"/>
        <v>2333921563.0437078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>
      <c r="A139" s="22" t="s">
        <v>5</v>
      </c>
      <c r="B139" s="141">
        <f>B138*InfoInicial!$B$5</f>
        <v>143313790.15380138</v>
      </c>
      <c r="C139" s="141">
        <f>C138*InfoInicial!$B$5</f>
        <v>181996912.5881069</v>
      </c>
      <c r="D139" s="141">
        <f>D138*InfoInicial!$B$5</f>
        <v>182046392.14314094</v>
      </c>
      <c r="E139" s="141">
        <f>E138*InfoInicial!$B$5</f>
        <v>182045881.91740921</v>
      </c>
      <c r="F139" s="142">
        <f>F138*InfoInicial!$B$5</f>
        <v>182045881.91740921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>
      <c r="A140" s="46" t="s">
        <v>325</v>
      </c>
      <c r="B140" s="141">
        <f>(B138-B139)*InfoInicial!$B$4</f>
        <v>592914872.85425258</v>
      </c>
      <c r="C140" s="141">
        <f>(C138-C139)*InfoInicial!$B$4</f>
        <v>752953893.48951399</v>
      </c>
      <c r="D140" s="141">
        <f>(D138-D139)*InfoInicial!$B$4</f>
        <v>753158599.28963566</v>
      </c>
      <c r="E140" s="141">
        <f>(E138-E139)*InfoInicial!$B$4</f>
        <v>753156488.39420438</v>
      </c>
      <c r="F140" s="142">
        <f>(F138-F139)*InfoInicial!$B$4</f>
        <v>753156488.39420438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>
      <c r="A141" s="22"/>
      <c r="B141" s="141"/>
      <c r="C141" s="141"/>
      <c r="D141" s="141"/>
      <c r="E141" s="141"/>
      <c r="F141" s="142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>
      <c r="A142" s="46" t="s">
        <v>326</v>
      </c>
      <c r="B142" s="141">
        <f t="shared" ref="B142:F142" si="26">B138-B139-B140</f>
        <v>1101127621.0150406</v>
      </c>
      <c r="C142" s="141">
        <f t="shared" si="26"/>
        <v>1398342945.0519547</v>
      </c>
      <c r="D142" s="141">
        <f t="shared" si="26"/>
        <v>1398723112.9664664</v>
      </c>
      <c r="E142" s="141">
        <f t="shared" si="26"/>
        <v>1398719192.732094</v>
      </c>
      <c r="F142" s="142">
        <f t="shared" si="26"/>
        <v>1398719192.732094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>
      <c r="A143" s="22" t="s">
        <v>327</v>
      </c>
      <c r="B143" s="143">
        <f t="shared" ref="B143:F143" si="27">B142/B110</f>
        <v>0.2740132240265174</v>
      </c>
      <c r="C143" s="143">
        <f t="shared" si="27"/>
        <v>0.28375465605762068</v>
      </c>
      <c r="D143" s="143">
        <f t="shared" si="27"/>
        <v>0.28383180052079271</v>
      </c>
      <c r="E143" s="143">
        <f t="shared" si="27"/>
        <v>0.28383100501868791</v>
      </c>
      <c r="F143" s="144">
        <f t="shared" si="27"/>
        <v>0.28383100501868791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>
      <c r="A144" s="22"/>
      <c r="B144" s="143"/>
      <c r="C144" s="143"/>
      <c r="D144" s="143"/>
      <c r="E144" s="143"/>
      <c r="F144" s="144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>
      <c r="A145" s="22" t="s">
        <v>328</v>
      </c>
      <c r="B145" s="143"/>
      <c r="C145" s="143"/>
      <c r="D145" s="143"/>
      <c r="E145" s="143"/>
      <c r="F145" s="144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>
      <c r="A146" s="46" t="s">
        <v>329</v>
      </c>
      <c r="B146" s="145">
        <f t="shared" ref="B146:F146" si="28">B142</f>
        <v>1101127621.0150406</v>
      </c>
      <c r="C146" s="145">
        <f t="shared" si="28"/>
        <v>1398342945.0519547</v>
      </c>
      <c r="D146" s="145">
        <f t="shared" si="28"/>
        <v>1398723112.9664664</v>
      </c>
      <c r="E146" s="145">
        <f t="shared" si="28"/>
        <v>1398719192.732094</v>
      </c>
      <c r="F146" s="146">
        <f t="shared" si="28"/>
        <v>1398719192.732094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>
      <c r="A147" s="22" t="s">
        <v>330</v>
      </c>
      <c r="B147" s="145">
        <f>'E-Inv AF y Am'!D59</f>
        <v>218204343.00180382</v>
      </c>
      <c r="C147" s="145">
        <f>'E-Inv AF y Am'!D59</f>
        <v>218204343.00180382</v>
      </c>
      <c r="D147" s="145">
        <f>'E-Inv AF y Am'!D59</f>
        <v>218204343.00180382</v>
      </c>
      <c r="E147" s="145">
        <f>'E-Inv AF y Am'!E59</f>
        <v>218204343.00180382</v>
      </c>
      <c r="F147" s="146">
        <f>'E-Inv AF y Am'!E59</f>
        <v>218204343.00180382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>
      <c r="A148" s="33" t="s">
        <v>249</v>
      </c>
      <c r="B148" s="145">
        <f t="shared" ref="B148:F148" si="29">B146+B147</f>
        <v>1319331964.0168445</v>
      </c>
      <c r="C148" s="145">
        <f t="shared" si="29"/>
        <v>1616547288.0537586</v>
      </c>
      <c r="D148" s="145">
        <f t="shared" si="29"/>
        <v>1616927455.9682703</v>
      </c>
      <c r="E148" s="145">
        <f t="shared" si="29"/>
        <v>1616923535.7338979</v>
      </c>
      <c r="F148" s="146">
        <f t="shared" si="29"/>
        <v>1616923535.7338979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>
      <c r="A149" s="22"/>
      <c r="B149" s="25"/>
      <c r="C149" s="25"/>
      <c r="D149" s="25"/>
      <c r="E149" s="25"/>
      <c r="F149" s="43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>
      <c r="A150" s="22" t="s">
        <v>331</v>
      </c>
      <c r="B150" s="25">
        <f t="shared" ref="B150:F150" si="30">B54*B51</f>
        <v>660073796.21407199</v>
      </c>
      <c r="C150" s="25">
        <f t="shared" si="30"/>
        <v>534510927.16987747</v>
      </c>
      <c r="D150" s="25">
        <f t="shared" si="30"/>
        <v>534510927.16987771</v>
      </c>
      <c r="E150" s="25">
        <f t="shared" si="30"/>
        <v>534510927.16987771</v>
      </c>
      <c r="F150" s="43">
        <f t="shared" si="30"/>
        <v>534510927.16987771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>
      <c r="A151" s="46" t="s">
        <v>332</v>
      </c>
      <c r="B151" s="25">
        <f t="shared" ref="B151:F151" si="31">B55*B51</f>
        <v>1630097018.6333096</v>
      </c>
      <c r="C151" s="25">
        <f t="shared" si="31"/>
        <v>1717301241.3057799</v>
      </c>
      <c r="D151" s="25">
        <f t="shared" si="31"/>
        <v>1717915607.6118143</v>
      </c>
      <c r="E151" s="25">
        <f t="shared" si="31"/>
        <v>1717915607.6118143</v>
      </c>
      <c r="F151" s="43">
        <f t="shared" si="31"/>
        <v>1717915607.6118143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>
      <c r="A152" s="22" t="s">
        <v>333</v>
      </c>
      <c r="B152" s="25">
        <f t="shared" ref="B152:F152" si="32">B73*B75</f>
        <v>184229796.24615449</v>
      </c>
      <c r="C152" s="25">
        <f t="shared" si="32"/>
        <v>151190438.45665291</v>
      </c>
      <c r="D152" s="25">
        <f t="shared" si="32"/>
        <v>151190438.45665291</v>
      </c>
      <c r="E152" s="25">
        <f t="shared" si="32"/>
        <v>151190438.45665291</v>
      </c>
      <c r="F152" s="43">
        <f t="shared" si="32"/>
        <v>151190438.45665291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>
      <c r="A153" s="46" t="s">
        <v>334</v>
      </c>
      <c r="B153" s="25">
        <f t="shared" ref="B153:F153" si="33">B73*B76</f>
        <v>0</v>
      </c>
      <c r="C153" s="25">
        <f t="shared" si="33"/>
        <v>0</v>
      </c>
      <c r="D153" s="25">
        <f t="shared" si="33"/>
        <v>0</v>
      </c>
      <c r="E153" s="25">
        <f t="shared" si="33"/>
        <v>0</v>
      </c>
      <c r="F153" s="43">
        <f t="shared" si="33"/>
        <v>0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>
      <c r="A154" s="22" t="s">
        <v>335</v>
      </c>
      <c r="B154" s="25">
        <f t="shared" ref="B154:F154" si="34">B94*B96</f>
        <v>173876102.52148247</v>
      </c>
      <c r="C154" s="25">
        <f t="shared" si="34"/>
        <v>186987119.93198091</v>
      </c>
      <c r="D154" s="25">
        <f t="shared" si="34"/>
        <v>186987119.93198091</v>
      </c>
      <c r="E154" s="25">
        <f t="shared" si="34"/>
        <v>186987119.93198091</v>
      </c>
      <c r="F154" s="43">
        <f t="shared" si="34"/>
        <v>186987119.93198091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>
      <c r="A155" s="46" t="s">
        <v>336</v>
      </c>
      <c r="B155" s="25">
        <f t="shared" ref="B155:F155" si="35">B97*B94</f>
        <v>189966399.99999997</v>
      </c>
      <c r="C155" s="25">
        <f t="shared" si="35"/>
        <v>232959999.99999997</v>
      </c>
      <c r="D155" s="25">
        <f t="shared" si="35"/>
        <v>232959999.99999997</v>
      </c>
      <c r="E155" s="25">
        <f t="shared" si="35"/>
        <v>232959999.99999997</v>
      </c>
      <c r="F155" s="43">
        <f t="shared" si="35"/>
        <v>232959999.99999997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>
      <c r="A156" s="22" t="s">
        <v>337</v>
      </c>
      <c r="B156" s="25">
        <f t="shared" ref="B156:F156" si="36">B110-B127-B151-B153-B155</f>
        <v>2176924583.854146</v>
      </c>
      <c r="C156" s="25">
        <f t="shared" si="36"/>
        <v>2977752204.3023181</v>
      </c>
      <c r="D156" s="25">
        <f t="shared" si="36"/>
        <v>2977117851.03265</v>
      </c>
      <c r="E156" s="25">
        <f t="shared" si="36"/>
        <v>2977124392.3881855</v>
      </c>
      <c r="F156" s="43">
        <f t="shared" si="36"/>
        <v>2977124392.3881855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>
      <c r="A157" s="33" t="s">
        <v>338</v>
      </c>
      <c r="B157" s="147">
        <f t="shared" ref="B157:F157" si="37">(B150+B152+B154)/B156</f>
        <v>0.46771473046579692</v>
      </c>
      <c r="C157" s="147">
        <f t="shared" si="37"/>
        <v>0.29306954564507848</v>
      </c>
      <c r="D157" s="147">
        <f t="shared" si="37"/>
        <v>0.29313199182081717</v>
      </c>
      <c r="E157" s="147">
        <f t="shared" si="37"/>
        <v>0.2931313477494501</v>
      </c>
      <c r="F157" s="148">
        <f t="shared" si="37"/>
        <v>0.2931313477494501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>
      <c r="A158" s="149" t="s">
        <v>339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>
      <c r="A160" s="452" t="s">
        <v>55</v>
      </c>
      <c r="B160" s="492"/>
      <c r="C160" s="6"/>
      <c r="D160" s="452" t="s">
        <v>256</v>
      </c>
      <c r="E160" s="492"/>
      <c r="F160" s="6"/>
      <c r="G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>
      <c r="A161" s="150" t="s">
        <v>340</v>
      </c>
      <c r="B161" s="151">
        <f t="shared" ref="B161:B162" si="38">B102</f>
        <v>36532</v>
      </c>
      <c r="C161" s="6"/>
      <c r="D161" s="150" t="s">
        <v>340</v>
      </c>
      <c r="E161" s="151">
        <f t="shared" ref="E161:E162" si="39">F102</f>
        <v>44800</v>
      </c>
      <c r="F161" s="6"/>
      <c r="G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>
      <c r="A162" s="150" t="s">
        <v>341</v>
      </c>
      <c r="B162" s="152">
        <f t="shared" si="38"/>
        <v>110000</v>
      </c>
      <c r="C162" s="6"/>
      <c r="D162" s="150" t="s">
        <v>341</v>
      </c>
      <c r="E162" s="152">
        <f t="shared" si="39"/>
        <v>110000</v>
      </c>
      <c r="F162" s="6"/>
      <c r="G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>
      <c r="A163" s="150" t="s">
        <v>342</v>
      </c>
      <c r="B163" s="153">
        <f>(B151+B153+B155)/B161</f>
        <v>49821.072446986465</v>
      </c>
      <c r="C163" s="6"/>
      <c r="D163" s="150" t="s">
        <v>342</v>
      </c>
      <c r="E163" s="153">
        <f>(F151+F153+F155)/E161</f>
        <v>43546.330527049424</v>
      </c>
      <c r="F163" s="6"/>
      <c r="G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>
      <c r="A164" s="150" t="s">
        <v>343</v>
      </c>
      <c r="B164" s="154">
        <f>B150+B152+B154</f>
        <v>1018179694.981709</v>
      </c>
      <c r="C164" s="6"/>
      <c r="D164" s="150" t="s">
        <v>343</v>
      </c>
      <c r="E164" s="154">
        <f>F150+F152+F154</f>
        <v>872688485.5585115</v>
      </c>
      <c r="F164" s="6"/>
      <c r="G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>
      <c r="A165" s="150" t="s">
        <v>344</v>
      </c>
      <c r="B165" s="152">
        <f>B162-B163</f>
        <v>60178.927553013535</v>
      </c>
      <c r="C165" s="6"/>
      <c r="D165" s="150" t="s">
        <v>344</v>
      </c>
      <c r="E165" s="152">
        <f>E162-E163</f>
        <v>66453.669472950569</v>
      </c>
      <c r="F165" s="6"/>
      <c r="G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>
      <c r="A166" s="150" t="s">
        <v>345</v>
      </c>
      <c r="B166" s="155">
        <f>B157*B161</f>
        <v>17086.554533376493</v>
      </c>
      <c r="C166" s="6"/>
      <c r="D166" s="150" t="s">
        <v>345</v>
      </c>
      <c r="E166" s="155">
        <f>F157*E161</f>
        <v>13132.284379175364</v>
      </c>
      <c r="F166" s="6"/>
      <c r="G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>
      <c r="A167" s="150" t="s">
        <v>346</v>
      </c>
      <c r="B167" s="152">
        <f>B166*B162</f>
        <v>1879520998.6714141</v>
      </c>
      <c r="C167" s="6"/>
      <c r="D167" s="150" t="s">
        <v>346</v>
      </c>
      <c r="E167" s="152">
        <f>E162*E166</f>
        <v>1444551281.70929</v>
      </c>
      <c r="F167" s="6"/>
      <c r="G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>
      <c r="A170" s="6"/>
      <c r="B170" s="452" t="s">
        <v>55</v>
      </c>
      <c r="C170" s="491"/>
      <c r="D170" s="491"/>
      <c r="E170" s="491"/>
      <c r="F170" s="492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>
      <c r="A171" s="6"/>
      <c r="B171" s="150" t="s">
        <v>347</v>
      </c>
      <c r="C171" s="150" t="s">
        <v>348</v>
      </c>
      <c r="D171" s="150" t="s">
        <v>349</v>
      </c>
      <c r="E171" s="150" t="s">
        <v>350</v>
      </c>
      <c r="F171" s="150" t="s">
        <v>351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>
      <c r="A172" s="6"/>
      <c r="B172" s="150">
        <v>0</v>
      </c>
      <c r="C172" s="153">
        <f t="shared" ref="C172:C209" si="40">B172*$B$163</f>
        <v>0</v>
      </c>
      <c r="D172" s="154">
        <f t="shared" ref="D172:D209" si="41">$B$164</f>
        <v>1018179694.981709</v>
      </c>
      <c r="E172" s="154">
        <f t="shared" ref="E172:E209" si="42">D172+C172</f>
        <v>1018179694.981709</v>
      </c>
      <c r="F172" s="152">
        <f t="shared" ref="F172:F209" si="43">B172*$B$162</f>
        <v>0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>
      <c r="A173" s="6"/>
      <c r="B173" s="150">
        <v>1000</v>
      </c>
      <c r="C173" s="153">
        <f t="shared" si="40"/>
        <v>49821072.446986467</v>
      </c>
      <c r="D173" s="154">
        <f t="shared" si="41"/>
        <v>1018179694.981709</v>
      </c>
      <c r="E173" s="154">
        <f t="shared" si="42"/>
        <v>1068000767.4286954</v>
      </c>
      <c r="F173" s="152">
        <f t="shared" si="43"/>
        <v>110000000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>
      <c r="A174" s="6"/>
      <c r="B174" s="150">
        <v>2000</v>
      </c>
      <c r="C174" s="153">
        <f t="shared" si="40"/>
        <v>99642144.893972933</v>
      </c>
      <c r="D174" s="154">
        <f t="shared" si="41"/>
        <v>1018179694.981709</v>
      </c>
      <c r="E174" s="154">
        <f t="shared" si="42"/>
        <v>1117821839.8756819</v>
      </c>
      <c r="F174" s="152">
        <f t="shared" si="43"/>
        <v>220000000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>
      <c r="A175" s="6"/>
      <c r="B175" s="150">
        <v>3000</v>
      </c>
      <c r="C175" s="153">
        <f t="shared" si="40"/>
        <v>149463217.3409594</v>
      </c>
      <c r="D175" s="154">
        <f t="shared" si="41"/>
        <v>1018179694.981709</v>
      </c>
      <c r="E175" s="154">
        <f t="shared" si="42"/>
        <v>1167642912.3226683</v>
      </c>
      <c r="F175" s="152">
        <f t="shared" si="43"/>
        <v>330000000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>
      <c r="A176" s="6"/>
      <c r="B176" s="150">
        <v>4000</v>
      </c>
      <c r="C176" s="153">
        <f t="shared" si="40"/>
        <v>199284289.78794587</v>
      </c>
      <c r="D176" s="154">
        <f t="shared" si="41"/>
        <v>1018179694.981709</v>
      </c>
      <c r="E176" s="154">
        <f t="shared" si="42"/>
        <v>1217463984.7696548</v>
      </c>
      <c r="F176" s="152">
        <f t="shared" si="43"/>
        <v>440000000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>
      <c r="A177" s="6"/>
      <c r="B177" s="150">
        <v>5000</v>
      </c>
      <c r="C177" s="153">
        <f t="shared" si="40"/>
        <v>249105362.23493233</v>
      </c>
      <c r="D177" s="154">
        <f t="shared" si="41"/>
        <v>1018179694.981709</v>
      </c>
      <c r="E177" s="154">
        <f t="shared" si="42"/>
        <v>1267285057.2166414</v>
      </c>
      <c r="F177" s="152">
        <f t="shared" si="43"/>
        <v>550000000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>
      <c r="A178" s="6"/>
      <c r="B178" s="150">
        <v>6000</v>
      </c>
      <c r="C178" s="153">
        <f t="shared" si="40"/>
        <v>298926434.6819188</v>
      </c>
      <c r="D178" s="154">
        <f t="shared" si="41"/>
        <v>1018179694.981709</v>
      </c>
      <c r="E178" s="154">
        <f t="shared" si="42"/>
        <v>1317106129.6636279</v>
      </c>
      <c r="F178" s="152">
        <f t="shared" si="43"/>
        <v>660000000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>
      <c r="A179" s="6"/>
      <c r="B179" s="150">
        <v>7000</v>
      </c>
      <c r="C179" s="153">
        <f t="shared" si="40"/>
        <v>348747507.12890524</v>
      </c>
      <c r="D179" s="154">
        <f t="shared" si="41"/>
        <v>1018179694.981709</v>
      </c>
      <c r="E179" s="154">
        <f t="shared" si="42"/>
        <v>1366927202.1106143</v>
      </c>
      <c r="F179" s="152">
        <f t="shared" si="43"/>
        <v>770000000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>
      <c r="A180" s="6"/>
      <c r="B180" s="150">
        <v>8000</v>
      </c>
      <c r="C180" s="153">
        <f t="shared" si="40"/>
        <v>398568579.57589173</v>
      </c>
      <c r="D180" s="154">
        <f t="shared" si="41"/>
        <v>1018179694.981709</v>
      </c>
      <c r="E180" s="154">
        <f t="shared" si="42"/>
        <v>1416748274.5576007</v>
      </c>
      <c r="F180" s="152">
        <f t="shared" si="43"/>
        <v>880000000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>
      <c r="A181" s="6"/>
      <c r="B181" s="150">
        <v>9000</v>
      </c>
      <c r="C181" s="153">
        <f t="shared" si="40"/>
        <v>448389652.02287817</v>
      </c>
      <c r="D181" s="154">
        <f t="shared" si="41"/>
        <v>1018179694.981709</v>
      </c>
      <c r="E181" s="154">
        <f t="shared" si="42"/>
        <v>1466569347.0045872</v>
      </c>
      <c r="F181" s="152">
        <f t="shared" si="43"/>
        <v>990000000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>
      <c r="A182" s="6"/>
      <c r="B182" s="150">
        <v>10000</v>
      </c>
      <c r="C182" s="153">
        <f t="shared" si="40"/>
        <v>498210724.46986467</v>
      </c>
      <c r="D182" s="154">
        <f t="shared" si="41"/>
        <v>1018179694.981709</v>
      </c>
      <c r="E182" s="154">
        <f t="shared" si="42"/>
        <v>1516390419.4515736</v>
      </c>
      <c r="F182" s="152">
        <f t="shared" si="43"/>
        <v>1100000000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>
      <c r="A183" s="6"/>
      <c r="B183" s="150">
        <v>11000</v>
      </c>
      <c r="C183" s="153">
        <f t="shared" si="40"/>
        <v>548031796.91685116</v>
      </c>
      <c r="D183" s="154">
        <f t="shared" si="41"/>
        <v>1018179694.981709</v>
      </c>
      <c r="E183" s="154">
        <f t="shared" si="42"/>
        <v>1566211491.89856</v>
      </c>
      <c r="F183" s="152">
        <f t="shared" si="43"/>
        <v>1210000000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>
      <c r="A184" s="6"/>
      <c r="B184" s="150">
        <v>12000</v>
      </c>
      <c r="C184" s="153">
        <f t="shared" si="40"/>
        <v>597852869.3638376</v>
      </c>
      <c r="D184" s="154">
        <f t="shared" si="41"/>
        <v>1018179694.981709</v>
      </c>
      <c r="E184" s="154">
        <f t="shared" si="42"/>
        <v>1616032564.3455467</v>
      </c>
      <c r="F184" s="152">
        <f t="shared" si="43"/>
        <v>1320000000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>
      <c r="A185" s="6"/>
      <c r="B185" s="150">
        <v>13000</v>
      </c>
      <c r="C185" s="153">
        <f t="shared" si="40"/>
        <v>647673941.81082404</v>
      </c>
      <c r="D185" s="154">
        <f t="shared" si="41"/>
        <v>1018179694.981709</v>
      </c>
      <c r="E185" s="154">
        <f t="shared" si="42"/>
        <v>1665853636.7925329</v>
      </c>
      <c r="F185" s="152">
        <f t="shared" si="43"/>
        <v>1430000000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>
      <c r="A186" s="6"/>
      <c r="B186" s="150">
        <v>14000</v>
      </c>
      <c r="C186" s="153">
        <f t="shared" si="40"/>
        <v>697495014.25781047</v>
      </c>
      <c r="D186" s="154">
        <f t="shared" si="41"/>
        <v>1018179694.981709</v>
      </c>
      <c r="E186" s="154">
        <f t="shared" si="42"/>
        <v>1715674709.2395196</v>
      </c>
      <c r="F186" s="152">
        <f t="shared" si="43"/>
        <v>1540000000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>
      <c r="A187" s="6"/>
      <c r="B187" s="150">
        <v>15000</v>
      </c>
      <c r="C187" s="153">
        <f t="shared" si="40"/>
        <v>747316086.70479703</v>
      </c>
      <c r="D187" s="154">
        <f t="shared" si="41"/>
        <v>1018179694.981709</v>
      </c>
      <c r="E187" s="154">
        <f t="shared" si="42"/>
        <v>1765495781.686506</v>
      </c>
      <c r="F187" s="152">
        <f t="shared" si="43"/>
        <v>1650000000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>
      <c r="A188" s="6"/>
      <c r="B188" s="150">
        <v>16000</v>
      </c>
      <c r="C188" s="153">
        <f t="shared" si="40"/>
        <v>797137159.15178347</v>
      </c>
      <c r="D188" s="154">
        <f t="shared" si="41"/>
        <v>1018179694.981709</v>
      </c>
      <c r="E188" s="154">
        <f t="shared" si="42"/>
        <v>1815316854.1334925</v>
      </c>
      <c r="F188" s="152">
        <f t="shared" si="43"/>
        <v>1760000000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>
      <c r="A189" s="6"/>
      <c r="B189" s="150">
        <v>17000</v>
      </c>
      <c r="C189" s="153">
        <f t="shared" si="40"/>
        <v>846958231.5987699</v>
      </c>
      <c r="D189" s="154">
        <f t="shared" si="41"/>
        <v>1018179694.981709</v>
      </c>
      <c r="E189" s="154">
        <f t="shared" si="42"/>
        <v>1865137926.5804789</v>
      </c>
      <c r="F189" s="152">
        <f t="shared" si="43"/>
        <v>1870000000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>
      <c r="A190" s="6"/>
      <c r="B190" s="150">
        <v>18000</v>
      </c>
      <c r="C190" s="153">
        <f t="shared" si="40"/>
        <v>896779304.04575634</v>
      </c>
      <c r="D190" s="154">
        <f t="shared" si="41"/>
        <v>1018179694.981709</v>
      </c>
      <c r="E190" s="154">
        <f t="shared" si="42"/>
        <v>1914958999.0274653</v>
      </c>
      <c r="F190" s="152">
        <f t="shared" si="43"/>
        <v>1980000000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>
      <c r="A191" s="6"/>
      <c r="B191" s="150">
        <v>19000</v>
      </c>
      <c r="C191" s="153">
        <f t="shared" si="40"/>
        <v>946600376.4927429</v>
      </c>
      <c r="D191" s="154">
        <f t="shared" si="41"/>
        <v>1018179694.981709</v>
      </c>
      <c r="E191" s="154">
        <f t="shared" si="42"/>
        <v>1964780071.474452</v>
      </c>
      <c r="F191" s="152">
        <f t="shared" si="43"/>
        <v>2090000000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>
      <c r="A192" s="6"/>
      <c r="B192" s="150">
        <v>20000</v>
      </c>
      <c r="C192" s="153">
        <f t="shared" si="40"/>
        <v>996421448.93972933</v>
      </c>
      <c r="D192" s="154">
        <f t="shared" si="41"/>
        <v>1018179694.981709</v>
      </c>
      <c r="E192" s="154">
        <f t="shared" si="42"/>
        <v>2014601143.9214382</v>
      </c>
      <c r="F192" s="152">
        <f t="shared" si="43"/>
        <v>2200000000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>
      <c r="A193" s="6"/>
      <c r="B193" s="150">
        <v>21000</v>
      </c>
      <c r="C193" s="153">
        <f t="shared" si="40"/>
        <v>1046242521.3867158</v>
      </c>
      <c r="D193" s="154">
        <f t="shared" si="41"/>
        <v>1018179694.981709</v>
      </c>
      <c r="E193" s="154">
        <f t="shared" si="42"/>
        <v>2064422216.3684249</v>
      </c>
      <c r="F193" s="152">
        <f t="shared" si="43"/>
        <v>2310000000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>
      <c r="A194" s="6"/>
      <c r="B194" s="150">
        <v>22000</v>
      </c>
      <c r="C194" s="153">
        <f t="shared" si="40"/>
        <v>1096063593.8337023</v>
      </c>
      <c r="D194" s="154">
        <f t="shared" si="41"/>
        <v>1018179694.981709</v>
      </c>
      <c r="E194" s="154">
        <f t="shared" si="42"/>
        <v>2114243288.8154113</v>
      </c>
      <c r="F194" s="152">
        <f t="shared" si="43"/>
        <v>2420000000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>
      <c r="A195" s="6"/>
      <c r="B195" s="150">
        <v>23000</v>
      </c>
      <c r="C195" s="153">
        <f t="shared" si="40"/>
        <v>1145884666.2806888</v>
      </c>
      <c r="D195" s="154">
        <f t="shared" si="41"/>
        <v>1018179694.981709</v>
      </c>
      <c r="E195" s="154">
        <f t="shared" si="42"/>
        <v>2164064361.2623978</v>
      </c>
      <c r="F195" s="152">
        <f t="shared" si="43"/>
        <v>2530000000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>
      <c r="A196" s="6"/>
      <c r="B196" s="150">
        <v>24000</v>
      </c>
      <c r="C196" s="153">
        <f t="shared" si="40"/>
        <v>1195705738.7276752</v>
      </c>
      <c r="D196" s="154">
        <f t="shared" si="41"/>
        <v>1018179694.981709</v>
      </c>
      <c r="E196" s="154">
        <f t="shared" si="42"/>
        <v>2213885433.709384</v>
      </c>
      <c r="F196" s="152">
        <f t="shared" si="43"/>
        <v>2640000000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>
      <c r="A197" s="6"/>
      <c r="B197" s="150">
        <v>25000</v>
      </c>
      <c r="C197" s="153">
        <f t="shared" si="40"/>
        <v>1245526811.1746616</v>
      </c>
      <c r="D197" s="154">
        <f t="shared" si="41"/>
        <v>1018179694.981709</v>
      </c>
      <c r="E197" s="154">
        <f t="shared" si="42"/>
        <v>2263706506.1563706</v>
      </c>
      <c r="F197" s="152">
        <f t="shared" si="43"/>
        <v>2750000000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>
      <c r="A198" s="6"/>
      <c r="B198" s="150">
        <v>26000</v>
      </c>
      <c r="C198" s="153">
        <f t="shared" si="40"/>
        <v>1295347883.6216481</v>
      </c>
      <c r="D198" s="154">
        <f t="shared" si="41"/>
        <v>1018179694.981709</v>
      </c>
      <c r="E198" s="154">
        <f t="shared" si="42"/>
        <v>2313527578.6033573</v>
      </c>
      <c r="F198" s="152">
        <f t="shared" si="43"/>
        <v>2860000000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>
      <c r="A199" s="6"/>
      <c r="B199" s="150">
        <v>27000</v>
      </c>
      <c r="C199" s="153">
        <f t="shared" si="40"/>
        <v>1345168956.0686345</v>
      </c>
      <c r="D199" s="154">
        <f t="shared" si="41"/>
        <v>1018179694.981709</v>
      </c>
      <c r="E199" s="154">
        <f t="shared" si="42"/>
        <v>2363348651.0503435</v>
      </c>
      <c r="F199" s="152">
        <f t="shared" si="43"/>
        <v>2970000000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>
      <c r="A200" s="6"/>
      <c r="B200" s="150">
        <v>28000</v>
      </c>
      <c r="C200" s="153">
        <f t="shared" si="40"/>
        <v>1394990028.5156209</v>
      </c>
      <c r="D200" s="154">
        <f t="shared" si="41"/>
        <v>1018179694.981709</v>
      </c>
      <c r="E200" s="154">
        <f t="shared" si="42"/>
        <v>2413169723.4973297</v>
      </c>
      <c r="F200" s="152">
        <f t="shared" si="43"/>
        <v>3080000000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>
      <c r="A201" s="6"/>
      <c r="B201" s="150">
        <v>29000</v>
      </c>
      <c r="C201" s="153">
        <f t="shared" si="40"/>
        <v>1444811100.9626074</v>
      </c>
      <c r="D201" s="154">
        <f t="shared" si="41"/>
        <v>1018179694.981709</v>
      </c>
      <c r="E201" s="154">
        <f t="shared" si="42"/>
        <v>2462990795.9443164</v>
      </c>
      <c r="F201" s="152">
        <f t="shared" si="43"/>
        <v>3190000000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>
      <c r="A202" s="6"/>
      <c r="B202" s="150">
        <v>30000</v>
      </c>
      <c r="C202" s="153">
        <f t="shared" si="40"/>
        <v>1494632173.4095941</v>
      </c>
      <c r="D202" s="154">
        <f t="shared" si="41"/>
        <v>1018179694.981709</v>
      </c>
      <c r="E202" s="154">
        <f t="shared" si="42"/>
        <v>2512811868.3913031</v>
      </c>
      <c r="F202" s="152">
        <f t="shared" si="43"/>
        <v>3300000000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>
      <c r="A203" s="6"/>
      <c r="B203" s="150">
        <v>31000</v>
      </c>
      <c r="C203" s="153">
        <f t="shared" si="40"/>
        <v>1544453245.8565805</v>
      </c>
      <c r="D203" s="154">
        <f t="shared" si="41"/>
        <v>1018179694.981709</v>
      </c>
      <c r="E203" s="154">
        <f t="shared" si="42"/>
        <v>2562632940.8382893</v>
      </c>
      <c r="F203" s="152">
        <f t="shared" si="43"/>
        <v>3410000000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>
      <c r="A204" s="6"/>
      <c r="B204" s="150">
        <v>32000</v>
      </c>
      <c r="C204" s="153">
        <f t="shared" si="40"/>
        <v>1594274318.3035669</v>
      </c>
      <c r="D204" s="154">
        <f t="shared" si="41"/>
        <v>1018179694.981709</v>
      </c>
      <c r="E204" s="154">
        <f t="shared" si="42"/>
        <v>2612454013.2852759</v>
      </c>
      <c r="F204" s="152">
        <f t="shared" si="43"/>
        <v>3520000000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>
      <c r="A205" s="6"/>
      <c r="B205" s="150">
        <v>33000</v>
      </c>
      <c r="C205" s="153">
        <f t="shared" si="40"/>
        <v>1644095390.7505534</v>
      </c>
      <c r="D205" s="154">
        <f t="shared" si="41"/>
        <v>1018179694.981709</v>
      </c>
      <c r="E205" s="154">
        <f t="shared" si="42"/>
        <v>2662275085.7322626</v>
      </c>
      <c r="F205" s="152">
        <f t="shared" si="43"/>
        <v>3630000000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>
      <c r="A206" s="6"/>
      <c r="B206" s="150">
        <v>34000</v>
      </c>
      <c r="C206" s="153">
        <f t="shared" si="40"/>
        <v>1693916463.1975398</v>
      </c>
      <c r="D206" s="154">
        <f t="shared" si="41"/>
        <v>1018179694.981709</v>
      </c>
      <c r="E206" s="154">
        <f t="shared" si="42"/>
        <v>2712096158.1792488</v>
      </c>
      <c r="F206" s="152">
        <f t="shared" si="43"/>
        <v>3740000000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>
      <c r="A207" s="6"/>
      <c r="B207" s="150">
        <v>35000</v>
      </c>
      <c r="C207" s="153">
        <f t="shared" si="40"/>
        <v>1743737535.6445262</v>
      </c>
      <c r="D207" s="154">
        <f t="shared" si="41"/>
        <v>1018179694.981709</v>
      </c>
      <c r="E207" s="154">
        <f t="shared" si="42"/>
        <v>2761917230.626235</v>
      </c>
      <c r="F207" s="152">
        <f t="shared" si="43"/>
        <v>3850000000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>
      <c r="A208" s="6"/>
      <c r="B208" s="150">
        <v>36000</v>
      </c>
      <c r="C208" s="153">
        <f t="shared" si="40"/>
        <v>1793558608.0915127</v>
      </c>
      <c r="D208" s="154">
        <f t="shared" si="41"/>
        <v>1018179694.981709</v>
      </c>
      <c r="E208" s="154">
        <f t="shared" si="42"/>
        <v>2811738303.0732217</v>
      </c>
      <c r="F208" s="152">
        <f t="shared" si="43"/>
        <v>3960000000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>
      <c r="A209" s="6"/>
      <c r="B209" s="150">
        <v>36178</v>
      </c>
      <c r="C209" s="153">
        <f t="shared" si="40"/>
        <v>1802426758.9870763</v>
      </c>
      <c r="D209" s="154">
        <f t="shared" si="41"/>
        <v>1018179694.981709</v>
      </c>
      <c r="E209" s="154">
        <f t="shared" si="42"/>
        <v>2820606453.9687853</v>
      </c>
      <c r="F209" s="152">
        <f t="shared" si="43"/>
        <v>3979580000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>
      <c r="A211" s="6"/>
      <c r="B211" s="452" t="s">
        <v>256</v>
      </c>
      <c r="C211" s="491"/>
      <c r="D211" s="491"/>
      <c r="E211" s="491"/>
      <c r="F211" s="492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>
      <c r="A212" s="6"/>
      <c r="B212" s="150" t="s">
        <v>347</v>
      </c>
      <c r="C212" s="150" t="s">
        <v>348</v>
      </c>
      <c r="D212" s="150" t="s">
        <v>349</v>
      </c>
      <c r="E212" s="150" t="s">
        <v>350</v>
      </c>
      <c r="F212" s="150" t="s">
        <v>351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>
      <c r="A213" s="6"/>
      <c r="B213" s="150">
        <v>0</v>
      </c>
      <c r="C213" s="153">
        <f t="shared" ref="C213:C258" si="44">B213*$E$163</f>
        <v>0</v>
      </c>
      <c r="D213" s="154">
        <f t="shared" ref="D213:D258" si="45">$E$164</f>
        <v>872688485.5585115</v>
      </c>
      <c r="E213" s="154">
        <f t="shared" ref="E213:E258" si="46">D213+C213</f>
        <v>872688485.5585115</v>
      </c>
      <c r="F213" s="152">
        <f t="shared" ref="F213:F258" si="47">B213*$E$162</f>
        <v>0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>
      <c r="A214" s="6"/>
      <c r="B214" s="150">
        <v>1000</v>
      </c>
      <c r="C214" s="153">
        <f t="shared" si="44"/>
        <v>43546330.527049422</v>
      </c>
      <c r="D214" s="154">
        <f t="shared" si="45"/>
        <v>872688485.5585115</v>
      </c>
      <c r="E214" s="154">
        <f t="shared" si="46"/>
        <v>916234816.08556092</v>
      </c>
      <c r="F214" s="152">
        <f t="shared" si="47"/>
        <v>110000000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>
      <c r="A215" s="6"/>
      <c r="B215" s="150">
        <v>2000</v>
      </c>
      <c r="C215" s="153">
        <f t="shared" si="44"/>
        <v>87092661.054098845</v>
      </c>
      <c r="D215" s="154">
        <f t="shared" si="45"/>
        <v>872688485.5585115</v>
      </c>
      <c r="E215" s="154">
        <f t="shared" si="46"/>
        <v>959781146.61261034</v>
      </c>
      <c r="F215" s="152">
        <f t="shared" si="47"/>
        <v>220000000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>
      <c r="A216" s="6"/>
      <c r="B216" s="150">
        <v>3000</v>
      </c>
      <c r="C216" s="153">
        <f t="shared" si="44"/>
        <v>130638991.58114827</v>
      </c>
      <c r="D216" s="154">
        <f t="shared" si="45"/>
        <v>872688485.5585115</v>
      </c>
      <c r="E216" s="154">
        <f t="shared" si="46"/>
        <v>1003327477.1396598</v>
      </c>
      <c r="F216" s="152">
        <f t="shared" si="47"/>
        <v>330000000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>
      <c r="A217" s="6"/>
      <c r="B217" s="150">
        <v>4000</v>
      </c>
      <c r="C217" s="153">
        <f t="shared" si="44"/>
        <v>174185322.10819769</v>
      </c>
      <c r="D217" s="154">
        <f t="shared" si="45"/>
        <v>872688485.5585115</v>
      </c>
      <c r="E217" s="154">
        <f t="shared" si="46"/>
        <v>1046873807.6667092</v>
      </c>
      <c r="F217" s="152">
        <f t="shared" si="47"/>
        <v>440000000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>
      <c r="A218" s="6"/>
      <c r="B218" s="150">
        <v>5000</v>
      </c>
      <c r="C218" s="153">
        <f t="shared" si="44"/>
        <v>217731652.63524711</v>
      </c>
      <c r="D218" s="154">
        <f t="shared" si="45"/>
        <v>872688485.5585115</v>
      </c>
      <c r="E218" s="154">
        <f t="shared" si="46"/>
        <v>1090420138.1937585</v>
      </c>
      <c r="F218" s="152">
        <f t="shared" si="47"/>
        <v>550000000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>
      <c r="A219" s="6"/>
      <c r="B219" s="150">
        <v>6000</v>
      </c>
      <c r="C219" s="153">
        <f t="shared" si="44"/>
        <v>261277983.16229653</v>
      </c>
      <c r="D219" s="154">
        <f t="shared" si="45"/>
        <v>872688485.5585115</v>
      </c>
      <c r="E219" s="154">
        <f t="shared" si="46"/>
        <v>1133966468.720808</v>
      </c>
      <c r="F219" s="152">
        <f t="shared" si="47"/>
        <v>660000000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>
      <c r="A220" s="6"/>
      <c r="B220" s="150">
        <v>7000</v>
      </c>
      <c r="C220" s="153">
        <f t="shared" si="44"/>
        <v>304824313.68934596</v>
      </c>
      <c r="D220" s="154">
        <f t="shared" si="45"/>
        <v>872688485.5585115</v>
      </c>
      <c r="E220" s="154">
        <f t="shared" si="46"/>
        <v>1177512799.2478576</v>
      </c>
      <c r="F220" s="152">
        <f t="shared" si="47"/>
        <v>770000000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>
      <c r="A221" s="6"/>
      <c r="B221" s="150">
        <v>8000</v>
      </c>
      <c r="C221" s="153">
        <f t="shared" si="44"/>
        <v>348370644.21639538</v>
      </c>
      <c r="D221" s="154">
        <f t="shared" si="45"/>
        <v>872688485.5585115</v>
      </c>
      <c r="E221" s="154">
        <f t="shared" si="46"/>
        <v>1221059129.7749069</v>
      </c>
      <c r="F221" s="152">
        <f t="shared" si="47"/>
        <v>880000000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>
      <c r="A222" s="6"/>
      <c r="B222" s="150">
        <v>9000</v>
      </c>
      <c r="C222" s="153">
        <f t="shared" si="44"/>
        <v>391916974.7434448</v>
      </c>
      <c r="D222" s="154">
        <f t="shared" si="45"/>
        <v>872688485.5585115</v>
      </c>
      <c r="E222" s="154">
        <f t="shared" si="46"/>
        <v>1264605460.3019562</v>
      </c>
      <c r="F222" s="152">
        <f t="shared" si="47"/>
        <v>990000000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>
      <c r="A223" s="6"/>
      <c r="B223" s="150">
        <v>10000</v>
      </c>
      <c r="C223" s="153">
        <f t="shared" si="44"/>
        <v>435463305.27049422</v>
      </c>
      <c r="D223" s="154">
        <f t="shared" si="45"/>
        <v>872688485.5585115</v>
      </c>
      <c r="E223" s="154">
        <f t="shared" si="46"/>
        <v>1308151790.8290057</v>
      </c>
      <c r="F223" s="152">
        <f t="shared" si="47"/>
        <v>1100000000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>
      <c r="A224" s="6"/>
      <c r="B224" s="150">
        <v>11000</v>
      </c>
      <c r="C224" s="153">
        <f t="shared" si="44"/>
        <v>479009635.79754364</v>
      </c>
      <c r="D224" s="154">
        <f t="shared" si="45"/>
        <v>872688485.5585115</v>
      </c>
      <c r="E224" s="154">
        <f t="shared" si="46"/>
        <v>1351698121.3560553</v>
      </c>
      <c r="F224" s="152">
        <f t="shared" si="47"/>
        <v>1210000000</v>
      </c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>
      <c r="A225" s="6"/>
      <c r="B225" s="150">
        <v>12000</v>
      </c>
      <c r="C225" s="153">
        <f t="shared" si="44"/>
        <v>522555966.32459307</v>
      </c>
      <c r="D225" s="154">
        <f t="shared" si="45"/>
        <v>872688485.5585115</v>
      </c>
      <c r="E225" s="154">
        <f t="shared" si="46"/>
        <v>1395244451.8831046</v>
      </c>
      <c r="F225" s="152">
        <f t="shared" si="47"/>
        <v>1320000000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>
      <c r="A226" s="6"/>
      <c r="B226" s="150">
        <v>13000</v>
      </c>
      <c r="C226" s="153">
        <f t="shared" si="44"/>
        <v>566102296.85164249</v>
      </c>
      <c r="D226" s="154">
        <f t="shared" si="45"/>
        <v>872688485.5585115</v>
      </c>
      <c r="E226" s="154">
        <f t="shared" si="46"/>
        <v>1438790782.4101539</v>
      </c>
      <c r="F226" s="152">
        <f t="shared" si="47"/>
        <v>1430000000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>
      <c r="A227" s="6"/>
      <c r="B227" s="150">
        <v>14000</v>
      </c>
      <c r="C227" s="153">
        <f t="shared" si="44"/>
        <v>609648627.37869191</v>
      </c>
      <c r="D227" s="154">
        <f t="shared" si="45"/>
        <v>872688485.5585115</v>
      </c>
      <c r="E227" s="154">
        <f t="shared" si="46"/>
        <v>1482337112.9372034</v>
      </c>
      <c r="F227" s="152">
        <f t="shared" si="47"/>
        <v>1540000000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>
      <c r="A228" s="6"/>
      <c r="B228" s="150">
        <v>15000</v>
      </c>
      <c r="C228" s="153">
        <f t="shared" si="44"/>
        <v>653194957.90574133</v>
      </c>
      <c r="D228" s="154">
        <f t="shared" si="45"/>
        <v>872688485.5585115</v>
      </c>
      <c r="E228" s="154">
        <f t="shared" si="46"/>
        <v>1525883443.4642529</v>
      </c>
      <c r="F228" s="152">
        <f t="shared" si="47"/>
        <v>1650000000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>
      <c r="A229" s="6"/>
      <c r="B229" s="150">
        <v>16000</v>
      </c>
      <c r="C229" s="153">
        <f t="shared" si="44"/>
        <v>696741288.43279076</v>
      </c>
      <c r="D229" s="154">
        <f t="shared" si="45"/>
        <v>872688485.5585115</v>
      </c>
      <c r="E229" s="154">
        <f t="shared" si="46"/>
        <v>1569429773.9913023</v>
      </c>
      <c r="F229" s="152">
        <f t="shared" si="47"/>
        <v>1760000000</v>
      </c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>
      <c r="A230" s="6"/>
      <c r="B230" s="150">
        <v>17000</v>
      </c>
      <c r="C230" s="153">
        <f t="shared" si="44"/>
        <v>740287618.95984018</v>
      </c>
      <c r="D230" s="154">
        <f t="shared" si="45"/>
        <v>872688485.5585115</v>
      </c>
      <c r="E230" s="154">
        <f t="shared" si="46"/>
        <v>1612976104.5183516</v>
      </c>
      <c r="F230" s="152">
        <f t="shared" si="47"/>
        <v>1870000000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>
      <c r="A231" s="6"/>
      <c r="B231" s="150">
        <v>18000</v>
      </c>
      <c r="C231" s="153">
        <f t="shared" si="44"/>
        <v>783833949.4868896</v>
      </c>
      <c r="D231" s="154">
        <f t="shared" si="45"/>
        <v>872688485.5585115</v>
      </c>
      <c r="E231" s="154">
        <f t="shared" si="46"/>
        <v>1656522435.0454011</v>
      </c>
      <c r="F231" s="152">
        <f t="shared" si="47"/>
        <v>1980000000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>
      <c r="A232" s="6"/>
      <c r="B232" s="150">
        <v>19000</v>
      </c>
      <c r="C232" s="153">
        <f t="shared" si="44"/>
        <v>827380280.01393902</v>
      </c>
      <c r="D232" s="154">
        <f t="shared" si="45"/>
        <v>872688485.5585115</v>
      </c>
      <c r="E232" s="154">
        <f t="shared" si="46"/>
        <v>1700068765.5724506</v>
      </c>
      <c r="F232" s="152">
        <f t="shared" si="47"/>
        <v>2090000000</v>
      </c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>
      <c r="A233" s="6"/>
      <c r="B233" s="150">
        <v>20000</v>
      </c>
      <c r="C233" s="153">
        <f t="shared" si="44"/>
        <v>870926610.54098845</v>
      </c>
      <c r="D233" s="154">
        <f t="shared" si="45"/>
        <v>872688485.5585115</v>
      </c>
      <c r="E233" s="154">
        <f t="shared" si="46"/>
        <v>1743615096.0994999</v>
      </c>
      <c r="F233" s="152">
        <f t="shared" si="47"/>
        <v>2200000000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>
      <c r="A234" s="6"/>
      <c r="B234" s="150">
        <v>21000</v>
      </c>
      <c r="C234" s="153">
        <f t="shared" si="44"/>
        <v>914472941.06803787</v>
      </c>
      <c r="D234" s="154">
        <f t="shared" si="45"/>
        <v>872688485.5585115</v>
      </c>
      <c r="E234" s="154">
        <f t="shared" si="46"/>
        <v>1787161426.6265492</v>
      </c>
      <c r="F234" s="152">
        <f t="shared" si="47"/>
        <v>2310000000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>
      <c r="A235" s="6"/>
      <c r="B235" s="150">
        <v>22000</v>
      </c>
      <c r="C235" s="153">
        <f t="shared" si="44"/>
        <v>958019271.59508729</v>
      </c>
      <c r="D235" s="154">
        <f t="shared" si="45"/>
        <v>872688485.5585115</v>
      </c>
      <c r="E235" s="154">
        <f t="shared" si="46"/>
        <v>1830707757.1535988</v>
      </c>
      <c r="F235" s="152">
        <f t="shared" si="47"/>
        <v>2420000000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>
      <c r="A236" s="6"/>
      <c r="B236" s="150">
        <v>23000</v>
      </c>
      <c r="C236" s="153">
        <f t="shared" si="44"/>
        <v>1001565602.1221367</v>
      </c>
      <c r="D236" s="154">
        <f t="shared" si="45"/>
        <v>872688485.5585115</v>
      </c>
      <c r="E236" s="154">
        <f t="shared" si="46"/>
        <v>1874254087.6806483</v>
      </c>
      <c r="F236" s="152">
        <f t="shared" si="47"/>
        <v>2530000000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>
      <c r="A237" s="6"/>
      <c r="B237" s="150">
        <v>24000</v>
      </c>
      <c r="C237" s="153">
        <f t="shared" si="44"/>
        <v>1045111932.6491861</v>
      </c>
      <c r="D237" s="154">
        <f t="shared" si="45"/>
        <v>872688485.5585115</v>
      </c>
      <c r="E237" s="154">
        <f t="shared" si="46"/>
        <v>1917800418.2076976</v>
      </c>
      <c r="F237" s="152">
        <f t="shared" si="47"/>
        <v>2640000000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>
      <c r="A238" s="6"/>
      <c r="B238" s="150">
        <v>25000</v>
      </c>
      <c r="C238" s="153">
        <f t="shared" si="44"/>
        <v>1088658263.1762357</v>
      </c>
      <c r="D238" s="154">
        <f t="shared" si="45"/>
        <v>872688485.5585115</v>
      </c>
      <c r="E238" s="154">
        <f t="shared" si="46"/>
        <v>1961346748.7347472</v>
      </c>
      <c r="F238" s="152">
        <f t="shared" si="47"/>
        <v>2750000000</v>
      </c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>
      <c r="A239" s="6"/>
      <c r="B239" s="150">
        <v>26000</v>
      </c>
      <c r="C239" s="153">
        <f t="shared" si="44"/>
        <v>1132204593.703285</v>
      </c>
      <c r="D239" s="154">
        <f t="shared" si="45"/>
        <v>872688485.5585115</v>
      </c>
      <c r="E239" s="154">
        <f t="shared" si="46"/>
        <v>2004893079.2617965</v>
      </c>
      <c r="F239" s="152">
        <f t="shared" si="47"/>
        <v>2860000000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>
      <c r="A240" s="6"/>
      <c r="B240" s="150">
        <v>27000</v>
      </c>
      <c r="C240" s="153">
        <f t="shared" si="44"/>
        <v>1175750924.2303345</v>
      </c>
      <c r="D240" s="154">
        <f t="shared" si="45"/>
        <v>872688485.5585115</v>
      </c>
      <c r="E240" s="154">
        <f t="shared" si="46"/>
        <v>2048439409.788846</v>
      </c>
      <c r="F240" s="152">
        <f t="shared" si="47"/>
        <v>2970000000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>
      <c r="A241" s="6"/>
      <c r="B241" s="150">
        <v>28000</v>
      </c>
      <c r="C241" s="153">
        <f t="shared" si="44"/>
        <v>1219297254.7573838</v>
      </c>
      <c r="D241" s="154">
        <f t="shared" si="45"/>
        <v>872688485.5585115</v>
      </c>
      <c r="E241" s="154">
        <f t="shared" si="46"/>
        <v>2091985740.3158953</v>
      </c>
      <c r="F241" s="152">
        <f t="shared" si="47"/>
        <v>3080000000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>
      <c r="A242" s="6"/>
      <c r="B242" s="150">
        <v>29000</v>
      </c>
      <c r="C242" s="153">
        <f t="shared" si="44"/>
        <v>1262843585.2844334</v>
      </c>
      <c r="D242" s="154">
        <f t="shared" si="45"/>
        <v>872688485.5585115</v>
      </c>
      <c r="E242" s="154">
        <f t="shared" si="46"/>
        <v>2135532070.8429449</v>
      </c>
      <c r="F242" s="152">
        <f t="shared" si="47"/>
        <v>3190000000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>
      <c r="A243" s="6"/>
      <c r="B243" s="150">
        <v>30000</v>
      </c>
      <c r="C243" s="153">
        <f t="shared" si="44"/>
        <v>1306389915.8114827</v>
      </c>
      <c r="D243" s="154">
        <f t="shared" si="45"/>
        <v>872688485.5585115</v>
      </c>
      <c r="E243" s="154">
        <f t="shared" si="46"/>
        <v>2179078401.3699942</v>
      </c>
      <c r="F243" s="152">
        <f t="shared" si="47"/>
        <v>3300000000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>
      <c r="A244" s="6"/>
      <c r="B244" s="150">
        <v>31000</v>
      </c>
      <c r="C244" s="153">
        <f t="shared" si="44"/>
        <v>1349936246.3385322</v>
      </c>
      <c r="D244" s="154">
        <f t="shared" si="45"/>
        <v>872688485.5585115</v>
      </c>
      <c r="E244" s="154">
        <f t="shared" si="46"/>
        <v>2222624731.8970437</v>
      </c>
      <c r="F244" s="152">
        <f t="shared" si="47"/>
        <v>3410000000</v>
      </c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>
      <c r="A245" s="6"/>
      <c r="B245" s="150">
        <v>32000</v>
      </c>
      <c r="C245" s="153">
        <f t="shared" si="44"/>
        <v>1393482576.8655815</v>
      </c>
      <c r="D245" s="154">
        <f t="shared" si="45"/>
        <v>872688485.5585115</v>
      </c>
      <c r="E245" s="154">
        <f t="shared" si="46"/>
        <v>2266171062.4240932</v>
      </c>
      <c r="F245" s="152">
        <f t="shared" si="47"/>
        <v>3520000000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>
      <c r="A246" s="6"/>
      <c r="B246" s="150">
        <v>33000</v>
      </c>
      <c r="C246" s="153">
        <f t="shared" si="44"/>
        <v>1437028907.3926311</v>
      </c>
      <c r="D246" s="154">
        <f t="shared" si="45"/>
        <v>872688485.5585115</v>
      </c>
      <c r="E246" s="154">
        <f t="shared" si="46"/>
        <v>2309717392.9511423</v>
      </c>
      <c r="F246" s="152">
        <f t="shared" si="47"/>
        <v>3630000000</v>
      </c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>
      <c r="A247" s="6"/>
      <c r="B247" s="150">
        <v>34000</v>
      </c>
      <c r="C247" s="153">
        <f t="shared" si="44"/>
        <v>1480575237.9196804</v>
      </c>
      <c r="D247" s="154">
        <f t="shared" si="45"/>
        <v>872688485.5585115</v>
      </c>
      <c r="E247" s="154">
        <f t="shared" si="46"/>
        <v>2353263723.4781919</v>
      </c>
      <c r="F247" s="152">
        <f t="shared" si="47"/>
        <v>3740000000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>
      <c r="A248" s="6"/>
      <c r="B248" s="150">
        <v>35000</v>
      </c>
      <c r="C248" s="153">
        <f t="shared" si="44"/>
        <v>1524121568.4467299</v>
      </c>
      <c r="D248" s="154">
        <f t="shared" si="45"/>
        <v>872688485.5585115</v>
      </c>
      <c r="E248" s="154">
        <f t="shared" si="46"/>
        <v>2396810054.0052414</v>
      </c>
      <c r="F248" s="152">
        <f t="shared" si="47"/>
        <v>3850000000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>
      <c r="A249" s="6"/>
      <c r="B249" s="150">
        <v>36000</v>
      </c>
      <c r="C249" s="153">
        <f t="shared" si="44"/>
        <v>1567667898.9737792</v>
      </c>
      <c r="D249" s="154">
        <f t="shared" si="45"/>
        <v>872688485.5585115</v>
      </c>
      <c r="E249" s="154">
        <f t="shared" si="46"/>
        <v>2440356384.5322905</v>
      </c>
      <c r="F249" s="152">
        <f t="shared" si="47"/>
        <v>3960000000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>
      <c r="A250" s="6"/>
      <c r="B250" s="150">
        <v>37000</v>
      </c>
      <c r="C250" s="153">
        <f t="shared" si="44"/>
        <v>1611214229.5008287</v>
      </c>
      <c r="D250" s="154">
        <f t="shared" si="45"/>
        <v>872688485.5585115</v>
      </c>
      <c r="E250" s="154">
        <f t="shared" si="46"/>
        <v>2483902715.0593405</v>
      </c>
      <c r="F250" s="152">
        <f t="shared" si="47"/>
        <v>4070000000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>
      <c r="A251" s="6"/>
      <c r="B251" s="150">
        <v>38000</v>
      </c>
      <c r="C251" s="153">
        <f t="shared" si="44"/>
        <v>1654760560.027878</v>
      </c>
      <c r="D251" s="154">
        <f t="shared" si="45"/>
        <v>872688485.5585115</v>
      </c>
      <c r="E251" s="154">
        <f t="shared" si="46"/>
        <v>2527449045.5863895</v>
      </c>
      <c r="F251" s="152">
        <f t="shared" si="47"/>
        <v>4180000000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>
      <c r="A252" s="6"/>
      <c r="B252" s="150">
        <v>39000</v>
      </c>
      <c r="C252" s="153">
        <f t="shared" si="44"/>
        <v>1698306890.5549276</v>
      </c>
      <c r="D252" s="154">
        <f t="shared" si="45"/>
        <v>872688485.5585115</v>
      </c>
      <c r="E252" s="154">
        <f t="shared" si="46"/>
        <v>2570995376.1134391</v>
      </c>
      <c r="F252" s="152">
        <f t="shared" si="47"/>
        <v>4290000000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>
      <c r="A253" s="6"/>
      <c r="B253" s="150">
        <v>40000</v>
      </c>
      <c r="C253" s="153">
        <f t="shared" si="44"/>
        <v>1741853221.0819769</v>
      </c>
      <c r="D253" s="154">
        <f t="shared" si="45"/>
        <v>872688485.5585115</v>
      </c>
      <c r="E253" s="154">
        <f t="shared" si="46"/>
        <v>2614541706.6404886</v>
      </c>
      <c r="F253" s="152">
        <f t="shared" si="47"/>
        <v>4400000000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>
      <c r="A254" s="6"/>
      <c r="B254" s="150">
        <v>41000</v>
      </c>
      <c r="C254" s="153">
        <f t="shared" si="44"/>
        <v>1785399551.6090264</v>
      </c>
      <c r="D254" s="154">
        <f t="shared" si="45"/>
        <v>872688485.5585115</v>
      </c>
      <c r="E254" s="154">
        <f t="shared" si="46"/>
        <v>2658088037.1675377</v>
      </c>
      <c r="F254" s="152">
        <f t="shared" si="47"/>
        <v>4510000000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>
      <c r="A255" s="6"/>
      <c r="B255" s="150">
        <v>42000</v>
      </c>
      <c r="C255" s="153">
        <f t="shared" si="44"/>
        <v>1828945882.1360757</v>
      </c>
      <c r="D255" s="154">
        <f t="shared" si="45"/>
        <v>872688485.5585115</v>
      </c>
      <c r="E255" s="154">
        <f t="shared" si="46"/>
        <v>2701634367.6945872</v>
      </c>
      <c r="F255" s="152">
        <f t="shared" si="47"/>
        <v>4620000000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>
      <c r="A256" s="6"/>
      <c r="B256" s="150">
        <v>43000</v>
      </c>
      <c r="C256" s="153">
        <f t="shared" si="44"/>
        <v>1872492212.6631253</v>
      </c>
      <c r="D256" s="154">
        <f t="shared" si="45"/>
        <v>872688485.5585115</v>
      </c>
      <c r="E256" s="154">
        <f t="shared" si="46"/>
        <v>2745180698.2216368</v>
      </c>
      <c r="F256" s="152">
        <f t="shared" si="47"/>
        <v>4730000000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>
      <c r="A257" s="6"/>
      <c r="B257" s="150">
        <v>44000</v>
      </c>
      <c r="C257" s="153">
        <f t="shared" si="44"/>
        <v>1916038543.1901746</v>
      </c>
      <c r="D257" s="154">
        <f t="shared" si="45"/>
        <v>872688485.5585115</v>
      </c>
      <c r="E257" s="154">
        <f t="shared" si="46"/>
        <v>2788727028.7486858</v>
      </c>
      <c r="F257" s="152">
        <f t="shared" si="47"/>
        <v>4840000000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>
      <c r="A258" s="6"/>
      <c r="B258" s="150">
        <v>44800</v>
      </c>
      <c r="C258" s="153">
        <f t="shared" si="44"/>
        <v>1950875607.6118143</v>
      </c>
      <c r="D258" s="154">
        <f t="shared" si="45"/>
        <v>872688485.5585115</v>
      </c>
      <c r="E258" s="154">
        <f t="shared" si="46"/>
        <v>2823564093.1703258</v>
      </c>
      <c r="F258" s="152">
        <f t="shared" si="47"/>
        <v>4928000000</v>
      </c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</sheetData>
  <mergeCells count="5">
    <mergeCell ref="A100:B100"/>
    <mergeCell ref="A160:B160"/>
    <mergeCell ref="D160:E160"/>
    <mergeCell ref="B170:F170"/>
    <mergeCell ref="B211:F211"/>
  </mergeCells>
  <pageMargins left="0.32013888888888897" right="0.75" top="0.179861111111111" bottom="0.15972222222222199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outlinePr summaryBelow="0" summaryRight="0"/>
  </sheetPr>
  <dimension ref="A1:S269"/>
  <sheetViews>
    <sheetView topLeftCell="F19" workbookViewId="0">
      <selection activeCell="D9" sqref="D9"/>
    </sheetView>
  </sheetViews>
  <sheetFormatPr defaultColWidth="12.5703125" defaultRowHeight="15" customHeight="1"/>
  <cols>
    <col min="1" max="1" width="32.7109375" customWidth="1"/>
    <col min="2" max="2" width="20.85546875" customWidth="1"/>
    <col min="3" max="3" width="20.140625" customWidth="1"/>
    <col min="4" max="4" width="65.85546875" customWidth="1"/>
    <col min="5" max="5" width="14.28515625" customWidth="1"/>
    <col min="7" max="7" width="15.140625" customWidth="1"/>
    <col min="11" max="11" width="17.5703125" customWidth="1"/>
    <col min="14" max="14" width="19.5703125" customWidth="1"/>
  </cols>
  <sheetData>
    <row r="1" spans="1:19" ht="12.6">
      <c r="A1" s="72"/>
      <c r="B1" s="72"/>
    </row>
    <row r="2" spans="1:19" ht="12.6">
      <c r="A2" s="72" t="s">
        <v>352</v>
      </c>
      <c r="B2" s="72">
        <f>2.5*350*8/1000</f>
        <v>7</v>
      </c>
      <c r="N2" s="156"/>
      <c r="O2" s="157" t="s">
        <v>353</v>
      </c>
      <c r="P2" s="157"/>
      <c r="Q2" s="157" t="s">
        <v>354</v>
      </c>
      <c r="R2" s="158">
        <v>110000</v>
      </c>
      <c r="S2" s="159"/>
    </row>
    <row r="3" spans="1:19" ht="12.6">
      <c r="A3" s="72" t="s">
        <v>355</v>
      </c>
      <c r="B3" s="72">
        <v>254</v>
      </c>
      <c r="N3" s="160"/>
      <c r="O3" s="161" t="s">
        <v>356</v>
      </c>
      <c r="P3" s="161" t="s">
        <v>357</v>
      </c>
      <c r="Q3" s="161" t="s">
        <v>358</v>
      </c>
      <c r="R3" s="161" t="s">
        <v>359</v>
      </c>
      <c r="S3" s="162" t="s">
        <v>360</v>
      </c>
    </row>
    <row r="4" spans="1:19" ht="12.6">
      <c r="A4" s="72"/>
      <c r="B4" s="72"/>
      <c r="N4" s="160" t="s">
        <v>361</v>
      </c>
      <c r="O4" s="163">
        <v>36532</v>
      </c>
      <c r="P4" s="163">
        <v>44800</v>
      </c>
      <c r="Q4" s="163">
        <v>44800</v>
      </c>
      <c r="R4" s="163">
        <v>44800</v>
      </c>
      <c r="S4" s="164">
        <v>44800</v>
      </c>
    </row>
    <row r="5" spans="1:19" ht="12.6">
      <c r="A5" s="72" t="s">
        <v>362</v>
      </c>
      <c r="B5" s="72">
        <f>1250*7</f>
        <v>8750</v>
      </c>
      <c r="N5" s="160" t="s">
        <v>363</v>
      </c>
      <c r="O5" s="165">
        <f t="shared" ref="O5:S5" si="0">$R$2*O4</f>
        <v>4018520000</v>
      </c>
      <c r="P5" s="165">
        <f t="shared" si="0"/>
        <v>4928000000</v>
      </c>
      <c r="Q5" s="165">
        <f t="shared" si="0"/>
        <v>4928000000</v>
      </c>
      <c r="R5" s="165">
        <f t="shared" si="0"/>
        <v>4928000000</v>
      </c>
      <c r="S5" s="166">
        <f t="shared" si="0"/>
        <v>4928000000</v>
      </c>
    </row>
    <row r="6" spans="1:19" ht="12.6">
      <c r="A6" s="75" t="s">
        <v>364</v>
      </c>
      <c r="B6" s="75" t="s">
        <v>365</v>
      </c>
      <c r="C6" s="75" t="s">
        <v>366</v>
      </c>
      <c r="D6" s="75" t="s">
        <v>367</v>
      </c>
      <c r="N6" s="167"/>
      <c r="S6" s="168"/>
    </row>
    <row r="7" spans="1:19" ht="12.6">
      <c r="A7" s="75" t="s">
        <v>368</v>
      </c>
      <c r="B7" s="169">
        <v>1141.8699999999999</v>
      </c>
      <c r="C7" s="70">
        <f>B7*(B3+B2)</f>
        <v>298028.06999999995</v>
      </c>
      <c r="D7" s="495" t="s">
        <v>369</v>
      </c>
      <c r="N7" s="170" t="s">
        <v>370</v>
      </c>
      <c r="O7" s="171">
        <v>36655</v>
      </c>
      <c r="P7" s="171">
        <v>44800</v>
      </c>
      <c r="Q7" s="171">
        <v>44800</v>
      </c>
      <c r="R7" s="171">
        <v>44800</v>
      </c>
      <c r="S7" s="172">
        <v>44800</v>
      </c>
    </row>
    <row r="8" spans="1:19" ht="12.6">
      <c r="A8" s="75" t="s">
        <v>371</v>
      </c>
      <c r="B8" s="169">
        <v>217</v>
      </c>
      <c r="C8" s="70">
        <f>B8*B5</f>
        <v>1898750</v>
      </c>
      <c r="D8" s="75"/>
    </row>
    <row r="9" spans="1:19" ht="12.6">
      <c r="A9" s="75" t="s">
        <v>372</v>
      </c>
      <c r="B9" s="169">
        <v>27790</v>
      </c>
      <c r="C9" s="70">
        <f>B9*12</f>
        <v>333480</v>
      </c>
      <c r="D9" s="495" t="s">
        <v>373</v>
      </c>
      <c r="E9" s="72" t="s">
        <v>374</v>
      </c>
    </row>
    <row r="10" spans="1:19" ht="12.95">
      <c r="A10" s="462" t="s">
        <v>375</v>
      </c>
      <c r="B10" s="492"/>
      <c r="C10" s="70">
        <f>SUM(C7:C9)</f>
        <v>2530258.0699999998</v>
      </c>
      <c r="D10" s="75"/>
    </row>
    <row r="13" spans="1:19" ht="12.95">
      <c r="A13" s="74" t="s">
        <v>376</v>
      </c>
      <c r="B13" s="74" t="s">
        <v>377</v>
      </c>
      <c r="C13" s="74" t="s">
        <v>378</v>
      </c>
      <c r="D13" s="74" t="s">
        <v>379</v>
      </c>
      <c r="E13" s="74" t="s">
        <v>249</v>
      </c>
      <c r="F13" s="74" t="s">
        <v>380</v>
      </c>
    </row>
    <row r="14" spans="1:19" ht="12.6">
      <c r="A14" s="75" t="s">
        <v>381</v>
      </c>
      <c r="B14" s="70">
        <v>3120000</v>
      </c>
      <c r="C14" s="70">
        <f>'C. Aux. Costos'!J30/100*B14</f>
        <v>929760</v>
      </c>
      <c r="D14" s="75">
        <v>1</v>
      </c>
      <c r="E14" s="70">
        <f t="shared" ref="E14:E30" si="1">C14+B14</f>
        <v>4049760</v>
      </c>
      <c r="F14" s="70">
        <f t="shared" ref="F14:F30" si="2">B14*D14</f>
        <v>3120000</v>
      </c>
      <c r="G14" s="173" t="s">
        <v>382</v>
      </c>
    </row>
    <row r="15" spans="1:19" ht="12.6">
      <c r="A15" s="75" t="s">
        <v>383</v>
      </c>
      <c r="B15" s="70">
        <v>1008000</v>
      </c>
      <c r="C15" s="70">
        <f t="shared" ref="C15:C30" si="3">0.258*B15</f>
        <v>260064</v>
      </c>
      <c r="D15" s="75">
        <v>2</v>
      </c>
      <c r="E15" s="70">
        <f t="shared" si="1"/>
        <v>1268064</v>
      </c>
      <c r="F15" s="70">
        <f t="shared" si="2"/>
        <v>2016000</v>
      </c>
    </row>
    <row r="16" spans="1:19" ht="12.6">
      <c r="A16" s="75" t="s">
        <v>384</v>
      </c>
      <c r="B16" s="70">
        <v>785000</v>
      </c>
      <c r="C16" s="70">
        <f t="shared" si="3"/>
        <v>202530</v>
      </c>
      <c r="D16" s="75">
        <v>3</v>
      </c>
      <c r="E16" s="70">
        <f t="shared" si="1"/>
        <v>987530</v>
      </c>
      <c r="F16" s="70">
        <f t="shared" si="2"/>
        <v>2355000</v>
      </c>
    </row>
    <row r="17" spans="1:10" ht="12.6">
      <c r="A17" s="174" t="s">
        <v>385</v>
      </c>
      <c r="B17" s="175">
        <v>2580000</v>
      </c>
      <c r="C17" s="175">
        <f t="shared" si="3"/>
        <v>665640</v>
      </c>
      <c r="D17" s="174">
        <v>1</v>
      </c>
      <c r="E17" s="175">
        <f t="shared" si="1"/>
        <v>3245640</v>
      </c>
      <c r="F17" s="175">
        <f t="shared" si="2"/>
        <v>2580000</v>
      </c>
    </row>
    <row r="18" spans="1:10" ht="12.6">
      <c r="A18" s="174" t="s">
        <v>386</v>
      </c>
      <c r="B18" s="175">
        <v>1400000</v>
      </c>
      <c r="C18" s="175">
        <f t="shared" si="3"/>
        <v>361200</v>
      </c>
      <c r="D18" s="174">
        <v>1</v>
      </c>
      <c r="E18" s="175">
        <f t="shared" si="1"/>
        <v>1761200</v>
      </c>
      <c r="F18" s="175">
        <f t="shared" si="2"/>
        <v>1400000</v>
      </c>
    </row>
    <row r="19" spans="1:10" ht="12.6">
      <c r="A19" s="174" t="s">
        <v>387</v>
      </c>
      <c r="B19" s="175">
        <v>1580000</v>
      </c>
      <c r="C19" s="175">
        <f t="shared" si="3"/>
        <v>407640</v>
      </c>
      <c r="D19" s="174">
        <v>1</v>
      </c>
      <c r="E19" s="175">
        <f t="shared" si="1"/>
        <v>1987640</v>
      </c>
      <c r="F19" s="175">
        <f t="shared" si="2"/>
        <v>1580000</v>
      </c>
    </row>
    <row r="20" spans="1:10" ht="12.6">
      <c r="A20" s="174" t="s">
        <v>388</v>
      </c>
      <c r="B20" s="175">
        <v>1890000</v>
      </c>
      <c r="C20" s="175">
        <f t="shared" si="3"/>
        <v>487620</v>
      </c>
      <c r="D20" s="174">
        <v>1</v>
      </c>
      <c r="E20" s="175">
        <f t="shared" si="1"/>
        <v>2377620</v>
      </c>
      <c r="F20" s="175">
        <f t="shared" si="2"/>
        <v>1890000</v>
      </c>
    </row>
    <row r="21" spans="1:10" ht="12.6">
      <c r="A21" s="176" t="s">
        <v>389</v>
      </c>
      <c r="B21" s="177">
        <v>2600000</v>
      </c>
      <c r="C21" s="177">
        <f t="shared" si="3"/>
        <v>670800</v>
      </c>
      <c r="D21" s="176">
        <v>1</v>
      </c>
      <c r="E21" s="177">
        <f t="shared" si="1"/>
        <v>3270800</v>
      </c>
      <c r="F21" s="177">
        <f t="shared" si="2"/>
        <v>2600000</v>
      </c>
    </row>
    <row r="22" spans="1:10" ht="12.6">
      <c r="A22" s="176" t="s">
        <v>390</v>
      </c>
      <c r="B22" s="177">
        <v>1230000</v>
      </c>
      <c r="C22" s="177">
        <f t="shared" si="3"/>
        <v>317340</v>
      </c>
      <c r="D22" s="176">
        <v>2</v>
      </c>
      <c r="E22" s="177">
        <f t="shared" si="1"/>
        <v>1547340</v>
      </c>
      <c r="F22" s="177">
        <f t="shared" si="2"/>
        <v>2460000</v>
      </c>
    </row>
    <row r="23" spans="1:10" ht="12.6">
      <c r="A23" s="176" t="s">
        <v>391</v>
      </c>
      <c r="B23" s="177">
        <v>2000000</v>
      </c>
      <c r="C23" s="177">
        <f t="shared" si="3"/>
        <v>516000</v>
      </c>
      <c r="D23" s="176">
        <v>1</v>
      </c>
      <c r="E23" s="177">
        <f t="shared" si="1"/>
        <v>2516000</v>
      </c>
      <c r="F23" s="177">
        <f t="shared" si="2"/>
        <v>2000000</v>
      </c>
    </row>
    <row r="24" spans="1:10" ht="12.6">
      <c r="A24" s="176" t="s">
        <v>392</v>
      </c>
      <c r="B24" s="177">
        <v>1230000</v>
      </c>
      <c r="C24" s="177">
        <f t="shared" si="3"/>
        <v>317340</v>
      </c>
      <c r="D24" s="176">
        <v>1</v>
      </c>
      <c r="E24" s="177">
        <f t="shared" si="1"/>
        <v>1547340</v>
      </c>
      <c r="F24" s="177">
        <f t="shared" si="2"/>
        <v>1230000</v>
      </c>
    </row>
    <row r="25" spans="1:10" ht="12.6">
      <c r="A25" s="176" t="s">
        <v>393</v>
      </c>
      <c r="B25" s="177">
        <v>945600</v>
      </c>
      <c r="C25" s="177">
        <f t="shared" si="3"/>
        <v>243964.80000000002</v>
      </c>
      <c r="D25" s="178">
        <v>2</v>
      </c>
      <c r="E25" s="177">
        <f t="shared" si="1"/>
        <v>1189564.8</v>
      </c>
      <c r="F25" s="177">
        <f t="shared" si="2"/>
        <v>1891200</v>
      </c>
    </row>
    <row r="26" spans="1:10" ht="12.6">
      <c r="A26" s="179" t="s">
        <v>394</v>
      </c>
      <c r="B26" s="180">
        <v>2580000</v>
      </c>
      <c r="C26" s="180">
        <f t="shared" si="3"/>
        <v>665640</v>
      </c>
      <c r="D26" s="179">
        <v>1</v>
      </c>
      <c r="E26" s="180">
        <f t="shared" si="1"/>
        <v>3245640</v>
      </c>
      <c r="F26" s="180">
        <f t="shared" si="2"/>
        <v>2580000</v>
      </c>
    </row>
    <row r="27" spans="1:10" ht="12.6">
      <c r="A27" s="179" t="s">
        <v>395</v>
      </c>
      <c r="B27" s="180">
        <v>868000</v>
      </c>
      <c r="C27" s="180">
        <f t="shared" si="3"/>
        <v>223944</v>
      </c>
      <c r="D27" s="179">
        <v>12</v>
      </c>
      <c r="E27" s="180">
        <f t="shared" si="1"/>
        <v>1091944</v>
      </c>
      <c r="F27" s="180">
        <f t="shared" si="2"/>
        <v>10416000</v>
      </c>
    </row>
    <row r="28" spans="1:10" ht="12.6">
      <c r="A28" s="179" t="s">
        <v>396</v>
      </c>
      <c r="B28" s="180">
        <v>950000</v>
      </c>
      <c r="C28" s="180">
        <f t="shared" si="3"/>
        <v>245100</v>
      </c>
      <c r="D28" s="179">
        <v>1</v>
      </c>
      <c r="E28" s="180">
        <f t="shared" si="1"/>
        <v>1195100</v>
      </c>
      <c r="F28" s="180">
        <f t="shared" si="2"/>
        <v>950000</v>
      </c>
    </row>
    <row r="29" spans="1:10" ht="12.95">
      <c r="A29" s="179" t="s">
        <v>397</v>
      </c>
      <c r="B29" s="180">
        <v>1450000</v>
      </c>
      <c r="C29" s="180">
        <f t="shared" si="3"/>
        <v>374100</v>
      </c>
      <c r="D29" s="179">
        <v>1</v>
      </c>
      <c r="E29" s="180">
        <f t="shared" si="1"/>
        <v>1824100</v>
      </c>
      <c r="F29" s="180">
        <f t="shared" si="2"/>
        <v>1450000</v>
      </c>
      <c r="H29" s="74" t="s">
        <v>378</v>
      </c>
      <c r="I29" s="74" t="s">
        <v>398</v>
      </c>
      <c r="J29" s="74" t="s">
        <v>249</v>
      </c>
    </row>
    <row r="30" spans="1:10" ht="12.6">
      <c r="A30" s="179" t="s">
        <v>399</v>
      </c>
      <c r="B30" s="180">
        <v>1500000</v>
      </c>
      <c r="C30" s="180">
        <f t="shared" si="3"/>
        <v>387000</v>
      </c>
      <c r="D30" s="179">
        <v>1</v>
      </c>
      <c r="E30" s="180">
        <f t="shared" si="1"/>
        <v>1887000</v>
      </c>
      <c r="F30" s="180">
        <f t="shared" si="2"/>
        <v>1500000</v>
      </c>
      <c r="H30" s="75">
        <f>16+2+6+1.5+0.3</f>
        <v>25.8</v>
      </c>
      <c r="I30" s="75">
        <v>4</v>
      </c>
      <c r="J30" s="75">
        <f>I30+H30</f>
        <v>29.8</v>
      </c>
    </row>
    <row r="31" spans="1:10" ht="12.95">
      <c r="I31" s="71"/>
    </row>
    <row r="37" spans="1:5" ht="12.95">
      <c r="A37" s="71" t="s">
        <v>100</v>
      </c>
      <c r="B37" s="181">
        <f t="shared" ref="B37:C37" si="4">SUM(B14:B30)</f>
        <v>27716600</v>
      </c>
      <c r="C37" s="181">
        <f t="shared" si="4"/>
        <v>7275682.7999999998</v>
      </c>
    </row>
    <row r="39" spans="1:5" ht="12.95">
      <c r="A39" s="74"/>
      <c r="B39" s="74"/>
      <c r="C39" s="74" t="s">
        <v>380</v>
      </c>
      <c r="D39" s="74" t="s">
        <v>400</v>
      </c>
      <c r="E39" s="74" t="s">
        <v>249</v>
      </c>
    </row>
    <row r="40" spans="1:5" ht="12.6">
      <c r="A40" s="75" t="s">
        <v>401</v>
      </c>
      <c r="B40" s="75">
        <f>SUM(D26:D30)</f>
        <v>16</v>
      </c>
      <c r="C40" s="182">
        <f>SUM(F26:F30)+F14/3</f>
        <v>17936000</v>
      </c>
      <c r="D40" s="70">
        <f>(SUM(E26:E30)+E14/3)*12</f>
        <v>127124448</v>
      </c>
      <c r="E40" s="70">
        <f t="shared" ref="E40:E43" si="5">C40+D40</f>
        <v>145060448</v>
      </c>
    </row>
    <row r="41" spans="1:5" ht="12.6">
      <c r="A41" s="75" t="s">
        <v>402</v>
      </c>
      <c r="B41" s="75">
        <f>SUM(D17:D20)</f>
        <v>4</v>
      </c>
      <c r="C41" s="182">
        <f>SUM(F17:F20)+F14/3</f>
        <v>8490000</v>
      </c>
      <c r="D41" s="70">
        <f t="shared" ref="D41:D42" si="6">(SUM(E27:E37)+E17/3)*12</f>
        <v>84960288</v>
      </c>
      <c r="E41" s="70">
        <f t="shared" si="5"/>
        <v>93450288</v>
      </c>
    </row>
    <row r="42" spans="1:5" ht="12.6">
      <c r="A42" s="75" t="s">
        <v>403</v>
      </c>
      <c r="B42" s="75">
        <f>SUM(D21:D24)</f>
        <v>5</v>
      </c>
      <c r="C42" s="182">
        <f>SUM(F21:F24)+F14/3</f>
        <v>9330000</v>
      </c>
      <c r="D42" s="70">
        <f t="shared" si="6"/>
        <v>65919200</v>
      </c>
      <c r="E42" s="70">
        <f t="shared" si="5"/>
        <v>75249200</v>
      </c>
    </row>
    <row r="43" spans="1:5" ht="12.95">
      <c r="A43" s="74" t="s">
        <v>404</v>
      </c>
      <c r="B43" s="75">
        <f t="shared" ref="B43:D43" si="7">SUM(B40:B42)</f>
        <v>25</v>
      </c>
      <c r="C43" s="182">
        <f t="shared" si="7"/>
        <v>35756000</v>
      </c>
      <c r="D43" s="70">
        <f t="shared" si="7"/>
        <v>278003936</v>
      </c>
      <c r="E43" s="70">
        <f t="shared" si="5"/>
        <v>313759936</v>
      </c>
    </row>
    <row r="45" spans="1:5" ht="12.6">
      <c r="B45" s="183" t="s">
        <v>405</v>
      </c>
      <c r="C45" s="64" t="s">
        <v>406</v>
      </c>
    </row>
    <row r="46" spans="1:5" ht="12.6">
      <c r="B46" s="183" t="s">
        <v>407</v>
      </c>
      <c r="C46" s="64" t="s">
        <v>408</v>
      </c>
    </row>
    <row r="48" spans="1:5" ht="12.95">
      <c r="A48" s="71" t="s">
        <v>409</v>
      </c>
    </row>
    <row r="49" spans="1:6" ht="12.6">
      <c r="A49" s="72" t="s">
        <v>410</v>
      </c>
    </row>
    <row r="51" spans="1:6" ht="12.95">
      <c r="A51" s="184" t="s">
        <v>260</v>
      </c>
      <c r="B51" s="185"/>
      <c r="C51" s="185" t="s">
        <v>411</v>
      </c>
      <c r="D51" s="186" t="s">
        <v>90</v>
      </c>
    </row>
    <row r="52" spans="1:6" ht="12.6">
      <c r="A52" s="187" t="s">
        <v>412</v>
      </c>
      <c r="C52" s="86">
        <f>'E-Inv AF y Am'!D54</f>
        <v>136579370.07532099</v>
      </c>
      <c r="D52" s="188">
        <f>'E-Inv AF y Am'!E54</f>
        <v>136579370.07532099</v>
      </c>
    </row>
    <row r="53" spans="1:6" ht="12.6">
      <c r="A53" s="189" t="s">
        <v>413</v>
      </c>
      <c r="B53" s="79"/>
      <c r="C53" s="190">
        <v>0.9</v>
      </c>
      <c r="D53" s="191"/>
    </row>
    <row r="55" spans="1:6" ht="12.95">
      <c r="A55" s="71" t="s">
        <v>414</v>
      </c>
      <c r="B55" s="192"/>
      <c r="C55" s="193"/>
      <c r="D55" s="193"/>
      <c r="F55" s="193"/>
    </row>
    <row r="56" spans="1:6" ht="12.6">
      <c r="A56" s="193"/>
      <c r="B56" s="192"/>
      <c r="C56" s="193"/>
      <c r="D56" s="193"/>
      <c r="E56" s="193"/>
    </row>
    <row r="57" spans="1:6" ht="12.6">
      <c r="A57" s="194" t="s">
        <v>415</v>
      </c>
      <c r="B57" s="195">
        <v>1.4999999999999999E-2</v>
      </c>
      <c r="C57" s="496" t="s">
        <v>416</v>
      </c>
      <c r="D57" s="497"/>
      <c r="E57" s="498"/>
    </row>
    <row r="58" spans="1:6" ht="12.6">
      <c r="A58" s="196" t="s">
        <v>417</v>
      </c>
      <c r="B58" s="192">
        <v>0.01</v>
      </c>
      <c r="C58" s="499" t="s">
        <v>416</v>
      </c>
      <c r="D58" s="480"/>
      <c r="E58" s="500"/>
    </row>
    <row r="59" spans="1:6" ht="12.6">
      <c r="A59" s="187"/>
      <c r="E59" s="197"/>
    </row>
    <row r="60" spans="1:6" ht="12.6">
      <c r="A60" s="198" t="s">
        <v>418</v>
      </c>
      <c r="B60" s="199">
        <f>'E-Inv AF y Am'!B48*(B58+B57)*C53</f>
        <v>21937500</v>
      </c>
      <c r="C60" s="79"/>
      <c r="D60" s="79"/>
      <c r="E60" s="191"/>
    </row>
    <row r="64" spans="1:6" ht="12.95">
      <c r="A64" s="71" t="s">
        <v>419</v>
      </c>
    </row>
    <row r="66" spans="1:5" ht="12.95">
      <c r="A66" s="71"/>
      <c r="B66" s="463" t="s">
        <v>55</v>
      </c>
      <c r="C66" s="492"/>
      <c r="D66" s="463" t="s">
        <v>420</v>
      </c>
      <c r="E66" s="492"/>
    </row>
    <row r="67" spans="1:5" ht="12.95">
      <c r="A67" s="200" t="s">
        <v>262</v>
      </c>
      <c r="B67" s="200" t="s">
        <v>421</v>
      </c>
      <c r="C67" s="200" t="s">
        <v>422</v>
      </c>
      <c r="D67" s="200" t="s">
        <v>421</v>
      </c>
      <c r="E67" s="200" t="s">
        <v>422</v>
      </c>
    </row>
    <row r="68" spans="1:5" ht="12.6">
      <c r="A68" s="75" t="s">
        <v>423</v>
      </c>
      <c r="B68" s="70">
        <f>D41*0.03</f>
        <v>2548808.64</v>
      </c>
      <c r="C68" s="70">
        <f>D42*0.03</f>
        <v>1977576</v>
      </c>
      <c r="D68" s="70">
        <f t="shared" ref="D68:E68" si="8">B68</f>
        <v>2548808.64</v>
      </c>
      <c r="E68" s="70">
        <f t="shared" si="8"/>
        <v>1977576</v>
      </c>
    </row>
    <row r="69" spans="1:5" ht="12.6">
      <c r="A69" s="75" t="s">
        <v>424</v>
      </c>
      <c r="B69" s="70">
        <f>D41*0.02</f>
        <v>1699205.76</v>
      </c>
      <c r="C69" s="70">
        <f>D42*0.02</f>
        <v>1318384</v>
      </c>
      <c r="D69" s="70">
        <f t="shared" ref="D69:E69" si="9">B69</f>
        <v>1699205.76</v>
      </c>
      <c r="E69" s="70">
        <f t="shared" si="9"/>
        <v>1318384</v>
      </c>
    </row>
    <row r="70" spans="1:5" ht="12.6">
      <c r="A70" s="75" t="s">
        <v>425</v>
      </c>
      <c r="B70" s="75">
        <v>0</v>
      </c>
      <c r="C70" s="201">
        <f>1000*'C. Aux. Inv AT'!D5</f>
        <v>36532000</v>
      </c>
      <c r="D70" s="75">
        <v>0</v>
      </c>
      <c r="E70" s="201">
        <f>'C. Aux. Inv AT'!E5*1000</f>
        <v>44800000</v>
      </c>
    </row>
    <row r="71" spans="1:5" ht="12.95">
      <c r="A71" s="74" t="s">
        <v>249</v>
      </c>
      <c r="B71" s="202">
        <f t="shared" ref="B71:E71" si="10">SUM(B68:B70)</f>
        <v>4248014.4000000004</v>
      </c>
      <c r="C71" s="202">
        <f t="shared" si="10"/>
        <v>39827960</v>
      </c>
      <c r="D71" s="202">
        <f t="shared" si="10"/>
        <v>4248014.4000000004</v>
      </c>
      <c r="E71" s="202">
        <f t="shared" si="10"/>
        <v>48095960</v>
      </c>
    </row>
    <row r="73" spans="1:5" ht="12.95">
      <c r="A73" s="71" t="s">
        <v>426</v>
      </c>
    </row>
    <row r="74" spans="1:5" ht="12.95">
      <c r="A74" s="71" t="s">
        <v>427</v>
      </c>
    </row>
    <row r="75" spans="1:5" ht="12.95">
      <c r="A75" s="71" t="s">
        <v>428</v>
      </c>
    </row>
    <row r="77" spans="1:5" ht="12.95">
      <c r="A77" s="71" t="s">
        <v>429</v>
      </c>
    </row>
    <row r="78" spans="1:5" ht="12.95">
      <c r="A78" s="71"/>
      <c r="C78" s="74" t="s">
        <v>55</v>
      </c>
      <c r="D78" s="74" t="s">
        <v>420</v>
      </c>
    </row>
    <row r="79" spans="1:5" ht="12.6">
      <c r="A79" s="75" t="s">
        <v>430</v>
      </c>
      <c r="B79" s="70">
        <v>30000000</v>
      </c>
      <c r="C79" s="70">
        <f>B79</f>
        <v>30000000</v>
      </c>
      <c r="D79" s="70">
        <v>0</v>
      </c>
    </row>
    <row r="80" spans="1:5" ht="12.6">
      <c r="A80" s="75" t="s">
        <v>431</v>
      </c>
      <c r="B80" s="70">
        <v>2000000</v>
      </c>
      <c r="C80" s="70">
        <f>B80*12</f>
        <v>24000000</v>
      </c>
      <c r="D80" s="70">
        <f>C80</f>
        <v>24000000</v>
      </c>
    </row>
    <row r="81" spans="1:5" ht="12.6">
      <c r="A81" s="75" t="s">
        <v>432</v>
      </c>
      <c r="B81" s="70">
        <f>50000*B41</f>
        <v>200000</v>
      </c>
      <c r="C81" s="70">
        <f t="shared" ref="C81:D81" si="11">B81</f>
        <v>200000</v>
      </c>
      <c r="D81" s="70">
        <f t="shared" si="11"/>
        <v>200000</v>
      </c>
      <c r="E81" s="72" t="s">
        <v>433</v>
      </c>
    </row>
    <row r="82" spans="1:5" ht="12.6">
      <c r="A82" s="75" t="s">
        <v>434</v>
      </c>
      <c r="B82" s="70">
        <f>0.002*E41</f>
        <v>186900.576</v>
      </c>
      <c r="C82" s="70">
        <f t="shared" ref="C82:D82" si="12">B82</f>
        <v>186900.576</v>
      </c>
      <c r="D82" s="70">
        <f t="shared" si="12"/>
        <v>186900.576</v>
      </c>
      <c r="E82" s="72" t="s">
        <v>435</v>
      </c>
    </row>
    <row r="83" spans="1:5" ht="12.95">
      <c r="B83" s="74" t="s">
        <v>249</v>
      </c>
      <c r="C83" s="70">
        <f t="shared" ref="C83:D83" si="13">SUM(C79:C82)</f>
        <v>54386900.575999998</v>
      </c>
      <c r="D83" s="70">
        <f t="shared" si="13"/>
        <v>24386900.576000001</v>
      </c>
    </row>
    <row r="84" spans="1:5" ht="12.95">
      <c r="A84" s="71"/>
    </row>
    <row r="85" spans="1:5" ht="12.95">
      <c r="A85" s="71" t="s">
        <v>436</v>
      </c>
    </row>
    <row r="86" spans="1:5" ht="12.95">
      <c r="A86" s="71"/>
      <c r="C86" s="74" t="s">
        <v>55</v>
      </c>
      <c r="D86" s="74" t="s">
        <v>420</v>
      </c>
    </row>
    <row r="87" spans="1:5" ht="12.6">
      <c r="A87" s="75" t="s">
        <v>432</v>
      </c>
      <c r="B87" s="70">
        <f>50000*B42</f>
        <v>250000</v>
      </c>
      <c r="C87" s="70">
        <f t="shared" ref="C87:D87" si="14">B87</f>
        <v>250000</v>
      </c>
      <c r="D87" s="70">
        <f t="shared" si="14"/>
        <v>250000</v>
      </c>
      <c r="E87" s="72" t="s">
        <v>433</v>
      </c>
    </row>
    <row r="88" spans="1:5" ht="12.6">
      <c r="A88" s="75" t="s">
        <v>434</v>
      </c>
      <c r="B88" s="70">
        <f>0.05*E42</f>
        <v>3762460</v>
      </c>
      <c r="C88" s="70">
        <f t="shared" ref="C88:D88" si="15">B88</f>
        <v>3762460</v>
      </c>
      <c r="D88" s="70">
        <f t="shared" si="15"/>
        <v>3762460</v>
      </c>
      <c r="E88" s="72" t="s">
        <v>437</v>
      </c>
    </row>
    <row r="89" spans="1:5" ht="12.6">
      <c r="A89" s="75" t="s">
        <v>177</v>
      </c>
      <c r="B89" s="70">
        <f>3500*InfoInicial!B31</f>
        <v>4550000</v>
      </c>
      <c r="C89" s="70">
        <f t="shared" ref="C89:D89" si="16">B89</f>
        <v>4550000</v>
      </c>
      <c r="D89" s="70">
        <f t="shared" si="16"/>
        <v>4550000</v>
      </c>
      <c r="E89" s="64" t="s">
        <v>438</v>
      </c>
    </row>
    <row r="90" spans="1:5" ht="12.6">
      <c r="A90" s="75" t="s">
        <v>179</v>
      </c>
      <c r="B90" s="70">
        <f>1700*InfoInicial!B31</f>
        <v>2210000</v>
      </c>
      <c r="C90" s="70">
        <f t="shared" ref="C90:D90" si="17">B90</f>
        <v>2210000</v>
      </c>
      <c r="D90" s="70">
        <f t="shared" si="17"/>
        <v>2210000</v>
      </c>
      <c r="E90" s="64" t="s">
        <v>439</v>
      </c>
    </row>
    <row r="91" spans="1:5" ht="12.95">
      <c r="B91" s="74" t="s">
        <v>249</v>
      </c>
      <c r="C91" s="70">
        <f t="shared" ref="C91:D91" si="18">SUM(C87:C90)</f>
        <v>10772460</v>
      </c>
      <c r="D91" s="70">
        <f t="shared" si="18"/>
        <v>10772460</v>
      </c>
    </row>
    <row r="92" spans="1:5" ht="12.95">
      <c r="A92" s="71"/>
    </row>
    <row r="93" spans="1:5" ht="12.95">
      <c r="A93" s="71"/>
    </row>
    <row r="94" spans="1:5" ht="12.95">
      <c r="A94" s="71" t="s">
        <v>440</v>
      </c>
    </row>
    <row r="96" spans="1:5" ht="12.95">
      <c r="B96" s="74" t="s">
        <v>441</v>
      </c>
      <c r="C96" s="74" t="s">
        <v>442</v>
      </c>
      <c r="D96" s="74" t="s">
        <v>443</v>
      </c>
    </row>
    <row r="97" spans="1:10" ht="12.6">
      <c r="B97" s="75" t="s">
        <v>401</v>
      </c>
      <c r="C97" s="203">
        <v>0.9</v>
      </c>
      <c r="D97" s="201">
        <f>'E-Inv AF y Am'!$D$59*C97</f>
        <v>196383908.70162344</v>
      </c>
    </row>
    <row r="98" spans="1:10" ht="12.6">
      <c r="B98" s="75" t="s">
        <v>444</v>
      </c>
      <c r="C98" s="203">
        <v>0.05</v>
      </c>
      <c r="D98" s="201">
        <f>'E-Inv AF y Am'!$D$59*C98</f>
        <v>10910217.150090192</v>
      </c>
    </row>
    <row r="99" spans="1:10" ht="12.6">
      <c r="B99" s="75" t="s">
        <v>445</v>
      </c>
      <c r="C99" s="203">
        <v>0.05</v>
      </c>
      <c r="D99" s="201">
        <f>'E-Inv AF y Am'!$D$59*C99</f>
        <v>10910217.150090192</v>
      </c>
    </row>
    <row r="101" spans="1:10" ht="12.95">
      <c r="A101" s="71" t="s">
        <v>446</v>
      </c>
    </row>
    <row r="102" spans="1:10" ht="12.95">
      <c r="C102" s="74" t="s">
        <v>447</v>
      </c>
      <c r="D102" s="74" t="s">
        <v>55</v>
      </c>
      <c r="E102" s="74" t="s">
        <v>420</v>
      </c>
    </row>
    <row r="103" spans="1:10" ht="12.6">
      <c r="B103" s="75" t="s">
        <v>448</v>
      </c>
      <c r="C103" s="204">
        <v>5.0000000000000001E-3</v>
      </c>
      <c r="D103" s="205">
        <f>C103*O5</f>
        <v>20092600</v>
      </c>
      <c r="E103" s="205">
        <f>C103*P5</f>
        <v>24640000</v>
      </c>
      <c r="F103" s="72" t="s">
        <v>449</v>
      </c>
    </row>
    <row r="104" spans="1:10" ht="12.6">
      <c r="B104" s="75" t="s">
        <v>450</v>
      </c>
      <c r="C104" s="70">
        <f>12500/50</f>
        <v>250</v>
      </c>
      <c r="D104" s="205">
        <f>C104*O4</f>
        <v>9133000</v>
      </c>
      <c r="E104" s="205">
        <f>C104*P4</f>
        <v>11200000</v>
      </c>
      <c r="F104" s="72" t="s">
        <v>451</v>
      </c>
    </row>
    <row r="105" spans="1:10" ht="12.95">
      <c r="C105" s="74" t="s">
        <v>249</v>
      </c>
      <c r="D105" s="205">
        <f t="shared" ref="D105:E105" si="19">D104+D103</f>
        <v>29225600</v>
      </c>
      <c r="E105" s="205">
        <f t="shared" si="19"/>
        <v>35840000</v>
      </c>
    </row>
    <row r="106" spans="1:10" ht="12.6">
      <c r="F106" s="64" t="s">
        <v>452</v>
      </c>
    </row>
    <row r="110" spans="1:10" ht="12.95">
      <c r="A110" s="206" t="s">
        <v>453</v>
      </c>
      <c r="B110" s="207"/>
      <c r="C110" s="207"/>
      <c r="D110" s="207"/>
      <c r="E110" s="207"/>
      <c r="F110" s="207"/>
      <c r="G110" s="207"/>
      <c r="H110" s="207"/>
      <c r="I110" s="207"/>
      <c r="J110" s="208"/>
    </row>
    <row r="111" spans="1:10" ht="12.6">
      <c r="A111" s="167"/>
      <c r="J111" s="168"/>
    </row>
    <row r="112" spans="1:10" ht="12.6">
      <c r="A112" s="209"/>
      <c r="B112" s="460" t="s">
        <v>454</v>
      </c>
      <c r="C112" s="492"/>
      <c r="D112" s="58" t="s">
        <v>230</v>
      </c>
      <c r="E112" s="58" t="s">
        <v>455</v>
      </c>
      <c r="F112" s="75" t="s">
        <v>456</v>
      </c>
      <c r="J112" s="168"/>
    </row>
    <row r="113" spans="1:10" ht="14.1">
      <c r="A113" s="210" t="s">
        <v>102</v>
      </c>
      <c r="B113" s="58">
        <v>0.2</v>
      </c>
      <c r="C113" s="58" t="s">
        <v>457</v>
      </c>
      <c r="D113" s="58">
        <v>3</v>
      </c>
      <c r="E113" s="58">
        <f t="shared" ref="E113:E121" si="20">B113*D113</f>
        <v>0.60000000000000009</v>
      </c>
      <c r="F113" s="211">
        <f t="shared" ref="F113:F114" si="21">B113*A132</f>
        <v>404.8</v>
      </c>
      <c r="G113" s="72" t="s">
        <v>458</v>
      </c>
      <c r="J113" s="168"/>
    </row>
    <row r="114" spans="1:10" ht="14.1">
      <c r="A114" s="212" t="s">
        <v>142</v>
      </c>
      <c r="B114" s="58">
        <v>0.04</v>
      </c>
      <c r="C114" s="58" t="s">
        <v>457</v>
      </c>
      <c r="D114" s="58">
        <v>14</v>
      </c>
      <c r="E114" s="58">
        <f t="shared" si="20"/>
        <v>0.56000000000000005</v>
      </c>
      <c r="F114" s="211">
        <f t="shared" si="21"/>
        <v>20.240000000000002</v>
      </c>
      <c r="G114" s="72" t="s">
        <v>458</v>
      </c>
      <c r="J114" s="168"/>
    </row>
    <row r="115" spans="1:10" ht="14.1">
      <c r="A115" s="212" t="s">
        <v>148</v>
      </c>
      <c r="B115" s="58">
        <v>0.01</v>
      </c>
      <c r="C115" s="58" t="s">
        <v>457</v>
      </c>
      <c r="D115" s="58">
        <v>4</v>
      </c>
      <c r="E115" s="58">
        <f t="shared" si="20"/>
        <v>0.04</v>
      </c>
      <c r="F115" s="211">
        <f>B115*A131</f>
        <v>87.600000000000009</v>
      </c>
      <c r="G115" s="72" t="s">
        <v>458</v>
      </c>
      <c r="J115" s="168"/>
    </row>
    <row r="116" spans="1:10" ht="14.1">
      <c r="A116" s="212" t="s">
        <v>152</v>
      </c>
      <c r="B116" s="58">
        <v>1</v>
      </c>
      <c r="C116" s="58" t="s">
        <v>457</v>
      </c>
      <c r="D116" s="58">
        <v>4</v>
      </c>
      <c r="E116" s="58">
        <f t="shared" si="20"/>
        <v>4</v>
      </c>
      <c r="F116" s="211">
        <f>B116*A133</f>
        <v>506</v>
      </c>
      <c r="G116" s="72" t="s">
        <v>458</v>
      </c>
      <c r="J116" s="168"/>
    </row>
    <row r="117" spans="1:10" ht="14.1">
      <c r="A117" s="212" t="s">
        <v>154</v>
      </c>
      <c r="B117" s="58">
        <v>0.04</v>
      </c>
      <c r="C117" s="58" t="s">
        <v>457</v>
      </c>
      <c r="D117" s="58">
        <v>1</v>
      </c>
      <c r="E117" s="58">
        <f t="shared" si="20"/>
        <v>0.04</v>
      </c>
      <c r="F117" s="211">
        <f>B117*A131</f>
        <v>350.40000000000003</v>
      </c>
      <c r="G117" s="72" t="s">
        <v>458</v>
      </c>
      <c r="J117" s="168"/>
    </row>
    <row r="118" spans="1:10" ht="14.1">
      <c r="A118" s="212" t="s">
        <v>156</v>
      </c>
      <c r="B118" s="58">
        <v>0.9</v>
      </c>
      <c r="C118" s="58" t="s">
        <v>457</v>
      </c>
      <c r="D118" s="58">
        <v>4</v>
      </c>
      <c r="E118" s="58">
        <f t="shared" si="20"/>
        <v>3.6</v>
      </c>
      <c r="F118" s="211">
        <f>B118*A133</f>
        <v>455.40000000000003</v>
      </c>
      <c r="G118" s="72" t="s">
        <v>458</v>
      </c>
      <c r="J118" s="168"/>
    </row>
    <row r="119" spans="1:10" ht="14.1">
      <c r="A119" s="212" t="s">
        <v>158</v>
      </c>
      <c r="B119" s="58">
        <v>2</v>
      </c>
      <c r="C119" s="58" t="s">
        <v>457</v>
      </c>
      <c r="D119" s="58">
        <v>5</v>
      </c>
      <c r="E119" s="58">
        <f t="shared" si="20"/>
        <v>10</v>
      </c>
      <c r="F119" s="211">
        <f>B119*A131</f>
        <v>17520</v>
      </c>
      <c r="G119" s="72" t="s">
        <v>458</v>
      </c>
      <c r="J119" s="168"/>
    </row>
    <row r="120" spans="1:10" ht="14.1">
      <c r="A120" s="212" t="s">
        <v>160</v>
      </c>
      <c r="B120" s="58">
        <v>2.2000000000000002</v>
      </c>
      <c r="C120" s="58" t="s">
        <v>457</v>
      </c>
      <c r="D120" s="58">
        <v>15</v>
      </c>
      <c r="E120" s="58">
        <f t="shared" si="20"/>
        <v>33</v>
      </c>
      <c r="F120" s="211">
        <f>B120*A133</f>
        <v>1113.2</v>
      </c>
      <c r="G120" s="72" t="s">
        <v>458</v>
      </c>
      <c r="J120" s="168"/>
    </row>
    <row r="121" spans="1:10" ht="14.1">
      <c r="A121" s="212" t="s">
        <v>162</v>
      </c>
      <c r="B121" s="58">
        <v>0.3</v>
      </c>
      <c r="C121" s="58" t="s">
        <v>457</v>
      </c>
      <c r="D121" s="58">
        <v>4</v>
      </c>
      <c r="E121" s="58">
        <f t="shared" si="20"/>
        <v>1.2</v>
      </c>
      <c r="F121" s="211">
        <f>B121*A133</f>
        <v>151.79999999999998</v>
      </c>
      <c r="G121" s="72" t="s">
        <v>458</v>
      </c>
      <c r="J121" s="168"/>
    </row>
    <row r="122" spans="1:10" ht="12.6">
      <c r="A122" s="167"/>
      <c r="F122" s="213"/>
      <c r="J122" s="168"/>
    </row>
    <row r="123" spans="1:10" ht="12.6">
      <c r="A123" s="214" t="s">
        <v>233</v>
      </c>
      <c r="B123" s="75">
        <v>24</v>
      </c>
      <c r="C123" s="58" t="s">
        <v>457</v>
      </c>
      <c r="D123" s="75">
        <v>6</v>
      </c>
      <c r="E123" s="75">
        <f t="shared" ref="E123:E128" si="22">B123*D123</f>
        <v>144</v>
      </c>
      <c r="F123" s="211">
        <f t="shared" ref="F123:F128" si="23">E123*$A$131</f>
        <v>1261440</v>
      </c>
      <c r="G123" s="72" t="s">
        <v>458</v>
      </c>
      <c r="J123" s="168"/>
    </row>
    <row r="124" spans="1:10" ht="12.6">
      <c r="A124" s="214" t="s">
        <v>459</v>
      </c>
      <c r="B124" s="75">
        <v>1.25</v>
      </c>
      <c r="C124" s="58" t="s">
        <v>457</v>
      </c>
      <c r="D124" s="75">
        <v>1</v>
      </c>
      <c r="E124" s="75">
        <f t="shared" si="22"/>
        <v>1.25</v>
      </c>
      <c r="F124" s="211">
        <f t="shared" si="23"/>
        <v>10950</v>
      </c>
      <c r="G124" s="72" t="s">
        <v>458</v>
      </c>
      <c r="J124" s="168"/>
    </row>
    <row r="125" spans="1:10" ht="12.6">
      <c r="A125" s="214" t="s">
        <v>460</v>
      </c>
      <c r="B125" s="75">
        <v>1</v>
      </c>
      <c r="C125" s="58" t="s">
        <v>457</v>
      </c>
      <c r="D125" s="75">
        <v>5</v>
      </c>
      <c r="E125" s="75">
        <f t="shared" si="22"/>
        <v>5</v>
      </c>
      <c r="F125" s="211">
        <f t="shared" si="23"/>
        <v>43800</v>
      </c>
      <c r="G125" s="72" t="s">
        <v>458</v>
      </c>
      <c r="J125" s="168"/>
    </row>
    <row r="126" spans="1:10" ht="12.6">
      <c r="A126" s="214" t="s">
        <v>236</v>
      </c>
      <c r="B126" s="75">
        <v>2.2000000000000002</v>
      </c>
      <c r="C126" s="58" t="s">
        <v>457</v>
      </c>
      <c r="D126" s="75">
        <v>3</v>
      </c>
      <c r="E126" s="75">
        <f t="shared" si="22"/>
        <v>6.6000000000000005</v>
      </c>
      <c r="F126" s="211">
        <f t="shared" si="23"/>
        <v>57816.000000000007</v>
      </c>
      <c r="G126" s="72" t="s">
        <v>458</v>
      </c>
      <c r="J126" s="168"/>
    </row>
    <row r="127" spans="1:10" ht="12.6">
      <c r="A127" s="214" t="s">
        <v>237</v>
      </c>
      <c r="B127" s="75">
        <v>2</v>
      </c>
      <c r="C127" s="58" t="s">
        <v>457</v>
      </c>
      <c r="D127" s="75">
        <v>2</v>
      </c>
      <c r="E127" s="75">
        <f t="shared" si="22"/>
        <v>4</v>
      </c>
      <c r="F127" s="211">
        <f t="shared" si="23"/>
        <v>35040</v>
      </c>
      <c r="G127" s="72" t="s">
        <v>458</v>
      </c>
      <c r="J127" s="168"/>
    </row>
    <row r="128" spans="1:10" ht="12.6">
      <c r="A128" s="214" t="s">
        <v>461</v>
      </c>
      <c r="B128" s="75">
        <v>1</v>
      </c>
      <c r="C128" s="58" t="s">
        <v>457</v>
      </c>
      <c r="D128" s="75">
        <v>1</v>
      </c>
      <c r="E128" s="75">
        <f t="shared" si="22"/>
        <v>1</v>
      </c>
      <c r="F128" s="211">
        <f t="shared" si="23"/>
        <v>8760</v>
      </c>
      <c r="G128" s="72" t="s">
        <v>458</v>
      </c>
      <c r="J128" s="168"/>
    </row>
    <row r="129" spans="1:10" ht="12.6">
      <c r="A129" s="167"/>
      <c r="E129" s="75">
        <f>SUM(E114:E128)</f>
        <v>214.29</v>
      </c>
      <c r="F129" s="211">
        <f>SUM(F113:F128)</f>
        <v>1438415.44</v>
      </c>
      <c r="G129" s="75" t="s">
        <v>458</v>
      </c>
      <c r="J129" s="168"/>
    </row>
    <row r="130" spans="1:10" ht="12.6">
      <c r="A130" s="167"/>
      <c r="J130" s="168"/>
    </row>
    <row r="131" spans="1:10" ht="12.6">
      <c r="A131" s="167">
        <v>8760</v>
      </c>
      <c r="B131" s="72" t="s">
        <v>462</v>
      </c>
      <c r="J131" s="168"/>
    </row>
    <row r="132" spans="1:10" ht="12.6">
      <c r="A132" s="167">
        <v>2024</v>
      </c>
      <c r="B132" s="72" t="s">
        <v>463</v>
      </c>
      <c r="G132" s="215" t="s">
        <v>464</v>
      </c>
      <c r="H132" s="216">
        <v>135686.29999999999</v>
      </c>
      <c r="J132" s="217">
        <f>H132</f>
        <v>135686.29999999999</v>
      </c>
    </row>
    <row r="133" spans="1:10" ht="12.6">
      <c r="A133" s="167">
        <v>506</v>
      </c>
      <c r="B133" s="72" t="s">
        <v>465</v>
      </c>
      <c r="G133" s="218" t="s">
        <v>466</v>
      </c>
      <c r="H133" s="216">
        <v>14305.11</v>
      </c>
      <c r="I133" s="72">
        <v>200</v>
      </c>
      <c r="J133" s="217">
        <f t="shared" ref="J133:J137" si="24">H133*I133</f>
        <v>2861022</v>
      </c>
    </row>
    <row r="134" spans="1:10" ht="12.6">
      <c r="A134" s="167"/>
      <c r="G134" s="218" t="s">
        <v>467</v>
      </c>
      <c r="H134" s="216">
        <v>6391.09</v>
      </c>
      <c r="I134" s="219">
        <f>C138</f>
        <v>681.06791666666663</v>
      </c>
      <c r="J134" s="217">
        <f t="shared" si="24"/>
        <v>4352766.3515291661</v>
      </c>
    </row>
    <row r="135" spans="1:10" ht="12.6">
      <c r="A135" s="167"/>
      <c r="G135" s="218" t="s">
        <v>468</v>
      </c>
      <c r="H135" s="216">
        <v>80.959999999999994</v>
      </c>
      <c r="I135" s="220">
        <v>8654</v>
      </c>
      <c r="J135" s="217">
        <f t="shared" si="24"/>
        <v>700627.84</v>
      </c>
    </row>
    <row r="136" spans="1:10" ht="12.6">
      <c r="A136" s="214" t="s">
        <v>469</v>
      </c>
      <c r="B136" s="211">
        <f>E129</f>
        <v>214.29</v>
      </c>
      <c r="C136" s="72" t="s">
        <v>457</v>
      </c>
      <c r="D136" s="72" t="s">
        <v>470</v>
      </c>
      <c r="E136" s="78">
        <f>(SUM(J133:J134)+J132)/C138</f>
        <v>10791.103899739563</v>
      </c>
      <c r="G136" s="218" t="s">
        <v>471</v>
      </c>
      <c r="H136" s="216">
        <v>79.494</v>
      </c>
      <c r="I136" s="220">
        <v>6750</v>
      </c>
      <c r="J136" s="217">
        <f t="shared" si="24"/>
        <v>536584.5</v>
      </c>
    </row>
    <row r="137" spans="1:10" ht="12.6">
      <c r="A137" s="214" t="s">
        <v>472</v>
      </c>
      <c r="B137" s="211">
        <f>F129</f>
        <v>1438415.44</v>
      </c>
      <c r="C137" s="72" t="s">
        <v>458</v>
      </c>
      <c r="D137" s="72" t="s">
        <v>473</v>
      </c>
      <c r="E137" s="78">
        <f>(SUM(J135:J137)+J132)/B138</f>
        <v>14.511816641790221</v>
      </c>
      <c r="G137" s="218" t="s">
        <v>474</v>
      </c>
      <c r="H137" s="216">
        <v>78.334000000000003</v>
      </c>
      <c r="I137" s="220">
        <v>4680</v>
      </c>
      <c r="J137" s="217">
        <f t="shared" si="24"/>
        <v>366603.12</v>
      </c>
    </row>
    <row r="138" spans="1:10" ht="12.6">
      <c r="A138" s="214" t="s">
        <v>475</v>
      </c>
      <c r="B138" s="211">
        <f>B137/12</f>
        <v>119867.95333333332</v>
      </c>
      <c r="C138" s="219">
        <f>B138/22/8</f>
        <v>681.06791666666663</v>
      </c>
      <c r="J138" s="217">
        <f>SUM(J132:J137)</f>
        <v>8953290.1115291659</v>
      </c>
    </row>
    <row r="139" spans="1:10" ht="12.6">
      <c r="A139" s="167"/>
      <c r="J139" s="168"/>
    </row>
    <row r="140" spans="1:10" ht="12.6">
      <c r="A140" s="214" t="s">
        <v>476</v>
      </c>
      <c r="B140" s="203">
        <f>SUM(F123:F128)/F129</f>
        <v>0.98567212265185367</v>
      </c>
      <c r="J140" s="168"/>
    </row>
    <row r="141" spans="1:10" ht="12.6">
      <c r="A141" s="214" t="s">
        <v>477</v>
      </c>
      <c r="B141" s="203">
        <v>0.01</v>
      </c>
      <c r="J141" s="168"/>
    </row>
    <row r="142" spans="1:10" ht="12.6">
      <c r="A142" s="214" t="s">
        <v>478</v>
      </c>
      <c r="B142" s="221">
        <v>5.0000000000000001E-3</v>
      </c>
      <c r="J142" s="168"/>
    </row>
    <row r="143" spans="1:10" ht="12.6">
      <c r="A143" s="214" t="s">
        <v>479</v>
      </c>
      <c r="B143" s="221">
        <v>5.0000000000000001E-3</v>
      </c>
      <c r="J143" s="168"/>
    </row>
    <row r="144" spans="1:10" ht="12.6">
      <c r="A144" s="167"/>
      <c r="J144" s="168"/>
    </row>
    <row r="145" spans="1:10" ht="12.6">
      <c r="A145" s="167"/>
      <c r="J145" s="168"/>
    </row>
    <row r="146" spans="1:10" ht="12.6">
      <c r="A146" s="167"/>
      <c r="J146" s="168"/>
    </row>
    <row r="147" spans="1:10" ht="12.6">
      <c r="A147" s="167"/>
      <c r="J147" s="168"/>
    </row>
    <row r="148" spans="1:10" ht="12.6">
      <c r="A148" s="167"/>
      <c r="J148" s="168"/>
    </row>
    <row r="149" spans="1:10" ht="12.6">
      <c r="A149" s="167">
        <f>37009*1.2</f>
        <v>44410.799999999996</v>
      </c>
      <c r="B149" s="72" t="s">
        <v>480</v>
      </c>
      <c r="J149" s="168"/>
    </row>
    <row r="150" spans="1:10" ht="12.6">
      <c r="A150" s="167">
        <f>44800*1.2</f>
        <v>53760</v>
      </c>
      <c r="B150" s="72" t="s">
        <v>481</v>
      </c>
      <c r="J150" s="168"/>
    </row>
    <row r="151" spans="1:10" ht="12.6">
      <c r="A151" s="167">
        <f>794*1.2</f>
        <v>952.8</v>
      </c>
      <c r="B151" s="72" t="s">
        <v>482</v>
      </c>
      <c r="J151" s="168"/>
    </row>
    <row r="152" spans="1:10" ht="12.6">
      <c r="A152" s="167"/>
      <c r="J152" s="168"/>
    </row>
    <row r="153" spans="1:10" ht="12.6">
      <c r="A153" s="167"/>
      <c r="J153" s="168"/>
    </row>
    <row r="154" spans="1:10" ht="12.6">
      <c r="A154" s="167"/>
      <c r="D154" s="464" t="s">
        <v>483</v>
      </c>
      <c r="E154" s="491"/>
      <c r="F154" s="491"/>
      <c r="G154" s="492"/>
      <c r="J154" s="168"/>
    </row>
    <row r="155" spans="1:10" ht="12.6">
      <c r="A155" s="465" t="s">
        <v>484</v>
      </c>
      <c r="B155" s="492"/>
      <c r="D155" s="460" t="s">
        <v>485</v>
      </c>
      <c r="E155" s="492"/>
      <c r="J155" s="168"/>
    </row>
    <row r="156" spans="1:10" ht="12.6">
      <c r="A156" s="222" t="s">
        <v>486</v>
      </c>
      <c r="B156" s="223">
        <f>B140*B137</f>
        <v>1417806</v>
      </c>
      <c r="D156" s="218" t="s">
        <v>487</v>
      </c>
      <c r="E156" s="70">
        <f>B156*0.95</f>
        <v>1346915.7</v>
      </c>
      <c r="J156" s="168"/>
    </row>
    <row r="157" spans="1:10" ht="12.6">
      <c r="A157" s="222" t="s">
        <v>488</v>
      </c>
      <c r="B157" s="223">
        <f>B156/11.5</f>
        <v>123287.47826086957</v>
      </c>
      <c r="D157" s="218" t="s">
        <v>418</v>
      </c>
      <c r="E157" s="224">
        <f>B165*0.95</f>
        <v>44809443.947674982</v>
      </c>
      <c r="J157" s="168"/>
    </row>
    <row r="158" spans="1:10" ht="12.6">
      <c r="A158" s="222" t="s">
        <v>489</v>
      </c>
      <c r="B158" s="223">
        <f>B136</f>
        <v>214.29</v>
      </c>
      <c r="D158" s="218" t="s">
        <v>490</v>
      </c>
      <c r="E158" s="70">
        <f>B168*0.95</f>
        <v>26361652.463297173</v>
      </c>
      <c r="F158" s="72">
        <v>0.95</v>
      </c>
      <c r="J158" s="168"/>
    </row>
    <row r="159" spans="1:10" ht="12.6">
      <c r="A159" s="222" t="s">
        <v>491</v>
      </c>
      <c r="B159" s="223">
        <f>B157/B158</f>
        <v>575.33005861621905</v>
      </c>
      <c r="D159" s="218" t="s">
        <v>492</v>
      </c>
      <c r="E159" s="70">
        <f>E158/((A149+A151)/2)</f>
        <v>1162.2381144043759</v>
      </c>
      <c r="J159" s="168"/>
    </row>
    <row r="160" spans="1:10" ht="12.6">
      <c r="A160" s="222" t="s">
        <v>493</v>
      </c>
      <c r="B160" s="223">
        <f t="shared" ref="B160:B161" si="25">E136</f>
        <v>10791.103899739563</v>
      </c>
      <c r="D160" s="218" t="s">
        <v>494</v>
      </c>
      <c r="E160" s="70">
        <f>A149*E159</f>
        <v>51615924.451189853</v>
      </c>
      <c r="J160" s="168"/>
    </row>
    <row r="161" spans="1:10" ht="12.6">
      <c r="A161" s="222" t="s">
        <v>495</v>
      </c>
      <c r="B161" s="223">
        <f t="shared" si="25"/>
        <v>14.511816641790221</v>
      </c>
      <c r="D161" s="218" t="s">
        <v>496</v>
      </c>
      <c r="E161" s="70">
        <f>E159*A151</f>
        <v>1107380.4754044893</v>
      </c>
      <c r="J161" s="168"/>
    </row>
    <row r="162" spans="1:10" ht="12.6">
      <c r="A162" s="222" t="s">
        <v>497</v>
      </c>
      <c r="B162" s="223">
        <f>B160*B158</f>
        <v>2312425.6546751908</v>
      </c>
      <c r="D162" s="218" t="s">
        <v>498</v>
      </c>
      <c r="E162" s="70">
        <f>E157-E158</f>
        <v>18447791.484377809</v>
      </c>
      <c r="J162" s="168"/>
    </row>
    <row r="163" spans="1:10" ht="12.6">
      <c r="A163" s="222" t="s">
        <v>499</v>
      </c>
      <c r="B163" s="223">
        <f>B158*B159*B161</f>
        <v>1789125.2787504373</v>
      </c>
      <c r="D163" s="218" t="s">
        <v>494</v>
      </c>
      <c r="E163" s="70">
        <f>B170*A149</f>
        <v>16041689.733208138</v>
      </c>
      <c r="J163" s="168"/>
    </row>
    <row r="164" spans="1:10" ht="12.6">
      <c r="A164" s="222" t="s">
        <v>500</v>
      </c>
      <c r="B164" s="223">
        <f>B162+B163</f>
        <v>4101550.9334256281</v>
      </c>
      <c r="D164" s="218" t="s">
        <v>496</v>
      </c>
      <c r="E164" s="70">
        <f>(B171*A151)/2</f>
        <v>417982.83005702466</v>
      </c>
      <c r="J164" s="168"/>
    </row>
    <row r="165" spans="1:10" ht="12.95">
      <c r="A165" s="225" t="s">
        <v>501</v>
      </c>
      <c r="B165" s="226">
        <f>B164*11.5</f>
        <v>47167835.734394722</v>
      </c>
      <c r="J165" s="168"/>
    </row>
    <row r="166" spans="1:10" ht="12.6">
      <c r="A166" s="214"/>
      <c r="B166" s="75"/>
      <c r="D166" s="72" t="s">
        <v>502</v>
      </c>
      <c r="E166" s="78">
        <f>B165*0.95/44800</f>
        <v>1000.2108024034594</v>
      </c>
      <c r="J166" s="168"/>
    </row>
    <row r="167" spans="1:10" ht="12.6">
      <c r="A167" s="222" t="s">
        <v>503</v>
      </c>
      <c r="B167" s="75">
        <f>B165/B156</f>
        <v>33.268187420842288</v>
      </c>
      <c r="D167" s="72" t="s">
        <v>504</v>
      </c>
      <c r="E167" s="78">
        <f>E157/36655</f>
        <v>1222.4647100716131</v>
      </c>
      <c r="J167" s="168"/>
    </row>
    <row r="168" spans="1:10" ht="12.6">
      <c r="A168" s="222" t="s">
        <v>490</v>
      </c>
      <c r="B168" s="70">
        <f>B162*12</f>
        <v>27749107.856102288</v>
      </c>
      <c r="D168" s="72" t="s">
        <v>505</v>
      </c>
      <c r="E168" s="78">
        <f>E157-E166*36655</f>
        <v>8146716.9855761752</v>
      </c>
      <c r="J168" s="168"/>
    </row>
    <row r="169" spans="1:10" ht="12.6">
      <c r="A169" s="222" t="s">
        <v>498</v>
      </c>
      <c r="B169" s="70">
        <f>B165-B168</f>
        <v>19418727.878292434</v>
      </c>
      <c r="D169" s="227"/>
      <c r="J169" s="168"/>
    </row>
    <row r="170" spans="1:10" ht="12.6">
      <c r="A170" s="222" t="s">
        <v>506</v>
      </c>
      <c r="B170" s="70">
        <f>B169/A150</f>
        <v>361.2114560694277</v>
      </c>
      <c r="D170" s="227"/>
      <c r="J170" s="168"/>
    </row>
    <row r="171" spans="1:10" ht="12.6">
      <c r="A171" s="222" t="s">
        <v>507</v>
      </c>
      <c r="B171" s="70">
        <f>B165/A150</f>
        <v>877.37789684513996</v>
      </c>
      <c r="D171" s="227"/>
      <c r="J171" s="168"/>
    </row>
    <row r="172" spans="1:10" ht="12.6">
      <c r="A172" s="222" t="s">
        <v>496</v>
      </c>
      <c r="B172" s="70">
        <f>(B171*A151)/2</f>
        <v>417982.83005702466</v>
      </c>
      <c r="J172" s="168"/>
    </row>
    <row r="173" spans="1:10" ht="12.6">
      <c r="A173" s="228"/>
      <c r="B173" s="229"/>
      <c r="C173" s="229"/>
      <c r="D173" s="229"/>
      <c r="E173" s="229"/>
      <c r="F173" s="229"/>
      <c r="G173" s="229"/>
      <c r="H173" s="229"/>
      <c r="I173" s="229"/>
      <c r="J173" s="230"/>
    </row>
    <row r="176" spans="1:10" ht="12.6">
      <c r="A176" s="231" t="s">
        <v>508</v>
      </c>
      <c r="B176" s="207"/>
      <c r="C176" s="207"/>
      <c r="D176" s="232" t="s">
        <v>509</v>
      </c>
      <c r="E176" s="233">
        <f>44800*1.2</f>
        <v>53760</v>
      </c>
    </row>
    <row r="177" spans="1:5" ht="12.6">
      <c r="A177" s="234" t="s">
        <v>413</v>
      </c>
      <c r="B177" s="193"/>
      <c r="C177" s="235">
        <v>0.9</v>
      </c>
      <c r="D177" s="183" t="s">
        <v>510</v>
      </c>
      <c r="E177" s="236">
        <f>37009*1.2</f>
        <v>44410.799999999996</v>
      </c>
    </row>
    <row r="178" spans="1:5" ht="12.6">
      <c r="A178" s="501" t="s">
        <v>511</v>
      </c>
      <c r="B178" s="480"/>
      <c r="C178" s="235">
        <v>1</v>
      </c>
      <c r="D178" s="183" t="s">
        <v>512</v>
      </c>
      <c r="E178" s="236">
        <f>794*1.2</f>
        <v>952.8</v>
      </c>
    </row>
    <row r="179" spans="1:5" ht="12.6">
      <c r="A179" s="167"/>
      <c r="E179" s="168"/>
    </row>
    <row r="180" spans="1:5" ht="12.6">
      <c r="A180" s="237" t="s">
        <v>513</v>
      </c>
      <c r="B180" s="193"/>
      <c r="C180" s="193"/>
      <c r="E180" s="168"/>
    </row>
    <row r="181" spans="1:5" ht="12.6">
      <c r="A181" s="237"/>
      <c r="B181" s="193" t="s">
        <v>514</v>
      </c>
      <c r="C181" s="238">
        <f>'E-Inv AF y Am'!D59*C177</f>
        <v>196383908.70162344</v>
      </c>
      <c r="E181" s="168"/>
    </row>
    <row r="182" spans="1:5" ht="12.6">
      <c r="A182" s="237"/>
      <c r="B182" s="193" t="s">
        <v>515</v>
      </c>
      <c r="C182" s="238">
        <f>C181/E176</f>
        <v>3652.9744922176978</v>
      </c>
      <c r="E182" s="168"/>
    </row>
    <row r="183" spans="1:5" ht="12.6">
      <c r="A183" s="237"/>
      <c r="B183" s="193" t="s">
        <v>516</v>
      </c>
      <c r="C183" s="238">
        <f>C181/(E177+E178*0.5)</f>
        <v>4375.0536612135184</v>
      </c>
      <c r="E183" s="168"/>
    </row>
    <row r="184" spans="1:5" ht="12.6">
      <c r="A184" s="237" t="s">
        <v>517</v>
      </c>
      <c r="B184" s="193"/>
      <c r="C184" s="193"/>
      <c r="E184" s="168"/>
    </row>
    <row r="185" spans="1:5" ht="12.6">
      <c r="A185" s="237"/>
      <c r="B185" s="193" t="s">
        <v>514</v>
      </c>
      <c r="C185" s="238">
        <f>'E-Inv AF y Am'!E59*C177</f>
        <v>196383908.70162344</v>
      </c>
      <c r="E185" s="168"/>
    </row>
    <row r="186" spans="1:5" ht="12.6">
      <c r="A186" s="237"/>
      <c r="B186" s="193" t="s">
        <v>518</v>
      </c>
      <c r="C186" s="238">
        <f>C185/E176</f>
        <v>3652.9744922176978</v>
      </c>
      <c r="E186" s="168"/>
    </row>
    <row r="187" spans="1:5" ht="12.6">
      <c r="A187" s="167"/>
      <c r="E187" s="168"/>
    </row>
    <row r="188" spans="1:5" ht="12.6">
      <c r="A188" s="502" t="s">
        <v>519</v>
      </c>
      <c r="B188" s="492"/>
      <c r="E188" s="168"/>
    </row>
    <row r="189" spans="1:5" ht="12.6">
      <c r="A189" s="239" t="s">
        <v>55</v>
      </c>
      <c r="B189" s="240">
        <f>C183*0.5*E178</f>
        <v>2084275.5642021201</v>
      </c>
      <c r="E189" s="168"/>
    </row>
    <row r="190" spans="1:5" ht="12.6">
      <c r="A190" s="239" t="s">
        <v>520</v>
      </c>
      <c r="B190" s="240">
        <f>C182*0.5*E178</f>
        <v>1740277.0480925112</v>
      </c>
      <c r="E190" s="168"/>
    </row>
    <row r="191" spans="1:5" ht="12.6">
      <c r="A191" s="241" t="s">
        <v>521</v>
      </c>
      <c r="B191" s="242">
        <f>C186*0.5*E178</f>
        <v>1740277.0480925112</v>
      </c>
      <c r="C191" s="229"/>
      <c r="D191" s="229"/>
      <c r="E191" s="230"/>
    </row>
    <row r="194" spans="1:6" ht="12.6">
      <c r="A194" s="231" t="s">
        <v>522</v>
      </c>
      <c r="B194" s="207"/>
      <c r="C194" s="207"/>
      <c r="D194" s="207"/>
      <c r="E194" s="207"/>
      <c r="F194" s="208"/>
    </row>
    <row r="195" spans="1:6" ht="12.6">
      <c r="A195" s="501" t="s">
        <v>523</v>
      </c>
      <c r="B195" s="480"/>
      <c r="C195" s="480"/>
      <c r="D195" s="480"/>
      <c r="E195" s="480"/>
      <c r="F195" s="168"/>
    </row>
    <row r="196" spans="1:6" ht="12.95">
      <c r="A196" s="243" t="s">
        <v>524</v>
      </c>
      <c r="B196" s="244" t="s">
        <v>525</v>
      </c>
      <c r="C196" s="244" t="s">
        <v>526</v>
      </c>
      <c r="D196" s="244" t="s">
        <v>100</v>
      </c>
      <c r="E196" s="244" t="s">
        <v>527</v>
      </c>
      <c r="F196" s="245" t="s">
        <v>528</v>
      </c>
    </row>
    <row r="197" spans="1:6" ht="15" customHeight="1">
      <c r="A197" s="209" t="s">
        <v>381</v>
      </c>
      <c r="B197" s="246">
        <v>3120000</v>
      </c>
      <c r="C197" s="503">
        <f t="shared" ref="C197:C201" si="26">0.258*B197</f>
        <v>804960</v>
      </c>
      <c r="D197" s="247">
        <f t="shared" ref="D197:D201" si="27">B197+C197</f>
        <v>3924960</v>
      </c>
      <c r="E197" s="248">
        <f>D197*12/3</f>
        <v>15699840</v>
      </c>
      <c r="F197" s="249">
        <f t="shared" ref="F197:F201" si="28">B197/2</f>
        <v>1560000</v>
      </c>
    </row>
    <row r="198" spans="1:6" ht="15" customHeight="1">
      <c r="A198" s="504" t="s">
        <v>394</v>
      </c>
      <c r="B198" s="505">
        <v>2580000</v>
      </c>
      <c r="C198" s="505">
        <f t="shared" si="26"/>
        <v>665640</v>
      </c>
      <c r="D198" s="247">
        <f t="shared" si="27"/>
        <v>3245640</v>
      </c>
      <c r="E198" s="248">
        <f t="shared" ref="E198:E201" si="29">D198*12</f>
        <v>38947680</v>
      </c>
      <c r="F198" s="249">
        <f t="shared" si="28"/>
        <v>1290000</v>
      </c>
    </row>
    <row r="199" spans="1:6" ht="15" customHeight="1">
      <c r="A199" s="504" t="s">
        <v>396</v>
      </c>
      <c r="B199" s="505">
        <v>950000</v>
      </c>
      <c r="C199" s="505">
        <f t="shared" si="26"/>
        <v>245100</v>
      </c>
      <c r="D199" s="247">
        <f t="shared" si="27"/>
        <v>1195100</v>
      </c>
      <c r="E199" s="248">
        <f t="shared" si="29"/>
        <v>14341200</v>
      </c>
      <c r="F199" s="249">
        <f t="shared" si="28"/>
        <v>475000</v>
      </c>
    </row>
    <row r="200" spans="1:6" ht="15" customHeight="1">
      <c r="A200" s="504" t="s">
        <v>397</v>
      </c>
      <c r="B200" s="505">
        <v>1450000</v>
      </c>
      <c r="C200" s="505">
        <f t="shared" si="26"/>
        <v>374100</v>
      </c>
      <c r="D200" s="247">
        <f t="shared" si="27"/>
        <v>1824100</v>
      </c>
      <c r="E200" s="248">
        <f t="shared" si="29"/>
        <v>21889200</v>
      </c>
      <c r="F200" s="249">
        <f t="shared" si="28"/>
        <v>725000</v>
      </c>
    </row>
    <row r="201" spans="1:6" ht="15" customHeight="1">
      <c r="A201" s="504" t="s">
        <v>399</v>
      </c>
      <c r="B201" s="505">
        <v>1500000</v>
      </c>
      <c r="C201" s="505">
        <f t="shared" si="26"/>
        <v>387000</v>
      </c>
      <c r="D201" s="247">
        <f t="shared" si="27"/>
        <v>1887000</v>
      </c>
      <c r="E201" s="248">
        <f t="shared" si="29"/>
        <v>22644000</v>
      </c>
      <c r="F201" s="249">
        <f t="shared" si="28"/>
        <v>750000</v>
      </c>
    </row>
    <row r="202" spans="1:6" ht="12.6">
      <c r="A202" s="237"/>
      <c r="B202" s="250"/>
      <c r="C202" s="250"/>
      <c r="D202" s="250"/>
      <c r="E202" s="250"/>
      <c r="F202" s="251">
        <f>SUM(F196:F201)</f>
        <v>4800000</v>
      </c>
    </row>
    <row r="203" spans="1:6" ht="12.6">
      <c r="A203" s="167"/>
      <c r="F203" s="168"/>
    </row>
    <row r="204" spans="1:6" ht="12.6">
      <c r="A204" s="167"/>
      <c r="F204" s="168"/>
    </row>
    <row r="205" spans="1:6" ht="12.6">
      <c r="A205" s="167"/>
      <c r="B205" s="161" t="s">
        <v>485</v>
      </c>
      <c r="C205" s="161" t="s">
        <v>529</v>
      </c>
      <c r="F205" s="168"/>
    </row>
    <row r="206" spans="1:6" ht="12.6">
      <c r="A206" s="167" t="s">
        <v>418</v>
      </c>
      <c r="B206" s="78">
        <f>SUM(E197:E201)</f>
        <v>113521920</v>
      </c>
      <c r="C206" s="78">
        <f>B206</f>
        <v>113521920</v>
      </c>
      <c r="F206" s="168"/>
    </row>
    <row r="207" spans="1:6" ht="12.6">
      <c r="A207" s="167" t="s">
        <v>530</v>
      </c>
      <c r="B207" s="78">
        <f>B206/E176</f>
        <v>2111.6428571428573</v>
      </c>
      <c r="C207" s="78">
        <f>C206/((E178*0.5)+E176)</f>
        <v>2093.0946744252938</v>
      </c>
      <c r="F207" s="168"/>
    </row>
    <row r="208" spans="1:6" ht="12.6">
      <c r="A208" s="228" t="s">
        <v>496</v>
      </c>
      <c r="B208" s="252">
        <f>B207*0.5*E178</f>
        <v>1005986.6571428572</v>
      </c>
      <c r="C208" s="252">
        <f>C207*0.5*E178</f>
        <v>997150.30289620988</v>
      </c>
      <c r="D208" s="229"/>
      <c r="E208" s="229"/>
      <c r="F208" s="230"/>
    </row>
    <row r="213" spans="1:5" ht="12.6">
      <c r="A213" s="72" t="s">
        <v>531</v>
      </c>
    </row>
    <row r="214" spans="1:5" ht="12.6">
      <c r="A214" s="72" t="s">
        <v>532</v>
      </c>
      <c r="C214" s="72" t="s">
        <v>533</v>
      </c>
    </row>
    <row r="215" spans="1:5" ht="12.95">
      <c r="A215" s="72">
        <v>794</v>
      </c>
      <c r="B215" s="72" t="s">
        <v>534</v>
      </c>
      <c r="C215" s="181">
        <f>A215*'CÁLCULOS MP'!E87*InfoInicial!B31</f>
        <v>25600511.366372682</v>
      </c>
    </row>
    <row r="217" spans="1:5" ht="12.95">
      <c r="A217" s="72" t="s">
        <v>535</v>
      </c>
      <c r="C217" s="181">
        <f>'AUX - COSTO DE PRODUC'!B21</f>
        <v>2542195.4549999996</v>
      </c>
    </row>
    <row r="219" spans="1:5" ht="12.6">
      <c r="A219" s="72" t="s">
        <v>536</v>
      </c>
    </row>
    <row r="224" spans="1:5" ht="12.95">
      <c r="A224" s="506" t="s">
        <v>537</v>
      </c>
      <c r="B224" s="507"/>
      <c r="C224" s="253"/>
      <c r="D224" s="253"/>
      <c r="E224" s="254"/>
    </row>
    <row r="225" spans="1:5" ht="12.6">
      <c r="A225" s="237"/>
      <c r="B225" s="193"/>
      <c r="C225" s="193"/>
      <c r="D225" s="193"/>
      <c r="E225" s="255"/>
    </row>
    <row r="226" spans="1:5" ht="12.6">
      <c r="A226" s="237" t="s">
        <v>415</v>
      </c>
      <c r="B226" s="192">
        <v>1.4999999999999999E-2</v>
      </c>
      <c r="C226" s="499" t="s">
        <v>538</v>
      </c>
      <c r="D226" s="480"/>
      <c r="E226" s="508"/>
    </row>
    <row r="227" spans="1:5" ht="12.6">
      <c r="A227" s="237" t="s">
        <v>417</v>
      </c>
      <c r="B227" s="192">
        <v>0.01</v>
      </c>
      <c r="C227" s="499" t="s">
        <v>538</v>
      </c>
      <c r="D227" s="480"/>
      <c r="E227" s="508"/>
    </row>
    <row r="228" spans="1:5" ht="12.6">
      <c r="A228" s="237"/>
      <c r="B228" s="193"/>
      <c r="C228" s="193"/>
      <c r="D228" s="193"/>
      <c r="E228" s="255"/>
    </row>
    <row r="229" spans="1:5" ht="12.6">
      <c r="A229" s="237"/>
      <c r="B229" s="218" t="s">
        <v>539</v>
      </c>
      <c r="C229" s="218"/>
      <c r="D229" s="218"/>
      <c r="E229" s="255"/>
    </row>
    <row r="230" spans="1:5" ht="12.6">
      <c r="A230" s="237"/>
      <c r="B230" s="218" t="s">
        <v>418</v>
      </c>
      <c r="C230" s="218"/>
      <c r="D230" s="223">
        <f>'E-Inv AF y Am'!B48*0.9*(B226+B227)</f>
        <v>21937500</v>
      </c>
      <c r="E230" s="255"/>
    </row>
    <row r="231" spans="1:5" ht="12.6">
      <c r="A231" s="237"/>
      <c r="B231" s="218" t="s">
        <v>530</v>
      </c>
      <c r="C231" s="218"/>
      <c r="D231" s="223">
        <f>D230/E176</f>
        <v>408.06361607142856</v>
      </c>
      <c r="E231" s="255"/>
    </row>
    <row r="232" spans="1:5" ht="12.6">
      <c r="A232" s="237"/>
      <c r="B232" s="218" t="s">
        <v>496</v>
      </c>
      <c r="C232" s="218"/>
      <c r="D232" s="223">
        <f>D231*0.5*E178</f>
        <v>194401.50669642855</v>
      </c>
      <c r="E232" s="255"/>
    </row>
    <row r="233" spans="1:5" ht="12.6">
      <c r="A233" s="237"/>
      <c r="B233" s="193"/>
      <c r="C233" s="193"/>
      <c r="D233" s="193"/>
      <c r="E233" s="255"/>
    </row>
    <row r="234" spans="1:5" ht="12.6">
      <c r="A234" s="237" t="s">
        <v>55</v>
      </c>
      <c r="B234" s="218" t="s">
        <v>55</v>
      </c>
      <c r="C234" s="218"/>
      <c r="D234" s="218"/>
      <c r="E234" s="255"/>
    </row>
    <row r="235" spans="1:5" ht="12.6">
      <c r="A235" s="237"/>
      <c r="B235" s="218" t="s">
        <v>418</v>
      </c>
      <c r="C235" s="218"/>
      <c r="D235" s="223">
        <f>D230</f>
        <v>21937500</v>
      </c>
      <c r="E235" s="255"/>
    </row>
    <row r="236" spans="1:5" ht="12.6">
      <c r="A236" s="237"/>
      <c r="B236" s="218" t="s">
        <v>530</v>
      </c>
      <c r="C236" s="218"/>
      <c r="D236" s="223">
        <f>D235/(E178*0.5+E176)</f>
        <v>404.47927959820339</v>
      </c>
      <c r="E236" s="255"/>
    </row>
    <row r="237" spans="1:5" ht="12.6">
      <c r="A237" s="256"/>
      <c r="B237" s="257" t="s">
        <v>496</v>
      </c>
      <c r="C237" s="257"/>
      <c r="D237" s="258">
        <f>D236*0.5*E178</f>
        <v>192693.92880058408</v>
      </c>
      <c r="E237" s="259"/>
    </row>
    <row r="240" spans="1:5" ht="12.95">
      <c r="A240" s="71" t="s">
        <v>540</v>
      </c>
    </row>
    <row r="241" spans="1:6" ht="12.95">
      <c r="E241" s="77" t="s">
        <v>249</v>
      </c>
    </row>
    <row r="242" spans="1:6" ht="12.6">
      <c r="A242" s="237" t="s">
        <v>415</v>
      </c>
      <c r="B242" s="192">
        <v>1.4999999999999999E-2</v>
      </c>
      <c r="C242" s="193" t="s">
        <v>541</v>
      </c>
      <c r="D242" s="193"/>
      <c r="E242" s="260">
        <f>B242*'E-Inv AF y Am'!$B$48*0.05</f>
        <v>731250</v>
      </c>
    </row>
    <row r="243" spans="1:6" ht="12.6">
      <c r="A243" s="237" t="s">
        <v>417</v>
      </c>
      <c r="B243" s="192">
        <v>0.01</v>
      </c>
      <c r="C243" s="193" t="s">
        <v>541</v>
      </c>
      <c r="D243" s="193"/>
      <c r="E243" s="199">
        <f>B243*'E-Inv AF y Am'!$B$48*0.05</f>
        <v>487500</v>
      </c>
    </row>
    <row r="244" spans="1:6" ht="12.6">
      <c r="E244" s="260">
        <f>E242+E243</f>
        <v>1218750</v>
      </c>
    </row>
    <row r="245" spans="1:6" ht="12.95">
      <c r="A245" s="71" t="s">
        <v>542</v>
      </c>
    </row>
    <row r="246" spans="1:6" ht="12.95">
      <c r="E246" s="77" t="s">
        <v>543</v>
      </c>
      <c r="F246" s="77" t="s">
        <v>544</v>
      </c>
    </row>
    <row r="247" spans="1:6" ht="12.6">
      <c r="A247" s="237" t="s">
        <v>415</v>
      </c>
      <c r="B247" s="192">
        <v>1.4999999999999999E-2</v>
      </c>
      <c r="C247" s="193" t="s">
        <v>541</v>
      </c>
      <c r="D247" s="193"/>
      <c r="E247" s="260">
        <f>B247*'E-Inv AF y Am'!$B$48*0.05</f>
        <v>731250</v>
      </c>
      <c r="F247" s="260">
        <f t="shared" ref="F247:F248" si="30">E247</f>
        <v>731250</v>
      </c>
    </row>
    <row r="248" spans="1:6" ht="12.6">
      <c r="A248" s="237" t="s">
        <v>417</v>
      </c>
      <c r="B248" s="192">
        <v>0.01</v>
      </c>
      <c r="C248" s="193" t="s">
        <v>541</v>
      </c>
      <c r="D248" s="193"/>
      <c r="E248" s="260">
        <f>B248*'E-Inv AF y Am'!$B$48*0.05</f>
        <v>487500</v>
      </c>
      <c r="F248" s="260">
        <f t="shared" si="30"/>
        <v>487500</v>
      </c>
    </row>
    <row r="249" spans="1:6" ht="12.6">
      <c r="A249" s="72" t="s">
        <v>545</v>
      </c>
      <c r="B249" s="261">
        <v>0.04</v>
      </c>
      <c r="E249" s="199">
        <f>B249*O5</f>
        <v>160740800</v>
      </c>
      <c r="F249" s="199">
        <f>B249*P5</f>
        <v>197120000</v>
      </c>
    </row>
    <row r="250" spans="1:6" ht="12.6">
      <c r="E250" s="260">
        <f>E247+E248+E249</f>
        <v>161959550</v>
      </c>
      <c r="F250" s="260">
        <f>F249+F248+F247</f>
        <v>198338750</v>
      </c>
    </row>
    <row r="251" spans="1:6" ht="12.95">
      <c r="A251" s="71" t="s">
        <v>546</v>
      </c>
    </row>
    <row r="253" spans="1:6" ht="12.6">
      <c r="A253" s="72" t="s">
        <v>547</v>
      </c>
      <c r="B253" s="262">
        <v>0.9</v>
      </c>
    </row>
    <row r="254" spans="1:6" ht="12.6">
      <c r="A254" s="72" t="s">
        <v>548</v>
      </c>
      <c r="B254" s="262">
        <v>0.05</v>
      </c>
    </row>
    <row r="255" spans="1:6" ht="12.6">
      <c r="A255" s="72" t="s">
        <v>549</v>
      </c>
      <c r="B255" s="262">
        <v>0.05</v>
      </c>
    </row>
    <row r="257" spans="1:7" ht="12.95">
      <c r="A257" s="183" t="s">
        <v>550</v>
      </c>
      <c r="C257" s="74" t="s">
        <v>551</v>
      </c>
      <c r="D257" s="74" t="s">
        <v>85</v>
      </c>
      <c r="E257" s="74" t="s">
        <v>552</v>
      </c>
    </row>
    <row r="258" spans="1:7" ht="12.6">
      <c r="B258" s="75" t="s">
        <v>553</v>
      </c>
      <c r="C258" s="263">
        <f>'E-Inv AF y Am'!B48</f>
        <v>975000000</v>
      </c>
      <c r="D258" s="203">
        <v>0.01</v>
      </c>
      <c r="E258" s="264">
        <f t="shared" ref="E258:E262" si="31">C258*D258</f>
        <v>9750000</v>
      </c>
    </row>
    <row r="259" spans="1:7" ht="12.6">
      <c r="B259" s="75" t="s">
        <v>554</v>
      </c>
      <c r="C259" s="263">
        <f>'E-Inv AF y Am'!B18+'E-Inv AF y Am'!B17</f>
        <v>17215500</v>
      </c>
      <c r="D259" s="221">
        <v>1.4999999999999999E-2</v>
      </c>
      <c r="E259" s="264">
        <f t="shared" si="31"/>
        <v>258232.5</v>
      </c>
    </row>
    <row r="260" spans="1:7" ht="12.6">
      <c r="B260" s="75" t="s">
        <v>555</v>
      </c>
      <c r="C260" s="263">
        <f>'E-Inv AF y Am'!D11+'E-Inv AF y Am'!D13+'E-Inv AF y Am'!B14</f>
        <v>799640500</v>
      </c>
      <c r="D260" s="221">
        <v>1.4999999999999999E-2</v>
      </c>
      <c r="E260" s="264">
        <f t="shared" si="31"/>
        <v>11994607.5</v>
      </c>
    </row>
    <row r="261" spans="1:7" ht="12.6">
      <c r="B261" s="75" t="s">
        <v>556</v>
      </c>
      <c r="C261" s="263">
        <f>'E-Inv AF y Am'!B15</f>
        <v>17123903</v>
      </c>
      <c r="D261" s="203">
        <v>0.11</v>
      </c>
      <c r="E261" s="264">
        <f t="shared" si="31"/>
        <v>1883629.33</v>
      </c>
    </row>
    <row r="262" spans="1:7" ht="12.6">
      <c r="B262" s="75" t="s">
        <v>557</v>
      </c>
      <c r="C262" s="263">
        <f>'E-Inv AF y Am'!B16</f>
        <v>8033066</v>
      </c>
      <c r="D262" s="221">
        <v>1.4999999999999999E-2</v>
      </c>
      <c r="E262" s="264">
        <f t="shared" si="31"/>
        <v>120495.98999999999</v>
      </c>
    </row>
    <row r="263" spans="1:7" ht="12.95">
      <c r="D263" s="74" t="s">
        <v>249</v>
      </c>
      <c r="E263" s="265">
        <f>SUM(E258:E262)</f>
        <v>24006965.319999997</v>
      </c>
    </row>
    <row r="265" spans="1:7" ht="12.95">
      <c r="A265" s="183" t="s">
        <v>558</v>
      </c>
      <c r="C265" s="74" t="s">
        <v>559</v>
      </c>
      <c r="D265" s="74" t="s">
        <v>560</v>
      </c>
      <c r="E265" s="74" t="s">
        <v>85</v>
      </c>
      <c r="F265" s="74" t="s">
        <v>561</v>
      </c>
      <c r="G265" s="74" t="s">
        <v>562</v>
      </c>
    </row>
    <row r="266" spans="1:7" ht="12.6">
      <c r="A266" s="183" t="s">
        <v>563</v>
      </c>
      <c r="B266" s="75" t="s">
        <v>564</v>
      </c>
      <c r="C266" s="70">
        <f>4434*'CÁLCULOS MP'!E87*InfoInicial!B31</f>
        <v>142963057.17694768</v>
      </c>
      <c r="D266" s="70">
        <f>4434*'CÁLCULOS MP'!E87*InfoInicial!B31</f>
        <v>142963057.17694768</v>
      </c>
      <c r="E266" s="203">
        <v>0.02</v>
      </c>
      <c r="F266" s="264">
        <f t="shared" ref="F266:F268" si="32">C266*E266</f>
        <v>2859261.1435389537</v>
      </c>
      <c r="G266" s="264">
        <f t="shared" ref="G266:G268" si="33">D266*E266</f>
        <v>2859261.1435389537</v>
      </c>
    </row>
    <row r="267" spans="1:7" ht="12.6">
      <c r="B267" s="75" t="s">
        <v>565</v>
      </c>
      <c r="C267" s="70">
        <f>'E-Costos'!B36</f>
        <v>1254338.5953812706</v>
      </c>
      <c r="D267" s="70">
        <f>C267</f>
        <v>1254338.5953812706</v>
      </c>
      <c r="E267" s="203">
        <v>0.01</v>
      </c>
      <c r="F267" s="264">
        <f t="shared" si="32"/>
        <v>12543.385953812707</v>
      </c>
      <c r="G267" s="264">
        <f t="shared" si="33"/>
        <v>12543.385953812707</v>
      </c>
    </row>
    <row r="268" spans="1:7" ht="12.6">
      <c r="B268" s="75" t="s">
        <v>566</v>
      </c>
      <c r="C268" s="70">
        <f>794*'CÁLCULOS MP'!E87*InfoInicial!B31</f>
        <v>25600511.366372682</v>
      </c>
      <c r="D268" s="70">
        <f>794*'CÁLCULOS MP'!E87*InfoInicial!B31</f>
        <v>25600511.366372682</v>
      </c>
      <c r="E268" s="203">
        <v>0.02</v>
      </c>
      <c r="F268" s="264">
        <f t="shared" si="32"/>
        <v>512010.22732745367</v>
      </c>
      <c r="G268" s="264">
        <f t="shared" si="33"/>
        <v>512010.22732745367</v>
      </c>
    </row>
    <row r="269" spans="1:7" ht="12.95">
      <c r="E269" s="74" t="s">
        <v>249</v>
      </c>
      <c r="F269" s="265">
        <f t="shared" ref="F269:G269" si="34">SUM(F266:F268)</f>
        <v>3383814.7568202205</v>
      </c>
      <c r="G269" s="265">
        <f t="shared" si="34"/>
        <v>3383814.7568202205</v>
      </c>
    </row>
  </sheetData>
  <mergeCells count="15">
    <mergeCell ref="A224:B224"/>
    <mergeCell ref="C226:E226"/>
    <mergeCell ref="C227:E227"/>
    <mergeCell ref="A10:B10"/>
    <mergeCell ref="C57:E57"/>
    <mergeCell ref="C58:E58"/>
    <mergeCell ref="B66:C66"/>
    <mergeCell ref="D66:E66"/>
    <mergeCell ref="B112:C112"/>
    <mergeCell ref="D154:G154"/>
    <mergeCell ref="A155:B155"/>
    <mergeCell ref="D155:E155"/>
    <mergeCell ref="A178:B178"/>
    <mergeCell ref="A188:B188"/>
    <mergeCell ref="A195:E195"/>
  </mergeCells>
  <hyperlinks>
    <hyperlink ref="D7" r:id="rId1" xr:uid="{00000000-0004-0000-0400-000000000000}"/>
    <hyperlink ref="D9" r:id="rId2" xr:uid="{00000000-0004-0000-0400-000001000000}"/>
    <hyperlink ref="C45" r:id="rId3" xr:uid="{00000000-0004-0000-0400-000002000000}"/>
    <hyperlink ref="C46" r:id="rId4" xr:uid="{00000000-0004-0000-0400-000003000000}"/>
    <hyperlink ref="E89" r:id="rId5" xr:uid="{00000000-0004-0000-0400-000004000000}"/>
    <hyperlink ref="E90" r:id="rId6" xr:uid="{00000000-0004-0000-0400-000005000000}"/>
    <hyperlink ref="F106" r:id="rId7" xr:uid="{00000000-0004-0000-0400-000006000000}"/>
  </hyperlinks>
  <pageMargins left="0.7" right="0.7" top="0.75" bottom="0.75" header="0.3" footer="0.3"/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Z999"/>
  <sheetViews>
    <sheetView workbookViewId="0"/>
  </sheetViews>
  <sheetFormatPr defaultColWidth="12.5703125" defaultRowHeight="15" customHeight="1"/>
  <cols>
    <col min="1" max="1" width="40.85546875" customWidth="1"/>
    <col min="2" max="2" width="40.140625" customWidth="1"/>
    <col min="3" max="3" width="42" customWidth="1"/>
    <col min="4" max="4" width="18.7109375" customWidth="1"/>
    <col min="5" max="5" width="20.42578125" customWidth="1"/>
    <col min="6" max="6" width="20.5703125" customWidth="1"/>
    <col min="7" max="7" width="17.28515625" customWidth="1"/>
    <col min="8" max="26" width="11.28515625" customWidth="1"/>
  </cols>
  <sheetData>
    <row r="1" spans="1:26" ht="12.75" customHeight="1">
      <c r="A1" s="149" t="s">
        <v>567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>
      <c r="A2" s="6" t="s">
        <v>568</v>
      </c>
      <c r="B2" s="6">
        <v>12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>
      <c r="A3" s="1" t="s">
        <v>569</v>
      </c>
      <c r="B3" s="266">
        <f>'C. Aux. Costos'!B27/8/30</f>
        <v>3616.6666666666665</v>
      </c>
      <c r="C3" s="6" t="s">
        <v>570</v>
      </c>
      <c r="D3" s="6"/>
      <c r="E3" s="267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>
      <c r="A4" s="268" t="s">
        <v>526</v>
      </c>
      <c r="B4" s="268" t="s">
        <v>571</v>
      </c>
      <c r="D4" s="268"/>
      <c r="E4" s="268"/>
      <c r="F4" s="268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>
      <c r="A5" s="269" t="s">
        <v>572</v>
      </c>
      <c r="B5" s="269" t="s">
        <v>573</v>
      </c>
      <c r="D5" s="269"/>
      <c r="E5" s="269"/>
      <c r="F5" s="269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269"/>
      <c r="B6" s="269"/>
      <c r="C6" s="269"/>
      <c r="D6" s="269"/>
      <c r="E6" s="269"/>
      <c r="F6" s="269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>
      <c r="A7" s="6" t="s">
        <v>574</v>
      </c>
      <c r="B7" s="270">
        <v>1880</v>
      </c>
      <c r="C7" s="271" t="s">
        <v>575</v>
      </c>
      <c r="D7" s="271"/>
      <c r="E7" s="271"/>
      <c r="F7" s="271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>
      <c r="A8" s="6"/>
      <c r="B8" s="271"/>
      <c r="C8" s="271"/>
      <c r="D8" s="271"/>
      <c r="E8" s="271"/>
      <c r="F8" s="271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>
      <c r="A9" s="6" t="s">
        <v>576</v>
      </c>
      <c r="B9" s="271">
        <f>B3+B3*0.258+B3*0.5</f>
        <v>6358.0999999999995</v>
      </c>
      <c r="C9" s="271" t="s">
        <v>570</v>
      </c>
      <c r="D9" s="271"/>
      <c r="E9" s="271"/>
      <c r="F9" s="272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>
      <c r="A10" s="7"/>
      <c r="B10" s="271"/>
      <c r="C10" s="271"/>
      <c r="D10" s="271"/>
      <c r="E10" s="271"/>
      <c r="F10" s="271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>
      <c r="A11" s="7" t="s">
        <v>577</v>
      </c>
      <c r="B11" s="271"/>
      <c r="C11" s="271"/>
      <c r="D11" s="271"/>
      <c r="E11" s="271"/>
      <c r="F11" s="271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>
      <c r="A12" s="271" t="s">
        <v>578</v>
      </c>
      <c r="B12" s="273">
        <f>B7*B9*B2</f>
        <v>143438735.99999997</v>
      </c>
      <c r="D12" s="271"/>
      <c r="E12" s="271"/>
      <c r="F12" s="271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>
      <c r="A13" s="271" t="s">
        <v>579</v>
      </c>
      <c r="B13" s="273">
        <f>B12/44800</f>
        <v>3201.7574999999993</v>
      </c>
      <c r="D13" s="271"/>
      <c r="E13" s="271"/>
      <c r="F13" s="271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>
      <c r="A14" s="7"/>
      <c r="B14" s="271"/>
      <c r="C14" s="271"/>
      <c r="D14" s="271"/>
      <c r="E14" s="271"/>
      <c r="F14" s="271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>
      <c r="A15" s="7" t="s">
        <v>356</v>
      </c>
      <c r="B15" s="271" t="s">
        <v>580</v>
      </c>
      <c r="C15" s="274">
        <v>36532</v>
      </c>
      <c r="D15" s="271"/>
      <c r="E15" s="271"/>
      <c r="F15" s="271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>
      <c r="D16" s="271"/>
      <c r="E16" s="271"/>
      <c r="F16" s="271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>
      <c r="A17" s="72" t="s">
        <v>581</v>
      </c>
      <c r="B17" s="78">
        <f>B12*0.9</f>
        <v>129094862.39999998</v>
      </c>
      <c r="D17" s="271"/>
      <c r="E17" s="271"/>
      <c r="F17" s="271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>
      <c r="E18" s="271"/>
      <c r="F18" s="271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>
      <c r="A19" s="7" t="s">
        <v>582</v>
      </c>
      <c r="B19" s="271">
        <f>C15*B13</f>
        <v>116966604.98999998</v>
      </c>
      <c r="C19" s="271"/>
      <c r="D19" s="271"/>
      <c r="E19" s="271"/>
      <c r="F19" s="271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>
      <c r="A20" s="7" t="s">
        <v>583</v>
      </c>
      <c r="B20" s="270">
        <v>794</v>
      </c>
      <c r="C20" s="271" t="s">
        <v>584</v>
      </c>
      <c r="D20" s="271"/>
      <c r="E20" s="271"/>
      <c r="F20" s="271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>
      <c r="A21" s="7" t="s">
        <v>585</v>
      </c>
      <c r="B21" s="78">
        <f>B13*B20</f>
        <v>2542195.4549999996</v>
      </c>
      <c r="D21" s="271"/>
      <c r="E21" s="271"/>
      <c r="F21" s="271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>
      <c r="A22" s="275"/>
      <c r="B22" s="271"/>
      <c r="C22" s="271"/>
      <c r="D22" s="276"/>
      <c r="E22" s="276"/>
      <c r="F22" s="27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>
      <c r="A23" s="275"/>
      <c r="B23" s="271"/>
      <c r="C23" s="271"/>
      <c r="D23" s="276"/>
      <c r="E23" s="276"/>
      <c r="F23" s="27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>
      <c r="A24" s="72" t="s">
        <v>586</v>
      </c>
      <c r="B24" s="277">
        <f>B19+B21</f>
        <v>119508800.44499998</v>
      </c>
      <c r="C24" s="271"/>
      <c r="D24" s="278"/>
      <c r="E24" s="278"/>
      <c r="F24" s="55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>
      <c r="A25" s="6" t="s">
        <v>587</v>
      </c>
      <c r="B25" s="279">
        <f>B17-B19</f>
        <v>12128257.409999996</v>
      </c>
      <c r="C25" s="278"/>
      <c r="D25" s="278"/>
      <c r="E25" s="278"/>
      <c r="F25" s="55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>
      <c r="A26" s="11"/>
      <c r="B26" s="278"/>
      <c r="C26" s="278"/>
      <c r="D26" s="278"/>
      <c r="E26" s="278"/>
      <c r="F26" s="55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>
      <c r="A27" s="11"/>
      <c r="B27" s="271"/>
      <c r="C27" s="271"/>
      <c r="D27" s="271"/>
      <c r="E27" s="271"/>
      <c r="F27" s="271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>
      <c r="A28" s="149" t="s">
        <v>588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>
      <c r="A29" s="11" t="s">
        <v>589</v>
      </c>
      <c r="B29" s="269"/>
      <c r="C29" s="269"/>
      <c r="D29" s="269"/>
      <c r="E29" s="269"/>
      <c r="F29" s="269"/>
      <c r="G29" s="269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>
      <c r="A30" s="269" t="s">
        <v>60</v>
      </c>
      <c r="B30" s="280">
        <v>1</v>
      </c>
      <c r="C30" s="269"/>
      <c r="D30" s="269"/>
      <c r="E30" s="269"/>
      <c r="F30" s="269"/>
      <c r="G30" s="269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>
      <c r="A31" s="269" t="s">
        <v>590</v>
      </c>
      <c r="B31" s="281">
        <v>0</v>
      </c>
      <c r="C31" s="274"/>
      <c r="D31" s="274"/>
      <c r="E31" s="274"/>
      <c r="F31" s="274"/>
      <c r="G31" s="274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>
      <c r="A32" s="6" t="s">
        <v>96</v>
      </c>
      <c r="B32" s="281">
        <v>0.15</v>
      </c>
      <c r="C32" s="271"/>
      <c r="D32" s="271"/>
      <c r="E32" s="271"/>
      <c r="F32" s="271"/>
      <c r="G32" s="271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>
      <c r="A33" s="6" t="s">
        <v>591</v>
      </c>
      <c r="B33" s="281">
        <v>0</v>
      </c>
      <c r="C33" s="271"/>
      <c r="D33" s="271"/>
      <c r="E33" s="271"/>
      <c r="F33" s="271"/>
      <c r="G33" s="271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>
      <c r="A34" s="6" t="s">
        <v>592</v>
      </c>
      <c r="B34" s="139">
        <f>'E-Inv AF y Am'!C33/'E-Inv AF y Am'!B56</f>
        <v>0.84646897694793521</v>
      </c>
      <c r="C34" s="272"/>
      <c r="D34" s="272"/>
      <c r="E34" s="272"/>
      <c r="F34" s="272"/>
      <c r="G34" s="272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>
      <c r="A35" s="7"/>
      <c r="B35" s="271"/>
      <c r="C35" s="271"/>
      <c r="D35" s="271"/>
      <c r="E35" s="271"/>
      <c r="F35" s="271"/>
      <c r="G35" s="271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>
      <c r="A36" s="7" t="s">
        <v>593</v>
      </c>
      <c r="B36" s="271"/>
      <c r="C36" s="271"/>
      <c r="D36" s="271"/>
      <c r="E36" s="271"/>
      <c r="F36" s="271"/>
      <c r="G36" s="271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>
      <c r="A37" s="7" t="s">
        <v>594</v>
      </c>
      <c r="B37" s="271">
        <f>'E-Inv AF y Am'!E50+$B$32*'E-Inv AF y Am'!E52+$B$34*'E-Inv AF y Am'!E56</f>
        <v>149298049.30648282</v>
      </c>
      <c r="C37" s="271"/>
      <c r="D37" s="271"/>
      <c r="E37" s="271"/>
      <c r="F37" s="271"/>
      <c r="G37" s="271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>
      <c r="A38" s="7"/>
      <c r="B38" s="271"/>
      <c r="C38" s="271"/>
      <c r="D38" s="271"/>
      <c r="E38" s="271"/>
      <c r="F38" s="271"/>
      <c r="G38" s="271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>
      <c r="A39" s="7" t="s">
        <v>595</v>
      </c>
      <c r="B39" s="271"/>
      <c r="C39" s="271"/>
      <c r="D39" s="271"/>
      <c r="E39" s="271"/>
      <c r="F39" s="271"/>
      <c r="G39" s="271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>
      <c r="A40" s="7" t="s">
        <v>594</v>
      </c>
      <c r="B40" s="271">
        <f>'E-Inv AF y Am'!D50+$B$32*'E-Inv AF y Am'!D52+$B$34*'E-Inv AF y Am'!D56</f>
        <v>149298049.30648282</v>
      </c>
      <c r="C40" s="271"/>
      <c r="D40" s="271"/>
      <c r="E40" s="271"/>
      <c r="F40" s="271"/>
      <c r="G40" s="271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>
      <c r="A41" s="7"/>
      <c r="B41" s="271"/>
      <c r="C41" s="271"/>
      <c r="D41" s="271"/>
      <c r="E41" s="271"/>
      <c r="F41" s="271"/>
      <c r="G41" s="271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>
      <c r="A42" s="3" t="s">
        <v>596</v>
      </c>
      <c r="B42" s="271" t="s">
        <v>597</v>
      </c>
      <c r="C42" s="271" t="s">
        <v>598</v>
      </c>
      <c r="D42" s="271" t="s">
        <v>599</v>
      </c>
      <c r="E42" s="271"/>
      <c r="F42" s="271"/>
      <c r="G42" s="271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>
      <c r="A43" s="6" t="s">
        <v>600</v>
      </c>
      <c r="B43" s="271">
        <f>'C. Aux. Costos'!E14</f>
        <v>4049760</v>
      </c>
      <c r="C43" s="276">
        <f>1/3</f>
        <v>0.33333333333333331</v>
      </c>
      <c r="D43" s="271">
        <f t="shared" ref="D43:D49" si="0">C43*B43*12</f>
        <v>16199040</v>
      </c>
      <c r="E43" s="271"/>
      <c r="F43" s="272"/>
      <c r="G43" s="271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>
      <c r="A44" s="11" t="s">
        <v>601</v>
      </c>
      <c r="B44" s="271">
        <f>'C. Aux. Costos'!E26</f>
        <v>3245640</v>
      </c>
      <c r="C44" s="276">
        <v>1</v>
      </c>
      <c r="D44" s="271">
        <f t="shared" si="0"/>
        <v>38947680</v>
      </c>
      <c r="E44" s="271"/>
      <c r="F44" s="271"/>
      <c r="G44" s="271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>
      <c r="A45" s="11" t="s">
        <v>602</v>
      </c>
      <c r="B45" s="279">
        <f>'C. Aux. Costos'!E28</f>
        <v>1195100</v>
      </c>
      <c r="C45" s="276">
        <v>1</v>
      </c>
      <c r="D45" s="271">
        <f t="shared" si="0"/>
        <v>14341200</v>
      </c>
      <c r="E45" s="116"/>
      <c r="F45" s="116"/>
      <c r="G45" s="11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>
      <c r="A46" s="11" t="s">
        <v>603</v>
      </c>
      <c r="B46" s="282">
        <f>'C. Aux. Costos'!E29</f>
        <v>1824100</v>
      </c>
      <c r="C46" s="283">
        <v>1</v>
      </c>
      <c r="D46" s="271">
        <f t="shared" si="0"/>
        <v>21889200</v>
      </c>
      <c r="E46" s="284"/>
      <c r="F46" s="284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>
      <c r="A47" s="11" t="s">
        <v>604</v>
      </c>
      <c r="B47" s="279">
        <f>'C. Aux. Costos'!E30</f>
        <v>1887000</v>
      </c>
      <c r="C47" s="276">
        <v>1</v>
      </c>
      <c r="D47" s="271">
        <f t="shared" si="0"/>
        <v>22644000</v>
      </c>
      <c r="E47" s="274"/>
      <c r="F47" s="269"/>
      <c r="G47" s="11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>
      <c r="A48" s="6" t="s">
        <v>605</v>
      </c>
      <c r="B48" s="271">
        <f>'C. Aux. Costos'!E15*'C. Aux. Costos'!D15</f>
        <v>2536128</v>
      </c>
      <c r="C48" s="276">
        <f t="shared" ref="C48:C49" si="1">1/3</f>
        <v>0.33333333333333331</v>
      </c>
      <c r="D48" s="271">
        <f t="shared" si="0"/>
        <v>10144512</v>
      </c>
      <c r="E48" s="271"/>
      <c r="F48" s="272"/>
      <c r="G48" s="11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>
      <c r="A49" s="6" t="s">
        <v>606</v>
      </c>
      <c r="B49" s="271">
        <f>'C. Aux. Costos'!E16*'C. Aux. Costos'!D16</f>
        <v>2962590</v>
      </c>
      <c r="C49" s="276">
        <f t="shared" si="1"/>
        <v>0.33333333333333331</v>
      </c>
      <c r="D49" s="271">
        <f t="shared" si="0"/>
        <v>11850360</v>
      </c>
      <c r="E49" s="271"/>
      <c r="F49" s="272"/>
      <c r="G49" s="11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>
      <c r="A50" s="6"/>
      <c r="B50" s="271"/>
      <c r="C50" s="271"/>
      <c r="D50" s="271"/>
      <c r="E50" s="271"/>
      <c r="F50" s="271"/>
      <c r="G50" s="11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>
      <c r="A51" s="11"/>
      <c r="B51" s="271"/>
      <c r="C51" s="271" t="s">
        <v>100</v>
      </c>
      <c r="D51" s="271">
        <f>SUM(D43:D49)</f>
        <v>136015992</v>
      </c>
      <c r="E51" s="271"/>
      <c r="F51" s="271"/>
      <c r="G51" s="11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>
      <c r="A52" s="11"/>
      <c r="B52" s="271"/>
      <c r="C52" s="271"/>
      <c r="D52" s="271"/>
      <c r="E52" s="271"/>
      <c r="F52" s="271"/>
      <c r="G52" s="11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>
      <c r="A53" s="11" t="s">
        <v>607</v>
      </c>
      <c r="B53" s="271"/>
      <c r="C53" s="271"/>
      <c r="D53" s="271" t="s">
        <v>608</v>
      </c>
      <c r="E53" s="271" t="s">
        <v>609</v>
      </c>
      <c r="F53" s="271" t="s">
        <v>610</v>
      </c>
      <c r="G53" s="116" t="s">
        <v>611</v>
      </c>
      <c r="H53" s="6" t="s">
        <v>612</v>
      </c>
      <c r="I53" s="6" t="s">
        <v>613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>
      <c r="A54" s="6" t="s">
        <v>614</v>
      </c>
      <c r="B54" s="281">
        <v>0.01</v>
      </c>
      <c r="C54" s="274" t="s">
        <v>615</v>
      </c>
      <c r="D54" s="273">
        <f>'E-Inv AF y Am'!D11+'E-Inv AF y Am'!D13+'E-Inv AF y Am'!B14+'E-Inv AF y Am'!B16*0.15+'E-Inv AF y Am'!B17/3+'E-Inv AF y Am'!B18/3</f>
        <v>806583959.89999998</v>
      </c>
      <c r="E54" s="273">
        <f t="shared" ref="E54:E55" si="2">D54</f>
        <v>806583959.89999998</v>
      </c>
      <c r="F54" s="279">
        <f t="shared" ref="F54:F57" si="3">D54*B54</f>
        <v>8065839.5990000004</v>
      </c>
      <c r="G54" s="279">
        <f t="shared" ref="G54:G57" si="4">E54*B54</f>
        <v>8065839.5990000004</v>
      </c>
      <c r="H54" s="266">
        <f>F54/'CÁLCULOS MP'!$B$89</f>
        <v>217.94265176038263</v>
      </c>
      <c r="I54" s="266">
        <f>G54/'CÁLCULOS MP'!$B$90</f>
        <v>180.04106247767859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>
      <c r="A55" s="11" t="s">
        <v>616</v>
      </c>
      <c r="B55" s="281">
        <v>1.6E-2</v>
      </c>
      <c r="C55" s="274" t="s">
        <v>617</v>
      </c>
      <c r="D55" s="273">
        <f>'E-Inv AF y Am'!D11+'E-Inv AF y Am'!D13</f>
        <v>790640500</v>
      </c>
      <c r="E55" s="273">
        <f t="shared" si="2"/>
        <v>790640500</v>
      </c>
      <c r="F55" s="279">
        <f t="shared" si="3"/>
        <v>12650248</v>
      </c>
      <c r="G55" s="279">
        <f t="shared" si="4"/>
        <v>12650248</v>
      </c>
      <c r="H55" s="266">
        <f>F55/'CÁLCULOS MP'!$B$89</f>
        <v>341.81545029587397</v>
      </c>
      <c r="I55" s="266">
        <f>G55/'CÁLCULOS MP'!$B$90</f>
        <v>282.37160714285716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>
      <c r="A56" s="6" t="s">
        <v>618</v>
      </c>
      <c r="B56" s="281">
        <v>0.02</v>
      </c>
      <c r="C56" s="6" t="s">
        <v>619</v>
      </c>
      <c r="D56" s="273">
        <f>'E-Costos'!B7</f>
        <v>1489817567.4465647</v>
      </c>
      <c r="E56" s="273">
        <f>'E-Costos'!C7</f>
        <v>1444462102.2840002</v>
      </c>
      <c r="F56" s="279">
        <f t="shared" si="3"/>
        <v>29796351.348931294</v>
      </c>
      <c r="G56" s="279">
        <f t="shared" si="4"/>
        <v>28889242.045680005</v>
      </c>
      <c r="H56" s="266">
        <f>F56/'CÁLCULOS MP'!$B$89</f>
        <v>805.11095541439363</v>
      </c>
      <c r="I56" s="266">
        <f>G56/'CÁLCULOS MP'!$B$90</f>
        <v>644.84915280535722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>
      <c r="A57" s="6" t="s">
        <v>620</v>
      </c>
      <c r="B57" s="281">
        <v>0.03</v>
      </c>
      <c r="C57" s="6" t="s">
        <v>621</v>
      </c>
      <c r="D57" s="273">
        <f>'E-Costos'!B8+'E-Costos'!B11</f>
        <v>265110854.39999998</v>
      </c>
      <c r="E57" s="273">
        <f>'E-Costos'!C8+'E-Costos'!C11</f>
        <v>279454728</v>
      </c>
      <c r="F57" s="279">
        <f t="shared" si="3"/>
        <v>7953325.6319999993</v>
      </c>
      <c r="G57" s="279">
        <f t="shared" si="4"/>
        <v>8383641.8399999999</v>
      </c>
      <c r="H57" s="266">
        <f>F57/'CÁLCULOS MP'!$B$89</f>
        <v>214.90247323623981</v>
      </c>
      <c r="I57" s="266">
        <f>G57/'CÁLCULOS MP'!$B$90</f>
        <v>187.1348625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>
      <c r="A58" s="269"/>
      <c r="B58" s="269"/>
      <c r="C58" s="269"/>
      <c r="D58" s="269"/>
      <c r="E58" s="269"/>
      <c r="F58" s="269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>
      <c r="A59" s="269"/>
      <c r="B59" s="269"/>
      <c r="C59" s="269"/>
      <c r="D59" s="269"/>
      <c r="E59" s="269" t="s">
        <v>100</v>
      </c>
      <c r="F59" s="282">
        <f t="shared" ref="F59:G59" si="5">SUM(F54:F57)</f>
        <v>58465764.579931289</v>
      </c>
      <c r="G59" s="266">
        <f t="shared" si="5"/>
        <v>57988971.484680012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>
      <c r="A60" s="6" t="s">
        <v>622</v>
      </c>
      <c r="B60" s="276">
        <v>0.1</v>
      </c>
      <c r="C60" s="271" t="s">
        <v>623</v>
      </c>
      <c r="D60" s="271"/>
      <c r="E60" s="271"/>
      <c r="F60" s="271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>
      <c r="A61" s="6"/>
      <c r="B61" s="271"/>
      <c r="C61" s="271"/>
      <c r="D61" s="271"/>
      <c r="E61" s="271"/>
      <c r="F61" s="272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>
      <c r="A62" s="6"/>
      <c r="B62" s="271"/>
      <c r="C62" s="271"/>
      <c r="D62" s="271"/>
      <c r="E62" s="271"/>
      <c r="F62" s="271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>
      <c r="A63" s="6"/>
      <c r="B63" s="271"/>
      <c r="C63" s="271"/>
      <c r="D63" s="271"/>
      <c r="E63" s="271"/>
      <c r="F63" s="271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>
      <c r="A64" s="6"/>
      <c r="B64" s="271"/>
      <c r="C64" s="271"/>
      <c r="D64" s="271"/>
      <c r="E64" s="271"/>
      <c r="F64" s="271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>
      <c r="A65" s="285"/>
      <c r="B65" s="271"/>
      <c r="C65" s="271"/>
      <c r="D65" s="271"/>
      <c r="E65" s="271"/>
      <c r="F65" s="271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>
      <c r="A66" s="6"/>
      <c r="B66" s="271"/>
      <c r="C66" s="271"/>
      <c r="D66" s="271"/>
      <c r="E66" s="271"/>
      <c r="F66" s="271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>
      <c r="A67" s="6"/>
      <c r="B67" s="271"/>
      <c r="C67" s="271"/>
      <c r="D67" s="271"/>
      <c r="E67" s="271"/>
      <c r="F67" s="271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>
      <c r="A68" s="286"/>
      <c r="B68" s="271"/>
      <c r="C68" s="271"/>
      <c r="D68" s="271"/>
      <c r="E68" s="271"/>
      <c r="F68" s="271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>
      <c r="A69" s="286"/>
      <c r="B69" s="271"/>
      <c r="C69" s="271"/>
      <c r="D69" s="271"/>
      <c r="E69" s="271"/>
      <c r="F69" s="271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>
      <c r="A70" s="286"/>
      <c r="B70" s="271"/>
      <c r="C70" s="271"/>
      <c r="D70" s="271"/>
      <c r="E70" s="271"/>
      <c r="F70" s="271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>
      <c r="A71" s="6"/>
      <c r="B71" s="271"/>
      <c r="C71" s="271"/>
      <c r="D71" s="271"/>
      <c r="E71" s="271"/>
      <c r="F71" s="271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>
      <c r="A72" s="6"/>
      <c r="B72" s="278"/>
      <c r="C72" s="278"/>
      <c r="D72" s="278"/>
      <c r="E72" s="278"/>
      <c r="F72" s="55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>
      <c r="A73" s="11"/>
      <c r="B73" s="271"/>
      <c r="C73" s="271"/>
      <c r="D73" s="271"/>
      <c r="E73" s="271"/>
      <c r="F73" s="271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>
      <c r="A74" s="11"/>
      <c r="B74" s="271"/>
      <c r="C74" s="271"/>
      <c r="D74" s="271"/>
      <c r="E74" s="271"/>
      <c r="F74" s="271"/>
      <c r="G74" s="11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>
      <c r="A75" s="11"/>
      <c r="B75" s="281"/>
      <c r="C75" s="281"/>
      <c r="D75" s="281"/>
      <c r="E75" s="281"/>
      <c r="F75" s="281"/>
      <c r="G75" s="11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>
      <c r="A76" s="11"/>
      <c r="B76" s="281"/>
      <c r="C76" s="281"/>
      <c r="D76" s="281"/>
      <c r="E76" s="281"/>
      <c r="F76" s="281"/>
      <c r="G76" s="11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>
      <c r="A79" s="269"/>
      <c r="B79" s="269"/>
      <c r="C79" s="269"/>
      <c r="D79" s="269"/>
      <c r="E79" s="269"/>
      <c r="F79" s="269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>
      <c r="A80" s="269"/>
      <c r="B80" s="269"/>
      <c r="C80" s="269"/>
      <c r="D80" s="269"/>
      <c r="E80" s="269"/>
      <c r="F80" s="269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>
      <c r="A81" s="6"/>
      <c r="B81" s="271"/>
      <c r="C81" s="271"/>
      <c r="D81" s="271"/>
      <c r="E81" s="271"/>
      <c r="F81" s="271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>
      <c r="A82" s="6"/>
      <c r="B82" s="271"/>
      <c r="C82" s="271"/>
      <c r="D82" s="271"/>
      <c r="E82" s="271"/>
      <c r="F82" s="272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>
      <c r="A83" s="6"/>
      <c r="B83" s="271"/>
      <c r="C83" s="271"/>
      <c r="D83" s="271"/>
      <c r="E83" s="271"/>
      <c r="F83" s="271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>
      <c r="A84" s="6"/>
      <c r="B84" s="271"/>
      <c r="C84" s="271"/>
      <c r="D84" s="271"/>
      <c r="E84" s="271"/>
      <c r="F84" s="271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>
      <c r="A85" s="6"/>
      <c r="B85" s="271"/>
      <c r="C85" s="271"/>
      <c r="D85" s="271"/>
      <c r="E85" s="271"/>
      <c r="F85" s="271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>
      <c r="A86" s="285"/>
      <c r="B86" s="271"/>
      <c r="C86" s="271"/>
      <c r="D86" s="271"/>
      <c r="E86" s="271"/>
      <c r="F86" s="271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>
      <c r="A87" s="6"/>
      <c r="B87" s="271"/>
      <c r="C87" s="271"/>
      <c r="D87" s="271"/>
      <c r="E87" s="271"/>
      <c r="F87" s="271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>
      <c r="A88" s="6"/>
      <c r="B88" s="271"/>
      <c r="C88" s="271"/>
      <c r="D88" s="271"/>
      <c r="E88" s="271"/>
      <c r="F88" s="271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>
      <c r="A89" s="286"/>
      <c r="B89" s="271"/>
      <c r="C89" s="271"/>
      <c r="D89" s="271"/>
      <c r="E89" s="271"/>
      <c r="F89" s="271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>
      <c r="A90" s="286"/>
      <c r="B90" s="271"/>
      <c r="C90" s="271"/>
      <c r="D90" s="271"/>
      <c r="E90" s="271"/>
      <c r="F90" s="271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>
      <c r="A91" s="286"/>
      <c r="B91" s="271"/>
      <c r="C91" s="271"/>
      <c r="D91" s="271"/>
      <c r="E91" s="271"/>
      <c r="F91" s="271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>
      <c r="A92" s="6"/>
      <c r="B92" s="271"/>
      <c r="C92" s="271"/>
      <c r="D92" s="271"/>
      <c r="E92" s="271"/>
      <c r="F92" s="271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>
      <c r="A93" s="6"/>
      <c r="B93" s="278"/>
      <c r="C93" s="278"/>
      <c r="D93" s="278"/>
      <c r="E93" s="278"/>
      <c r="F93" s="55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>
      <c r="A94" s="11"/>
      <c r="B94" s="271"/>
      <c r="C94" s="271"/>
      <c r="D94" s="271"/>
      <c r="E94" s="271"/>
      <c r="F94" s="271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>
      <c r="A95" s="11"/>
      <c r="B95" s="271"/>
      <c r="C95" s="271"/>
      <c r="D95" s="271"/>
      <c r="E95" s="271"/>
      <c r="F95" s="271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>
      <c r="A96" s="11"/>
      <c r="B96" s="281"/>
      <c r="C96" s="281"/>
      <c r="D96" s="281"/>
      <c r="E96" s="281"/>
      <c r="F96" s="281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>
      <c r="A97" s="11"/>
      <c r="B97" s="281"/>
      <c r="C97" s="281"/>
      <c r="D97" s="281"/>
      <c r="E97" s="281"/>
      <c r="F97" s="281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>
      <c r="A100" s="268"/>
      <c r="B100" s="268"/>
      <c r="C100" s="268"/>
      <c r="D100" s="268"/>
      <c r="E100" s="268"/>
      <c r="F100" s="268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>
      <c r="A101" s="6"/>
      <c r="B101" s="269"/>
      <c r="C101" s="269"/>
      <c r="D101" s="269"/>
      <c r="E101" s="269"/>
      <c r="F101" s="269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>
      <c r="A102" s="6"/>
      <c r="B102" s="269"/>
      <c r="C102" s="269"/>
      <c r="D102" s="269"/>
      <c r="E102" s="269"/>
      <c r="F102" s="269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>
      <c r="A103" s="6"/>
      <c r="B103" s="269"/>
      <c r="C103" s="269"/>
      <c r="D103" s="269"/>
      <c r="E103" s="269"/>
      <c r="F103" s="269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>
      <c r="A104" s="6"/>
      <c r="B104" s="287"/>
      <c r="C104" s="287"/>
      <c r="D104" s="287"/>
      <c r="E104" s="287"/>
      <c r="F104" s="287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>
      <c r="A105" s="6"/>
      <c r="B105" s="271"/>
      <c r="C105" s="271"/>
      <c r="D105" s="271"/>
      <c r="E105" s="271"/>
      <c r="F105" s="271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>
      <c r="A106" s="6"/>
      <c r="B106" s="271"/>
      <c r="C106" s="271"/>
      <c r="D106" s="271"/>
      <c r="E106" s="271"/>
      <c r="F106" s="271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>
      <c r="A107" s="6"/>
      <c r="B107" s="271"/>
      <c r="C107" s="271"/>
      <c r="D107" s="271"/>
      <c r="E107" s="271"/>
      <c r="F107" s="271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>
      <c r="A108" s="288"/>
      <c r="B108" s="271"/>
      <c r="C108" s="271"/>
      <c r="D108" s="271"/>
      <c r="E108" s="271"/>
      <c r="F108" s="271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>
      <c r="A109" s="288"/>
      <c r="B109" s="271"/>
      <c r="C109" s="271"/>
      <c r="D109" s="271"/>
      <c r="E109" s="271"/>
      <c r="F109" s="271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>
      <c r="A110" s="11"/>
      <c r="B110" s="271"/>
      <c r="C110" s="271"/>
      <c r="D110" s="271"/>
      <c r="E110" s="271"/>
      <c r="F110" s="271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>
      <c r="A111" s="6"/>
      <c r="B111" s="271"/>
      <c r="C111" s="271"/>
      <c r="D111" s="271"/>
      <c r="E111" s="271"/>
      <c r="F111" s="271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>
      <c r="A112" s="6"/>
      <c r="B112" s="271"/>
      <c r="C112" s="271"/>
      <c r="D112" s="271"/>
      <c r="E112" s="271"/>
      <c r="F112" s="271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>
      <c r="A113" s="6"/>
      <c r="B113" s="271"/>
      <c r="C113" s="271"/>
      <c r="D113" s="271"/>
      <c r="E113" s="271"/>
      <c r="F113" s="271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>
      <c r="A114" s="6"/>
      <c r="B114" s="271"/>
      <c r="C114" s="271"/>
      <c r="D114" s="271"/>
      <c r="E114" s="271"/>
      <c r="F114" s="271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>
      <c r="A115" s="6"/>
      <c r="B115" s="271"/>
      <c r="C115" s="271"/>
      <c r="D115" s="271"/>
      <c r="E115" s="271"/>
      <c r="F115" s="271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>
      <c r="A116" s="11"/>
      <c r="B116" s="271"/>
      <c r="C116" s="271"/>
      <c r="D116" s="271"/>
      <c r="E116" s="271"/>
      <c r="F116" s="271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>
      <c r="A117" s="6"/>
      <c r="B117" s="271"/>
      <c r="C117" s="271"/>
      <c r="D117" s="271"/>
      <c r="E117" s="271"/>
      <c r="F117" s="271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>
      <c r="A118" s="6"/>
      <c r="B118" s="271"/>
      <c r="C118" s="271"/>
      <c r="D118" s="271"/>
      <c r="E118" s="271"/>
      <c r="F118" s="271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>
      <c r="A119" s="285"/>
      <c r="B119" s="271"/>
      <c r="C119" s="271"/>
      <c r="D119" s="271"/>
      <c r="E119" s="271"/>
      <c r="F119" s="271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>
      <c r="A120" s="285"/>
      <c r="B120" s="271"/>
      <c r="C120" s="271"/>
      <c r="D120" s="271"/>
      <c r="E120" s="271"/>
      <c r="F120" s="271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>
      <c r="A121" s="6"/>
      <c r="B121" s="271"/>
      <c r="C121" s="271"/>
      <c r="D121" s="271"/>
      <c r="E121" s="271"/>
      <c r="F121" s="271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>
      <c r="A122" s="11"/>
      <c r="B122" s="271"/>
      <c r="C122" s="271"/>
      <c r="D122" s="271"/>
      <c r="E122" s="271"/>
      <c r="F122" s="271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>
      <c r="A123" s="285"/>
      <c r="B123" s="289"/>
      <c r="C123" s="289"/>
      <c r="D123" s="289"/>
      <c r="E123" s="289"/>
      <c r="F123" s="289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>
      <c r="A124" s="6"/>
      <c r="B124" s="271"/>
      <c r="C124" s="271"/>
      <c r="D124" s="271"/>
      <c r="E124" s="271"/>
      <c r="F124" s="271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>
      <c r="A125" s="6"/>
      <c r="B125" s="289"/>
      <c r="C125" s="289"/>
      <c r="D125" s="289"/>
      <c r="E125" s="289"/>
      <c r="F125" s="289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>
      <c r="A126" s="6"/>
      <c r="B126" s="289"/>
      <c r="C126" s="289"/>
      <c r="D126" s="289"/>
      <c r="E126" s="289"/>
      <c r="F126" s="289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>
      <c r="A127" s="6"/>
      <c r="B127" s="271"/>
      <c r="C127" s="271"/>
      <c r="D127" s="271"/>
      <c r="E127" s="271"/>
      <c r="F127" s="271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>
      <c r="A128" s="6"/>
      <c r="B128" s="289"/>
      <c r="C128" s="289"/>
      <c r="D128" s="289"/>
      <c r="E128" s="289"/>
      <c r="F128" s="289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>
      <c r="A129" s="11"/>
      <c r="B129" s="271"/>
      <c r="C129" s="271"/>
      <c r="D129" s="271"/>
      <c r="E129" s="271"/>
      <c r="F129" s="271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>
      <c r="A130" s="6"/>
      <c r="B130" s="271"/>
      <c r="C130" s="271"/>
      <c r="D130" s="271"/>
      <c r="E130" s="271"/>
      <c r="F130" s="271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>
      <c r="A131" s="11"/>
      <c r="B131" s="271"/>
      <c r="C131" s="271"/>
      <c r="D131" s="271"/>
      <c r="E131" s="271"/>
      <c r="F131" s="271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>
      <c r="A132" s="11"/>
      <c r="B132" s="289"/>
      <c r="C132" s="289"/>
      <c r="D132" s="289"/>
      <c r="E132" s="289"/>
      <c r="F132" s="289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>
      <c r="A133" s="6"/>
      <c r="B133" s="289"/>
      <c r="C133" s="289"/>
      <c r="D133" s="289"/>
      <c r="E133" s="289"/>
      <c r="F133" s="289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>
      <c r="A134" s="11"/>
      <c r="B134" s="289"/>
      <c r="C134" s="289"/>
      <c r="D134" s="289"/>
      <c r="E134" s="289"/>
      <c r="F134" s="289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>
      <c r="A135" s="6"/>
      <c r="B135" s="289"/>
      <c r="C135" s="289"/>
      <c r="D135" s="289"/>
      <c r="E135" s="289"/>
      <c r="F135" s="289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>
      <c r="A136" s="11"/>
      <c r="B136" s="289"/>
      <c r="C136" s="289"/>
      <c r="D136" s="289"/>
      <c r="E136" s="289"/>
      <c r="F136" s="289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>
      <c r="A137" s="6"/>
      <c r="B137" s="289"/>
      <c r="C137" s="289"/>
      <c r="D137" s="289"/>
      <c r="E137" s="289"/>
      <c r="F137" s="289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>
      <c r="A138" s="11"/>
      <c r="B138" s="289"/>
      <c r="C138" s="289"/>
      <c r="D138" s="289"/>
      <c r="E138" s="289"/>
      <c r="F138" s="289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>
      <c r="A139" s="11"/>
      <c r="B139" s="289"/>
      <c r="C139" s="289"/>
      <c r="D139" s="289"/>
      <c r="E139" s="289"/>
      <c r="F139" s="289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>
      <c r="A140" s="290"/>
      <c r="B140" s="289"/>
      <c r="C140" s="289"/>
      <c r="D140" s="289"/>
      <c r="E140" s="289"/>
      <c r="F140" s="289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>
      <c r="A141" s="11"/>
      <c r="B141" s="289"/>
      <c r="C141" s="289"/>
      <c r="D141" s="289"/>
      <c r="E141" s="289"/>
      <c r="F141" s="289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>
      <c r="A142" s="290"/>
      <c r="B142" s="289"/>
      <c r="C142" s="289"/>
      <c r="D142" s="289"/>
      <c r="E142" s="289"/>
      <c r="F142" s="289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>
      <c r="A143" s="11"/>
      <c r="B143" s="291"/>
      <c r="C143" s="291"/>
      <c r="D143" s="291"/>
      <c r="E143" s="291"/>
      <c r="F143" s="291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>
      <c r="A144" s="11"/>
      <c r="B144" s="291"/>
      <c r="C144" s="291"/>
      <c r="D144" s="291"/>
      <c r="E144" s="291"/>
      <c r="F144" s="291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>
      <c r="A145" s="11"/>
      <c r="B145" s="291"/>
      <c r="C145" s="291"/>
      <c r="D145" s="291"/>
      <c r="E145" s="291"/>
      <c r="F145" s="291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>
      <c r="A146" s="290"/>
      <c r="B146" s="291"/>
      <c r="C146" s="291"/>
      <c r="D146" s="291"/>
      <c r="E146" s="291"/>
      <c r="F146" s="291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>
      <c r="A147" s="11"/>
      <c r="B147" s="291"/>
      <c r="C147" s="291"/>
      <c r="D147" s="291"/>
      <c r="E147" s="291"/>
      <c r="F147" s="291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>
      <c r="A148" s="11"/>
      <c r="B148" s="291"/>
      <c r="C148" s="291"/>
      <c r="D148" s="291"/>
      <c r="E148" s="291"/>
      <c r="F148" s="291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>
      <c r="A149" s="11"/>
      <c r="B149" s="272"/>
      <c r="C149" s="272"/>
      <c r="D149" s="272"/>
      <c r="E149" s="272"/>
      <c r="F149" s="272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>
      <c r="A150" s="11"/>
      <c r="B150" s="272"/>
      <c r="C150" s="272"/>
      <c r="D150" s="272"/>
      <c r="E150" s="272"/>
      <c r="F150" s="272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>
      <c r="A151" s="290"/>
      <c r="B151" s="272"/>
      <c r="C151" s="272"/>
      <c r="D151" s="272"/>
      <c r="E151" s="272"/>
      <c r="F151" s="272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>
      <c r="A152" s="11"/>
      <c r="B152" s="272"/>
      <c r="C152" s="272"/>
      <c r="D152" s="272"/>
      <c r="E152" s="272"/>
      <c r="F152" s="272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>
      <c r="A153" s="290"/>
      <c r="B153" s="272"/>
      <c r="C153" s="272"/>
      <c r="D153" s="272"/>
      <c r="E153" s="272"/>
      <c r="F153" s="272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>
      <c r="A154" s="11"/>
      <c r="B154" s="272"/>
      <c r="C154" s="272"/>
      <c r="D154" s="272"/>
      <c r="E154" s="272"/>
      <c r="F154" s="272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>
      <c r="A155" s="290"/>
      <c r="B155" s="272"/>
      <c r="C155" s="272"/>
      <c r="D155" s="272"/>
      <c r="E155" s="272"/>
      <c r="F155" s="272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>
      <c r="A156" s="11"/>
      <c r="B156" s="272"/>
      <c r="C156" s="272"/>
      <c r="D156" s="272"/>
      <c r="E156" s="272"/>
      <c r="F156" s="272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>
      <c r="A157" s="11"/>
      <c r="B157" s="272"/>
      <c r="C157" s="272"/>
      <c r="D157" s="272"/>
      <c r="E157" s="272"/>
      <c r="F157" s="272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>
      <c r="A158" s="149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pageMargins left="0.32013888888888897" right="0.75" top="0.179861111111111" bottom="0.15972222222222199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outlinePr summaryBelow="0" summaryRight="0"/>
  </sheetPr>
  <dimension ref="A1:H113"/>
  <sheetViews>
    <sheetView workbookViewId="0"/>
  </sheetViews>
  <sheetFormatPr defaultColWidth="12.5703125" defaultRowHeight="15" customHeight="1"/>
  <cols>
    <col min="1" max="1" width="34.42578125" customWidth="1"/>
    <col min="2" max="2" width="27.85546875" customWidth="1"/>
    <col min="3" max="3" width="21.42578125" customWidth="1"/>
    <col min="5" max="5" width="39.28515625" customWidth="1"/>
    <col min="6" max="6" width="29.5703125" customWidth="1"/>
  </cols>
  <sheetData>
    <row r="1" spans="1:8" ht="12.6">
      <c r="A1" s="6"/>
      <c r="B1" s="6"/>
      <c r="C1" s="6"/>
      <c r="D1" s="6"/>
      <c r="E1" s="6"/>
      <c r="F1" s="6"/>
      <c r="G1" s="6" t="s">
        <v>624</v>
      </c>
      <c r="H1" s="509">
        <f>InfoInicial!B31</f>
        <v>1300</v>
      </c>
    </row>
    <row r="2" spans="1:8" ht="14.45">
      <c r="A2" s="292" t="s">
        <v>625</v>
      </c>
      <c r="B2" s="292" t="s">
        <v>626</v>
      </c>
      <c r="C2" s="510" t="s">
        <v>627</v>
      </c>
      <c r="D2" s="510" t="s">
        <v>628</v>
      </c>
      <c r="E2" s="6" t="s">
        <v>629</v>
      </c>
      <c r="F2" s="6" t="s">
        <v>367</v>
      </c>
      <c r="G2" s="6"/>
      <c r="H2" s="6"/>
    </row>
    <row r="3" spans="1:8" ht="15" customHeight="1">
      <c r="A3" s="293" t="s">
        <v>630</v>
      </c>
      <c r="B3" s="294" t="s">
        <v>631</v>
      </c>
      <c r="C3" s="7">
        <f>(125775/50)/H1</f>
        <v>1.9350000000000001</v>
      </c>
      <c r="D3" s="6" t="s">
        <v>632</v>
      </c>
      <c r="E3" s="6" t="s">
        <v>633</v>
      </c>
      <c r="F3" s="511" t="s">
        <v>634</v>
      </c>
      <c r="G3" s="6"/>
      <c r="H3" s="6"/>
    </row>
    <row r="4" spans="1:8" ht="15" customHeight="1">
      <c r="A4" s="294" t="s">
        <v>635</v>
      </c>
      <c r="B4" s="294" t="s">
        <v>631</v>
      </c>
      <c r="D4" s="6" t="s">
        <v>636</v>
      </c>
      <c r="E4" s="6" t="s">
        <v>637</v>
      </c>
      <c r="F4" s="511" t="s">
        <v>638</v>
      </c>
      <c r="G4" s="6"/>
      <c r="H4" s="6"/>
    </row>
    <row r="5" spans="1:8" ht="15" customHeight="1">
      <c r="A5" s="293" t="s">
        <v>639</v>
      </c>
      <c r="B5" s="294" t="s">
        <v>631</v>
      </c>
      <c r="C5" s="7">
        <f>6/1.5</f>
        <v>4</v>
      </c>
      <c r="D5" s="6" t="s">
        <v>632</v>
      </c>
      <c r="E5" s="6" t="s">
        <v>637</v>
      </c>
      <c r="F5" s="511" t="s">
        <v>640</v>
      </c>
      <c r="G5" s="6"/>
      <c r="H5" s="6"/>
    </row>
    <row r="6" spans="1:8" ht="15" customHeight="1">
      <c r="A6" s="294" t="s">
        <v>641</v>
      </c>
      <c r="B6" s="294" t="s">
        <v>642</v>
      </c>
      <c r="C6" s="7">
        <f>(12000/4)/H1</f>
        <v>2.3076923076923075</v>
      </c>
      <c r="D6" s="6" t="s">
        <v>636</v>
      </c>
      <c r="E6" s="6" t="s">
        <v>633</v>
      </c>
      <c r="F6" s="511" t="s">
        <v>643</v>
      </c>
      <c r="G6" s="6"/>
      <c r="H6" s="6"/>
    </row>
    <row r="7" spans="1:8" ht="15" customHeight="1">
      <c r="A7" s="294" t="s">
        <v>644</v>
      </c>
      <c r="B7" s="294" t="s">
        <v>631</v>
      </c>
      <c r="C7" s="7">
        <f>3.68/2</f>
        <v>1.84</v>
      </c>
      <c r="D7" s="6" t="s">
        <v>636</v>
      </c>
      <c r="E7" s="6" t="s">
        <v>633</v>
      </c>
      <c r="F7" s="511" t="s">
        <v>645</v>
      </c>
      <c r="G7" s="6"/>
      <c r="H7" s="6"/>
    </row>
    <row r="8" spans="1:8" ht="15" customHeight="1">
      <c r="A8" s="294" t="s">
        <v>646</v>
      </c>
      <c r="B8" s="294" t="s">
        <v>647</v>
      </c>
      <c r="C8" s="7">
        <f>1.3*1.16/2</f>
        <v>0.754</v>
      </c>
      <c r="D8" s="6" t="s">
        <v>636</v>
      </c>
      <c r="E8" s="6" t="s">
        <v>633</v>
      </c>
      <c r="F8" s="511" t="s">
        <v>648</v>
      </c>
      <c r="G8" s="6"/>
      <c r="H8" s="6"/>
    </row>
    <row r="9" spans="1:8" ht="15" customHeight="1">
      <c r="A9" s="294" t="s">
        <v>649</v>
      </c>
      <c r="B9" s="294" t="s">
        <v>647</v>
      </c>
      <c r="C9" s="7">
        <v>0.27</v>
      </c>
      <c r="D9" s="6" t="s">
        <v>650</v>
      </c>
      <c r="E9" s="6"/>
      <c r="F9" s="6" t="s">
        <v>651</v>
      </c>
      <c r="G9" s="7">
        <v>6133</v>
      </c>
      <c r="H9" s="6"/>
    </row>
    <row r="10" spans="1:8" ht="15" customHeight="1">
      <c r="A10" s="294" t="s">
        <v>652</v>
      </c>
      <c r="B10" s="294" t="s">
        <v>653</v>
      </c>
      <c r="C10" s="7">
        <v>0.27</v>
      </c>
      <c r="D10" s="6" t="s">
        <v>636</v>
      </c>
      <c r="E10" s="6"/>
      <c r="F10" s="6" t="s">
        <v>651</v>
      </c>
      <c r="G10" s="7">
        <v>6141</v>
      </c>
      <c r="H10" s="6"/>
    </row>
    <row r="11" spans="1:8" ht="15" customHeight="1">
      <c r="A11" s="295" t="s">
        <v>654</v>
      </c>
      <c r="B11" s="294" t="s">
        <v>631</v>
      </c>
      <c r="C11" s="7">
        <v>4</v>
      </c>
      <c r="D11" s="6" t="s">
        <v>632</v>
      </c>
      <c r="E11" s="6"/>
      <c r="F11" s="6" t="s">
        <v>651</v>
      </c>
      <c r="G11" s="7">
        <v>3042</v>
      </c>
      <c r="H11" s="6"/>
    </row>
    <row r="12" spans="1:8" ht="15" customHeight="1">
      <c r="A12" s="294" t="s">
        <v>655</v>
      </c>
      <c r="B12" s="294" t="s">
        <v>656</v>
      </c>
      <c r="C12" s="7">
        <f>6/2</f>
        <v>3</v>
      </c>
      <c r="D12" s="6" t="s">
        <v>636</v>
      </c>
      <c r="E12" s="6"/>
      <c r="F12" s="511" t="s">
        <v>657</v>
      </c>
      <c r="G12" s="6"/>
      <c r="H12" s="6"/>
    </row>
    <row r="13" spans="1:8" ht="15" customHeight="1">
      <c r="A13" s="294" t="s">
        <v>658</v>
      </c>
      <c r="B13" s="294" t="s">
        <v>631</v>
      </c>
      <c r="C13" s="7">
        <f>46.42/100/2</f>
        <v>0.2321</v>
      </c>
      <c r="D13" s="6" t="s">
        <v>636</v>
      </c>
      <c r="E13" s="6"/>
      <c r="F13" s="511" t="s">
        <v>659</v>
      </c>
      <c r="G13" s="6"/>
      <c r="H13" s="6"/>
    </row>
    <row r="14" spans="1:8" ht="15" customHeight="1">
      <c r="A14" s="294" t="s">
        <v>660</v>
      </c>
      <c r="B14" s="294" t="s">
        <v>661</v>
      </c>
      <c r="C14" s="7">
        <f>73.37/500/2</f>
        <v>7.3370000000000005E-2</v>
      </c>
      <c r="D14" s="6" t="s">
        <v>636</v>
      </c>
      <c r="E14" s="6"/>
      <c r="F14" s="511" t="s">
        <v>662</v>
      </c>
      <c r="G14" s="6"/>
      <c r="H14" s="6"/>
    </row>
    <row r="15" spans="1:8" ht="15" customHeight="1">
      <c r="A15" s="294" t="s">
        <v>663</v>
      </c>
      <c r="B15" s="294" t="s">
        <v>631</v>
      </c>
      <c r="C15" s="7">
        <f>52.61/200/2</f>
        <v>0.131525</v>
      </c>
      <c r="D15" s="6" t="s">
        <v>636</v>
      </c>
      <c r="E15" s="6"/>
      <c r="F15" s="511" t="s">
        <v>664</v>
      </c>
      <c r="G15" s="6"/>
      <c r="H15" s="6"/>
    </row>
    <row r="16" spans="1:8" ht="15" customHeight="1">
      <c r="A16" s="293" t="s">
        <v>665</v>
      </c>
      <c r="B16" s="294" t="s">
        <v>631</v>
      </c>
      <c r="C16" s="7">
        <v>3</v>
      </c>
      <c r="D16" s="6" t="s">
        <v>632</v>
      </c>
      <c r="E16" s="6"/>
      <c r="F16" s="6" t="s">
        <v>651</v>
      </c>
      <c r="G16" s="7">
        <v>8395</v>
      </c>
      <c r="H16" s="6"/>
    </row>
    <row r="18" spans="1:6" ht="12.95">
      <c r="A18" s="72" t="s">
        <v>666</v>
      </c>
      <c r="D18" s="71" t="s">
        <v>667</v>
      </c>
    </row>
    <row r="20" spans="1:6" ht="12.95">
      <c r="A20" s="71" t="s">
        <v>668</v>
      </c>
    </row>
    <row r="21" spans="1:6" ht="15" customHeight="1">
      <c r="A21" s="466" t="s">
        <v>669</v>
      </c>
      <c r="B21" s="512"/>
      <c r="C21" s="512"/>
      <c r="D21" s="512"/>
      <c r="E21" s="512"/>
      <c r="F21" s="513"/>
    </row>
    <row r="22" spans="1:6" ht="15" customHeight="1">
      <c r="A22" s="467" t="s">
        <v>670</v>
      </c>
      <c r="B22" s="467" t="s">
        <v>671</v>
      </c>
      <c r="C22" s="467" t="s">
        <v>672</v>
      </c>
      <c r="D22" s="466" t="s">
        <v>673</v>
      </c>
      <c r="E22" s="513"/>
      <c r="F22" s="467" t="s">
        <v>674</v>
      </c>
    </row>
    <row r="23" spans="1:6" ht="15" customHeight="1">
      <c r="A23" s="514"/>
      <c r="B23" s="514"/>
      <c r="C23" s="514"/>
      <c r="D23" s="296" t="s">
        <v>675</v>
      </c>
      <c r="E23" s="296" t="s">
        <v>676</v>
      </c>
      <c r="F23" s="514"/>
    </row>
    <row r="24" spans="1:6" ht="15" customHeight="1">
      <c r="A24" s="297" t="s">
        <v>677</v>
      </c>
      <c r="B24" s="298">
        <v>67968.61</v>
      </c>
      <c r="C24" s="297" t="s">
        <v>678</v>
      </c>
      <c r="D24" s="297" t="s">
        <v>678</v>
      </c>
      <c r="E24" s="299">
        <v>0.15</v>
      </c>
      <c r="F24" s="297">
        <v>57773.32</v>
      </c>
    </row>
    <row r="25" spans="1:6" ht="14.1">
      <c r="A25" s="297" t="s">
        <v>679</v>
      </c>
      <c r="B25" s="297">
        <v>57773.32</v>
      </c>
      <c r="C25" s="297" t="s">
        <v>678</v>
      </c>
      <c r="D25" s="297" t="s">
        <v>678</v>
      </c>
      <c r="E25" s="300">
        <v>3.0000000000000001E-3</v>
      </c>
      <c r="F25" s="297" t="s">
        <v>680</v>
      </c>
    </row>
    <row r="27" spans="1:6" ht="12.95">
      <c r="A27" s="301" t="s">
        <v>681</v>
      </c>
      <c r="B27" s="301"/>
      <c r="C27" s="301" t="s">
        <v>682</v>
      </c>
      <c r="D27" s="301" t="s">
        <v>683</v>
      </c>
      <c r="E27" s="301" t="s">
        <v>684</v>
      </c>
    </row>
    <row r="28" spans="1:6" ht="15" customHeight="1">
      <c r="A28" s="302" t="s">
        <v>654</v>
      </c>
      <c r="B28" s="302" t="s">
        <v>631</v>
      </c>
      <c r="C28" s="515">
        <v>4</v>
      </c>
      <c r="D28" s="516">
        <f>B24</f>
        <v>67968.61</v>
      </c>
      <c r="E28" s="303">
        <f>D28*C28</f>
        <v>271874.44</v>
      </c>
      <c r="F28" s="72" t="s">
        <v>685</v>
      </c>
    </row>
    <row r="30" spans="1:6" ht="15" customHeight="1">
      <c r="A30" s="466" t="s">
        <v>686</v>
      </c>
      <c r="B30" s="512"/>
      <c r="C30" s="512"/>
      <c r="D30" s="512"/>
      <c r="E30" s="512"/>
      <c r="F30" s="513"/>
    </row>
    <row r="31" spans="1:6" ht="15" customHeight="1">
      <c r="A31" s="467" t="s">
        <v>670</v>
      </c>
      <c r="B31" s="467" t="s">
        <v>671</v>
      </c>
      <c r="C31" s="467" t="s">
        <v>672</v>
      </c>
      <c r="D31" s="466" t="s">
        <v>673</v>
      </c>
      <c r="E31" s="513"/>
      <c r="F31" s="467" t="s">
        <v>674</v>
      </c>
    </row>
    <row r="32" spans="1:6" ht="15" customHeight="1">
      <c r="A32" s="514"/>
      <c r="B32" s="514"/>
      <c r="C32" s="514"/>
      <c r="D32" s="296" t="s">
        <v>675</v>
      </c>
      <c r="E32" s="296" t="s">
        <v>676</v>
      </c>
      <c r="F32" s="514"/>
    </row>
    <row r="33" spans="1:6" ht="15" customHeight="1">
      <c r="A33" s="297" t="s">
        <v>687</v>
      </c>
      <c r="B33" s="298">
        <v>4889.2299999999996</v>
      </c>
      <c r="C33" s="297" t="s">
        <v>678</v>
      </c>
      <c r="D33" s="297" t="s">
        <v>678</v>
      </c>
      <c r="E33" s="299">
        <v>0.15</v>
      </c>
      <c r="F33" s="297">
        <v>4155.84</v>
      </c>
    </row>
    <row r="34" spans="1:6" ht="14.1">
      <c r="A34" s="297" t="s">
        <v>688</v>
      </c>
      <c r="B34" s="297">
        <v>4122.53</v>
      </c>
      <c r="C34" s="297" t="s">
        <v>678</v>
      </c>
      <c r="D34" s="297" t="s">
        <v>678</v>
      </c>
      <c r="E34" s="300">
        <v>2E-3</v>
      </c>
      <c r="F34" s="297">
        <v>4114.29</v>
      </c>
    </row>
    <row r="35" spans="1:6" ht="14.1">
      <c r="A35" s="304"/>
    </row>
    <row r="36" spans="1:6" ht="12.95">
      <c r="A36" s="301" t="s">
        <v>681</v>
      </c>
      <c r="B36" s="301"/>
      <c r="C36" s="301" t="s">
        <v>682</v>
      </c>
      <c r="D36" s="301" t="s">
        <v>683</v>
      </c>
      <c r="E36" s="301" t="s">
        <v>684</v>
      </c>
    </row>
    <row r="37" spans="1:6" ht="15" customHeight="1">
      <c r="A37" s="305" t="s">
        <v>665</v>
      </c>
      <c r="B37" s="305" t="s">
        <v>631</v>
      </c>
      <c r="C37" s="517">
        <v>3</v>
      </c>
      <c r="D37" s="518">
        <f>B33</f>
        <v>4889.2299999999996</v>
      </c>
      <c r="E37" s="306">
        <f>D37*C37</f>
        <v>14667.689999999999</v>
      </c>
      <c r="F37" s="72" t="s">
        <v>685</v>
      </c>
    </row>
    <row r="39" spans="1:6" ht="14.1">
      <c r="A39" s="466" t="s">
        <v>689</v>
      </c>
      <c r="B39" s="512"/>
      <c r="C39" s="512"/>
      <c r="D39" s="512"/>
      <c r="E39" s="512"/>
      <c r="F39" s="513"/>
    </row>
    <row r="40" spans="1:6" ht="14.1">
      <c r="A40" s="467" t="s">
        <v>670</v>
      </c>
      <c r="B40" s="467" t="s">
        <v>671</v>
      </c>
      <c r="C40" s="467" t="s">
        <v>672</v>
      </c>
      <c r="D40" s="466" t="s">
        <v>673</v>
      </c>
      <c r="E40" s="513"/>
      <c r="F40" s="467" t="s">
        <v>674</v>
      </c>
    </row>
    <row r="41" spans="1:6" ht="14.1">
      <c r="A41" s="514"/>
      <c r="B41" s="514"/>
      <c r="C41" s="514"/>
      <c r="D41" s="296" t="s">
        <v>675</v>
      </c>
      <c r="E41" s="296" t="s">
        <v>676</v>
      </c>
      <c r="F41" s="514"/>
    </row>
    <row r="42" spans="1:6" ht="14.1">
      <c r="A42" s="297" t="s">
        <v>690</v>
      </c>
      <c r="B42" s="298">
        <v>10569.5077</v>
      </c>
      <c r="C42" s="297"/>
      <c r="D42" s="297"/>
      <c r="E42" s="299">
        <v>0.02</v>
      </c>
      <c r="F42" s="297">
        <v>10358.120000000001</v>
      </c>
    </row>
    <row r="43" spans="1:6" ht="14.1">
      <c r="A43" s="297" t="s">
        <v>691</v>
      </c>
      <c r="B43" s="297">
        <v>10358.120000000001</v>
      </c>
      <c r="C43" s="297" t="s">
        <v>678</v>
      </c>
      <c r="D43" s="297" t="s">
        <v>678</v>
      </c>
      <c r="E43" s="299">
        <v>0.2</v>
      </c>
      <c r="F43" s="297">
        <v>8286.49</v>
      </c>
    </row>
    <row r="44" spans="1:6" ht="14.1">
      <c r="A44" s="297" t="s">
        <v>692</v>
      </c>
      <c r="B44" s="297">
        <v>8286.49</v>
      </c>
      <c r="C44" s="297" t="s">
        <v>678</v>
      </c>
      <c r="D44" s="297" t="s">
        <v>678</v>
      </c>
      <c r="E44" s="297" t="s">
        <v>678</v>
      </c>
      <c r="F44" s="297">
        <v>8286.49</v>
      </c>
    </row>
    <row r="45" spans="1:6" ht="14.1">
      <c r="A45" s="297" t="s">
        <v>693</v>
      </c>
      <c r="B45" s="297">
        <v>8286.49</v>
      </c>
      <c r="C45" s="297" t="s">
        <v>678</v>
      </c>
      <c r="D45" s="297" t="s">
        <v>678</v>
      </c>
      <c r="E45" s="297" t="s">
        <v>678</v>
      </c>
      <c r="F45" s="297">
        <v>8286.49</v>
      </c>
    </row>
    <row r="46" spans="1:6" ht="14.1">
      <c r="A46" s="297" t="s">
        <v>694</v>
      </c>
      <c r="B46" s="297">
        <v>8286.49</v>
      </c>
      <c r="C46" s="297" t="s">
        <v>678</v>
      </c>
      <c r="D46" s="297" t="s">
        <v>678</v>
      </c>
      <c r="E46" s="300">
        <v>5.0000000000000001E-3</v>
      </c>
      <c r="F46" s="297">
        <v>8245.06</v>
      </c>
    </row>
    <row r="47" spans="1:6" ht="14.1">
      <c r="A47" s="297" t="s">
        <v>695</v>
      </c>
      <c r="B47" s="297">
        <v>8245.06</v>
      </c>
      <c r="C47" s="297" t="s">
        <v>678</v>
      </c>
      <c r="D47" s="297" t="s">
        <v>678</v>
      </c>
      <c r="E47" s="300">
        <v>2E-3</v>
      </c>
      <c r="F47" s="297">
        <v>8228.57</v>
      </c>
    </row>
    <row r="49" spans="1:6" ht="12.95">
      <c r="A49" s="301" t="s">
        <v>681</v>
      </c>
      <c r="B49" s="301"/>
      <c r="C49" s="301" t="s">
        <v>682</v>
      </c>
      <c r="D49" s="301" t="s">
        <v>683</v>
      </c>
      <c r="E49" s="301" t="s">
        <v>684</v>
      </c>
    </row>
    <row r="50" spans="1:6" ht="14.45">
      <c r="A50" s="305" t="s">
        <v>630</v>
      </c>
      <c r="B50" s="305" t="s">
        <v>631</v>
      </c>
      <c r="C50" s="517">
        <v>6</v>
      </c>
      <c r="D50" s="518">
        <f>B42</f>
        <v>10569.5077</v>
      </c>
      <c r="E50" s="306">
        <f>D50*C50</f>
        <v>63417.046199999997</v>
      </c>
      <c r="F50" s="72" t="s">
        <v>685</v>
      </c>
    </row>
    <row r="52" spans="1:6" ht="14.1">
      <c r="A52" s="466" t="s">
        <v>696</v>
      </c>
      <c r="B52" s="512"/>
      <c r="C52" s="512"/>
      <c r="D52" s="512"/>
      <c r="E52" s="512"/>
      <c r="F52" s="513"/>
    </row>
    <row r="53" spans="1:6" ht="14.1">
      <c r="A53" s="467" t="s">
        <v>670</v>
      </c>
      <c r="B53" s="467" t="s">
        <v>671</v>
      </c>
      <c r="C53" s="467" t="s">
        <v>672</v>
      </c>
      <c r="D53" s="466" t="s">
        <v>673</v>
      </c>
      <c r="E53" s="513"/>
      <c r="F53" s="467" t="s">
        <v>674</v>
      </c>
    </row>
    <row r="54" spans="1:6" ht="14.1">
      <c r="A54" s="514"/>
      <c r="B54" s="514"/>
      <c r="C54" s="514"/>
      <c r="D54" s="296" t="s">
        <v>675</v>
      </c>
      <c r="E54" s="296" t="s">
        <v>676</v>
      </c>
      <c r="F54" s="514"/>
    </row>
    <row r="55" spans="1:6" ht="14.1">
      <c r="A55" s="297" t="s">
        <v>690</v>
      </c>
      <c r="B55" s="298">
        <v>9898.0330799999992</v>
      </c>
      <c r="C55" s="297"/>
      <c r="D55" s="297"/>
      <c r="E55" s="299">
        <v>0.02</v>
      </c>
      <c r="F55" s="297">
        <v>9700.07</v>
      </c>
    </row>
    <row r="56" spans="1:6" ht="14.1">
      <c r="A56" s="297" t="s">
        <v>697</v>
      </c>
      <c r="B56" s="297">
        <v>9700.07</v>
      </c>
      <c r="C56" s="297" t="s">
        <v>678</v>
      </c>
      <c r="D56" s="297" t="s">
        <v>678</v>
      </c>
      <c r="E56" s="299">
        <v>0.15</v>
      </c>
      <c r="F56" s="297">
        <v>8245.06</v>
      </c>
    </row>
    <row r="57" spans="1:6" ht="14.1">
      <c r="A57" s="297" t="s">
        <v>698</v>
      </c>
      <c r="B57" s="297">
        <v>8245.06</v>
      </c>
      <c r="C57" s="297" t="s">
        <v>678</v>
      </c>
      <c r="D57" s="297" t="s">
        <v>678</v>
      </c>
      <c r="E57" s="300">
        <v>2E-3</v>
      </c>
      <c r="F57" s="297">
        <v>8228.57</v>
      </c>
    </row>
    <row r="59" spans="1:6" ht="12.95">
      <c r="A59" s="301" t="s">
        <v>681</v>
      </c>
      <c r="B59" s="301"/>
      <c r="C59" s="301" t="s">
        <v>682</v>
      </c>
      <c r="D59" s="301" t="s">
        <v>683</v>
      </c>
      <c r="E59" s="301" t="s">
        <v>684</v>
      </c>
    </row>
    <row r="60" spans="1:6" ht="14.45">
      <c r="A60" s="305" t="s">
        <v>639</v>
      </c>
      <c r="B60" s="305" t="s">
        <v>631</v>
      </c>
      <c r="C60" s="517">
        <v>6</v>
      </c>
      <c r="D60" s="518">
        <f>B55</f>
        <v>9898.0330799999992</v>
      </c>
      <c r="E60" s="306">
        <f>D60*C60</f>
        <v>59388.198479999992</v>
      </c>
      <c r="F60" s="72" t="s">
        <v>685</v>
      </c>
    </row>
    <row r="64" spans="1:6" ht="12.6">
      <c r="E64" s="72" t="s">
        <v>699</v>
      </c>
    </row>
    <row r="65" spans="1:7" ht="14.1">
      <c r="A65" s="296" t="s">
        <v>700</v>
      </c>
      <c r="B65" s="296" t="s">
        <v>625</v>
      </c>
      <c r="C65" s="296" t="s">
        <v>626</v>
      </c>
      <c r="D65" s="296" t="s">
        <v>379</v>
      </c>
      <c r="E65" s="296" t="s">
        <v>701</v>
      </c>
      <c r="F65" s="307" t="s">
        <v>702</v>
      </c>
      <c r="G65" s="307" t="s">
        <v>703</v>
      </c>
    </row>
    <row r="66" spans="1:7" ht="14.1">
      <c r="A66" s="297">
        <v>3</v>
      </c>
      <c r="B66" s="297" t="s">
        <v>635</v>
      </c>
      <c r="C66" s="297" t="s">
        <v>631</v>
      </c>
      <c r="D66" s="297">
        <v>1</v>
      </c>
      <c r="E66" s="297">
        <v>44800</v>
      </c>
      <c r="F66" s="75">
        <f>C3</f>
        <v>1.9350000000000001</v>
      </c>
      <c r="G66" s="306">
        <f t="shared" ref="G66:G76" si="0">F66*E66</f>
        <v>86688</v>
      </c>
    </row>
    <row r="67" spans="1:7" ht="14.1">
      <c r="A67" s="297">
        <v>2</v>
      </c>
      <c r="B67" s="297" t="s">
        <v>641</v>
      </c>
      <c r="C67" s="297" t="s">
        <v>642</v>
      </c>
      <c r="D67" s="297">
        <v>1</v>
      </c>
      <c r="E67" s="297">
        <v>44800</v>
      </c>
      <c r="F67" s="75">
        <f t="shared" ref="F67:F69" si="1">C6</f>
        <v>2.3076923076923075</v>
      </c>
      <c r="G67" s="306">
        <f t="shared" si="0"/>
        <v>103384.61538461538</v>
      </c>
    </row>
    <row r="68" spans="1:7" ht="14.1">
      <c r="A68" s="297">
        <v>2</v>
      </c>
      <c r="B68" s="297" t="s">
        <v>644</v>
      </c>
      <c r="C68" s="297" t="s">
        <v>631</v>
      </c>
      <c r="D68" s="297">
        <v>1</v>
      </c>
      <c r="E68" s="297">
        <v>44800</v>
      </c>
      <c r="F68" s="75">
        <f t="shared" si="1"/>
        <v>1.84</v>
      </c>
      <c r="G68" s="306">
        <f t="shared" si="0"/>
        <v>82432</v>
      </c>
    </row>
    <row r="69" spans="1:7" ht="14.1">
      <c r="A69" s="297">
        <v>2</v>
      </c>
      <c r="B69" s="297" t="s">
        <v>646</v>
      </c>
      <c r="C69" s="297" t="s">
        <v>647</v>
      </c>
      <c r="D69" s="297">
        <v>1</v>
      </c>
      <c r="E69" s="297">
        <v>44800</v>
      </c>
      <c r="F69" s="75">
        <f t="shared" si="1"/>
        <v>0.754</v>
      </c>
      <c r="G69" s="306">
        <f t="shared" si="0"/>
        <v>33779.199999999997</v>
      </c>
    </row>
    <row r="70" spans="1:7" ht="14.1">
      <c r="A70" s="297">
        <v>2</v>
      </c>
      <c r="B70" s="297" t="s">
        <v>704</v>
      </c>
      <c r="C70" s="297"/>
      <c r="D70" s="297">
        <v>1</v>
      </c>
      <c r="E70" s="297">
        <v>44800</v>
      </c>
      <c r="F70" s="75">
        <f>0</f>
        <v>0</v>
      </c>
      <c r="G70" s="306">
        <f t="shared" si="0"/>
        <v>0</v>
      </c>
    </row>
    <row r="71" spans="1:7" ht="14.1">
      <c r="A71" s="297">
        <v>2</v>
      </c>
      <c r="B71" s="297" t="s">
        <v>649</v>
      </c>
      <c r="C71" s="297" t="s">
        <v>647</v>
      </c>
      <c r="D71" s="297">
        <v>2</v>
      </c>
      <c r="E71" s="297">
        <v>89600</v>
      </c>
      <c r="F71" s="75">
        <f t="shared" ref="F71:F72" si="2">C9</f>
        <v>0.27</v>
      </c>
      <c r="G71" s="306">
        <f t="shared" si="0"/>
        <v>24192</v>
      </c>
    </row>
    <row r="72" spans="1:7" ht="14.1">
      <c r="A72" s="297">
        <v>2</v>
      </c>
      <c r="B72" s="297" t="s">
        <v>652</v>
      </c>
      <c r="C72" s="297" t="s">
        <v>653</v>
      </c>
      <c r="D72" s="297">
        <v>2</v>
      </c>
      <c r="E72" s="297">
        <v>89600</v>
      </c>
      <c r="F72" s="75">
        <f t="shared" si="2"/>
        <v>0.27</v>
      </c>
      <c r="G72" s="306">
        <f t="shared" si="0"/>
        <v>24192</v>
      </c>
    </row>
    <row r="73" spans="1:7" ht="14.1">
      <c r="A73" s="297">
        <v>2</v>
      </c>
      <c r="B73" s="297" t="s">
        <v>655</v>
      </c>
      <c r="C73" s="297" t="s">
        <v>656</v>
      </c>
      <c r="D73" s="297">
        <v>2</v>
      </c>
      <c r="E73" s="297">
        <v>89600</v>
      </c>
      <c r="F73" s="75">
        <f>C12</f>
        <v>3</v>
      </c>
      <c r="G73" s="306">
        <f t="shared" si="0"/>
        <v>268800</v>
      </c>
    </row>
    <row r="74" spans="1:7" ht="14.1">
      <c r="A74" s="297">
        <v>2</v>
      </c>
      <c r="B74" s="297" t="s">
        <v>705</v>
      </c>
      <c r="C74" s="297" t="s">
        <v>631</v>
      </c>
      <c r="D74" s="297">
        <v>4</v>
      </c>
      <c r="E74" s="297">
        <v>179200</v>
      </c>
      <c r="F74" s="75">
        <f>C13+C14</f>
        <v>0.30547000000000002</v>
      </c>
      <c r="G74" s="306">
        <f t="shared" si="0"/>
        <v>54740.224000000002</v>
      </c>
    </row>
    <row r="75" spans="1:7" ht="14.1">
      <c r="A75" s="297">
        <v>2</v>
      </c>
      <c r="B75" s="297" t="s">
        <v>663</v>
      </c>
      <c r="C75" s="297" t="s">
        <v>631</v>
      </c>
      <c r="D75" s="297">
        <v>4</v>
      </c>
      <c r="E75" s="297">
        <v>179200</v>
      </c>
      <c r="F75" s="75">
        <f>C15</f>
        <v>0.131525</v>
      </c>
      <c r="G75" s="306">
        <f t="shared" si="0"/>
        <v>23569.279999999999</v>
      </c>
    </row>
    <row r="76" spans="1:7" ht="14.1">
      <c r="A76" s="297">
        <v>2</v>
      </c>
      <c r="B76" s="297" t="s">
        <v>706</v>
      </c>
      <c r="C76" s="297"/>
      <c r="D76" s="297">
        <v>1</v>
      </c>
      <c r="E76" s="297">
        <v>44800</v>
      </c>
      <c r="F76" s="75">
        <v>0</v>
      </c>
      <c r="G76" s="306">
        <f t="shared" si="0"/>
        <v>0</v>
      </c>
    </row>
    <row r="78" spans="1:7" ht="12.95">
      <c r="A78" s="308" t="s">
        <v>707</v>
      </c>
      <c r="B78" s="309">
        <f>E28+E37+E50+E60+SUM(G66:G76)</f>
        <v>1111124.6940646155</v>
      </c>
    </row>
    <row r="80" spans="1:7" ht="12.6">
      <c r="A80" s="72" t="s">
        <v>708</v>
      </c>
      <c r="C80" s="72">
        <v>0</v>
      </c>
    </row>
    <row r="81" spans="1:7" ht="12.6">
      <c r="A81" s="310" t="s">
        <v>709</v>
      </c>
      <c r="B81" s="310"/>
      <c r="C81" s="311">
        <f>B24-57600+B33-F34+B42-F47+B55-F57</f>
        <v>15153.950779999999</v>
      </c>
      <c r="D81" s="310" t="s">
        <v>710</v>
      </c>
      <c r="F81" s="64" t="s">
        <v>711</v>
      </c>
    </row>
    <row r="82" spans="1:7" ht="12.6">
      <c r="F82" s="72" t="s">
        <v>712</v>
      </c>
    </row>
    <row r="83" spans="1:7" ht="12.6">
      <c r="A83" s="310" t="s">
        <v>713</v>
      </c>
      <c r="B83" s="310"/>
      <c r="C83" s="312">
        <f>C81*F83</f>
        <v>7576.9753899999996</v>
      </c>
      <c r="D83" s="310" t="s">
        <v>685</v>
      </c>
      <c r="F83" s="72">
        <v>0.5</v>
      </c>
      <c r="G83" s="72" t="s">
        <v>632</v>
      </c>
    </row>
    <row r="86" spans="1:7" ht="12.95">
      <c r="A86" s="71" t="s">
        <v>714</v>
      </c>
      <c r="E86" s="72" t="s">
        <v>715</v>
      </c>
    </row>
    <row r="87" spans="1:7" ht="12.6">
      <c r="E87" s="309">
        <f>B78/B90</f>
        <v>24.801890492513738</v>
      </c>
      <c r="F87" s="313" t="s">
        <v>685</v>
      </c>
    </row>
    <row r="88" spans="1:7" ht="14.1">
      <c r="A88" s="466" t="s">
        <v>716</v>
      </c>
      <c r="B88" s="513"/>
    </row>
    <row r="89" spans="1:7" ht="14.1">
      <c r="A89" s="297" t="s">
        <v>717</v>
      </c>
      <c r="B89" s="314">
        <v>37009</v>
      </c>
      <c r="C89" s="72" t="s">
        <v>718</v>
      </c>
    </row>
    <row r="90" spans="1:7" ht="14.1">
      <c r="A90" s="297" t="s">
        <v>719</v>
      </c>
      <c r="B90" s="315">
        <v>44800</v>
      </c>
      <c r="C90" s="72" t="s">
        <v>718</v>
      </c>
    </row>
    <row r="91" spans="1:7" ht="14.1">
      <c r="A91" s="316"/>
    </row>
    <row r="92" spans="1:7" ht="14.1">
      <c r="A92" s="297" t="s">
        <v>720</v>
      </c>
      <c r="B92" s="315">
        <v>447</v>
      </c>
      <c r="C92" s="72" t="s">
        <v>721</v>
      </c>
    </row>
    <row r="93" spans="1:7" ht="14.1">
      <c r="A93" s="316"/>
    </row>
    <row r="94" spans="1:7" ht="14.1">
      <c r="A94" s="466" t="s">
        <v>722</v>
      </c>
      <c r="B94" s="513"/>
    </row>
    <row r="95" spans="1:7" ht="14.1">
      <c r="A95" s="297" t="s">
        <v>55</v>
      </c>
      <c r="B95" s="317">
        <v>36532</v>
      </c>
    </row>
    <row r="96" spans="1:7" ht="14.1">
      <c r="A96" s="297" t="s">
        <v>723</v>
      </c>
      <c r="B96" s="315">
        <v>44800</v>
      </c>
    </row>
    <row r="97" spans="1:8" ht="14.1">
      <c r="A97" s="316"/>
    </row>
    <row r="98" spans="1:8" ht="14.1">
      <c r="A98" s="466" t="s">
        <v>724</v>
      </c>
      <c r="B98" s="513"/>
    </row>
    <row r="99" spans="1:8" ht="14.1">
      <c r="A99" s="318" t="s">
        <v>725</v>
      </c>
      <c r="B99" s="72">
        <v>794</v>
      </c>
      <c r="C99" s="318"/>
      <c r="E99" s="313" t="s">
        <v>726</v>
      </c>
      <c r="F99" s="313"/>
      <c r="G99" s="313"/>
    </row>
    <row r="100" spans="1:8" ht="14.1">
      <c r="A100" s="297" t="s">
        <v>727</v>
      </c>
      <c r="B100" s="319">
        <v>10714.6</v>
      </c>
      <c r="C100" s="297"/>
      <c r="E100" s="309">
        <f>E87*B89</f>
        <v>917893.16523744096</v>
      </c>
      <c r="F100" s="313" t="s">
        <v>685</v>
      </c>
      <c r="G100" s="313"/>
    </row>
    <row r="101" spans="1:8" ht="14.1">
      <c r="A101" s="297" t="s">
        <v>728</v>
      </c>
      <c r="B101" s="72">
        <v>34698.1</v>
      </c>
      <c r="C101" s="297"/>
    </row>
    <row r="102" spans="1:8" ht="14.1">
      <c r="A102" s="318" t="s">
        <v>729</v>
      </c>
      <c r="B102" s="320">
        <f>SUM(B99:B101)</f>
        <v>46206.7</v>
      </c>
      <c r="C102" s="321" t="s">
        <v>730</v>
      </c>
      <c r="E102" s="313" t="s">
        <v>731</v>
      </c>
      <c r="F102" s="309">
        <f>(B102)*E87</f>
        <v>1146013.5134204344</v>
      </c>
      <c r="G102" s="313" t="s">
        <v>685</v>
      </c>
    </row>
    <row r="103" spans="1:8" ht="14.1">
      <c r="A103" s="297" t="s">
        <v>732</v>
      </c>
      <c r="B103" s="314">
        <v>37009</v>
      </c>
      <c r="C103" s="297"/>
    </row>
    <row r="104" spans="1:8" ht="14.1">
      <c r="A104" s="297" t="s">
        <v>733</v>
      </c>
      <c r="B104" s="314">
        <v>8404</v>
      </c>
      <c r="C104" s="297"/>
      <c r="E104" s="313" t="s">
        <v>734</v>
      </c>
      <c r="F104" s="309">
        <f>B100*E87</f>
        <v>265742.33587108774</v>
      </c>
      <c r="G104" s="313" t="s">
        <v>685</v>
      </c>
      <c r="H104" s="72" t="s">
        <v>735</v>
      </c>
    </row>
    <row r="105" spans="1:8" ht="14.1">
      <c r="A105" s="297"/>
      <c r="C105" s="297"/>
    </row>
    <row r="106" spans="1:8" ht="12.6">
      <c r="E106" s="313" t="s">
        <v>736</v>
      </c>
      <c r="F106" s="313">
        <v>0</v>
      </c>
      <c r="G106" s="313"/>
      <c r="H106" s="72" t="s">
        <v>737</v>
      </c>
    </row>
    <row r="107" spans="1:8" ht="14.1">
      <c r="A107" s="304" t="s">
        <v>738</v>
      </c>
      <c r="E107" s="313" t="s">
        <v>739</v>
      </c>
      <c r="F107" s="309">
        <f>B99*E87</f>
        <v>19692.701051055908</v>
      </c>
      <c r="G107" s="313" t="s">
        <v>685</v>
      </c>
      <c r="H107" s="72" t="s">
        <v>740</v>
      </c>
    </row>
    <row r="108" spans="1:8" ht="14.1">
      <c r="A108" s="316"/>
    </row>
    <row r="109" spans="1:8" ht="14.1">
      <c r="A109" s="466" t="s">
        <v>741</v>
      </c>
      <c r="B109" s="513"/>
      <c r="E109" s="313" t="s">
        <v>742</v>
      </c>
      <c r="F109" s="313">
        <v>0</v>
      </c>
      <c r="G109" s="313" t="s">
        <v>685</v>
      </c>
      <c r="H109" s="72" t="s">
        <v>743</v>
      </c>
    </row>
    <row r="110" spans="1:8" ht="14.1">
      <c r="A110" s="297" t="s">
        <v>744</v>
      </c>
      <c r="B110" s="315" t="s">
        <v>745</v>
      </c>
    </row>
    <row r="111" spans="1:8" ht="14.1">
      <c r="A111" s="297" t="s">
        <v>746</v>
      </c>
      <c r="B111" s="315" t="s">
        <v>747</v>
      </c>
    </row>
    <row r="112" spans="1:8" ht="14.1">
      <c r="A112" s="297" t="s">
        <v>748</v>
      </c>
      <c r="B112" s="315" t="s">
        <v>749</v>
      </c>
      <c r="G112" s="72" t="s">
        <v>750</v>
      </c>
    </row>
    <row r="113" spans="7:7" ht="12.6">
      <c r="G113" s="72" t="s">
        <v>751</v>
      </c>
    </row>
  </sheetData>
  <mergeCells count="28">
    <mergeCell ref="A98:B98"/>
    <mergeCell ref="A109:B109"/>
    <mergeCell ref="D40:E40"/>
    <mergeCell ref="F40:F41"/>
    <mergeCell ref="A52:F52"/>
    <mergeCell ref="A53:A54"/>
    <mergeCell ref="B53:B54"/>
    <mergeCell ref="C53:C54"/>
    <mergeCell ref="D53:E53"/>
    <mergeCell ref="F53:F54"/>
    <mergeCell ref="A40:A41"/>
    <mergeCell ref="A30:F30"/>
    <mergeCell ref="B40:B41"/>
    <mergeCell ref="C40:C41"/>
    <mergeCell ref="A88:B88"/>
    <mergeCell ref="A94:B94"/>
    <mergeCell ref="A31:A32"/>
    <mergeCell ref="B31:B32"/>
    <mergeCell ref="C31:C32"/>
    <mergeCell ref="D31:E31"/>
    <mergeCell ref="F31:F32"/>
    <mergeCell ref="A39:F39"/>
    <mergeCell ref="A21:F21"/>
    <mergeCell ref="A22:A23"/>
    <mergeCell ref="B22:B23"/>
    <mergeCell ref="C22:C23"/>
    <mergeCell ref="D22:E22"/>
    <mergeCell ref="F22:F23"/>
  </mergeCells>
  <hyperlinks>
    <hyperlink ref="F3" r:id="rId1" xr:uid="{00000000-0004-0000-0600-000000000000}"/>
    <hyperlink ref="F4" r:id="rId2" location="polycard_client=search-nordic&amp;search_layout=stack&amp;position=6&amp;type=item&amp;tracking_id=c9927400-b1e2-4bb3-9053-b564420e0969" xr:uid="{00000000-0004-0000-0600-000001000000}"/>
    <hyperlink ref="F5" r:id="rId3" xr:uid="{00000000-0004-0000-0600-000002000000}"/>
    <hyperlink ref="F6" r:id="rId4" location="polycard_client=search-nordic&amp;wid=MLA1454465469&amp;search_layout=stack&amp;position=9&amp;type=product&amp;tracking_id=4c9ff310-1477-44f8-ab8d-150edac1f232&amp;sid=search" xr:uid="{00000000-0004-0000-0600-000003000000}"/>
    <hyperlink ref="F7" r:id="rId5" xr:uid="{00000000-0004-0000-0600-000004000000}"/>
    <hyperlink ref="F8" r:id="rId6" xr:uid="{00000000-0004-0000-0600-000005000000}"/>
    <hyperlink ref="F12" r:id="rId7" xr:uid="{00000000-0004-0000-0600-000006000000}"/>
    <hyperlink ref="F13" r:id="rId8" xr:uid="{00000000-0004-0000-0600-000007000000}"/>
    <hyperlink ref="F14" r:id="rId9" xr:uid="{00000000-0004-0000-0600-000008000000}"/>
    <hyperlink ref="F15" r:id="rId10" xr:uid="{00000000-0004-0000-0600-000009000000}"/>
    <hyperlink ref="F81" r:id="rId11" xr:uid="{00000000-0004-0000-0600-00000A000000}"/>
  </hyperlinks>
  <pageMargins left="0.7" right="0.7" top="0.75" bottom="0.75" header="0.3" footer="0.3"/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2.5703125" defaultRowHeight="15" customHeight="1"/>
  <cols>
    <col min="1" max="1" width="45.42578125" customWidth="1"/>
    <col min="2" max="7" width="14.7109375" customWidth="1"/>
    <col min="8" max="26" width="11.28515625" customWidth="1"/>
  </cols>
  <sheetData>
    <row r="1" spans="1:26" ht="12.75" customHeight="1">
      <c r="A1" s="1" t="s">
        <v>0</v>
      </c>
      <c r="B1" s="6"/>
      <c r="C1" s="6"/>
      <c r="D1" s="6"/>
      <c r="E1" s="15">
        <f>InfoInicial!E1</f>
        <v>6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>
      <c r="A2" s="1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>
      <c r="A3" s="87" t="s">
        <v>752</v>
      </c>
      <c r="B3" s="88"/>
      <c r="C3" s="88"/>
      <c r="D3" s="88"/>
      <c r="E3" s="88"/>
      <c r="F3" s="88"/>
      <c r="G3" s="89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>
      <c r="A4" s="90" t="s">
        <v>252</v>
      </c>
      <c r="B4" s="18" t="s">
        <v>54</v>
      </c>
      <c r="C4" s="18" t="s">
        <v>55</v>
      </c>
      <c r="D4" s="18" t="s">
        <v>253</v>
      </c>
      <c r="E4" s="18" t="s">
        <v>254</v>
      </c>
      <c r="F4" s="18" t="s">
        <v>255</v>
      </c>
      <c r="G4" s="19" t="s">
        <v>256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>
      <c r="A5" s="322" t="s">
        <v>753</v>
      </c>
      <c r="B5" s="93"/>
      <c r="C5" s="93"/>
      <c r="D5" s="93"/>
      <c r="E5" s="93"/>
      <c r="F5" s="93"/>
      <c r="G5" s="9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323" t="s">
        <v>754</v>
      </c>
      <c r="B6" s="99">
        <f>C6*0.8</f>
        <v>63673280</v>
      </c>
      <c r="C6" s="99">
        <f>'C. Aux. Inv AT'!D6*0.02</f>
        <v>79591600</v>
      </c>
      <c r="D6" s="99">
        <f>'C. Aux. Inv AT'!E6*0.02</f>
        <v>89600000</v>
      </c>
      <c r="E6" s="99">
        <f>'C. Aux. Inv AT'!F6*0.02</f>
        <v>89600000</v>
      </c>
      <c r="F6" s="99">
        <f>'C. Aux. Inv AT'!G6*0.02</f>
        <v>89600000</v>
      </c>
      <c r="G6" s="113">
        <f>'C. Aux. Inv AT'!H6*0.02</f>
        <v>89600000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>
      <c r="A7" s="323" t="s">
        <v>755</v>
      </c>
      <c r="B7" s="99"/>
      <c r="C7" s="99">
        <f>'C. Aux. Inv AT'!D6*30/365</f>
        <v>327088767.12328768</v>
      </c>
      <c r="D7" s="99">
        <f>'C. Aux. Inv AT'!E6*30/365</f>
        <v>368219178.08219177</v>
      </c>
      <c r="E7" s="99">
        <f>'C. Aux. Inv AT'!F6*30/365</f>
        <v>368219178.08219177</v>
      </c>
      <c r="F7" s="99">
        <f>'C. Aux. Inv AT'!G6*30/365</f>
        <v>368219178.08219177</v>
      </c>
      <c r="G7" s="113">
        <f>'C. Aux. Inv AT'!H6*30/365</f>
        <v>368219178.08219177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>
      <c r="A8" s="323"/>
      <c r="B8" s="99"/>
      <c r="C8" s="99"/>
      <c r="D8" s="99"/>
      <c r="E8" s="99"/>
      <c r="F8" s="99"/>
      <c r="G8" s="113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>
      <c r="A9" s="322" t="s">
        <v>756</v>
      </c>
      <c r="B9" s="99"/>
      <c r="C9" s="99"/>
      <c r="D9" s="99"/>
      <c r="E9" s="99"/>
      <c r="F9" s="99"/>
      <c r="G9" s="113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>
      <c r="A10" s="323" t="s">
        <v>757</v>
      </c>
      <c r="B10" s="99">
        <f>'C. Aux. Inv AT'!C15</f>
        <v>345477933.61547011</v>
      </c>
      <c r="C10" s="99">
        <f>'C. Aux. Inv AT'!D15</f>
        <v>486796625.45276415</v>
      </c>
      <c r="D10" s="99">
        <f>'C. Aux. Inv AT'!E15</f>
        <v>486796625.45276415</v>
      </c>
      <c r="E10" s="99">
        <f>'C. Aux. Inv AT'!F15</f>
        <v>486796625.45276415</v>
      </c>
      <c r="F10" s="99">
        <f>'C. Aux. Inv AT'!G15</f>
        <v>486796625.45276415</v>
      </c>
      <c r="G10" s="113">
        <f>'C. Aux. Inv AT'!H15</f>
        <v>486796625.45276415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>
      <c r="A11" s="323" t="s">
        <v>758</v>
      </c>
      <c r="B11" s="99"/>
      <c r="C11" s="99">
        <f>'C. Aux. Inv AT'!D23</f>
        <v>32905880.156632312</v>
      </c>
      <c r="D11" s="99">
        <f>'C. Aux. Inv AT'!E23</f>
        <v>33356483.609006673</v>
      </c>
      <c r="E11" s="99">
        <f>'C. Aux. Inv AT'!F23</f>
        <v>33356483.609006673</v>
      </c>
      <c r="F11" s="99">
        <f>'C. Aux. Inv AT'!G23</f>
        <v>33356483.609006673</v>
      </c>
      <c r="G11" s="113">
        <f>'C. Aux. Inv AT'!H23</f>
        <v>33356483.609006673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>
      <c r="A12" s="323" t="s">
        <v>759</v>
      </c>
      <c r="B12" s="99"/>
      <c r="C12" s="99">
        <f>'E-Costos'!B43</f>
        <v>36298795.402852744</v>
      </c>
      <c r="D12" s="99">
        <f>'E-Costos'!C43</f>
        <v>35684429.09681835</v>
      </c>
      <c r="E12" s="99">
        <f>'E-Costos'!D43</f>
        <v>35684429.09681835</v>
      </c>
      <c r="F12" s="99">
        <f>'E-Costos'!E43</f>
        <v>35684429.09681835</v>
      </c>
      <c r="G12" s="113">
        <f>'E-Costos'!F43</f>
        <v>35684429.09681835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>
      <c r="A13" s="323" t="s">
        <v>760</v>
      </c>
      <c r="B13" s="99"/>
      <c r="C13" s="99">
        <f>'C. Aux. Inv AT'!D30</f>
        <v>21531997.512544114</v>
      </c>
      <c r="D13" s="99">
        <f>'C. Aux. Inv AT'!E30</f>
        <v>21545443.120641772</v>
      </c>
      <c r="E13" s="99">
        <f>'C. Aux. Inv AT'!F30</f>
        <v>21538901.76510654</v>
      </c>
      <c r="F13" s="99">
        <f>'C. Aux. Inv AT'!G30</f>
        <v>21538901.76510654</v>
      </c>
      <c r="G13" s="113">
        <f>'C. Aux. Inv AT'!H30</f>
        <v>21538901.76510654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>
      <c r="A14" s="323"/>
      <c r="B14" s="99"/>
      <c r="C14" s="99"/>
      <c r="D14" s="99"/>
      <c r="E14" s="99"/>
      <c r="F14" s="99"/>
      <c r="G14" s="113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>
      <c r="A15" s="322" t="s">
        <v>761</v>
      </c>
      <c r="B15" s="99">
        <f t="shared" ref="B15:G15" si="0">SUM(B5:B14)</f>
        <v>409151213.61547011</v>
      </c>
      <c r="C15" s="99">
        <f t="shared" si="0"/>
        <v>984213665.64808106</v>
      </c>
      <c r="D15" s="99">
        <f t="shared" si="0"/>
        <v>1035202159.3614228</v>
      </c>
      <c r="E15" s="99">
        <f t="shared" si="0"/>
        <v>1035195618.0058875</v>
      </c>
      <c r="F15" s="99">
        <f t="shared" si="0"/>
        <v>1035195618.0058875</v>
      </c>
      <c r="G15" s="113">
        <f t="shared" si="0"/>
        <v>1035195618.0058875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>
      <c r="A16" s="322" t="s">
        <v>762</v>
      </c>
      <c r="B16" s="99"/>
      <c r="C16" s="99"/>
      <c r="D16" s="99"/>
      <c r="E16" s="99"/>
      <c r="F16" s="99"/>
      <c r="G16" s="113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>
      <c r="A17" s="323" t="s">
        <v>763</v>
      </c>
      <c r="B17" s="99"/>
      <c r="C17" s="99">
        <f>'E-Costos'!B34</f>
        <v>2084275.5642021201</v>
      </c>
      <c r="D17" s="99">
        <f>'E-Costos'!C34</f>
        <v>1740277.0480925112</v>
      </c>
      <c r="E17" s="99">
        <f>'E-Costos'!D34</f>
        <v>1740277.0480925112</v>
      </c>
      <c r="F17" s="99">
        <f>'E-Costos'!E34</f>
        <v>1740277.0480925112</v>
      </c>
      <c r="G17" s="113">
        <f>'E-Costos'!F34</f>
        <v>1740277.0480925112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>
      <c r="A18" s="323" t="s">
        <v>764</v>
      </c>
      <c r="B18" s="99"/>
      <c r="C18" s="99">
        <f>'C. Aux. Inv AT'!D40</f>
        <v>1897402.5257388174</v>
      </c>
      <c r="D18" s="99">
        <f>'C. Aux. Inv AT'!E40</f>
        <v>1571095.0305190219</v>
      </c>
      <c r="E18" s="99">
        <f>'C. Aux. Inv AT'!F40</f>
        <v>1571095.0305190219</v>
      </c>
      <c r="F18" s="99">
        <f>'C. Aux. Inv AT'!G40</f>
        <v>1571095.0305190219</v>
      </c>
      <c r="G18" s="113">
        <f>'C. Aux. Inv AT'!H40</f>
        <v>1571095.0305190219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>
      <c r="A19" s="323" t="s">
        <v>765</v>
      </c>
      <c r="B19" s="99"/>
      <c r="C19" s="99">
        <f>C7*'E-Costos'!B143</f>
        <v>89626647.622310802</v>
      </c>
      <c r="D19" s="99">
        <f>D7*'E-Costos'!C143</f>
        <v>104483906.23053211</v>
      </c>
      <c r="E19" s="99">
        <f>E7*'E-Costos'!D143</f>
        <v>104512312.3013549</v>
      </c>
      <c r="F19" s="99">
        <f>F7*'E-Costos'!E143</f>
        <v>104512019.38222371</v>
      </c>
      <c r="G19" s="113">
        <f>G7*'E-Costos'!F143</f>
        <v>104512019.38222371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>
      <c r="A20" s="323" t="s">
        <v>766</v>
      </c>
      <c r="B20" s="99"/>
      <c r="C20" s="99">
        <f>('E-Inv AF y Am'!$D$59-C18-C17)*30/365</f>
        <v>17607342.321522977</v>
      </c>
      <c r="D20" s="99">
        <f>('E-Inv AF y Am'!$D$59-D18-D17)*30/365</f>
        <v>17662435.966289777</v>
      </c>
      <c r="E20" s="99">
        <f>('E-Inv AF y Am'!$D$59-E18-E17)*30/365</f>
        <v>17662435.966289777</v>
      </c>
      <c r="F20" s="99">
        <f>('E-Inv AF y Am'!$E$59-F18-F17)*30/365</f>
        <v>17662435.966289777</v>
      </c>
      <c r="G20" s="113">
        <f>('E-Inv AF y Am'!$E$59-G18-G17)*30/365</f>
        <v>17662435.966289777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>
      <c r="A21" s="323"/>
      <c r="B21" s="99"/>
      <c r="C21" s="99"/>
      <c r="D21" s="99"/>
      <c r="E21" s="99"/>
      <c r="F21" s="99"/>
      <c r="G21" s="113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>
      <c r="A22" s="322" t="s">
        <v>767</v>
      </c>
      <c r="B22" s="99">
        <f t="shared" ref="B22:G22" si="1">B15-SUM(B17:B20)</f>
        <v>409151213.61547011</v>
      </c>
      <c r="C22" s="99">
        <f t="shared" si="1"/>
        <v>872997997.61430633</v>
      </c>
      <c r="D22" s="99">
        <f t="shared" si="1"/>
        <v>909744445.08598936</v>
      </c>
      <c r="E22" s="99">
        <f t="shared" si="1"/>
        <v>909709497.65963125</v>
      </c>
      <c r="F22" s="99">
        <f t="shared" si="1"/>
        <v>909709790.57876253</v>
      </c>
      <c r="G22" s="113">
        <f t="shared" si="1"/>
        <v>909709790.57876253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>
      <c r="A23" s="323"/>
      <c r="B23" s="99"/>
      <c r="C23" s="99"/>
      <c r="D23" s="99"/>
      <c r="E23" s="99"/>
      <c r="F23" s="99"/>
      <c r="G23" s="113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>
      <c r="A24" s="322" t="s">
        <v>768</v>
      </c>
      <c r="B24" s="99">
        <f>B15</f>
        <v>409151213.61547011</v>
      </c>
      <c r="C24" s="99">
        <f t="shared" ref="C24:G24" si="2">C15-B15</f>
        <v>575062452.03261089</v>
      </c>
      <c r="D24" s="99">
        <f t="shared" si="2"/>
        <v>50988493.713341713</v>
      </c>
      <c r="E24" s="99">
        <f t="shared" si="2"/>
        <v>-6541.3555352687836</v>
      </c>
      <c r="F24" s="99">
        <f t="shared" si="2"/>
        <v>0</v>
      </c>
      <c r="G24" s="113">
        <f t="shared" si="2"/>
        <v>0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>
      <c r="A25" s="322" t="s">
        <v>769</v>
      </c>
      <c r="B25" s="99">
        <f>B22</f>
        <v>409151213.61547011</v>
      </c>
      <c r="C25" s="99">
        <f t="shared" ref="C25:G25" si="3">C22-B22</f>
        <v>463846783.99883622</v>
      </c>
      <c r="D25" s="99">
        <f t="shared" si="3"/>
        <v>36746447.471683025</v>
      </c>
      <c r="E25" s="99">
        <f t="shared" si="3"/>
        <v>-34947.426358103752</v>
      </c>
      <c r="F25" s="99">
        <f t="shared" si="3"/>
        <v>292.9191312789917</v>
      </c>
      <c r="G25" s="113">
        <f t="shared" si="3"/>
        <v>0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>
      <c r="A26" s="323"/>
      <c r="B26" s="99"/>
      <c r="C26" s="99"/>
      <c r="D26" s="99"/>
      <c r="E26" s="99"/>
      <c r="F26" s="99"/>
      <c r="G26" s="113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>
      <c r="A27" s="322" t="s">
        <v>770</v>
      </c>
      <c r="B27" s="99"/>
      <c r="C27" s="99"/>
      <c r="D27" s="99"/>
      <c r="E27" s="99"/>
      <c r="F27" s="99"/>
      <c r="G27" s="113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>
      <c r="A28" s="323" t="s">
        <v>771</v>
      </c>
      <c r="B28" s="99"/>
      <c r="C28" s="99"/>
      <c r="D28" s="99"/>
      <c r="E28" s="99"/>
      <c r="F28" s="99"/>
      <c r="G28" s="113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>
      <c r="A29" s="323" t="s">
        <v>772</v>
      </c>
      <c r="B29" s="99"/>
      <c r="C29" s="99"/>
      <c r="D29" s="99"/>
      <c r="E29" s="99"/>
      <c r="F29" s="99"/>
      <c r="G29" s="113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>
      <c r="A30" s="323" t="s">
        <v>773</v>
      </c>
      <c r="B30" s="99">
        <f>B10*InfoInicial!B3</f>
        <v>72550366.059248716</v>
      </c>
      <c r="C30" s="99">
        <f>(C10-B10)*InfoInicial!B3</f>
        <v>29676925.285831749</v>
      </c>
      <c r="D30" s="99">
        <f>(D10-C10)*InfoInicial!C3</f>
        <v>0</v>
      </c>
      <c r="E30" s="99">
        <f>(E10-D10)*InfoInicial!D3</f>
        <v>0</v>
      </c>
      <c r="F30" s="99">
        <f>(F10-E10)*InfoInicial!E3</f>
        <v>0</v>
      </c>
      <c r="G30" s="113">
        <f>(G10-F10)*InfoInicial!F3</f>
        <v>0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>
      <c r="A31" s="323" t="s">
        <v>774</v>
      </c>
      <c r="B31" s="99"/>
      <c r="C31" s="99">
        <f>C11*InfoInicial!$B$3</f>
        <v>6910234.8328927848</v>
      </c>
      <c r="D31" s="99">
        <f>(D11-C11)*InfoInicial!$B$3</f>
        <v>94626.7249986159</v>
      </c>
      <c r="E31" s="99">
        <f>(E11-D11)*InfoInicial!$B$3</f>
        <v>0</v>
      </c>
      <c r="F31" s="99">
        <f>(F11-E11)*InfoInicial!$B$3</f>
        <v>0</v>
      </c>
      <c r="G31" s="113">
        <f>(G11-F11)*InfoInicial!$B$3</f>
        <v>0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>
      <c r="A32" s="323" t="s">
        <v>775</v>
      </c>
      <c r="B32" s="99"/>
      <c r="C32" s="99">
        <f>C12*InfoInicial!$B$3</f>
        <v>7622747.034599076</v>
      </c>
      <c r="D32" s="99">
        <f>(D12-C12)*InfoInicial!$B$3</f>
        <v>-129016.92426722265</v>
      </c>
      <c r="E32" s="99">
        <f>(E12-D12)*InfoInicial!$B$3</f>
        <v>0</v>
      </c>
      <c r="F32" s="99">
        <f>(F12-E12)*InfoInicial!$B$3</f>
        <v>0</v>
      </c>
      <c r="G32" s="113">
        <f>(G12-F12)*InfoInicial!$B$3</f>
        <v>0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>
      <c r="A33" s="323" t="s">
        <v>776</v>
      </c>
      <c r="B33" s="49"/>
      <c r="C33" s="99">
        <f>C13*InfoInicial!$B$3</f>
        <v>4521719.4776342642</v>
      </c>
      <c r="D33" s="99">
        <f>(D13-C13)*InfoInicial!$B$3</f>
        <v>2823.5777005080877</v>
      </c>
      <c r="E33" s="99">
        <f>(E13-D13)*InfoInicial!$B$3</f>
        <v>-1373.6846623986214</v>
      </c>
      <c r="F33" s="99">
        <f>(F13-E13)*InfoInicial!$B$3</f>
        <v>0</v>
      </c>
      <c r="G33" s="113">
        <f>(G13-F13)*InfoInicial!$B$3</f>
        <v>0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>
      <c r="A34" s="322" t="s">
        <v>777</v>
      </c>
      <c r="B34" s="324">
        <f t="shared" ref="B34:G34" si="4">SUM(B30:B33)</f>
        <v>72550366.059248716</v>
      </c>
      <c r="C34" s="324">
        <f t="shared" si="4"/>
        <v>48731626.630957872</v>
      </c>
      <c r="D34" s="324">
        <f t="shared" si="4"/>
        <v>-31566.621568098664</v>
      </c>
      <c r="E34" s="324">
        <f t="shared" si="4"/>
        <v>-1373.6846623986214</v>
      </c>
      <c r="F34" s="324">
        <f t="shared" si="4"/>
        <v>0</v>
      </c>
      <c r="G34" s="325">
        <f t="shared" si="4"/>
        <v>0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>
      <c r="A35" s="323"/>
      <c r="B35" s="104"/>
      <c r="C35" s="104"/>
      <c r="D35" s="104"/>
      <c r="E35" s="104"/>
      <c r="F35" s="104"/>
      <c r="G35" s="10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>
      <c r="A36" s="326" t="s">
        <v>778</v>
      </c>
      <c r="B36" s="114">
        <f t="shared" ref="B36:G36" si="5">B34+B25</f>
        <v>481701579.67471886</v>
      </c>
      <c r="C36" s="114">
        <f t="shared" si="5"/>
        <v>512578410.62979412</v>
      </c>
      <c r="D36" s="114">
        <f t="shared" si="5"/>
        <v>36714880.850114927</v>
      </c>
      <c r="E36" s="114">
        <f t="shared" si="5"/>
        <v>-36321.111020502372</v>
      </c>
      <c r="F36" s="114">
        <f t="shared" si="5"/>
        <v>292.9191312789917</v>
      </c>
      <c r="G36" s="115">
        <f t="shared" si="5"/>
        <v>0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25972222222222202" right="0.45972222222222198" top="0.6" bottom="1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outlinePr summaryBelow="0" summaryRight="0"/>
  </sheetPr>
  <dimension ref="B2:H40"/>
  <sheetViews>
    <sheetView topLeftCell="A27" workbookViewId="0"/>
  </sheetViews>
  <sheetFormatPr defaultColWidth="12.5703125" defaultRowHeight="15" customHeight="1"/>
  <cols>
    <col min="1" max="1" width="4.28515625" customWidth="1"/>
    <col min="2" max="2" width="22.85546875" customWidth="1"/>
    <col min="3" max="5" width="14.7109375" customWidth="1"/>
    <col min="6" max="6" width="14.42578125" customWidth="1"/>
    <col min="7" max="8" width="14.7109375" customWidth="1"/>
  </cols>
  <sheetData>
    <row r="2" spans="2:8" ht="12.95">
      <c r="B2" s="71" t="s">
        <v>779</v>
      </c>
    </row>
    <row r="4" spans="2:8" ht="15" customHeight="1">
      <c r="B4" s="296" t="s">
        <v>780</v>
      </c>
      <c r="C4" s="296">
        <v>0</v>
      </c>
      <c r="D4" s="296">
        <v>1</v>
      </c>
      <c r="E4" s="296">
        <v>2</v>
      </c>
      <c r="F4" s="296">
        <v>3</v>
      </c>
      <c r="G4" s="296">
        <v>4</v>
      </c>
      <c r="H4" s="296">
        <v>5</v>
      </c>
    </row>
    <row r="5" spans="2:8" ht="14.1">
      <c r="B5" s="297" t="s">
        <v>781</v>
      </c>
      <c r="C5" s="315">
        <v>0</v>
      </c>
      <c r="D5" s="327">
        <v>36532</v>
      </c>
      <c r="E5" s="327">
        <v>44800</v>
      </c>
      <c r="F5" s="327">
        <v>44800</v>
      </c>
      <c r="G5" s="327">
        <v>44800</v>
      </c>
      <c r="H5" s="327">
        <v>44800</v>
      </c>
    </row>
    <row r="6" spans="2:8" ht="14.1">
      <c r="B6" s="297" t="s">
        <v>782</v>
      </c>
      <c r="C6" s="328">
        <v>0</v>
      </c>
      <c r="D6" s="329">
        <v>3979580000</v>
      </c>
      <c r="E6" s="328">
        <v>4480000000</v>
      </c>
      <c r="F6" s="328">
        <v>4480000000</v>
      </c>
      <c r="G6" s="328">
        <v>4480000000</v>
      </c>
      <c r="H6" s="328">
        <v>4480000000</v>
      </c>
    </row>
    <row r="8" spans="2:8" ht="12.6">
      <c r="B8" s="72" t="s">
        <v>783</v>
      </c>
    </row>
    <row r="10" spans="2:8" ht="12.6">
      <c r="B10" s="72" t="s">
        <v>784</v>
      </c>
    </row>
    <row r="12" spans="2:8" ht="15" customHeight="1">
      <c r="B12" s="296" t="s">
        <v>780</v>
      </c>
      <c r="C12" s="296">
        <v>0</v>
      </c>
      <c r="D12" s="296">
        <v>1</v>
      </c>
      <c r="E12" s="296">
        <v>2</v>
      </c>
      <c r="F12" s="296">
        <v>3</v>
      </c>
      <c r="G12" s="296">
        <v>4</v>
      </c>
      <c r="H12" s="296">
        <v>5</v>
      </c>
    </row>
    <row r="13" spans="2:8" ht="14.1">
      <c r="B13" s="297" t="s">
        <v>785</v>
      </c>
      <c r="C13" s="327">
        <v>10715</v>
      </c>
      <c r="D13" s="327">
        <v>15098</v>
      </c>
      <c r="E13" s="327">
        <v>15098</v>
      </c>
      <c r="F13" s="327">
        <v>15098</v>
      </c>
      <c r="G13" s="327">
        <v>15098</v>
      </c>
      <c r="H13" s="327">
        <v>15098</v>
      </c>
    </row>
    <row r="14" spans="2:8" ht="14.1">
      <c r="B14" s="297" t="s">
        <v>786</v>
      </c>
      <c r="C14" s="330">
        <f>'CÁLCULOS MP'!$E$87*InfoInicial!$B$31</f>
        <v>32242.457640267861</v>
      </c>
      <c r="D14" s="330">
        <f>'CÁLCULOS MP'!$E$87*InfoInicial!$B$31</f>
        <v>32242.457640267861</v>
      </c>
      <c r="E14" s="330">
        <f>'CÁLCULOS MP'!$E$87*InfoInicial!$B$31</f>
        <v>32242.457640267861</v>
      </c>
      <c r="F14" s="330">
        <f>'CÁLCULOS MP'!$E$87*InfoInicial!$B$31</f>
        <v>32242.457640267861</v>
      </c>
      <c r="G14" s="330">
        <f>'CÁLCULOS MP'!$E$87*InfoInicial!$B$31</f>
        <v>32242.457640267861</v>
      </c>
      <c r="H14" s="330">
        <f>'CÁLCULOS MP'!$E$87*InfoInicial!$B$31</f>
        <v>32242.457640267861</v>
      </c>
    </row>
    <row r="15" spans="2:8" ht="15" customHeight="1">
      <c r="B15" s="298" t="s">
        <v>249</v>
      </c>
      <c r="C15" s="330">
        <f t="shared" ref="C15:H15" si="0">C13*C14</f>
        <v>345477933.61547011</v>
      </c>
      <c r="D15" s="330">
        <f t="shared" si="0"/>
        <v>486796625.45276415</v>
      </c>
      <c r="E15" s="330">
        <f t="shared" si="0"/>
        <v>486796625.45276415</v>
      </c>
      <c r="F15" s="330">
        <f t="shared" si="0"/>
        <v>486796625.45276415</v>
      </c>
      <c r="G15" s="330">
        <f t="shared" si="0"/>
        <v>486796625.45276415</v>
      </c>
      <c r="H15" s="330">
        <f t="shared" si="0"/>
        <v>486796625.45276415</v>
      </c>
    </row>
    <row r="17" spans="2:8" ht="12.6">
      <c r="B17" s="72" t="s">
        <v>787</v>
      </c>
    </row>
    <row r="19" spans="2:8" ht="15" customHeight="1">
      <c r="B19" s="296" t="s">
        <v>780</v>
      </c>
      <c r="C19" s="296">
        <v>0</v>
      </c>
      <c r="D19" s="296">
        <v>1</v>
      </c>
      <c r="E19" s="296">
        <v>2</v>
      </c>
      <c r="F19" s="296">
        <v>3</v>
      </c>
      <c r="G19" s="296">
        <v>4</v>
      </c>
      <c r="H19" s="296">
        <v>5</v>
      </c>
    </row>
    <row r="20" spans="2:8" ht="14.1">
      <c r="B20" s="315" t="s">
        <v>401</v>
      </c>
      <c r="C20" s="315"/>
      <c r="D20" s="330">
        <f>'AUX - COSTO DE PRODUC'!F59/2</f>
        <v>29232882.289965644</v>
      </c>
      <c r="E20" s="330">
        <f>'AUX - COSTO DE PRODUC'!$G$59/2</f>
        <v>28994485.742340006</v>
      </c>
      <c r="F20" s="330">
        <f>'AUX - COSTO DE PRODUC'!$G$59/2</f>
        <v>28994485.742340006</v>
      </c>
      <c r="G20" s="330">
        <f>'AUX - COSTO DE PRODUC'!$G$59/2</f>
        <v>28994485.742340006</v>
      </c>
      <c r="H20" s="330">
        <f>'AUX - COSTO DE PRODUC'!$G$59/2</f>
        <v>28994485.742340006</v>
      </c>
    </row>
    <row r="21" spans="2:8" ht="14.1">
      <c r="B21" s="315" t="s">
        <v>788</v>
      </c>
      <c r="C21" s="315"/>
      <c r="D21" s="330">
        <f>'C. Aux. Costos'!C71/12</f>
        <v>3318996.6666666665</v>
      </c>
      <c r="E21" s="330">
        <f>'C. Aux. Costos'!$E$71/12</f>
        <v>4007996.6666666665</v>
      </c>
      <c r="F21" s="330">
        <f>'C. Aux. Costos'!$E$71/12</f>
        <v>4007996.6666666665</v>
      </c>
      <c r="G21" s="330">
        <f>'C. Aux. Costos'!$E$71/12</f>
        <v>4007996.6666666665</v>
      </c>
      <c r="H21" s="330">
        <f>'C. Aux. Costos'!$E$71/12</f>
        <v>4007996.6666666665</v>
      </c>
    </row>
    <row r="22" spans="2:8" ht="14.1">
      <c r="B22" s="315" t="s">
        <v>402</v>
      </c>
      <c r="C22" s="315"/>
      <c r="D22" s="330">
        <f>'C. Aux. Costos'!B71/12</f>
        <v>354001.2</v>
      </c>
      <c r="E22" s="330">
        <f>'C. Aux. Costos'!$D$71/12</f>
        <v>354001.2</v>
      </c>
      <c r="F22" s="330">
        <f>'C. Aux. Costos'!$D$71/12</f>
        <v>354001.2</v>
      </c>
      <c r="G22" s="330">
        <f>'C. Aux. Costos'!$D$71/12</f>
        <v>354001.2</v>
      </c>
      <c r="H22" s="330">
        <f>'C. Aux. Costos'!$D$71/12</f>
        <v>354001.2</v>
      </c>
    </row>
    <row r="23" spans="2:8" ht="15" customHeight="1">
      <c r="B23" s="298" t="s">
        <v>249</v>
      </c>
      <c r="C23" s="315"/>
      <c r="D23" s="330">
        <f t="shared" ref="D23:H23" si="1">SUM(D20:D22)</f>
        <v>32905880.156632312</v>
      </c>
      <c r="E23" s="330">
        <f t="shared" si="1"/>
        <v>33356483.609006673</v>
      </c>
      <c r="F23" s="330">
        <f t="shared" si="1"/>
        <v>33356483.609006673</v>
      </c>
      <c r="G23" s="330">
        <f t="shared" si="1"/>
        <v>33356483.609006673</v>
      </c>
      <c r="H23" s="330">
        <f t="shared" si="1"/>
        <v>33356483.609006673</v>
      </c>
    </row>
    <row r="25" spans="2:8" ht="12.6">
      <c r="B25" s="72" t="s">
        <v>789</v>
      </c>
    </row>
    <row r="27" spans="2:8" ht="15" customHeight="1">
      <c r="B27" s="296" t="s">
        <v>780</v>
      </c>
      <c r="C27" s="296">
        <v>0</v>
      </c>
      <c r="D27" s="296">
        <v>1</v>
      </c>
      <c r="E27" s="296">
        <v>2</v>
      </c>
      <c r="F27" s="296">
        <v>3</v>
      </c>
      <c r="G27" s="296">
        <v>4</v>
      </c>
      <c r="H27" s="296">
        <v>5</v>
      </c>
    </row>
    <row r="28" spans="2:8" ht="14.1">
      <c r="B28" s="315" t="s">
        <v>790</v>
      </c>
      <c r="C28" s="315"/>
      <c r="D28" s="330">
        <f>'E-Costos'!B124</f>
        <v>45140.456001140701</v>
      </c>
      <c r="E28" s="330">
        <f>'E-Costos'!C124</f>
        <v>45168.643858787778</v>
      </c>
      <c r="F28" s="330">
        <f>'E-Costos'!D124</f>
        <v>45154.930325170943</v>
      </c>
      <c r="G28" s="330">
        <f>'E-Costos'!E124</f>
        <v>45154.930325170943</v>
      </c>
      <c r="H28" s="330">
        <f>'E-Costos'!F124</f>
        <v>45154.930325170943</v>
      </c>
    </row>
    <row r="29" spans="2:8" ht="14.1">
      <c r="B29" s="297" t="s">
        <v>720</v>
      </c>
      <c r="C29" s="315"/>
      <c r="D29" s="327">
        <v>477</v>
      </c>
      <c r="E29" s="327">
        <v>477</v>
      </c>
      <c r="F29" s="327">
        <v>477</v>
      </c>
      <c r="G29" s="327">
        <v>477</v>
      </c>
      <c r="H29" s="327">
        <v>477</v>
      </c>
    </row>
    <row r="30" spans="2:8" ht="14.1">
      <c r="B30" s="315" t="s">
        <v>791</v>
      </c>
      <c r="C30" s="315"/>
      <c r="D30" s="330">
        <f t="shared" ref="D30:H30" si="2">D28*D29</f>
        <v>21531997.512544114</v>
      </c>
      <c r="E30" s="330">
        <f t="shared" si="2"/>
        <v>21545443.120641772</v>
      </c>
      <c r="F30" s="330">
        <f t="shared" si="2"/>
        <v>21538901.76510654</v>
      </c>
      <c r="G30" s="330">
        <f t="shared" si="2"/>
        <v>21538901.76510654</v>
      </c>
      <c r="H30" s="330">
        <f t="shared" si="2"/>
        <v>21538901.76510654</v>
      </c>
    </row>
    <row r="32" spans="2:8" ht="12.6">
      <c r="B32" s="72" t="s">
        <v>792</v>
      </c>
    </row>
    <row r="34" spans="2:8" ht="15" customHeight="1">
      <c r="B34" s="331" t="s">
        <v>780</v>
      </c>
      <c r="C34" s="296">
        <v>0</v>
      </c>
      <c r="D34" s="296">
        <v>1</v>
      </c>
      <c r="E34" s="296">
        <v>2</v>
      </c>
      <c r="F34" s="296">
        <v>3</v>
      </c>
      <c r="G34" s="296">
        <v>4</v>
      </c>
      <c r="H34" s="296">
        <v>5</v>
      </c>
    </row>
    <row r="35" spans="2:8" ht="14.1">
      <c r="B35" s="315" t="s">
        <v>793</v>
      </c>
      <c r="C35" s="315"/>
      <c r="D35" s="330">
        <f>'AUX - COSTO DE PRODUC'!$B$40</f>
        <v>149298049.30648282</v>
      </c>
      <c r="E35" s="330">
        <f>'AUX - COSTO DE PRODUC'!$B$40</f>
        <v>149298049.30648282</v>
      </c>
      <c r="F35" s="330">
        <f>'AUX - COSTO DE PRODUC'!$B$40</f>
        <v>149298049.30648282</v>
      </c>
      <c r="G35" s="330">
        <f>'AUX - COSTO DE PRODUC'!$B$37</f>
        <v>149298049.30648282</v>
      </c>
      <c r="H35" s="330">
        <f>'AUX - COSTO DE PRODUC'!$B$37</f>
        <v>149298049.30648282</v>
      </c>
    </row>
    <row r="36" spans="2:8" ht="14.1">
      <c r="B36" s="315" t="s">
        <v>794</v>
      </c>
      <c r="C36" s="315"/>
      <c r="D36" s="330">
        <f>'E-Costos'!B34</f>
        <v>2084275.5642021201</v>
      </c>
      <c r="E36" s="330">
        <f>'E-Costos'!C34</f>
        <v>1740277.0480925112</v>
      </c>
      <c r="F36" s="330">
        <f>'E-Costos'!D34</f>
        <v>1740277.0480925112</v>
      </c>
      <c r="G36" s="330">
        <f>'E-Costos'!E34</f>
        <v>1740277.0480925112</v>
      </c>
      <c r="H36" s="330">
        <f>'E-Costos'!F34</f>
        <v>1740277.0480925112</v>
      </c>
    </row>
    <row r="37" spans="2:8" ht="14.1">
      <c r="B37" s="315" t="s">
        <v>795</v>
      </c>
      <c r="C37" s="315"/>
      <c r="D37" s="330">
        <f t="shared" ref="D37:H37" si="3">D35-D36</f>
        <v>147213773.74228069</v>
      </c>
      <c r="E37" s="330">
        <f t="shared" si="3"/>
        <v>147557772.25839031</v>
      </c>
      <c r="F37" s="330">
        <f t="shared" si="3"/>
        <v>147557772.25839031</v>
      </c>
      <c r="G37" s="330">
        <f t="shared" si="3"/>
        <v>147557772.25839031</v>
      </c>
      <c r="H37" s="330">
        <f t="shared" si="3"/>
        <v>147557772.25839031</v>
      </c>
    </row>
    <row r="38" spans="2:8" ht="14.1">
      <c r="B38" s="297" t="s">
        <v>401</v>
      </c>
      <c r="C38" s="315"/>
      <c r="D38" s="327">
        <v>37009</v>
      </c>
      <c r="E38" s="327">
        <v>44800</v>
      </c>
      <c r="F38" s="327">
        <v>44800</v>
      </c>
      <c r="G38" s="327">
        <v>44800</v>
      </c>
      <c r="H38" s="327">
        <v>44800</v>
      </c>
    </row>
    <row r="39" spans="2:8" ht="14.1">
      <c r="B39" s="315" t="s">
        <v>796</v>
      </c>
      <c r="C39" s="315"/>
      <c r="D39" s="330">
        <f t="shared" ref="D39:H39" si="4">D37/D38</f>
        <v>3977.7830728277095</v>
      </c>
      <c r="E39" s="330">
        <f t="shared" si="4"/>
        <v>3293.7002736247837</v>
      </c>
      <c r="F39" s="330">
        <f t="shared" si="4"/>
        <v>3293.7002736247837</v>
      </c>
      <c r="G39" s="330">
        <f t="shared" si="4"/>
        <v>3293.7002736247837</v>
      </c>
      <c r="H39" s="330">
        <f t="shared" si="4"/>
        <v>3293.7002736247837</v>
      </c>
    </row>
    <row r="40" spans="2:8" ht="14.1">
      <c r="B40" s="315" t="s">
        <v>797</v>
      </c>
      <c r="C40" s="315"/>
      <c r="D40" s="330">
        <f t="shared" ref="D40:H40" si="5">D39*D29</f>
        <v>1897402.5257388174</v>
      </c>
      <c r="E40" s="330">
        <f t="shared" si="5"/>
        <v>1571095.0305190219</v>
      </c>
      <c r="F40" s="330">
        <f t="shared" si="5"/>
        <v>1571095.0305190219</v>
      </c>
      <c r="G40" s="330">
        <f t="shared" si="5"/>
        <v>1571095.0305190219</v>
      </c>
      <c r="H40" s="330">
        <f t="shared" si="5"/>
        <v>1571095.0305190219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topLeftCell="A30" workbookViewId="0"/>
  </sheetViews>
  <sheetFormatPr defaultColWidth="12.5703125" defaultRowHeight="15" customHeight="1"/>
  <cols>
    <col min="1" max="1" width="28" customWidth="1"/>
    <col min="2" max="2" width="13.85546875" customWidth="1"/>
    <col min="3" max="3" width="16" customWidth="1"/>
    <col min="4" max="5" width="13.85546875" customWidth="1"/>
    <col min="6" max="6" width="15.7109375" customWidth="1"/>
    <col min="7" max="8" width="13.85546875" customWidth="1"/>
    <col min="9" max="9" width="16.140625" customWidth="1"/>
    <col min="10" max="26" width="11.28515625" customWidth="1"/>
  </cols>
  <sheetData>
    <row r="1" spans="1:26" ht="12.75" customHeight="1">
      <c r="A1" s="1" t="s">
        <v>0</v>
      </c>
      <c r="B1" s="6"/>
      <c r="C1" s="6"/>
      <c r="D1" s="6"/>
      <c r="E1" s="6"/>
      <c r="F1" s="6"/>
      <c r="G1" s="15">
        <f>InfoInicial!E1</f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>
      <c r="A3" s="87" t="s">
        <v>798</v>
      </c>
      <c r="B3" s="88"/>
      <c r="C3" s="88"/>
      <c r="D3" s="88"/>
      <c r="E3" s="88"/>
      <c r="F3" s="88"/>
      <c r="G3" s="88"/>
      <c r="H3" s="88"/>
      <c r="I3" s="89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>
      <c r="A4" s="90" t="s">
        <v>252</v>
      </c>
      <c r="B4" s="332" t="s">
        <v>799</v>
      </c>
      <c r="C4" s="332" t="s">
        <v>800</v>
      </c>
      <c r="D4" s="18" t="s">
        <v>55</v>
      </c>
      <c r="E4" s="18" t="s">
        <v>253</v>
      </c>
      <c r="F4" s="18" t="s">
        <v>254</v>
      </c>
      <c r="G4" s="18" t="s">
        <v>255</v>
      </c>
      <c r="H4" s="333" t="s">
        <v>256</v>
      </c>
      <c r="I4" s="19" t="s">
        <v>801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>
      <c r="A5" s="334" t="s">
        <v>802</v>
      </c>
      <c r="B5" s="335"/>
      <c r="C5" s="335"/>
      <c r="D5" s="335"/>
      <c r="E5" s="335"/>
      <c r="F5" s="335"/>
      <c r="G5" s="335"/>
      <c r="H5" s="336"/>
      <c r="I5" s="33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323" t="s">
        <v>803</v>
      </c>
      <c r="B6" s="99"/>
      <c r="C6" s="99">
        <f>'E-Inv AF y Am'!B21+'E-Inv AF y Am'!D21</f>
        <v>2225004476.993</v>
      </c>
      <c r="D6" s="99"/>
      <c r="E6" s="99"/>
      <c r="F6" s="99"/>
      <c r="G6" s="99"/>
      <c r="H6" s="338"/>
      <c r="I6" s="94">
        <f t="shared" ref="I6:I8" si="0">SUM(B6:H6)</f>
        <v>2225004476.993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>
      <c r="A7" s="323" t="s">
        <v>804</v>
      </c>
      <c r="B7" s="99">
        <f>'E-Inv AF y Am'!B24</f>
        <v>32500000</v>
      </c>
      <c r="C7" s="99">
        <f>'E-Inv AF y Am'!B33-'E-Inv AF y Am'!B24</f>
        <v>30159828</v>
      </c>
      <c r="D7" s="99">
        <f>'E-Inv AF y Am'!C33</f>
        <v>345465036.63241404</v>
      </c>
      <c r="E7" s="99"/>
      <c r="F7" s="99"/>
      <c r="G7" s="99"/>
      <c r="H7" s="338"/>
      <c r="I7" s="94">
        <f t="shared" si="0"/>
        <v>408124864.63241404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>
      <c r="A8" s="322" t="s">
        <v>805</v>
      </c>
      <c r="B8" s="99">
        <f>B7</f>
        <v>32500000</v>
      </c>
      <c r="C8" s="99">
        <f>C6+C7</f>
        <v>2255164304.993</v>
      </c>
      <c r="D8" s="99">
        <f>D7</f>
        <v>345465036.63241404</v>
      </c>
      <c r="E8" s="99"/>
      <c r="F8" s="99"/>
      <c r="G8" s="99"/>
      <c r="H8" s="338"/>
      <c r="I8" s="94">
        <f t="shared" si="0"/>
        <v>2633129341.6254139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>
      <c r="A9" s="323"/>
      <c r="B9" s="99"/>
      <c r="C9" s="99"/>
      <c r="D9" s="99"/>
      <c r="E9" s="99"/>
      <c r="F9" s="99"/>
      <c r="G9" s="99"/>
      <c r="H9" s="338"/>
      <c r="I9" s="94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>
      <c r="A10" s="334" t="s">
        <v>806</v>
      </c>
      <c r="B10" s="339"/>
      <c r="C10" s="340"/>
      <c r="D10" s="340"/>
      <c r="E10" s="340"/>
      <c r="F10" s="339"/>
      <c r="G10" s="339"/>
      <c r="H10" s="341"/>
      <c r="I10" s="33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>
      <c r="A11" s="323" t="s">
        <v>807</v>
      </c>
      <c r="B11" s="99"/>
      <c r="C11" s="99">
        <f>'E-InvAT'!B6</f>
        <v>63673280</v>
      </c>
      <c r="D11" s="99">
        <f>'E-InvAT'!C6-'E-InvAT'!C11</f>
        <v>46685719.843367688</v>
      </c>
      <c r="E11" s="99">
        <f>'E-InvAT'!D6-'E-InvAT'!C6</f>
        <v>10008400</v>
      </c>
      <c r="F11" s="99"/>
      <c r="G11" s="99"/>
      <c r="H11" s="338"/>
      <c r="I11" s="94">
        <f t="shared" ref="I11:I25" si="1">SUM(B11:H11)</f>
        <v>120367399.8433677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>
      <c r="A12" s="323" t="s">
        <v>808</v>
      </c>
      <c r="B12" s="99"/>
      <c r="C12" s="99"/>
      <c r="D12" s="99">
        <f>'E-InvAT'!C7-'E-InvAT'!C19-'E-InvAT'!C20</f>
        <v>219854777.17945388</v>
      </c>
      <c r="E12" s="99">
        <f>'E-InvAT'!D7-'E-InvAT'!D19-'E-InvAT'!D20</f>
        <v>246072835.88536987</v>
      </c>
      <c r="F12" s="99">
        <f>'E-InvAT'!E7-'E-InvAT'!E19-'E-InvAT'!E20</f>
        <v>246044429.81454709</v>
      </c>
      <c r="G12" s="99">
        <f>'E-InvAT'!F7-'E-InvAT'!F19-'E-InvAT'!F20</f>
        <v>246044722.73367825</v>
      </c>
      <c r="H12" s="99">
        <f>'E-InvAT'!G7-'E-InvAT'!G19-'E-InvAT'!G20</f>
        <v>246044722.73367825</v>
      </c>
      <c r="I12" s="94">
        <f t="shared" si="1"/>
        <v>1204061488.3467274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>
      <c r="A13" s="323" t="s">
        <v>809</v>
      </c>
      <c r="B13" s="99"/>
      <c r="C13" s="99"/>
      <c r="D13" s="99"/>
      <c r="E13" s="99"/>
      <c r="F13" s="99"/>
      <c r="G13" s="99"/>
      <c r="H13" s="338"/>
      <c r="I13" s="94">
        <f t="shared" si="1"/>
        <v>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>
      <c r="A14" s="323" t="s">
        <v>810</v>
      </c>
      <c r="B14" s="99"/>
      <c r="C14" s="99">
        <f>'E-InvAT'!B10</f>
        <v>345477933.61547011</v>
      </c>
      <c r="D14" s="99">
        <f>'E-InvAT'!C10-'E-InvAT'!B10</f>
        <v>141318691.83729404</v>
      </c>
      <c r="E14" s="99">
        <f>'E-InvAT'!D10-'E-InvAT'!C10</f>
        <v>0</v>
      </c>
      <c r="F14" s="99">
        <f>'E-InvAT'!E10-'E-InvAT'!D10</f>
        <v>0</v>
      </c>
      <c r="G14" s="99">
        <f>'E-InvAT'!F10-'E-InvAT'!E10</f>
        <v>0</v>
      </c>
      <c r="H14" s="99">
        <f>'E-InvAT'!G10-'E-InvAT'!F10</f>
        <v>0</v>
      </c>
      <c r="I14" s="94">
        <f t="shared" si="1"/>
        <v>486796625.45276415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>
      <c r="A15" s="323" t="s">
        <v>811</v>
      </c>
      <c r="B15" s="99"/>
      <c r="C15" s="99"/>
      <c r="D15" s="99">
        <f>'E-InvAT'!C11</f>
        <v>32905880.156632312</v>
      </c>
      <c r="E15" s="99">
        <f>'E-InvAT'!D11-'E-InvAT'!C11</f>
        <v>450603.45237436146</v>
      </c>
      <c r="F15" s="99">
        <f>'E-InvAT'!E11-'E-InvAT'!D11</f>
        <v>0</v>
      </c>
      <c r="G15" s="99">
        <f>'E-InvAT'!F11-'E-InvAT'!E11</f>
        <v>0</v>
      </c>
      <c r="H15" s="99">
        <f>'E-InvAT'!G11-'E-InvAT'!F11</f>
        <v>0</v>
      </c>
      <c r="I15" s="94">
        <f t="shared" si="1"/>
        <v>33356483.609006673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>
      <c r="A16" s="323" t="s">
        <v>812</v>
      </c>
      <c r="B16" s="99"/>
      <c r="C16" s="99"/>
      <c r="D16" s="99">
        <f>'E-InvAT'!C12</f>
        <v>36298795.402852744</v>
      </c>
      <c r="E16" s="99">
        <f>'E-InvAT'!D12-'E-InvAT'!C12</f>
        <v>-614366.30603439361</v>
      </c>
      <c r="F16" s="99">
        <f>'E-InvAT'!E12-'E-InvAT'!D12</f>
        <v>0</v>
      </c>
      <c r="G16" s="99">
        <f>'E-InvAT'!F12-'E-InvAT'!E12</f>
        <v>0</v>
      </c>
      <c r="H16" s="99">
        <f>'E-InvAT'!G12-'E-InvAT'!F12</f>
        <v>0</v>
      </c>
      <c r="I16" s="94">
        <f t="shared" si="1"/>
        <v>35684429.09681835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>
      <c r="A17" s="323" t="s">
        <v>813</v>
      </c>
      <c r="B17" s="99"/>
      <c r="C17" s="99"/>
      <c r="D17" s="99">
        <f>'E-InvAT'!C13</f>
        <v>21531997.512544114</v>
      </c>
      <c r="E17" s="99">
        <f>'E-InvAT'!D13-'E-InvAT'!C13</f>
        <v>13445.608097657561</v>
      </c>
      <c r="F17" s="99">
        <f>'E-InvAT'!E13-'E-InvAT'!D13</f>
        <v>-6541.3555352315307</v>
      </c>
      <c r="G17" s="99">
        <f>'E-InvAT'!F13-'E-InvAT'!E13</f>
        <v>0</v>
      </c>
      <c r="H17" s="99">
        <f>'E-InvAT'!G13-'E-InvAT'!F13</f>
        <v>0</v>
      </c>
      <c r="I17" s="94">
        <f t="shared" si="1"/>
        <v>21538901.76510654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>
      <c r="A18" s="322" t="s">
        <v>814</v>
      </c>
      <c r="B18" s="99"/>
      <c r="C18" s="99">
        <f t="shared" ref="C18:H18" si="2">SUM(C11:C17)</f>
        <v>409151213.61547011</v>
      </c>
      <c r="D18" s="99">
        <f t="shared" si="2"/>
        <v>498595861.93214482</v>
      </c>
      <c r="E18" s="99">
        <f t="shared" si="2"/>
        <v>255930918.63980752</v>
      </c>
      <c r="F18" s="99">
        <f t="shared" si="2"/>
        <v>246037888.45901185</v>
      </c>
      <c r="G18" s="99">
        <f t="shared" si="2"/>
        <v>246044722.73367825</v>
      </c>
      <c r="H18" s="99">
        <f t="shared" si="2"/>
        <v>246044722.73367825</v>
      </c>
      <c r="I18" s="94">
        <f t="shared" si="1"/>
        <v>1901805328.113791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>
      <c r="A19" s="323"/>
      <c r="B19" s="99"/>
      <c r="C19" s="99"/>
      <c r="D19" s="99"/>
      <c r="E19" s="99"/>
      <c r="F19" s="99"/>
      <c r="G19" s="99"/>
      <c r="H19" s="338"/>
      <c r="I19" s="94">
        <f t="shared" si="1"/>
        <v>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>
      <c r="A20" s="322" t="s">
        <v>815</v>
      </c>
      <c r="B20" s="99"/>
      <c r="C20" s="99"/>
      <c r="D20" s="99"/>
      <c r="E20" s="99"/>
      <c r="F20" s="99"/>
      <c r="G20" s="99"/>
      <c r="H20" s="338"/>
      <c r="I20" s="94">
        <f t="shared" si="1"/>
        <v>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>
      <c r="A21" s="323" t="s">
        <v>816</v>
      </c>
      <c r="B21" s="99">
        <f>B8*InfoInicial!$B$3</f>
        <v>6825000</v>
      </c>
      <c r="C21" s="99">
        <f>C8*InfoInicial!$B$3</f>
        <v>473584504.04852998</v>
      </c>
      <c r="D21" s="99">
        <f>D8*InfoInicial!$B$3</f>
        <v>72547657.692806944</v>
      </c>
      <c r="E21" s="99">
        <f>E8*InfoInicial!$B$3</f>
        <v>0</v>
      </c>
      <c r="F21" s="99">
        <f>F8*InfoInicial!$B$3</f>
        <v>0</v>
      </c>
      <c r="G21" s="99">
        <f>G8*InfoInicial!$B$3</f>
        <v>0</v>
      </c>
      <c r="H21" s="99">
        <f>H8*InfoInicial!$B$3</f>
        <v>0</v>
      </c>
      <c r="I21" s="94">
        <f t="shared" si="1"/>
        <v>552957161.74133694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>
      <c r="A22" s="323" t="s">
        <v>817</v>
      </c>
      <c r="B22" s="99"/>
      <c r="C22" s="102">
        <f>'E-InvAT'!B34</f>
        <v>72550366.059248716</v>
      </c>
      <c r="D22" s="102">
        <f>'E-InvAT'!C34</f>
        <v>48731626.630957872</v>
      </c>
      <c r="E22" s="102">
        <f>'E-InvAT'!D34</f>
        <v>-31566.621568098664</v>
      </c>
      <c r="F22" s="102">
        <f>'E-InvAT'!E34</f>
        <v>-1373.6846623986214</v>
      </c>
      <c r="G22" s="102">
        <f>'E-InvAT'!F34</f>
        <v>0</v>
      </c>
      <c r="H22" s="102">
        <f>'E-InvAT'!G34</f>
        <v>0</v>
      </c>
      <c r="I22" s="94">
        <f t="shared" si="1"/>
        <v>121249052.38397609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>
      <c r="A23" s="322" t="s">
        <v>818</v>
      </c>
      <c r="B23" s="99">
        <f t="shared" ref="B23:H23" si="3">SUM(B21:B22)</f>
        <v>6825000</v>
      </c>
      <c r="C23" s="99">
        <f t="shared" si="3"/>
        <v>546134870.10777867</v>
      </c>
      <c r="D23" s="99">
        <f t="shared" si="3"/>
        <v>121279284.32376482</v>
      </c>
      <c r="E23" s="99">
        <f t="shared" si="3"/>
        <v>-31566.621568098664</v>
      </c>
      <c r="F23" s="99">
        <f t="shared" si="3"/>
        <v>-1373.6846623986214</v>
      </c>
      <c r="G23" s="99">
        <f t="shared" si="3"/>
        <v>0</v>
      </c>
      <c r="H23" s="99">
        <f t="shared" si="3"/>
        <v>0</v>
      </c>
      <c r="I23" s="94">
        <f t="shared" si="1"/>
        <v>674206214.12531304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>
      <c r="A24" s="322"/>
      <c r="B24" s="99"/>
      <c r="C24" s="99"/>
      <c r="D24" s="99"/>
      <c r="E24" s="99"/>
      <c r="F24" s="99"/>
      <c r="G24" s="99"/>
      <c r="H24" s="338"/>
      <c r="I24" s="94">
        <f t="shared" si="1"/>
        <v>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>
      <c r="A25" s="326" t="s">
        <v>819</v>
      </c>
      <c r="B25" s="114">
        <f t="shared" ref="B25:H25" si="4">B8+B18+B23</f>
        <v>39325000</v>
      </c>
      <c r="C25" s="114">
        <f t="shared" si="4"/>
        <v>3210450388.7162485</v>
      </c>
      <c r="D25" s="114">
        <f t="shared" si="4"/>
        <v>965340182.88832366</v>
      </c>
      <c r="E25" s="114">
        <f t="shared" si="4"/>
        <v>255899352.01823944</v>
      </c>
      <c r="F25" s="114">
        <f t="shared" si="4"/>
        <v>246036514.77434945</v>
      </c>
      <c r="G25" s="114">
        <f t="shared" si="4"/>
        <v>246044722.73367825</v>
      </c>
      <c r="H25" s="114">
        <f t="shared" si="4"/>
        <v>246044722.73367825</v>
      </c>
      <c r="I25" s="115">
        <f t="shared" si="1"/>
        <v>5209140883.8645163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>
      <c r="A34" s="6"/>
      <c r="B34" s="6"/>
      <c r="C34" s="6" t="s">
        <v>820</v>
      </c>
      <c r="D34" s="6"/>
      <c r="E34" s="6" t="s">
        <v>821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>
      <c r="A36" s="6"/>
      <c r="B36" s="6"/>
      <c r="C36" s="6"/>
      <c r="D36" s="6"/>
      <c r="E36" s="6" t="s">
        <v>822</v>
      </c>
      <c r="F36" s="6" t="s">
        <v>823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25972222222222202" right="0.45972222222222198" top="1.27013888888889" bottom="1" header="0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topLeftCell="A12" workbookViewId="0">
      <selection activeCell="C18" sqref="C18"/>
    </sheetView>
  </sheetViews>
  <sheetFormatPr defaultColWidth="12.5703125" defaultRowHeight="15" customHeight="1"/>
  <cols>
    <col min="1" max="1" width="28" customWidth="1"/>
    <col min="2" max="2" width="16.140625" customWidth="1"/>
    <col min="3" max="3" width="15.7109375" customWidth="1"/>
    <col min="4" max="4" width="17.5703125" customWidth="1"/>
    <col min="5" max="5" width="17.28515625" customWidth="1"/>
    <col min="6" max="6" width="14.5703125" customWidth="1"/>
    <col min="7" max="7" width="18.140625" customWidth="1"/>
    <col min="8" max="26" width="11.28515625" customWidth="1"/>
  </cols>
  <sheetData>
    <row r="1" spans="1:26" ht="12.75" customHeight="1">
      <c r="A1" s="1" t="s">
        <v>0</v>
      </c>
      <c r="B1" s="6"/>
      <c r="C1" s="6"/>
      <c r="D1" s="6"/>
      <c r="E1" s="6"/>
      <c r="F1" s="6"/>
      <c r="G1" s="15">
        <f>InfoInicial!E1</f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>
      <c r="A2" s="342" t="s">
        <v>824</v>
      </c>
      <c r="B2" s="88"/>
      <c r="C2" s="88"/>
      <c r="D2" s="88"/>
      <c r="E2" s="88"/>
      <c r="F2" s="88"/>
      <c r="G2" s="89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>
      <c r="A3" s="343"/>
      <c r="B3" s="344" t="s">
        <v>825</v>
      </c>
      <c r="C3" s="344"/>
      <c r="D3" s="344"/>
      <c r="E3" s="344"/>
      <c r="F3" s="344"/>
      <c r="G3" s="34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>
      <c r="A4" s="346" t="s">
        <v>252</v>
      </c>
      <c r="B4" s="332" t="s">
        <v>54</v>
      </c>
      <c r="C4" s="18" t="s">
        <v>55</v>
      </c>
      <c r="D4" s="18" t="s">
        <v>253</v>
      </c>
      <c r="E4" s="18" t="s">
        <v>254</v>
      </c>
      <c r="F4" s="18" t="s">
        <v>255</v>
      </c>
      <c r="G4" s="19" t="s">
        <v>256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>
      <c r="A5" s="347" t="s">
        <v>826</v>
      </c>
      <c r="B5" s="348"/>
      <c r="C5" s="93"/>
      <c r="D5" s="93"/>
      <c r="E5" s="93"/>
      <c r="F5" s="93"/>
      <c r="G5" s="9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349" t="s">
        <v>827</v>
      </c>
      <c r="B6" s="350"/>
      <c r="C6" s="99">
        <f>'E-Costos'!B112*InfoInicial!$B$3</f>
        <v>312861689.16377854</v>
      </c>
      <c r="D6" s="99">
        <f>'E-Costos'!C112*InfoInicial!$B$3</f>
        <v>303337041.47964001</v>
      </c>
      <c r="E6" s="99">
        <f>'E-Costos'!D112*InfoInicial!$B$3</f>
        <v>303337041.47964001</v>
      </c>
      <c r="F6" s="99">
        <f>'E-Costos'!E112*InfoInicial!$B$3</f>
        <v>303337041.47964001</v>
      </c>
      <c r="G6" s="113">
        <f>'E-Costos'!F112*InfoInicial!$B$3</f>
        <v>303337041.47964001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>
      <c r="A7" s="349" t="s">
        <v>262</v>
      </c>
      <c r="B7" s="350"/>
      <c r="C7" s="99">
        <f>'E-Costos'!B12*InfoInicial!$B$3</f>
        <v>12277810.561785569</v>
      </c>
      <c r="D7" s="99">
        <f>'E-Costos'!C12*InfoInicial!$B$3</f>
        <v>12177684.011782803</v>
      </c>
      <c r="E7" s="99">
        <f>'E-Costos'!D12*InfoInicial!$B$3</f>
        <v>12177684.011782803</v>
      </c>
      <c r="F7" s="99">
        <f>'E-Costos'!E12*InfoInicial!$B$3</f>
        <v>12177684.011782803</v>
      </c>
      <c r="G7" s="113">
        <f>'E-Costos'!F12*InfoInicial!$B$3</f>
        <v>12177684.011782803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>
      <c r="A8" s="349" t="s">
        <v>263</v>
      </c>
      <c r="B8" s="350"/>
      <c r="C8" s="99">
        <f>'E-Costos'!B13*InfoInicial!$B$3</f>
        <v>9905245.5042228904</v>
      </c>
      <c r="D8" s="99">
        <f>'E-Costos'!C13*InfoInicial!$B$3</f>
        <v>9409983.2290117461</v>
      </c>
      <c r="E8" s="99">
        <f>'E-Costos'!D13*InfoInicial!$B$3</f>
        <v>9409983.2290117461</v>
      </c>
      <c r="F8" s="99">
        <f>'E-Costos'!E13*InfoInicial!$B$3</f>
        <v>9409983.2290117461</v>
      </c>
      <c r="G8" s="113">
        <f>'E-Costos'!F13*InfoInicial!$B$3</f>
        <v>9409983.2290117461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>
      <c r="A9" s="349" t="s">
        <v>264</v>
      </c>
      <c r="B9" s="350"/>
      <c r="C9" s="99">
        <f>('E-Costos'!B14)*InfoInicial!$B$3</f>
        <v>0</v>
      </c>
      <c r="D9" s="99">
        <f>'E-Costos'!C14*InfoInicial!$B$3</f>
        <v>0</v>
      </c>
      <c r="E9" s="99">
        <f>'E-Costos'!D14*InfoInicial!$B$3</f>
        <v>0</v>
      </c>
      <c r="F9" s="99">
        <f>'E-Costos'!E14*InfoInicial!$B$3</f>
        <v>0</v>
      </c>
      <c r="G9" s="113">
        <f>'E-Costos'!F14*InfoInicial!$B$3</f>
        <v>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>
      <c r="A10" s="349" t="s">
        <v>269</v>
      </c>
      <c r="B10" s="350"/>
      <c r="C10" s="99">
        <f>('E-Costos'!B19)*InfoInicial!$B$3</f>
        <v>5247917.544412246</v>
      </c>
      <c r="D10" s="99">
        <f>('E-Costos'!C19)*InfoInicial!$B$3</f>
        <v>5247917.544412246</v>
      </c>
      <c r="E10" s="99">
        <f>('E-Costos'!D19)*InfoInicial!$B$3</f>
        <v>5247917.544412246</v>
      </c>
      <c r="F10" s="99">
        <f>('E-Costos'!E19)*InfoInicial!$B$3</f>
        <v>5247917.544412246</v>
      </c>
      <c r="G10" s="113">
        <f>('E-Costos'!F19)*InfoInicial!$B$3</f>
        <v>5247917.544412246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>
      <c r="A11" s="349" t="s">
        <v>828</v>
      </c>
      <c r="B11" s="350"/>
      <c r="C11" s="99">
        <v>0</v>
      </c>
      <c r="D11" s="99">
        <v>0</v>
      </c>
      <c r="E11" s="99">
        <v>0</v>
      </c>
      <c r="F11" s="99">
        <v>0</v>
      </c>
      <c r="G11" s="113">
        <v>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>
      <c r="A12" s="351" t="s">
        <v>93</v>
      </c>
      <c r="B12" s="350"/>
      <c r="C12" s="99">
        <f t="shared" ref="C12:G12" si="0">SUM(C6:C11)</f>
        <v>340292662.77419925</v>
      </c>
      <c r="D12" s="99">
        <f t="shared" si="0"/>
        <v>330172626.26484686</v>
      </c>
      <c r="E12" s="99">
        <f t="shared" si="0"/>
        <v>330172626.26484686</v>
      </c>
      <c r="F12" s="99">
        <f t="shared" si="0"/>
        <v>330172626.26484686</v>
      </c>
      <c r="G12" s="113">
        <f t="shared" si="0"/>
        <v>330172626.26484686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>
      <c r="A13" s="349" t="s">
        <v>829</v>
      </c>
      <c r="B13" s="350"/>
      <c r="C13" s="99">
        <f>('E-Costos'!G31+'E-Costos'!G36+'E-Costos'!G37)*InfoInicial!B3</f>
        <v>74284809.370280951</v>
      </c>
      <c r="D13" s="99">
        <v>0</v>
      </c>
      <c r="E13" s="99">
        <v>0</v>
      </c>
      <c r="F13" s="99">
        <v>0</v>
      </c>
      <c r="G13" s="113">
        <v>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>
      <c r="A14" s="349" t="s">
        <v>830</v>
      </c>
      <c r="B14" s="350"/>
      <c r="C14" s="99"/>
      <c r="D14" s="99"/>
      <c r="E14" s="99"/>
      <c r="F14" s="99"/>
      <c r="G14" s="113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>
      <c r="A15" s="349" t="s">
        <v>831</v>
      </c>
      <c r="B15" s="350"/>
      <c r="C15" s="99">
        <f>('E-Costos'!B31+'E-Costos'!B36+'E-Costos'!B37)*InfoInicial!$B$3</f>
        <v>5727294.8862803048</v>
      </c>
      <c r="D15" s="99">
        <f>('E-Costos'!C31+'E-Costos'!C36+'E-Costos'!C37)*InfoInicial!$B$3-C15</f>
        <v>-47583.401785522699</v>
      </c>
      <c r="E15" s="99">
        <f>('E-Costos'!C31+'E-Costos'!C36+'E-Costos'!C37)*InfoInicial!$B$3-('E-Costos'!C31+'E-Costos'!C36+'E-Costos'!C37)*InfoInicial!$B$3</f>
        <v>0</v>
      </c>
      <c r="F15" s="99">
        <f>('E-Costos'!D31+'E-Costos'!D36+'E-Costos'!D37)*InfoInicial!$B$3-('E-Costos'!D31+'E-Costos'!D36+'E-Costos'!D37)*InfoInicial!$B$3</f>
        <v>0</v>
      </c>
      <c r="G15" s="113">
        <f>('E-Costos'!E31+'E-Costos'!E36+'E-Costos'!E37)*InfoInicial!$B$3-('E-Costos'!E31+'E-Costos'!E36+'E-Costos'!E37)*InfoInicial!$B$3</f>
        <v>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>
      <c r="A16" s="349" t="s">
        <v>832</v>
      </c>
      <c r="B16" s="350"/>
      <c r="C16" s="99">
        <f>'CÁLCULOS MP'!B92*('E-Costos'!B7+'E-Costos'!B12+'E-Costos'!B13+'E-Costos'!B19)/'CÁLCULOS MP'!B89*InfoInicial!B3</f>
        <v>4110103.4953678045</v>
      </c>
      <c r="D16" s="99">
        <f>'CÁLCULOS MP'!B92*('E-Costos'!C7+'E-Costos'!C12+'E-Costos'!C13+'E-Costos'!C19)/'CÁLCULOS MP'!B90*InfoInicial!B3-C16</f>
        <v>-815747.15741274832</v>
      </c>
      <c r="E16" s="99">
        <f>'CÁLCULOS MP'!$B$92*('E-Costos'!D7+'E-Costos'!D12+'E-Costos'!D13+'E-Costos'!D19)/'CÁLCULOS MP'!$B$90*InfoInicial!$B$3-'CÁLCULOS MP'!$B$92*('E-Costos'!C7+'E-Costos'!C12+'E-Costos'!C13+'E-Costos'!C19)/'CÁLCULOS MP'!$B$90*InfoInicial!$B$3</f>
        <v>0</v>
      </c>
      <c r="F16" s="99">
        <f>'CÁLCULOS MP'!$B$92*('E-Costos'!E7+'E-Costos'!E12+'E-Costos'!E13+'E-Costos'!E19)/'CÁLCULOS MP'!$B$90*InfoInicial!$B$3-'CÁLCULOS MP'!$B$92*('E-Costos'!D7+'E-Costos'!D12+'E-Costos'!D13+'E-Costos'!D19)/'CÁLCULOS MP'!$B$90*InfoInicial!$B$3</f>
        <v>0</v>
      </c>
      <c r="G16" s="113">
        <f>'CÁLCULOS MP'!$B$92*('E-Costos'!F7+'E-Costos'!F12+'E-Costos'!F13+'E-Costos'!F19)/'CÁLCULOS MP'!$B$90*InfoInicial!$B$3-'CÁLCULOS MP'!$B$92*('E-Costos'!E7+'E-Costos'!E12+'E-Costos'!E13+'E-Costos'!E19)/'CÁLCULOS MP'!$B$90*InfoInicial!$B$3</f>
        <v>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>
      <c r="A17" s="351" t="s">
        <v>833</v>
      </c>
      <c r="B17" s="350"/>
      <c r="C17" s="99">
        <f t="shared" ref="C17:G17" si="1">C12-C13-C15-C16</f>
        <v>256170455.0222702</v>
      </c>
      <c r="D17" s="99">
        <f t="shared" si="1"/>
        <v>331035956.82404518</v>
      </c>
      <c r="E17" s="99">
        <f t="shared" si="1"/>
        <v>330172626.26484686</v>
      </c>
      <c r="F17" s="99">
        <f t="shared" si="1"/>
        <v>330172626.26484686</v>
      </c>
      <c r="G17" s="113">
        <f t="shared" si="1"/>
        <v>330172626.26484686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>
      <c r="A18" s="351" t="s">
        <v>834</v>
      </c>
      <c r="B18" s="350"/>
      <c r="C18" s="99">
        <f>('E-Costos'!B62+'E-Costos'!B63+'E-Costos'!B64+'E-Costos'!B69)*InfoInicial!$B$3</f>
        <v>1639418.4350711445</v>
      </c>
      <c r="D18" s="99">
        <f>('E-Costos'!C62+'E-Costos'!C63+'E-Costos'!C64+'E-Costos'!C69)*InfoInicial!$B$3</f>
        <v>1614655.3213105872</v>
      </c>
      <c r="E18" s="99">
        <f>('E-Costos'!D62+'E-Costos'!D63+'E-Costos'!D64+'E-Costos'!D69)*InfoInicial!$B$3</f>
        <v>1614655.3213105872</v>
      </c>
      <c r="F18" s="99">
        <f>('E-Costos'!E62+'E-Costos'!E63+'E-Costos'!E64+'E-Costos'!E69)*InfoInicial!$B$3</f>
        <v>1614655.3213105872</v>
      </c>
      <c r="G18" s="113">
        <f>('E-Costos'!F62+'E-Costos'!F63+'E-Costos'!F64+'E-Costos'!F69)*InfoInicial!$B$3</f>
        <v>1614655.3213105872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>
      <c r="A19" s="351" t="s">
        <v>835</v>
      </c>
      <c r="B19" s="350"/>
      <c r="C19" s="99">
        <f>('E-Costos'!B83+'E-Costos'!B84+'E-Costos'!B85+'E-Costos'!B90)*InfoInicial!$B$3</f>
        <v>9111207.0110711455</v>
      </c>
      <c r="D19" s="99">
        <f>('E-Costos'!C83+'E-Costos'!C84+'E-Costos'!C85+'E-Costos'!C90)*InfoInicial!$B$3</f>
        <v>10822723.897310587</v>
      </c>
      <c r="E19" s="99">
        <f>('E-Costos'!D83+'E-Costos'!D84+'E-Costos'!D85+'E-Costos'!D90)*InfoInicial!$B$3</f>
        <v>10822723.897310587</v>
      </c>
      <c r="F19" s="99">
        <f>('E-Costos'!E83+'E-Costos'!E84+'E-Costos'!E85+'E-Costos'!E90)*InfoInicial!$B$3</f>
        <v>10822723.897310587</v>
      </c>
      <c r="G19" s="113">
        <f>('E-Costos'!F83+'E-Costos'!F84+'E-Costos'!F85+'E-Costos'!F90)*InfoInicial!$B$3</f>
        <v>10822723.897310587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>
      <c r="A20" s="351"/>
      <c r="B20" s="350"/>
      <c r="C20" s="99"/>
      <c r="D20" s="99"/>
      <c r="E20" s="99"/>
      <c r="F20" s="99"/>
      <c r="G20" s="113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>
      <c r="A21" s="349" t="s">
        <v>836</v>
      </c>
      <c r="B21" s="350"/>
      <c r="C21" s="99">
        <f t="shared" ref="C21:G21" si="2">SUM(C17:C19)</f>
        <v>266921080.46841249</v>
      </c>
      <c r="D21" s="99">
        <f t="shared" si="2"/>
        <v>343473336.04266638</v>
      </c>
      <c r="E21" s="99">
        <f t="shared" si="2"/>
        <v>342610005.48346806</v>
      </c>
      <c r="F21" s="99">
        <f t="shared" si="2"/>
        <v>342610005.48346806</v>
      </c>
      <c r="G21" s="113">
        <f t="shared" si="2"/>
        <v>342610005.48346806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>
      <c r="A22" s="349" t="s">
        <v>837</v>
      </c>
      <c r="B22" s="350"/>
      <c r="C22" s="99">
        <f>'C. Aux. Costos'!O5*InfoInicial!$B$3</f>
        <v>843889200</v>
      </c>
      <c r="D22" s="99">
        <f>'C. Aux. Costos'!P5*InfoInicial!$B$3</f>
        <v>1034880000</v>
      </c>
      <c r="E22" s="99">
        <f>'C. Aux. Costos'!Q5*InfoInicial!$B$3</f>
        <v>1034880000</v>
      </c>
      <c r="F22" s="99">
        <f>'C. Aux. Costos'!R5*InfoInicial!$B$3</f>
        <v>1034880000</v>
      </c>
      <c r="G22" s="113">
        <f>'C. Aux. Costos'!S5*InfoInicial!$B$3</f>
        <v>1034880000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>
      <c r="A23" s="351" t="s">
        <v>838</v>
      </c>
      <c r="B23" s="350"/>
      <c r="C23" s="99">
        <f t="shared" ref="C23:G23" si="3">C22-C21</f>
        <v>576968119.53158748</v>
      </c>
      <c r="D23" s="99">
        <f t="shared" si="3"/>
        <v>691406663.95733356</v>
      </c>
      <c r="E23" s="99">
        <f t="shared" si="3"/>
        <v>692269994.51653194</v>
      </c>
      <c r="F23" s="99">
        <f t="shared" si="3"/>
        <v>692269994.51653194</v>
      </c>
      <c r="G23" s="113">
        <f t="shared" si="3"/>
        <v>692269994.51653194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>
      <c r="A24" s="349"/>
      <c r="B24" s="350"/>
      <c r="C24" s="99"/>
      <c r="D24" s="99"/>
      <c r="E24" s="99"/>
      <c r="F24" s="99"/>
      <c r="G24" s="113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>
      <c r="A25" s="352" t="s">
        <v>839</v>
      </c>
      <c r="B25" s="350">
        <v>0</v>
      </c>
      <c r="C25" s="99">
        <f t="shared" ref="C25:G25" si="4">B27</f>
        <v>552959870.10777867</v>
      </c>
      <c r="D25" s="99">
        <f t="shared" si="4"/>
        <v>97271034.899955988</v>
      </c>
      <c r="E25" s="99">
        <f t="shared" si="4"/>
        <v>0</v>
      </c>
      <c r="F25" s="99">
        <f t="shared" si="4"/>
        <v>0</v>
      </c>
      <c r="G25" s="113">
        <f t="shared" si="4"/>
        <v>0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>
      <c r="A26" s="352" t="s">
        <v>840</v>
      </c>
      <c r="B26" s="350">
        <f>SUM('E-Cal Inv.'!B23:C23)</f>
        <v>552959870.10777867</v>
      </c>
      <c r="C26" s="99">
        <f>'E-Cal Inv.'!D23</f>
        <v>121279284.32376482</v>
      </c>
      <c r="D26" s="99">
        <f>'E-Cal Inv.'!E23</f>
        <v>-31566.621568098664</v>
      </c>
      <c r="E26" s="99">
        <f>'E-Cal Inv.'!F23</f>
        <v>-1373.6846623986214</v>
      </c>
      <c r="F26" s="99">
        <f>'E-Cal Inv.'!G23</f>
        <v>0</v>
      </c>
      <c r="G26" s="113">
        <f>'E-Cal Inv.'!H23</f>
        <v>0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>
      <c r="A27" s="351" t="s">
        <v>841</v>
      </c>
      <c r="B27" s="350">
        <f>B26-B25</f>
        <v>552959870.10777867</v>
      </c>
      <c r="C27" s="99">
        <f t="shared" ref="C27:G27" si="5">+IF(C25+C26&lt;=C23,0,C25+C26-C23)</f>
        <v>97271034.899955988</v>
      </c>
      <c r="D27" s="99">
        <f t="shared" si="5"/>
        <v>0</v>
      </c>
      <c r="E27" s="99">
        <f t="shared" si="5"/>
        <v>0</v>
      </c>
      <c r="F27" s="99">
        <f t="shared" si="5"/>
        <v>0</v>
      </c>
      <c r="G27" s="113">
        <f t="shared" si="5"/>
        <v>0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>
      <c r="A28" s="351" t="s">
        <v>842</v>
      </c>
      <c r="B28" s="350">
        <v>0</v>
      </c>
      <c r="C28" s="99">
        <f t="shared" ref="C28:G28" si="6">IF(C25+C26&gt;=C23,C23,C25+C26)</f>
        <v>576968119.53158748</v>
      </c>
      <c r="D28" s="99">
        <f t="shared" si="6"/>
        <v>97239468.278387889</v>
      </c>
      <c r="E28" s="99">
        <f t="shared" si="6"/>
        <v>-1373.6846623986214</v>
      </c>
      <c r="F28" s="99">
        <f t="shared" si="6"/>
        <v>0</v>
      </c>
      <c r="G28" s="99">
        <f t="shared" si="6"/>
        <v>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>
      <c r="A29" s="349"/>
      <c r="B29" s="350"/>
      <c r="C29" s="99"/>
      <c r="D29" s="99"/>
      <c r="E29" s="99"/>
      <c r="F29" s="99"/>
      <c r="G29" s="113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>
      <c r="A30" s="353" t="s">
        <v>843</v>
      </c>
      <c r="B30" s="354"/>
      <c r="C30" s="114">
        <f t="shared" ref="C30:G30" si="7">IF(C25+C26&gt;=C23,0,C23-C25-C26)</f>
        <v>0</v>
      </c>
      <c r="D30" s="114">
        <f t="shared" si="7"/>
        <v>594167195.67894566</v>
      </c>
      <c r="E30" s="114">
        <f t="shared" si="7"/>
        <v>692271368.20119429</v>
      </c>
      <c r="F30" s="114">
        <f t="shared" si="7"/>
        <v>692269994.51653194</v>
      </c>
      <c r="G30" s="115">
        <f t="shared" si="7"/>
        <v>692269994.51653194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>
      <c r="A37" s="6"/>
      <c r="B37" s="6"/>
      <c r="C37" s="355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25972222222222202" right="0.45972222222222198" top="1.27013888888889" bottom="1" header="0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defaultColWidth="12.5703125" defaultRowHeight="15" customHeight="1"/>
  <cols>
    <col min="1" max="1" width="7.85546875" customWidth="1"/>
    <col min="2" max="2" width="16.5703125" customWidth="1"/>
    <col min="3" max="3" width="16.85546875" customWidth="1"/>
    <col min="4" max="6" width="16" customWidth="1"/>
    <col min="7" max="7" width="16.5703125" customWidth="1"/>
    <col min="8" max="8" width="17" customWidth="1"/>
    <col min="9" max="9" width="14.7109375" customWidth="1"/>
    <col min="10" max="11" width="17" customWidth="1"/>
    <col min="12" max="12" width="16.5703125" customWidth="1"/>
    <col min="13" max="13" width="16.7109375" customWidth="1"/>
    <col min="14" max="26" width="11.28515625" customWidth="1"/>
  </cols>
  <sheetData>
    <row r="1" spans="1:26" ht="12.75" customHeight="1">
      <c r="A1" s="1" t="s">
        <v>0</v>
      </c>
      <c r="B1" s="6"/>
      <c r="C1" s="6"/>
      <c r="D1" s="6"/>
      <c r="E1" s="6"/>
      <c r="F1" s="6"/>
      <c r="G1" s="6">
        <f>InfoInicial!E1</f>
        <v>6</v>
      </c>
      <c r="H1" s="1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>
      <c r="A2" s="342" t="s">
        <v>844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9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>
      <c r="A3" s="346" t="s">
        <v>780</v>
      </c>
      <c r="B3" s="332" t="s">
        <v>845</v>
      </c>
      <c r="C3" s="332" t="s">
        <v>846</v>
      </c>
      <c r="D3" s="332" t="s">
        <v>847</v>
      </c>
      <c r="E3" s="332" t="s">
        <v>5</v>
      </c>
      <c r="F3" s="332" t="s">
        <v>848</v>
      </c>
      <c r="G3" s="332" t="s">
        <v>849</v>
      </c>
      <c r="H3" s="332" t="s">
        <v>850</v>
      </c>
      <c r="I3" s="332" t="s">
        <v>260</v>
      </c>
      <c r="J3" s="332" t="s">
        <v>851</v>
      </c>
      <c r="K3" s="332" t="s">
        <v>852</v>
      </c>
      <c r="L3" s="356" t="s">
        <v>853</v>
      </c>
      <c r="M3" s="357" t="s">
        <v>854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>
      <c r="A4" s="358">
        <v>0</v>
      </c>
      <c r="B4" s="348">
        <f>'E-Cal Inv.'!B8+'E-Cal Inv.'!C8</f>
        <v>2287664304.993</v>
      </c>
      <c r="C4" s="93">
        <f>'E-InvAT'!B25</f>
        <v>409151213.61547011</v>
      </c>
      <c r="D4" s="93">
        <f>'E-IVA '!B26</f>
        <v>552959870.10777867</v>
      </c>
      <c r="E4" s="93">
        <v>0</v>
      </c>
      <c r="F4" s="93">
        <v>0</v>
      </c>
      <c r="G4" s="99">
        <f t="shared" ref="G4:G9" si="0">SUM(B4:F4)</f>
        <v>3249775388.7162485</v>
      </c>
      <c r="H4" s="93">
        <v>0</v>
      </c>
      <c r="I4" s="93">
        <v>0</v>
      </c>
      <c r="J4" s="93">
        <v>0</v>
      </c>
      <c r="K4" s="93">
        <v>0</v>
      </c>
      <c r="L4" s="359">
        <f t="shared" ref="L4:L9" si="1">K4-G4</f>
        <v>-3249775388.7162485</v>
      </c>
      <c r="M4" s="94">
        <f>L4</f>
        <v>-3249775388.7162485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>
      <c r="A5" s="360">
        <v>1</v>
      </c>
      <c r="B5" s="350">
        <f>'E-Cal Inv.'!D8</f>
        <v>345465036.63241404</v>
      </c>
      <c r="C5" s="99">
        <f>'E-InvAT'!C25</f>
        <v>463846783.99883622</v>
      </c>
      <c r="D5" s="93">
        <f>'E-IVA '!C26</f>
        <v>121279284.32376482</v>
      </c>
      <c r="E5" s="99">
        <f>H5*InfoInicial!$B$5</f>
        <v>143313790.15380138</v>
      </c>
      <c r="F5" s="99">
        <f>(H5-E5)*InfoInicial!$B$4</f>
        <v>592914872.85425258</v>
      </c>
      <c r="G5" s="99">
        <f t="shared" si="0"/>
        <v>1666819767.963069</v>
      </c>
      <c r="H5" s="99">
        <f>'E-Costos'!B138</f>
        <v>1837356284.0230947</v>
      </c>
      <c r="I5" s="99">
        <f>'E-Inv AF y Am'!D59</f>
        <v>218204343.00180382</v>
      </c>
      <c r="J5" s="99">
        <f>'E-IVA '!C28</f>
        <v>576968119.53158748</v>
      </c>
      <c r="K5" s="99">
        <f t="shared" ref="K5:K9" si="2">SUM(H5:J5)</f>
        <v>2632528746.5564861</v>
      </c>
      <c r="L5" s="359">
        <f t="shared" si="1"/>
        <v>965708978.59341717</v>
      </c>
      <c r="M5" s="113">
        <f t="shared" ref="M5:M9" si="3">L5+M4</f>
        <v>-2284066410.1228313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360">
        <v>2</v>
      </c>
      <c r="B6" s="348">
        <f>'E-Cal Inv.'!E8</f>
        <v>0</v>
      </c>
      <c r="C6" s="99">
        <f>'E-InvAT'!D25</f>
        <v>36746447.471683025</v>
      </c>
      <c r="D6" s="93">
        <f>'E-IVA '!D26</f>
        <v>-31566.621568098664</v>
      </c>
      <c r="E6" s="99">
        <f>H6*InfoInicial!$B$5</f>
        <v>181996912.5881069</v>
      </c>
      <c r="F6" s="99">
        <f>(H6-E6)*InfoInicial!$B$4</f>
        <v>752953893.48951399</v>
      </c>
      <c r="G6" s="99">
        <f t="shared" si="0"/>
        <v>971665686.92773581</v>
      </c>
      <c r="H6" s="99">
        <f>'E-Costos'!C138</f>
        <v>2333293751.1295757</v>
      </c>
      <c r="I6" s="99">
        <f>'E-Inv AF y Am'!D59</f>
        <v>218204343.00180382</v>
      </c>
      <c r="J6" s="99">
        <f>'E-IVA '!D28</f>
        <v>97239468.278387889</v>
      </c>
      <c r="K6" s="99">
        <f t="shared" si="2"/>
        <v>2648737562.4097676</v>
      </c>
      <c r="L6" s="359">
        <f t="shared" si="1"/>
        <v>1677071875.4820318</v>
      </c>
      <c r="M6" s="113">
        <f t="shared" si="3"/>
        <v>-606994534.64079952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>
      <c r="A7" s="360">
        <v>3</v>
      </c>
      <c r="B7" s="350">
        <f>'E-Cal Inv.'!F8</f>
        <v>0</v>
      </c>
      <c r="C7" s="99">
        <f>'E-InvAT'!E25</f>
        <v>-34947.426358103752</v>
      </c>
      <c r="D7" s="93">
        <f>'E-IVA '!E26</f>
        <v>-1373.6846623986214</v>
      </c>
      <c r="E7" s="99">
        <f>H7*InfoInicial!$B$5</f>
        <v>182046392.14314094</v>
      </c>
      <c r="F7" s="99">
        <f>(H7-E7)*InfoInicial!$B$4</f>
        <v>753158599.28963566</v>
      </c>
      <c r="G7" s="99">
        <f t="shared" si="0"/>
        <v>935168670.32175612</v>
      </c>
      <c r="H7" s="99">
        <f>'E-Costos'!D138</f>
        <v>2333928104.3992429</v>
      </c>
      <c r="I7" s="99">
        <f>'E-Inv AF y Am'!D59</f>
        <v>218204343.00180382</v>
      </c>
      <c r="J7" s="99">
        <f>'E-IVA '!E28</f>
        <v>-1373.6846623986214</v>
      </c>
      <c r="K7" s="99">
        <f t="shared" si="2"/>
        <v>2552131073.7163844</v>
      </c>
      <c r="L7" s="359">
        <f t="shared" si="1"/>
        <v>1616962403.3946283</v>
      </c>
      <c r="M7" s="113">
        <f t="shared" si="3"/>
        <v>1009967868.7538288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>
      <c r="A8" s="360">
        <v>4</v>
      </c>
      <c r="B8" s="348">
        <f>'E-Cal Inv.'!G8</f>
        <v>0</v>
      </c>
      <c r="C8" s="99">
        <f>'E-InvAT'!F25</f>
        <v>292.9191312789917</v>
      </c>
      <c r="D8" s="93">
        <f>'E-IVA '!F26</f>
        <v>0</v>
      </c>
      <c r="E8" s="99">
        <f>H8*InfoInicial!$B$5</f>
        <v>182045881.91740921</v>
      </c>
      <c r="F8" s="99">
        <f>(H8-E8)*InfoInicial!$B$4</f>
        <v>753156488.39420438</v>
      </c>
      <c r="G8" s="99">
        <f t="shared" si="0"/>
        <v>935202663.23074484</v>
      </c>
      <c r="H8" s="99">
        <f>'E-Costos'!E138</f>
        <v>2333921563.0437078</v>
      </c>
      <c r="I8" s="99">
        <f>'E-Inv AF y Am'!E59</f>
        <v>218204343.00180382</v>
      </c>
      <c r="J8" s="99">
        <f>'E-IVA '!F28</f>
        <v>0</v>
      </c>
      <c r="K8" s="99">
        <f t="shared" si="2"/>
        <v>2552125906.0455117</v>
      </c>
      <c r="L8" s="359">
        <f t="shared" si="1"/>
        <v>1616923242.8147669</v>
      </c>
      <c r="M8" s="113">
        <f t="shared" si="3"/>
        <v>2626891111.5685959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>
      <c r="A9" s="360">
        <v>5</v>
      </c>
      <c r="B9" s="350">
        <f>-('E-Inv AF y Am'!G59)</f>
        <v>-1542107626.616395</v>
      </c>
      <c r="C9" s="99">
        <f>-('E-InvAT'!G22-'E-InvAT'!G25)</f>
        <v>-909709790.57876253</v>
      </c>
      <c r="D9" s="93">
        <f>'E-IVA '!G26</f>
        <v>0</v>
      </c>
      <c r="E9" s="99">
        <f>H9*InfoInicial!$B$5</f>
        <v>182045881.91740921</v>
      </c>
      <c r="F9" s="99">
        <f>(H9-E9)*InfoInicial!$B$4</f>
        <v>753156488.39420438</v>
      </c>
      <c r="G9" s="99">
        <f t="shared" si="0"/>
        <v>-1516615046.8835437</v>
      </c>
      <c r="H9" s="99">
        <f>'E-Costos'!F138</f>
        <v>2333921563.0437078</v>
      </c>
      <c r="I9" s="99">
        <f>'E-Inv AF y Am'!E59</f>
        <v>218204343.00180382</v>
      </c>
      <c r="J9" s="99">
        <f>'E-IVA '!G28</f>
        <v>0</v>
      </c>
      <c r="K9" s="99">
        <f t="shared" si="2"/>
        <v>2552125906.0455117</v>
      </c>
      <c r="L9" s="359">
        <f t="shared" si="1"/>
        <v>4068740952.9290552</v>
      </c>
      <c r="M9" s="113">
        <f t="shared" si="3"/>
        <v>6695632064.4976511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>
      <c r="A10" s="360"/>
      <c r="B10" s="350"/>
      <c r="C10" s="99"/>
      <c r="D10" s="99"/>
      <c r="E10" s="99"/>
      <c r="F10" s="99"/>
      <c r="G10" s="99"/>
      <c r="H10" s="99"/>
      <c r="I10" s="99"/>
      <c r="J10" s="99"/>
      <c r="K10" s="99"/>
      <c r="L10" s="338"/>
      <c r="M10" s="113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>
      <c r="A11" s="361" t="s">
        <v>855</v>
      </c>
      <c r="B11" s="354">
        <f t="shared" ref="B11:F11" si="4">SUM(B4:B9)</f>
        <v>1091021715.0090189</v>
      </c>
      <c r="C11" s="114">
        <f t="shared" si="4"/>
        <v>0</v>
      </c>
      <c r="D11" s="114">
        <f t="shared" si="4"/>
        <v>674206214.12531304</v>
      </c>
      <c r="E11" s="114">
        <f t="shared" si="4"/>
        <v>871448858.71986759</v>
      </c>
      <c r="F11" s="114">
        <f t="shared" si="4"/>
        <v>3605340342.4218111</v>
      </c>
      <c r="G11" s="114">
        <f>SUM(G2:G9)</f>
        <v>6242017130.2760115</v>
      </c>
      <c r="H11" s="114">
        <f t="shared" ref="H11:K11" si="5">SUM(H4:H9)</f>
        <v>11172421265.639328</v>
      </c>
      <c r="I11" s="114">
        <f t="shared" si="5"/>
        <v>1091021715.0090191</v>
      </c>
      <c r="J11" s="114">
        <f t="shared" si="5"/>
        <v>674206214.12531304</v>
      </c>
      <c r="K11" s="114">
        <f t="shared" si="5"/>
        <v>12937649194.773661</v>
      </c>
      <c r="L11" s="362">
        <f>K11-G11</f>
        <v>6695632064.4976492</v>
      </c>
      <c r="M11" s="115">
        <f>M9</f>
        <v>6695632064.4976511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>
      <c r="A13" s="6"/>
      <c r="B13" s="6"/>
      <c r="C13" s="7" t="s">
        <v>856</v>
      </c>
      <c r="D13" s="363">
        <f>M9</f>
        <v>6695632064.4976511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>
      <c r="A14" s="11"/>
      <c r="B14" s="6"/>
      <c r="C14" s="7" t="s">
        <v>857</v>
      </c>
      <c r="D14" s="364">
        <f>4+(-M7/L8)</f>
        <v>3.3753767389751541</v>
      </c>
      <c r="E14" s="6" t="s">
        <v>858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>
      <c r="A15" s="6"/>
      <c r="B15" s="6"/>
      <c r="C15" s="7" t="s">
        <v>859</v>
      </c>
      <c r="D15" s="365">
        <f>IRR(L4:L9)</f>
        <v>0.40919869429420297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468" t="s">
        <v>860</v>
      </c>
      <c r="M16" s="47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>
      <c r="A17" s="6"/>
      <c r="B17" s="6"/>
      <c r="C17" s="6"/>
      <c r="D17" s="6"/>
      <c r="E17" s="6"/>
      <c r="F17" s="6"/>
      <c r="G17" s="6"/>
      <c r="H17" s="6"/>
      <c r="I17" s="6"/>
      <c r="J17" s="274"/>
      <c r="K17" s="6"/>
      <c r="L17" s="468" t="s">
        <v>861</v>
      </c>
      <c r="M17" s="47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366" t="s">
        <v>260</v>
      </c>
      <c r="M18" s="367" t="str">
        <f>IF(ROUND(B11,3)=ROUND(I11,3),"OK","MAL")</f>
        <v>OK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366" t="s">
        <v>862</v>
      </c>
      <c r="M19" s="367" t="str">
        <f>IF(ROUND(D11,3)=ROUND(J11,3),"OK","MAL")</f>
        <v>OK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>
      <c r="A20" s="6"/>
      <c r="B20" s="6"/>
      <c r="D20" s="6"/>
      <c r="E20" s="6"/>
      <c r="F20" s="6"/>
      <c r="G20" s="6"/>
      <c r="H20" s="6"/>
      <c r="I20" s="6"/>
      <c r="J20" s="6"/>
      <c r="K20" s="6"/>
      <c r="L20" s="366" t="s">
        <v>863</v>
      </c>
      <c r="M20" s="367" t="str">
        <f>IF(ROUND(C11,3)=0,"OK","MAL")</f>
        <v>OK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366" t="s">
        <v>864</v>
      </c>
      <c r="M21" s="367" t="str">
        <f>IF(ROUND((H11-F11-E11),3)=ROUND(L11,3),IF(ROUND(L11,3)=ROUND(M9,3),"OK","MAL"),"MAL")</f>
        <v>OK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>
      <c r="A22" s="6"/>
      <c r="B22" s="6"/>
      <c r="C22" s="6"/>
      <c r="D22" s="6"/>
      <c r="E22" s="6"/>
      <c r="F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>
      <c r="A23" s="6"/>
      <c r="B23" s="6"/>
      <c r="C23" s="6"/>
      <c r="D23" s="6"/>
      <c r="E23" s="6"/>
      <c r="F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">
    <mergeCell ref="L16:M16"/>
    <mergeCell ref="L17:M17"/>
  </mergeCells>
  <conditionalFormatting sqref="J17">
    <cfRule type="cellIs" dxfId="9" priority="9" operator="equal">
      <formula>"OK"</formula>
    </cfRule>
    <cfRule type="cellIs" dxfId="8" priority="10" operator="equal">
      <formula>"MAL"</formula>
    </cfRule>
  </conditionalFormatting>
  <conditionalFormatting sqref="M18:M21">
    <cfRule type="cellIs" dxfId="7" priority="1" operator="equal">
      <formula>"OK"</formula>
    </cfRule>
    <cfRule type="cellIs" dxfId="6" priority="2" operator="equal">
      <formula>"MAL"</formula>
    </cfRule>
  </conditionalFormatting>
  <pageMargins left="0.25972222222222202" right="0.45972222222222198" top="1.27013888888889" bottom="1" header="0" footer="0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defaultColWidth="12.5703125" defaultRowHeight="15" customHeight="1"/>
  <cols>
    <col min="1" max="1" width="32" customWidth="1"/>
    <col min="2" max="6" width="16" customWidth="1"/>
    <col min="7" max="7" width="20" customWidth="1"/>
    <col min="8" max="8" width="17" customWidth="1"/>
    <col min="9" max="26" width="11.28515625" customWidth="1"/>
  </cols>
  <sheetData>
    <row r="1" spans="1:26" ht="12.75" customHeight="1">
      <c r="A1" s="1" t="s">
        <v>0</v>
      </c>
      <c r="B1" s="6"/>
      <c r="C1" s="6"/>
      <c r="D1" s="6"/>
      <c r="E1" s="368"/>
      <c r="F1" s="15">
        <f>InfoInicial!E1</f>
        <v>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>
      <c r="A2" s="342" t="s">
        <v>865</v>
      </c>
      <c r="B2" s="88"/>
      <c r="C2" s="88"/>
      <c r="D2" s="88"/>
      <c r="E2" s="88"/>
      <c r="F2" s="88"/>
      <c r="G2" s="89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>
      <c r="A3" s="90" t="s">
        <v>252</v>
      </c>
      <c r="B3" s="18" t="s">
        <v>55</v>
      </c>
      <c r="C3" s="18" t="s">
        <v>253</v>
      </c>
      <c r="D3" s="18" t="s">
        <v>254</v>
      </c>
      <c r="E3" s="18" t="s">
        <v>255</v>
      </c>
      <c r="F3" s="333" t="s">
        <v>256</v>
      </c>
      <c r="G3" s="19" t="s">
        <v>801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>
      <c r="A4" s="6" t="s">
        <v>866</v>
      </c>
      <c r="B4" s="99">
        <f>'E-Costos'!B110</f>
        <v>4018520000</v>
      </c>
      <c r="C4" s="99">
        <f>'E-Costos'!C110</f>
        <v>4928000000</v>
      </c>
      <c r="D4" s="99">
        <f>'E-Costos'!D110</f>
        <v>4928000000</v>
      </c>
      <c r="E4" s="99">
        <f>'E-Costos'!E110</f>
        <v>4928000000</v>
      </c>
      <c r="F4" s="338">
        <f>'E-Costos'!F110</f>
        <v>4928000000</v>
      </c>
      <c r="G4" s="113">
        <f t="shared" ref="G4:G6" si="0">SUM(B4:F4)</f>
        <v>23730520000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>
      <c r="A5" s="6" t="s">
        <v>867</v>
      </c>
      <c r="B5" s="99">
        <f>'E-Costos'!B129</f>
        <v>1633091417.2092683</v>
      </c>
      <c r="C5" s="99">
        <f>'E-Costos'!C129</f>
        <v>2023568690.4817901</v>
      </c>
      <c r="D5" s="99">
        <f>'E-Costos'!D129</f>
        <v>2022934337.2121229</v>
      </c>
      <c r="E5" s="99">
        <f>'E-Costos'!E129</f>
        <v>2022940878.5676582</v>
      </c>
      <c r="F5" s="99">
        <f>'E-Costos'!F129</f>
        <v>2022940878.5676582</v>
      </c>
      <c r="G5" s="113">
        <f t="shared" si="0"/>
        <v>9725476202.0384979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6" t="s">
        <v>868</v>
      </c>
      <c r="B6" s="99">
        <f t="shared" ref="B6:F6" si="1">B4-B5</f>
        <v>2385428582.7907314</v>
      </c>
      <c r="C6" s="99">
        <f t="shared" si="1"/>
        <v>2904431309.5182099</v>
      </c>
      <c r="D6" s="99">
        <f t="shared" si="1"/>
        <v>2905065662.7878771</v>
      </c>
      <c r="E6" s="99">
        <f t="shared" si="1"/>
        <v>2905059121.4323416</v>
      </c>
      <c r="F6" s="99">
        <f t="shared" si="1"/>
        <v>2905059121.4323416</v>
      </c>
      <c r="G6" s="113">
        <f t="shared" si="0"/>
        <v>14005043797.961502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>
      <c r="A7" s="6" t="s">
        <v>284</v>
      </c>
      <c r="B7" s="99"/>
      <c r="C7" s="99"/>
      <c r="D7" s="99"/>
      <c r="E7" s="99"/>
      <c r="F7" s="338"/>
      <c r="G7" s="113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>
      <c r="A8" s="6" t="s">
        <v>869</v>
      </c>
      <c r="B8" s="99">
        <f>'E-Costos'!B131</f>
        <v>184229796.24615452</v>
      </c>
      <c r="C8" s="99">
        <f>'E-Costos'!C131</f>
        <v>151190438.45665291</v>
      </c>
      <c r="D8" s="99">
        <f>'E-Costos'!D131</f>
        <v>151190438.45665291</v>
      </c>
      <c r="E8" s="99">
        <f>'E-Costos'!E131</f>
        <v>151190438.45665291</v>
      </c>
      <c r="F8" s="99">
        <f>'E-Costos'!F131</f>
        <v>151190438.45665291</v>
      </c>
      <c r="G8" s="113">
        <f t="shared" ref="G8:G14" si="2">SUM(B8:F8)</f>
        <v>788991550.07276607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>
      <c r="A9" s="6" t="s">
        <v>870</v>
      </c>
      <c r="B9" s="99">
        <f>'E-Costos'!B132</f>
        <v>363842502.52148241</v>
      </c>
      <c r="C9" s="99">
        <f>'E-Costos'!C132</f>
        <v>419947119.93198091</v>
      </c>
      <c r="D9" s="99">
        <f>'E-Costos'!D132</f>
        <v>419947119.93198091</v>
      </c>
      <c r="E9" s="99">
        <f>'E-Costos'!E132</f>
        <v>419947119.93198091</v>
      </c>
      <c r="F9" s="99">
        <f>'E-Costos'!F132</f>
        <v>419947119.93198091</v>
      </c>
      <c r="G9" s="113">
        <f t="shared" si="2"/>
        <v>2043630982.2494059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>
      <c r="A10" s="6" t="s">
        <v>871</v>
      </c>
      <c r="B10" s="99">
        <f>'C. Aux. F-CRes'!E3</f>
        <v>1221128852.7197678</v>
      </c>
      <c r="C10" s="99">
        <f>'C. Aux. F-CRes'!E4</f>
        <v>935873174.04368138</v>
      </c>
      <c r="D10" s="99">
        <f>'C. Aux. F-CRes'!E5</f>
        <v>650617495.36759472</v>
      </c>
      <c r="E10" s="99">
        <f>'C. Aux. F-CRes'!E6</f>
        <v>285270799.21706861</v>
      </c>
      <c r="F10" s="338">
        <f>'C. Aux. F-CRes'!E7</f>
        <v>285270799.21706861</v>
      </c>
      <c r="G10" s="113">
        <f t="shared" si="2"/>
        <v>3378161120.5651813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>
      <c r="A11" s="11" t="s">
        <v>872</v>
      </c>
      <c r="B11" s="99">
        <f t="shared" ref="B11:F11" si="3">B6-B8-B9-B10</f>
        <v>616227431.30332685</v>
      </c>
      <c r="C11" s="99">
        <f t="shared" si="3"/>
        <v>1397420577.0858943</v>
      </c>
      <c r="D11" s="99">
        <f t="shared" si="3"/>
        <v>1683310609.0316482</v>
      </c>
      <c r="E11" s="99">
        <f t="shared" si="3"/>
        <v>2048650763.8266387</v>
      </c>
      <c r="F11" s="99">
        <f t="shared" si="3"/>
        <v>2048650763.8266387</v>
      </c>
      <c r="G11" s="113">
        <f t="shared" si="2"/>
        <v>7794260145.0741463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>
      <c r="A12" s="6" t="s">
        <v>873</v>
      </c>
      <c r="B12" s="99">
        <f>B11*InfoInicial!$B$5</f>
        <v>48065739.641659491</v>
      </c>
      <c r="C12" s="99">
        <f>C11*InfoInicial!$B$5</f>
        <v>108998805.01269975</v>
      </c>
      <c r="D12" s="99">
        <f>D11*InfoInicial!$B$5</f>
        <v>131298227.50446856</v>
      </c>
      <c r="E12" s="99">
        <f>E11*InfoInicial!$B$5</f>
        <v>159794759.57847783</v>
      </c>
      <c r="F12" s="99">
        <f>F11*InfoInicial!$B$5</f>
        <v>159794759.57847783</v>
      </c>
      <c r="G12" s="113">
        <f t="shared" si="2"/>
        <v>607952291.3157835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>
      <c r="A13" s="285" t="s">
        <v>874</v>
      </c>
      <c r="B13" s="99">
        <f>(B11-B12)*InfoInicial!$B$4</f>
        <v>198856592.08158356</v>
      </c>
      <c r="C13" s="99">
        <f>(C11-C12)*InfoInicial!$B$4</f>
        <v>450947620.22561806</v>
      </c>
      <c r="D13" s="99">
        <f>(D11-D12)*InfoInicial!$B$4</f>
        <v>543204333.53451288</v>
      </c>
      <c r="E13" s="99">
        <f>(E11-E12)*InfoInicial!$B$4</f>
        <v>661099601.48685622</v>
      </c>
      <c r="F13" s="99">
        <f>(F11-F12)*InfoInicial!$B$4</f>
        <v>661099601.48685622</v>
      </c>
      <c r="G13" s="113">
        <f t="shared" si="2"/>
        <v>2515207748.8154268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>
      <c r="A14" s="326" t="s">
        <v>875</v>
      </c>
      <c r="B14" s="369">
        <f t="shared" ref="B14:F14" si="4">B11-B12-B13</f>
        <v>369305099.58008379</v>
      </c>
      <c r="C14" s="369">
        <f t="shared" si="4"/>
        <v>837474151.84757638</v>
      </c>
      <c r="D14" s="369">
        <f t="shared" si="4"/>
        <v>1008808047.9926668</v>
      </c>
      <c r="E14" s="369">
        <f t="shared" si="4"/>
        <v>1227756402.7613046</v>
      </c>
      <c r="F14" s="369">
        <f t="shared" si="4"/>
        <v>1227756402.7613046</v>
      </c>
      <c r="G14" s="370">
        <f t="shared" si="2"/>
        <v>4671100104.9429369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25972222222222202" right="0.45972222222222198" top="1.27013888888889" bottom="1" header="0" footer="0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  <outlinePr summaryBelow="0" summaryRight="0"/>
  </sheetPr>
  <dimension ref="A1:H8"/>
  <sheetViews>
    <sheetView workbookViewId="0">
      <selection sqref="A1:E1"/>
    </sheetView>
  </sheetViews>
  <sheetFormatPr defaultColWidth="12.5703125" defaultRowHeight="15" customHeight="1"/>
  <cols>
    <col min="2" max="2" width="24.140625" customWidth="1"/>
    <col min="3" max="3" width="21.42578125" customWidth="1"/>
    <col min="4" max="4" width="18" customWidth="1"/>
    <col min="5" max="5" width="14.85546875" customWidth="1"/>
    <col min="8" max="8" width="16.140625" customWidth="1"/>
  </cols>
  <sheetData>
    <row r="1" spans="1:8" ht="15" customHeight="1">
      <c r="A1" s="460" t="s">
        <v>876</v>
      </c>
      <c r="B1" s="491"/>
      <c r="C1" s="491"/>
      <c r="D1" s="491"/>
      <c r="E1" s="492"/>
    </row>
    <row r="2" spans="1:8" ht="15" customHeight="1">
      <c r="A2" s="371" t="s">
        <v>780</v>
      </c>
      <c r="B2" s="371" t="s">
        <v>877</v>
      </c>
      <c r="C2" s="371" t="s">
        <v>878</v>
      </c>
      <c r="D2" s="371" t="s">
        <v>879</v>
      </c>
      <c r="E2" s="371" t="s">
        <v>249</v>
      </c>
      <c r="G2" s="72" t="s">
        <v>880</v>
      </c>
      <c r="H2" s="86">
        <f>'F-Cred'!B21</f>
        <v>454214811.43038398</v>
      </c>
    </row>
    <row r="3" spans="1:8" ht="15" customHeight="1">
      <c r="A3" s="58">
        <v>1</v>
      </c>
      <c r="B3" s="246">
        <f>H2/3</f>
        <v>151404937.14346132</v>
      </c>
      <c r="C3" s="246">
        <f>'C. Aux. F. Cred'!G21</f>
        <v>784453116.35923791</v>
      </c>
      <c r="D3" s="246">
        <f>'C. Aux. F. Cred'!E42</f>
        <v>285270799.21706861</v>
      </c>
      <c r="E3" s="246">
        <f t="shared" ref="E3:E7" si="0">SUM(B3:D3)</f>
        <v>1221128852.7197678</v>
      </c>
      <c r="G3" s="72" t="s">
        <v>881</v>
      </c>
    </row>
    <row r="4" spans="1:8" ht="15" customHeight="1">
      <c r="A4" s="58">
        <v>2</v>
      </c>
      <c r="B4" s="246">
        <f>H2/3</f>
        <v>151404937.14346132</v>
      </c>
      <c r="C4" s="246">
        <f>'C. Aux. F. Cred'!G23</f>
        <v>499197437.68315142</v>
      </c>
      <c r="D4" s="246">
        <f>'C. Aux. F. Cred'!E44</f>
        <v>285270799.21706861</v>
      </c>
      <c r="E4" s="246">
        <f t="shared" si="0"/>
        <v>935873174.04368138</v>
      </c>
      <c r="G4" s="72">
        <v>3</v>
      </c>
    </row>
    <row r="5" spans="1:8" ht="15" customHeight="1">
      <c r="A5" s="58">
        <v>3</v>
      </c>
      <c r="B5" s="246">
        <f>H2/3</f>
        <v>151404937.14346132</v>
      </c>
      <c r="C5" s="246">
        <f>'C. Aux. F. Cred'!G25</f>
        <v>213941759.00706485</v>
      </c>
      <c r="D5" s="246">
        <f>'C. Aux. F. Cred'!E46</f>
        <v>285270799.21706861</v>
      </c>
      <c r="E5" s="246">
        <f t="shared" si="0"/>
        <v>650617495.36759472</v>
      </c>
    </row>
    <row r="6" spans="1:8" ht="15" customHeight="1">
      <c r="A6" s="58">
        <v>4</v>
      </c>
      <c r="B6" s="246"/>
      <c r="C6" s="246">
        <f>'C. Aux. F. Cred'!G27</f>
        <v>0</v>
      </c>
      <c r="D6" s="246">
        <f>'C. Aux. F. Cred'!E48</f>
        <v>285270799.21706861</v>
      </c>
      <c r="E6" s="246">
        <f t="shared" si="0"/>
        <v>285270799.21706861</v>
      </c>
    </row>
    <row r="7" spans="1:8" ht="15" customHeight="1">
      <c r="A7" s="58">
        <v>5</v>
      </c>
      <c r="B7" s="246"/>
      <c r="C7" s="246"/>
      <c r="D7" s="246">
        <f>'C. Aux. F. Cred'!E50</f>
        <v>285270799.21706861</v>
      </c>
      <c r="E7" s="246">
        <f t="shared" si="0"/>
        <v>285270799.21706861</v>
      </c>
    </row>
    <row r="8" spans="1:8" ht="15" customHeight="1">
      <c r="A8" s="58" t="s">
        <v>249</v>
      </c>
      <c r="B8" s="246">
        <f t="shared" ref="B8:E8" si="1">SUM(B3:B7)</f>
        <v>454214811.43038392</v>
      </c>
      <c r="C8" s="246">
        <f t="shared" si="1"/>
        <v>1497592313.0494542</v>
      </c>
      <c r="D8" s="246">
        <f t="shared" si="1"/>
        <v>1426353996.0853431</v>
      </c>
      <c r="E8" s="246">
        <f t="shared" si="1"/>
        <v>3378161120.5651813</v>
      </c>
    </row>
  </sheetData>
  <mergeCells count="1">
    <mergeCell ref="A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/>
  </sheetViews>
  <sheetFormatPr defaultColWidth="12.5703125" defaultRowHeight="15" customHeight="1"/>
  <cols>
    <col min="1" max="1" width="27.140625" customWidth="1"/>
    <col min="2" max="2" width="17.42578125" customWidth="1"/>
    <col min="3" max="3" width="16" customWidth="1"/>
    <col min="4" max="4" width="20.140625" customWidth="1"/>
    <col min="5" max="5" width="16" customWidth="1"/>
    <col min="6" max="6" width="17" customWidth="1"/>
    <col min="7" max="7" width="16" customWidth="1"/>
    <col min="8" max="9" width="15" customWidth="1"/>
    <col min="10" max="26" width="11.28515625" customWidth="1"/>
  </cols>
  <sheetData>
    <row r="1" spans="1:26" ht="12.75" customHeight="1">
      <c r="A1" s="1" t="s">
        <v>0</v>
      </c>
      <c r="B1" s="6"/>
      <c r="C1" s="6"/>
      <c r="D1" s="6"/>
      <c r="E1" s="6"/>
      <c r="F1" s="368">
        <f>InfoInicial!E1</f>
        <v>6</v>
      </c>
      <c r="G1" s="1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>
      <c r="A2" s="372" t="s">
        <v>882</v>
      </c>
      <c r="B2" s="130"/>
      <c r="C2" s="130"/>
      <c r="D2" s="130"/>
      <c r="E2" s="130"/>
      <c r="F2" s="130"/>
      <c r="G2" s="131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>
      <c r="A3" s="90" t="s">
        <v>252</v>
      </c>
      <c r="B3" s="469" t="s">
        <v>883</v>
      </c>
      <c r="C3" s="519"/>
      <c r="D3" s="469" t="s">
        <v>884</v>
      </c>
      <c r="E3" s="519"/>
      <c r="F3" s="469" t="s">
        <v>885</v>
      </c>
      <c r="G3" s="520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>
      <c r="A4" s="90" t="s">
        <v>84</v>
      </c>
      <c r="B4" s="91" t="s">
        <v>886</v>
      </c>
      <c r="C4" s="91" t="s">
        <v>887</v>
      </c>
      <c r="D4" s="91" t="s">
        <v>886</v>
      </c>
      <c r="E4" s="91" t="s">
        <v>887</v>
      </c>
      <c r="F4" s="91" t="s">
        <v>886</v>
      </c>
      <c r="G4" s="92" t="s">
        <v>887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>
      <c r="A5" s="26" t="s">
        <v>888</v>
      </c>
      <c r="B5" s="99">
        <f>'E-Cal Inv.'!I8</f>
        <v>2633129341.6254139</v>
      </c>
      <c r="C5" s="127">
        <f>B5/B8</f>
        <v>0.50548245868750019</v>
      </c>
      <c r="D5" s="99">
        <f>'C. Aux. F. Cred'!C4</f>
        <v>1316564670.8127069</v>
      </c>
      <c r="E5" s="127">
        <f>D5/B8</f>
        <v>0.2527412293437501</v>
      </c>
      <c r="F5" s="99">
        <f t="shared" ref="F5:F7" si="0">B5-D5</f>
        <v>1316564670.8127069</v>
      </c>
      <c r="G5" s="128">
        <f>F5/F8</f>
        <v>0.44755634807354444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24" t="s">
        <v>889</v>
      </c>
      <c r="B6" s="99">
        <f>'E-Cal Inv.'!I18</f>
        <v>1901805328.113791</v>
      </c>
      <c r="C6" s="127">
        <f>B6/B8</f>
        <v>0.36509001589968409</v>
      </c>
      <c r="D6" s="99">
        <f>'C. Aux. F. Cred'!F4</f>
        <v>950902664.05689549</v>
      </c>
      <c r="E6" s="127">
        <f>D6/B8</f>
        <v>0.18254500794984205</v>
      </c>
      <c r="F6" s="99">
        <f t="shared" si="0"/>
        <v>950902664.05689549</v>
      </c>
      <c r="G6" s="128">
        <f>F6/F8</f>
        <v>0.32325227399273843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>
      <c r="A7" s="24" t="s">
        <v>890</v>
      </c>
      <c r="B7" s="99">
        <f>'E-Cal Inv.'!I23</f>
        <v>674206214.12531304</v>
      </c>
      <c r="C7" s="127">
        <f>B7/B8</f>
        <v>0.12942752541281588</v>
      </c>
      <c r="D7" s="99"/>
      <c r="E7" s="143"/>
      <c r="F7" s="99">
        <f t="shared" si="0"/>
        <v>674206214.12531304</v>
      </c>
      <c r="G7" s="128">
        <f>F7/F8</f>
        <v>0.2291913779337173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>
      <c r="A8" s="33" t="s">
        <v>801</v>
      </c>
      <c r="B8" s="369">
        <f t="shared" ref="B8:G8" si="1">SUM(B5:B7)</f>
        <v>5209140883.8645172</v>
      </c>
      <c r="C8" s="374">
        <f t="shared" si="1"/>
        <v>1.0000000000000002</v>
      </c>
      <c r="D8" s="369">
        <f t="shared" si="1"/>
        <v>2267467334.8696022</v>
      </c>
      <c r="E8" s="374">
        <f t="shared" si="1"/>
        <v>0.43528623729359217</v>
      </c>
      <c r="F8" s="369">
        <f t="shared" si="1"/>
        <v>2941673548.994915</v>
      </c>
      <c r="G8" s="375">
        <f t="shared" si="1"/>
        <v>1.0000000000000002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>
      <c r="A9" s="11"/>
      <c r="B9" s="57"/>
      <c r="C9" s="376"/>
      <c r="D9" s="57"/>
      <c r="E9" s="57"/>
      <c r="F9" s="57"/>
      <c r="G9" s="5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>
      <c r="A10" s="377" t="s">
        <v>891</v>
      </c>
      <c r="B10" s="378"/>
      <c r="C10" s="378"/>
      <c r="D10" s="378"/>
      <c r="E10" s="378"/>
      <c r="F10" s="378"/>
      <c r="G10" s="378"/>
      <c r="H10" s="378"/>
      <c r="I10" s="379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>
      <c r="A11" s="380" t="s">
        <v>892</v>
      </c>
      <c r="B11" s="381" t="s">
        <v>893</v>
      </c>
      <c r="C11" s="381" t="s">
        <v>894</v>
      </c>
      <c r="D11" s="381" t="s">
        <v>895</v>
      </c>
      <c r="E11" s="381" t="s">
        <v>894</v>
      </c>
      <c r="F11" s="381" t="s">
        <v>896</v>
      </c>
      <c r="G11" s="381" t="s">
        <v>895</v>
      </c>
      <c r="H11" s="381"/>
      <c r="I11" s="382" t="s">
        <v>897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>
      <c r="A12" s="383"/>
      <c r="B12" s="384"/>
      <c r="C12" s="384" t="s">
        <v>898</v>
      </c>
      <c r="D12" s="384" t="s">
        <v>898</v>
      </c>
      <c r="E12" s="384" t="s">
        <v>41</v>
      </c>
      <c r="F12" s="384" t="s">
        <v>899</v>
      </c>
      <c r="G12" s="384" t="s">
        <v>41</v>
      </c>
      <c r="H12" s="384" t="s">
        <v>900</v>
      </c>
      <c r="I12" s="385" t="s">
        <v>901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>
      <c r="A13" s="109" t="s">
        <v>902</v>
      </c>
      <c r="B13" s="124">
        <f>'C. Aux. F. Cred'!C16</f>
        <v>1316564670.8127069</v>
      </c>
      <c r="C13" s="124"/>
      <c r="D13" s="124"/>
      <c r="E13" s="124"/>
      <c r="F13" s="36"/>
      <c r="G13" s="124">
        <f>'C. Aux. F. Cred'!G18</f>
        <v>427883518.01412982</v>
      </c>
      <c r="H13" s="386"/>
      <c r="I13" s="125">
        <f>'C. Aux. F. Cred'!H16</f>
        <v>26331293.41625414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>
      <c r="A14" s="24" t="s">
        <v>903</v>
      </c>
      <c r="B14" s="99">
        <f>'C. Aux. F. Cred'!C17</f>
        <v>1316564670.8127069</v>
      </c>
      <c r="C14" s="99"/>
      <c r="D14" s="99">
        <f>'C. Aux. F. Cred'!E17</f>
        <v>427883518.01412982</v>
      </c>
      <c r="E14" s="99"/>
      <c r="F14" s="25"/>
      <c r="G14" s="99"/>
      <c r="H14" s="143"/>
      <c r="I14" s="113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>
      <c r="A15" s="387"/>
      <c r="B15" s="99"/>
      <c r="C15" s="99"/>
      <c r="D15" s="99"/>
      <c r="E15" s="99"/>
      <c r="F15" s="25"/>
      <c r="G15" s="99"/>
      <c r="H15" s="143"/>
      <c r="I15" s="113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>
      <c r="A16" s="387"/>
      <c r="B16" s="99"/>
      <c r="C16" s="99"/>
      <c r="D16" s="99"/>
      <c r="E16" s="99"/>
      <c r="F16" s="25"/>
      <c r="G16" s="99"/>
      <c r="H16" s="143"/>
      <c r="I16" s="113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>
      <c r="A17" s="387"/>
      <c r="B17" s="99"/>
      <c r="C17" s="99"/>
      <c r="D17" s="99"/>
      <c r="E17" s="99"/>
      <c r="F17" s="25"/>
      <c r="G17" s="99"/>
      <c r="H17" s="143"/>
      <c r="I17" s="113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>
      <c r="A18" s="387"/>
      <c r="B18" s="99"/>
      <c r="C18" s="99"/>
      <c r="D18" s="99"/>
      <c r="E18" s="99"/>
      <c r="F18" s="25"/>
      <c r="G18" s="99"/>
      <c r="H18" s="143"/>
      <c r="I18" s="113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>
      <c r="A19" s="387"/>
      <c r="B19" s="99"/>
      <c r="C19" s="99"/>
      <c r="D19" s="99"/>
      <c r="E19" s="99"/>
      <c r="F19" s="25"/>
      <c r="G19" s="99"/>
      <c r="H19" s="143"/>
      <c r="I19" s="113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>
      <c r="A20" s="388"/>
      <c r="B20" s="114"/>
      <c r="C20" s="114"/>
      <c r="D20" s="114"/>
      <c r="E20" s="114"/>
      <c r="F20" s="28"/>
      <c r="G20" s="114"/>
      <c r="H20" s="389"/>
      <c r="I20" s="120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>
      <c r="A21" s="3" t="s">
        <v>904</v>
      </c>
      <c r="B21" s="289">
        <f>D21+I21</f>
        <v>454214811.43038398</v>
      </c>
      <c r="C21" s="289">
        <f t="shared" ref="C21:I21" si="2">SUM(C13:C20)</f>
        <v>0</v>
      </c>
      <c r="D21" s="289">
        <f t="shared" si="2"/>
        <v>427883518.01412982</v>
      </c>
      <c r="E21" s="289">
        <f t="shared" si="2"/>
        <v>0</v>
      </c>
      <c r="F21" s="289">
        <f t="shared" si="2"/>
        <v>0</v>
      </c>
      <c r="G21" s="289">
        <f t="shared" si="2"/>
        <v>427883518.01412982</v>
      </c>
      <c r="H21" s="289">
        <f t="shared" si="2"/>
        <v>0</v>
      </c>
      <c r="I21" s="390">
        <f t="shared" si="2"/>
        <v>26331293.41625414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>
      <c r="A22" s="391" t="str">
        <f>'C. Aux. F. Cred'!B19</f>
        <v>01/01 Año 1</v>
      </c>
      <c r="B22" s="124">
        <f>'C. Aux. F. Cred'!C19</f>
        <v>1316564670.8127069</v>
      </c>
      <c r="C22" s="124"/>
      <c r="D22" s="124"/>
      <c r="E22" s="124"/>
      <c r="F22" s="36"/>
      <c r="G22" s="36"/>
      <c r="H22" s="386"/>
      <c r="I22" s="94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>
      <c r="A23" s="387" t="str">
        <f>'C. Aux. F. Cred'!B20</f>
        <v>30/06 Año 1</v>
      </c>
      <c r="B23" s="99">
        <f>'C. Aux. F. Cred'!C20+'C. Aux. F. Cred'!C41</f>
        <v>2048039889.7341514</v>
      </c>
      <c r="C23" s="99">
        <f>'C. Aux. F. Cred'!D20</f>
        <v>219427445.13545117</v>
      </c>
      <c r="D23" s="99">
        <f>'C. Aux. F. Cred'!E20+'C. Aux. F. Cred'!D41</f>
        <v>570518917.62266409</v>
      </c>
      <c r="E23" s="99"/>
      <c r="F23" s="25"/>
      <c r="G23" s="99"/>
      <c r="H23" s="143"/>
      <c r="I23" s="113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>
      <c r="A24" s="387" t="str">
        <f>'C. Aux. F. Cred'!B21</f>
        <v>31/12 Año 1</v>
      </c>
      <c r="B24" s="99">
        <f>'C. Aux. F. Cred'!C21+'C. Aux. F. Cred'!C42</f>
        <v>1828612444.5987</v>
      </c>
      <c r="C24" s="99">
        <f>'C. Aux. F. Cred'!D21</f>
        <v>219427445.13545117</v>
      </c>
      <c r="D24" s="99">
        <f>'C. Aux. F. Cred'!E21+'C. Aux. F. Cred'!D42</f>
        <v>499204997.95364249</v>
      </c>
      <c r="E24" s="99">
        <f>SUM(C23:C24)</f>
        <v>438854890.27090234</v>
      </c>
      <c r="F24" s="99">
        <f>D23+D24</f>
        <v>1069723915.5763066</v>
      </c>
      <c r="G24" s="99">
        <f>D23+D24</f>
        <v>1069723915.5763066</v>
      </c>
      <c r="H24" s="127">
        <f>G24/F24</f>
        <v>1</v>
      </c>
      <c r="I24" s="113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>
      <c r="A25" s="387" t="str">
        <f>'C. Aux. F. Cred'!B22</f>
        <v>30/06 Año 2</v>
      </c>
      <c r="B25" s="99">
        <f>'C. Aux. F. Cred'!C22+'C. Aux. F. Cred'!C43</f>
        <v>1609184999.463249</v>
      </c>
      <c r="C25" s="99">
        <f>'C. Aux. F. Cred'!D22</f>
        <v>219427445.13545117</v>
      </c>
      <c r="D25" s="99">
        <f>'C. Aux. F. Cred'!E22+'C. Aux. F. Cred'!D43</f>
        <v>427891078.28462088</v>
      </c>
      <c r="E25" s="99"/>
      <c r="F25" s="99"/>
      <c r="G25" s="99"/>
      <c r="H25" s="127"/>
      <c r="I25" s="113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>
      <c r="A26" s="387" t="str">
        <f>'C. Aux. F. Cred'!B23</f>
        <v>31/12 Año 2</v>
      </c>
      <c r="B26" s="99">
        <f>'C. Aux. F. Cred'!C23+'C. Aux. F. Cred'!C44</f>
        <v>1389757554.3277979</v>
      </c>
      <c r="C26" s="99">
        <f>'C. Aux. F. Cred'!D23</f>
        <v>219427445.13545117</v>
      </c>
      <c r="D26" s="99">
        <f>'C. Aux. F. Cred'!E23+'C. Aux. F. Cred'!D44</f>
        <v>356577158.61559916</v>
      </c>
      <c r="E26" s="99">
        <f>SUM(C25:C26)</f>
        <v>438854890.27090234</v>
      </c>
      <c r="F26" s="99">
        <f>D25+D26</f>
        <v>784468236.90022004</v>
      </c>
      <c r="G26" s="99">
        <f>D25+D26</f>
        <v>784468236.90022004</v>
      </c>
      <c r="H26" s="127">
        <f>G26/F26</f>
        <v>1</v>
      </c>
      <c r="I26" s="113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>
      <c r="A27" s="387" t="str">
        <f>'C. Aux. F. Cred'!B24</f>
        <v>30/06 Año 3</v>
      </c>
      <c r="B27" s="99">
        <f>'C. Aux. F. Cred'!C24+'C. Aux. F. Cred'!C45</f>
        <v>1170330109.1923466</v>
      </c>
      <c r="C27" s="99">
        <f>'C. Aux. F. Cred'!D24</f>
        <v>219427445.13545117</v>
      </c>
      <c r="D27" s="99">
        <f>'C. Aux. F. Cred'!E24+'C. Aux. F. Cred'!D45</f>
        <v>285263238.94657755</v>
      </c>
      <c r="E27" s="99"/>
      <c r="F27" s="99"/>
      <c r="G27" s="99"/>
      <c r="H27" s="127"/>
      <c r="I27" s="113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>
      <c r="A28" s="387" t="str">
        <f>'C. Aux. F. Cred'!B25</f>
        <v>31/12 Año 3</v>
      </c>
      <c r="B28" s="99">
        <f>'C. Aux. F. Cred'!C25+'C. Aux. F. Cred'!C46</f>
        <v>950902664.05689549</v>
      </c>
      <c r="C28" s="99">
        <f>'C. Aux. F. Cred'!D25</f>
        <v>219427445.13545117</v>
      </c>
      <c r="D28" s="99">
        <f>'C. Aux. F. Cred'!E25+'C. Aux. F. Cred'!D46</f>
        <v>213949319.27755591</v>
      </c>
      <c r="E28" s="99">
        <f>SUM(C27:C28)</f>
        <v>438854890.27090234</v>
      </c>
      <c r="F28" s="99">
        <f>D27+D28</f>
        <v>499212558.22413349</v>
      </c>
      <c r="G28" s="99">
        <f>D27+D28</f>
        <v>499212558.22413349</v>
      </c>
      <c r="H28" s="127">
        <f>G28/F28</f>
        <v>1</v>
      </c>
      <c r="I28" s="113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>
      <c r="A29" s="387" t="str">
        <f>'C. Aux. F. Cred'!B47</f>
        <v>30/06 Año 4</v>
      </c>
      <c r="B29" s="99">
        <f>'C. Aux. F. Cred'!C47</f>
        <v>950902664.05689549</v>
      </c>
      <c r="C29" s="99">
        <f>'C. Aux. F. Cred'!D26</f>
        <v>0</v>
      </c>
      <c r="D29" s="99">
        <f>'C. Aux. F. Cred'!D47</f>
        <v>142635399.60853431</v>
      </c>
      <c r="E29" s="99"/>
      <c r="F29" s="99"/>
      <c r="G29" s="99"/>
      <c r="H29" s="127"/>
      <c r="I29" s="113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>
      <c r="A30" s="387" t="str">
        <f>'C. Aux. F. Cred'!B48</f>
        <v>31/12 Año 4</v>
      </c>
      <c r="B30" s="99">
        <f>'C. Aux. F. Cred'!C48</f>
        <v>950902664.05689549</v>
      </c>
      <c r="C30" s="99"/>
      <c r="D30" s="99">
        <f>'C. Aux. F. Cred'!D48</f>
        <v>142635399.60853431</v>
      </c>
      <c r="E30" s="99">
        <f>SUM(C29:C30)</f>
        <v>0</v>
      </c>
      <c r="F30" s="99">
        <f>D29+D30</f>
        <v>285270799.21706861</v>
      </c>
      <c r="G30" s="99">
        <f>D29+D30</f>
        <v>285270799.21706861</v>
      </c>
      <c r="H30" s="127">
        <f>G30/F30</f>
        <v>1</v>
      </c>
      <c r="I30" s="113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>
      <c r="A31" s="387" t="str">
        <f>'C. Aux. F. Cred'!B49</f>
        <v>30/06 Año 5</v>
      </c>
      <c r="B31" s="99">
        <f>'C. Aux. F. Cred'!C49</f>
        <v>950902664.05689549</v>
      </c>
      <c r="C31" s="99"/>
      <c r="D31" s="99">
        <f>'C. Aux. F. Cred'!D49</f>
        <v>142635399.60853431</v>
      </c>
      <c r="E31" s="99"/>
      <c r="F31" s="99"/>
      <c r="G31" s="99"/>
      <c r="H31" s="127"/>
      <c r="I31" s="113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>
      <c r="A32" s="387" t="str">
        <f>'C. Aux. F. Cred'!B50</f>
        <v>31/12 Año 5</v>
      </c>
      <c r="B32" s="99">
        <f>'C. Aux. F. Cred'!C50</f>
        <v>950902664.05689549</v>
      </c>
      <c r="C32" s="99"/>
      <c r="D32" s="99">
        <f>'C. Aux. F. Cred'!D50</f>
        <v>142635399.60853431</v>
      </c>
      <c r="E32" s="99">
        <f>SUM(C31:C32)</f>
        <v>0</v>
      </c>
      <c r="F32" s="99">
        <f>D31+D32</f>
        <v>285270799.21706861</v>
      </c>
      <c r="G32" s="99">
        <f>D31+D32</f>
        <v>285270799.21706861</v>
      </c>
      <c r="H32" s="127">
        <f>G32/F32</f>
        <v>1</v>
      </c>
      <c r="I32" s="113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>
      <c r="A33" s="387"/>
      <c r="B33" s="99"/>
      <c r="C33" s="99"/>
      <c r="D33" s="99"/>
      <c r="E33" s="99"/>
      <c r="F33" s="99"/>
      <c r="G33" s="99"/>
      <c r="H33" s="127"/>
      <c r="I33" s="113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>
      <c r="A34" s="387"/>
      <c r="B34" s="99"/>
      <c r="C34" s="99"/>
      <c r="D34" s="99"/>
      <c r="E34" s="99"/>
      <c r="F34" s="99"/>
      <c r="G34" s="99"/>
      <c r="H34" s="127"/>
      <c r="I34" s="113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>
      <c r="A35" s="387"/>
      <c r="B35" s="99"/>
      <c r="C35" s="99"/>
      <c r="D35" s="99"/>
      <c r="E35" s="99"/>
      <c r="F35" s="25"/>
      <c r="G35" s="99"/>
      <c r="H35" s="143"/>
      <c r="I35" s="113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>
      <c r="A36" s="392"/>
      <c r="B36" s="99"/>
      <c r="C36" s="99"/>
      <c r="D36" s="99"/>
      <c r="E36" s="99"/>
      <c r="F36" s="99"/>
      <c r="G36" s="99"/>
      <c r="H36" s="127"/>
      <c r="I36" s="113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>
      <c r="A37" s="392"/>
      <c r="B37" s="99"/>
      <c r="C37" s="99"/>
      <c r="D37" s="99"/>
      <c r="E37" s="99"/>
      <c r="F37" s="25"/>
      <c r="G37" s="99"/>
      <c r="H37" s="143"/>
      <c r="I37" s="113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>
      <c r="A38" s="392"/>
      <c r="B38" s="99"/>
      <c r="C38" s="99"/>
      <c r="D38" s="99"/>
      <c r="E38" s="99"/>
      <c r="F38" s="99"/>
      <c r="G38" s="99"/>
      <c r="H38" s="127"/>
      <c r="I38" s="113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>
      <c r="A39" s="392"/>
      <c r="B39" s="99"/>
      <c r="C39" s="99"/>
      <c r="D39" s="99"/>
      <c r="E39" s="99"/>
      <c r="F39" s="25"/>
      <c r="G39" s="99"/>
      <c r="H39" s="143"/>
      <c r="I39" s="113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>
      <c r="A40" s="392"/>
      <c r="B40" s="99"/>
      <c r="C40" s="99"/>
      <c r="D40" s="99"/>
      <c r="E40" s="99"/>
      <c r="F40" s="99"/>
      <c r="G40" s="99"/>
      <c r="H40" s="127"/>
      <c r="I40" s="113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>
      <c r="A41" s="392"/>
      <c r="B41" s="99"/>
      <c r="C41" s="99"/>
      <c r="D41" s="99"/>
      <c r="E41" s="99"/>
      <c r="F41" s="25"/>
      <c r="G41" s="99"/>
      <c r="H41" s="143"/>
      <c r="I41" s="113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>
      <c r="A42" s="392"/>
      <c r="B42" s="99"/>
      <c r="C42" s="99"/>
      <c r="D42" s="99"/>
      <c r="E42" s="99"/>
      <c r="F42" s="99"/>
      <c r="G42" s="99"/>
      <c r="H42" s="127"/>
      <c r="I42" s="113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>
      <c r="A43" s="392"/>
      <c r="B43" s="99"/>
      <c r="C43" s="99"/>
      <c r="D43" s="99"/>
      <c r="E43" s="99"/>
      <c r="F43" s="25"/>
      <c r="G43" s="99"/>
      <c r="H43" s="143"/>
      <c r="I43" s="113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>
      <c r="A44" s="392"/>
      <c r="B44" s="99"/>
      <c r="C44" s="99"/>
      <c r="D44" s="99"/>
      <c r="E44" s="99"/>
      <c r="F44" s="99"/>
      <c r="G44" s="99"/>
      <c r="H44" s="127"/>
      <c r="I44" s="113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>
      <c r="A45" s="392"/>
      <c r="B45" s="99"/>
      <c r="C45" s="99"/>
      <c r="D45" s="99"/>
      <c r="E45" s="99"/>
      <c r="F45" s="25"/>
      <c r="G45" s="99"/>
      <c r="H45" s="143"/>
      <c r="I45" s="113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>
      <c r="A46" s="392"/>
      <c r="B46" s="99"/>
      <c r="C46" s="99"/>
      <c r="D46" s="99"/>
      <c r="E46" s="99"/>
      <c r="F46" s="99"/>
      <c r="G46" s="99"/>
      <c r="H46" s="127"/>
      <c r="I46" s="113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>
      <c r="A47" s="392"/>
      <c r="B47" s="99"/>
      <c r="C47" s="99"/>
      <c r="D47" s="99"/>
      <c r="E47" s="99"/>
      <c r="F47" s="25"/>
      <c r="G47" s="99"/>
      <c r="H47" s="143"/>
      <c r="I47" s="113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>
      <c r="A48" s="392"/>
      <c r="B48" s="99"/>
      <c r="C48" s="99"/>
      <c r="D48" s="99"/>
      <c r="E48" s="99"/>
      <c r="F48" s="99"/>
      <c r="G48" s="99"/>
      <c r="H48" s="127"/>
      <c r="I48" s="113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>
      <c r="A49" s="392"/>
      <c r="B49" s="99"/>
      <c r="C49" s="99"/>
      <c r="D49" s="99"/>
      <c r="E49" s="99"/>
      <c r="F49" s="25"/>
      <c r="G49" s="99"/>
      <c r="H49" s="143"/>
      <c r="I49" s="113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>
      <c r="A50" s="392"/>
      <c r="B50" s="99"/>
      <c r="C50" s="99"/>
      <c r="D50" s="99"/>
      <c r="E50" s="99"/>
      <c r="F50" s="99"/>
      <c r="G50" s="99"/>
      <c r="H50" s="127"/>
      <c r="I50" s="113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>
      <c r="A51" s="392"/>
      <c r="B51" s="99"/>
      <c r="C51" s="99"/>
      <c r="D51" s="99"/>
      <c r="E51" s="99"/>
      <c r="F51" s="25"/>
      <c r="G51" s="99"/>
      <c r="H51" s="143"/>
      <c r="I51" s="113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>
      <c r="A52" s="392"/>
      <c r="B52" s="99"/>
      <c r="C52" s="99"/>
      <c r="D52" s="99"/>
      <c r="E52" s="99"/>
      <c r="F52" s="99"/>
      <c r="G52" s="99"/>
      <c r="H52" s="127"/>
      <c r="I52" s="113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>
      <c r="A53" s="387"/>
      <c r="B53" s="99"/>
      <c r="C53" s="99"/>
      <c r="D53" s="99"/>
      <c r="E53" s="99"/>
      <c r="F53" s="25"/>
      <c r="G53" s="99"/>
      <c r="H53" s="143"/>
      <c r="I53" s="113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>
      <c r="A54" s="123" t="s">
        <v>905</v>
      </c>
      <c r="B54" s="369"/>
      <c r="C54" s="369">
        <f>SUM(C22:C31)</f>
        <v>1316564670.8127069</v>
      </c>
      <c r="D54" s="369">
        <f>SUM(D23:D32)</f>
        <v>2923946309.1347976</v>
      </c>
      <c r="E54" s="369">
        <f t="shared" ref="E54:G54" si="3">SUM(E22:E32)</f>
        <v>1316564670.8127069</v>
      </c>
      <c r="F54" s="393">
        <f t="shared" si="3"/>
        <v>2923946309.1347976</v>
      </c>
      <c r="G54" s="369">
        <f t="shared" si="3"/>
        <v>2923946309.1347976</v>
      </c>
      <c r="H54" s="394"/>
      <c r="I54" s="370">
        <f>'C. Aux. F. Cred'!H28</f>
        <v>26331293.41625414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">
    <mergeCell ref="B3:C3"/>
    <mergeCell ref="D3:E3"/>
    <mergeCell ref="F3:G3"/>
  </mergeCells>
  <pageMargins left="0.25972222222222202" right="0.45972222222222198" top="0.42986111111111103" bottom="1" header="0" footer="0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  <outlinePr summaryBelow="0" summaryRight="0"/>
  </sheetPr>
  <dimension ref="A1:I50"/>
  <sheetViews>
    <sheetView workbookViewId="0"/>
  </sheetViews>
  <sheetFormatPr defaultColWidth="12.5703125" defaultRowHeight="15" customHeight="1"/>
  <cols>
    <col min="1" max="1" width="5.140625" customWidth="1"/>
    <col min="3" max="3" width="23.140625" customWidth="1"/>
    <col min="4" max="4" width="15.7109375" customWidth="1"/>
    <col min="5" max="5" width="15.5703125" customWidth="1"/>
    <col min="6" max="6" width="19.5703125" customWidth="1"/>
    <col min="7" max="7" width="14.42578125" customWidth="1"/>
    <col min="8" max="8" width="14.140625" customWidth="1"/>
    <col min="9" max="9" width="14.42578125" customWidth="1"/>
  </cols>
  <sheetData>
    <row r="1" spans="1:9" ht="15" customHeight="1">
      <c r="A1" s="193"/>
      <c r="B1" s="193"/>
      <c r="C1" s="220"/>
      <c r="D1" s="193"/>
      <c r="E1" s="193"/>
      <c r="F1" s="220"/>
    </row>
    <row r="2" spans="1:9">
      <c r="A2" s="193"/>
      <c r="B2" s="395" t="s">
        <v>906</v>
      </c>
      <c r="C2" s="396">
        <f>'F-Cred'!B5</f>
        <v>2633129341.6254139</v>
      </c>
      <c r="D2" s="193"/>
      <c r="E2" s="395" t="s">
        <v>907</v>
      </c>
      <c r="F2" s="396">
        <f>'F-Cred'!B6</f>
        <v>1901805328.113791</v>
      </c>
    </row>
    <row r="3" spans="1:9">
      <c r="A3" s="193"/>
      <c r="B3" s="397" t="s">
        <v>908</v>
      </c>
      <c r="C3" s="398">
        <v>0.5</v>
      </c>
      <c r="D3" s="193"/>
      <c r="E3" s="397" t="s">
        <v>908</v>
      </c>
      <c r="F3" s="398">
        <v>0.5</v>
      </c>
    </row>
    <row r="4" spans="1:9">
      <c r="A4" s="193"/>
      <c r="B4" s="397" t="s">
        <v>909</v>
      </c>
      <c r="C4" s="399">
        <f>C2*C3</f>
        <v>1316564670.8127069</v>
      </c>
      <c r="D4" s="193"/>
      <c r="E4" s="397" t="s">
        <v>909</v>
      </c>
      <c r="F4" s="399">
        <f>F2*F3</f>
        <v>950902664.05689549</v>
      </c>
    </row>
    <row r="8" spans="1:9">
      <c r="A8" s="400"/>
      <c r="B8" s="521" t="s">
        <v>910</v>
      </c>
      <c r="C8" s="480"/>
      <c r="D8" s="193"/>
      <c r="E8" s="193"/>
      <c r="F8" s="193"/>
      <c r="G8" s="193"/>
      <c r="H8" s="193"/>
      <c r="I8" s="193"/>
    </row>
    <row r="9" spans="1:9" ht="15" customHeight="1">
      <c r="A9" s="193"/>
      <c r="B9" s="499" t="s">
        <v>911</v>
      </c>
      <c r="C9" s="480"/>
      <c r="D9" s="480"/>
      <c r="E9" s="480"/>
      <c r="F9" s="480"/>
      <c r="G9" s="193"/>
      <c r="H9" s="193"/>
      <c r="I9" s="193"/>
    </row>
    <row r="10" spans="1:9">
      <c r="A10" s="193"/>
      <c r="B10" s="193" t="s">
        <v>912</v>
      </c>
      <c r="C10" s="401">
        <v>0.65</v>
      </c>
      <c r="D10" s="193" t="s">
        <v>41</v>
      </c>
      <c r="E10" s="193"/>
      <c r="F10" s="193"/>
      <c r="G10" s="193"/>
      <c r="H10" s="193"/>
      <c r="I10" s="193"/>
    </row>
    <row r="11" spans="1:9">
      <c r="A11" s="193"/>
      <c r="B11" s="499" t="s">
        <v>913</v>
      </c>
      <c r="C11" s="480"/>
      <c r="D11" s="401">
        <v>0.02</v>
      </c>
      <c r="E11" s="193"/>
      <c r="F11" s="193"/>
      <c r="G11" s="193"/>
      <c r="H11" s="193"/>
      <c r="I11" s="193"/>
    </row>
    <row r="12" spans="1:9" ht="15" customHeight="1">
      <c r="A12" s="193"/>
      <c r="B12" s="193"/>
      <c r="C12" s="193"/>
      <c r="D12" s="193"/>
      <c r="E12" s="193"/>
      <c r="F12" s="193"/>
      <c r="G12" s="193"/>
      <c r="H12" s="193"/>
      <c r="I12" s="193"/>
    </row>
    <row r="13" spans="1:9">
      <c r="A13" s="402"/>
      <c r="B13" s="471" t="s">
        <v>914</v>
      </c>
      <c r="C13" s="491"/>
      <c r="D13" s="491"/>
      <c r="E13" s="491"/>
      <c r="F13" s="491"/>
      <c r="G13" s="491"/>
      <c r="H13" s="491"/>
      <c r="I13" s="492"/>
    </row>
    <row r="14" spans="1:9">
      <c r="A14" s="403"/>
      <c r="B14" s="472" t="s">
        <v>892</v>
      </c>
      <c r="C14" s="473" t="s">
        <v>915</v>
      </c>
      <c r="D14" s="470" t="s">
        <v>916</v>
      </c>
      <c r="E14" s="470" t="s">
        <v>917</v>
      </c>
      <c r="F14" s="470" t="s">
        <v>330</v>
      </c>
      <c r="G14" s="470" t="s">
        <v>918</v>
      </c>
      <c r="H14" s="470" t="s">
        <v>919</v>
      </c>
      <c r="I14" s="473" t="s">
        <v>447</v>
      </c>
    </row>
    <row r="15" spans="1:9">
      <c r="A15" s="403"/>
      <c r="B15" s="522"/>
      <c r="C15" s="522"/>
      <c r="D15" s="523"/>
      <c r="E15" s="523"/>
      <c r="F15" s="523"/>
      <c r="G15" s="523"/>
      <c r="H15" s="523"/>
      <c r="I15" s="522"/>
    </row>
    <row r="16" spans="1:9" ht="15" customHeight="1">
      <c r="A16" s="250"/>
      <c r="B16" s="404" t="s">
        <v>920</v>
      </c>
      <c r="C16" s="405">
        <f>C4</f>
        <v>1316564670.8127069</v>
      </c>
      <c r="D16" s="406"/>
      <c r="E16" s="406"/>
      <c r="F16" s="406"/>
      <c r="G16" s="406"/>
      <c r="H16" s="405">
        <f>C17*D11</f>
        <v>26331293.41625414</v>
      </c>
      <c r="I16" s="406"/>
    </row>
    <row r="17" spans="1:9" ht="15" customHeight="1">
      <c r="A17" s="250"/>
      <c r="B17" s="404" t="s">
        <v>921</v>
      </c>
      <c r="C17" s="405">
        <f>C4</f>
        <v>1316564670.8127069</v>
      </c>
      <c r="D17" s="406"/>
      <c r="E17" s="405">
        <f>C17*C10*6/12</f>
        <v>427883518.01412982</v>
      </c>
      <c r="F17" s="406"/>
      <c r="G17" s="406"/>
      <c r="H17" s="406"/>
      <c r="I17" s="406"/>
    </row>
    <row r="18" spans="1:9">
      <c r="A18" s="250"/>
      <c r="B18" s="451" t="s">
        <v>922</v>
      </c>
      <c r="C18" s="491"/>
      <c r="D18" s="492"/>
      <c r="E18" s="405">
        <f>E17</f>
        <v>427883518.01412982</v>
      </c>
      <c r="F18" s="406"/>
      <c r="G18" s="405">
        <f>E18</f>
        <v>427883518.01412982</v>
      </c>
      <c r="H18" s="405">
        <f>H16</f>
        <v>26331293.41625414</v>
      </c>
      <c r="I18" s="407">
        <f>G18+H18</f>
        <v>454214811.43038398</v>
      </c>
    </row>
    <row r="19" spans="1:9" ht="15" customHeight="1">
      <c r="A19" s="250"/>
      <c r="B19" s="404" t="s">
        <v>923</v>
      </c>
      <c r="C19" s="405">
        <f>C17</f>
        <v>1316564670.8127069</v>
      </c>
      <c r="D19" s="406"/>
      <c r="E19" s="406"/>
      <c r="F19" s="406"/>
      <c r="G19" s="406"/>
      <c r="H19" s="406"/>
      <c r="I19" s="406"/>
    </row>
    <row r="20" spans="1:9" ht="15" customHeight="1">
      <c r="A20" s="250"/>
      <c r="B20" s="404" t="s">
        <v>924</v>
      </c>
      <c r="C20" s="405">
        <f t="shared" ref="C20:C25" si="0">C19-D20</f>
        <v>1097137225.6772559</v>
      </c>
      <c r="D20" s="405">
        <f t="shared" ref="D20:D25" si="1">$C$17/6</f>
        <v>219427445.13545117</v>
      </c>
      <c r="E20" s="405">
        <f t="shared" ref="E20:E25" si="2">C19*$C$10/2</f>
        <v>427883518.01412976</v>
      </c>
      <c r="F20" s="406"/>
      <c r="G20" s="406"/>
      <c r="H20" s="406"/>
      <c r="I20" s="405">
        <f t="shared" ref="I20:I25" si="3">D20+E20</f>
        <v>647310963.14958096</v>
      </c>
    </row>
    <row r="21" spans="1:9" ht="15" customHeight="1">
      <c r="A21" s="250"/>
      <c r="B21" s="404" t="s">
        <v>925</v>
      </c>
      <c r="C21" s="405">
        <f t="shared" si="0"/>
        <v>877709780.54180467</v>
      </c>
      <c r="D21" s="405">
        <f t="shared" si="1"/>
        <v>219427445.13545117</v>
      </c>
      <c r="E21" s="405">
        <f t="shared" si="2"/>
        <v>356569598.34510815</v>
      </c>
      <c r="F21" s="405">
        <f t="shared" ref="F21:G21" si="4">D20+D21</f>
        <v>438854890.27090234</v>
      </c>
      <c r="G21" s="405">
        <f t="shared" si="4"/>
        <v>784453116.35923791</v>
      </c>
      <c r="H21" s="406"/>
      <c r="I21" s="405">
        <f t="shared" si="3"/>
        <v>575997043.48055935</v>
      </c>
    </row>
    <row r="22" spans="1:9" ht="15" customHeight="1">
      <c r="A22" s="250"/>
      <c r="B22" s="404" t="s">
        <v>926</v>
      </c>
      <c r="C22" s="405">
        <f t="shared" si="0"/>
        <v>658282335.40635347</v>
      </c>
      <c r="D22" s="405">
        <f t="shared" si="1"/>
        <v>219427445.13545117</v>
      </c>
      <c r="E22" s="405">
        <f t="shared" si="2"/>
        <v>285255678.67608654</v>
      </c>
      <c r="F22" s="406"/>
      <c r="G22" s="406"/>
      <c r="H22" s="406"/>
      <c r="I22" s="405">
        <f t="shared" si="3"/>
        <v>504683123.81153774</v>
      </c>
    </row>
    <row r="23" spans="1:9" ht="12.6">
      <c r="A23" s="250"/>
      <c r="B23" s="404" t="s">
        <v>927</v>
      </c>
      <c r="C23" s="405">
        <f t="shared" si="0"/>
        <v>438854890.27090228</v>
      </c>
      <c r="D23" s="405">
        <f t="shared" si="1"/>
        <v>219427445.13545117</v>
      </c>
      <c r="E23" s="405">
        <f t="shared" si="2"/>
        <v>213941759.00706488</v>
      </c>
      <c r="F23" s="405">
        <f>D23+D22</f>
        <v>438854890.27090234</v>
      </c>
      <c r="G23" s="405">
        <f>E22+E23</f>
        <v>499197437.68315142</v>
      </c>
      <c r="H23" s="406"/>
      <c r="I23" s="405">
        <f t="shared" si="3"/>
        <v>433369204.14251602</v>
      </c>
    </row>
    <row r="24" spans="1:9" ht="12.6">
      <c r="A24" s="250"/>
      <c r="B24" s="404" t="s">
        <v>928</v>
      </c>
      <c r="C24" s="405">
        <f t="shared" si="0"/>
        <v>219427445.13545111</v>
      </c>
      <c r="D24" s="405">
        <f t="shared" si="1"/>
        <v>219427445.13545117</v>
      </c>
      <c r="E24" s="405">
        <f t="shared" si="2"/>
        <v>142627839.33804324</v>
      </c>
      <c r="F24" s="406"/>
      <c r="G24" s="406"/>
      <c r="H24" s="406"/>
      <c r="I24" s="405">
        <f t="shared" si="3"/>
        <v>362055284.47349441</v>
      </c>
    </row>
    <row r="25" spans="1:9" ht="12.6">
      <c r="A25" s="250"/>
      <c r="B25" s="404" t="s">
        <v>929</v>
      </c>
      <c r="C25" s="405">
        <f t="shared" si="0"/>
        <v>0</v>
      </c>
      <c r="D25" s="405">
        <f t="shared" si="1"/>
        <v>219427445.13545117</v>
      </c>
      <c r="E25" s="405">
        <f t="shared" si="2"/>
        <v>71313919.669021606</v>
      </c>
      <c r="F25" s="405">
        <f t="shared" ref="F25:G25" si="5">D25+D24</f>
        <v>438854890.27090234</v>
      </c>
      <c r="G25" s="405">
        <f t="shared" si="5"/>
        <v>213941759.00706485</v>
      </c>
      <c r="H25" s="406"/>
      <c r="I25" s="405">
        <f t="shared" si="3"/>
        <v>290741364.8044728</v>
      </c>
    </row>
    <row r="26" spans="1:9" ht="12.6">
      <c r="A26" s="250"/>
      <c r="B26" s="404"/>
      <c r="C26" s="408"/>
      <c r="D26" s="408"/>
      <c r="E26" s="408"/>
      <c r="F26" s="406"/>
      <c r="G26" s="406"/>
      <c r="H26" s="406"/>
      <c r="I26" s="408"/>
    </row>
    <row r="27" spans="1:9" ht="12.6">
      <c r="A27" s="250"/>
      <c r="B27" s="404"/>
      <c r="C27" s="408"/>
      <c r="D27" s="408"/>
      <c r="E27" s="408"/>
      <c r="F27" s="408"/>
      <c r="G27" s="408"/>
      <c r="H27" s="406"/>
      <c r="I27" s="408"/>
    </row>
    <row r="28" spans="1:9" ht="12.95">
      <c r="A28" s="409"/>
      <c r="B28" s="451" t="s">
        <v>801</v>
      </c>
      <c r="C28" s="492"/>
      <c r="D28" s="405">
        <f t="shared" ref="D28:G28" si="6">SUM(D20:D27)</f>
        <v>1316564670.8127069</v>
      </c>
      <c r="E28" s="405">
        <f t="shared" si="6"/>
        <v>1497592313.0494542</v>
      </c>
      <c r="F28" s="405">
        <f t="shared" si="6"/>
        <v>1316564670.8127069</v>
      </c>
      <c r="G28" s="405">
        <f t="shared" si="6"/>
        <v>1497592313.0494542</v>
      </c>
      <c r="H28" s="405">
        <f>H18</f>
        <v>26331293.41625414</v>
      </c>
      <c r="I28" s="406"/>
    </row>
    <row r="29" spans="1:9" ht="12.6">
      <c r="A29" s="193"/>
      <c r="B29" s="193"/>
      <c r="C29" s="193"/>
      <c r="D29" s="193"/>
      <c r="E29" s="193"/>
      <c r="F29" s="193"/>
      <c r="G29" s="193"/>
      <c r="H29" s="193"/>
      <c r="I29" s="193"/>
    </row>
    <row r="30" spans="1:9" ht="12.6">
      <c r="A30" s="193"/>
      <c r="B30" s="193"/>
      <c r="C30" s="193"/>
      <c r="D30" s="193"/>
      <c r="E30" s="193"/>
      <c r="F30" s="193"/>
      <c r="G30" s="193"/>
      <c r="H30" s="193"/>
      <c r="I30" s="193"/>
    </row>
    <row r="31" spans="1:9" ht="12.95">
      <c r="A31" s="400"/>
      <c r="B31" s="521" t="s">
        <v>930</v>
      </c>
      <c r="C31" s="480"/>
      <c r="D31" s="193"/>
      <c r="E31" s="193"/>
      <c r="F31" s="193"/>
      <c r="G31" s="193"/>
      <c r="H31" s="193"/>
      <c r="I31" s="193"/>
    </row>
    <row r="32" spans="1:9" ht="12.6">
      <c r="A32" s="193"/>
      <c r="B32" s="499" t="s">
        <v>931</v>
      </c>
      <c r="C32" s="480"/>
      <c r="D32" s="193"/>
      <c r="E32" s="193"/>
      <c r="F32" s="193"/>
      <c r="G32" s="193"/>
      <c r="H32" s="193"/>
      <c r="I32" s="193"/>
    </row>
    <row r="33" spans="1:9" ht="12.6">
      <c r="A33" s="193"/>
      <c r="B33" s="499" t="s">
        <v>932</v>
      </c>
      <c r="C33" s="480"/>
      <c r="D33" s="480"/>
      <c r="E33" s="193"/>
      <c r="F33" s="193"/>
      <c r="G33" s="193"/>
      <c r="H33" s="193"/>
      <c r="I33" s="193"/>
    </row>
    <row r="34" spans="1:9" ht="12.6">
      <c r="A34" s="193"/>
      <c r="B34" s="499" t="s">
        <v>933</v>
      </c>
      <c r="C34" s="480"/>
      <c r="D34" s="193"/>
      <c r="E34" s="193"/>
      <c r="F34" s="193"/>
      <c r="G34" s="193"/>
      <c r="H34" s="193"/>
      <c r="I34" s="193"/>
    </row>
    <row r="35" spans="1:9" ht="12.95">
      <c r="A35" s="193"/>
      <c r="B35" s="193" t="s">
        <v>912</v>
      </c>
      <c r="C35" s="401">
        <v>0.3</v>
      </c>
      <c r="D35" s="193" t="s">
        <v>41</v>
      </c>
      <c r="E35" s="410">
        <f>C35*F4</f>
        <v>285270799.21706861</v>
      </c>
      <c r="F35" s="193"/>
      <c r="G35" s="193"/>
      <c r="H35" s="193"/>
      <c r="I35" s="193"/>
    </row>
    <row r="36" spans="1:9" ht="12.6">
      <c r="A36" s="193"/>
      <c r="B36" s="499" t="s">
        <v>934</v>
      </c>
      <c r="C36" s="480"/>
      <c r="D36" s="193"/>
      <c r="E36" s="193"/>
      <c r="F36" s="193"/>
      <c r="G36" s="193"/>
      <c r="H36" s="193"/>
      <c r="I36" s="193"/>
    </row>
    <row r="37" spans="1:9" ht="12.6">
      <c r="A37" s="193"/>
      <c r="B37" s="193"/>
      <c r="C37" s="193"/>
      <c r="D37" s="193"/>
      <c r="E37" s="193"/>
      <c r="F37" s="193"/>
      <c r="G37" s="193"/>
      <c r="H37" s="193"/>
      <c r="I37" s="193"/>
    </row>
    <row r="38" spans="1:9" ht="12.95">
      <c r="A38" s="402"/>
      <c r="B38" s="471" t="s">
        <v>935</v>
      </c>
      <c r="C38" s="491"/>
      <c r="D38" s="491"/>
      <c r="E38" s="492"/>
      <c r="F38" s="193"/>
      <c r="G38" s="193"/>
      <c r="H38" s="193"/>
      <c r="I38" s="193"/>
    </row>
    <row r="39" spans="1:9" ht="12.95">
      <c r="A39" s="403"/>
      <c r="B39" s="472" t="s">
        <v>892</v>
      </c>
      <c r="C39" s="472" t="s">
        <v>893</v>
      </c>
      <c r="D39" s="411" t="s">
        <v>895</v>
      </c>
      <c r="E39" s="411" t="s">
        <v>895</v>
      </c>
      <c r="F39" s="193"/>
      <c r="G39" s="193"/>
      <c r="H39" s="193"/>
      <c r="I39" s="193"/>
    </row>
    <row r="40" spans="1:9" ht="12.95">
      <c r="A40" s="403"/>
      <c r="B40" s="522"/>
      <c r="C40" s="522"/>
      <c r="D40" s="411" t="s">
        <v>898</v>
      </c>
      <c r="E40" s="411" t="s">
        <v>41</v>
      </c>
      <c r="F40" s="193"/>
      <c r="G40" s="193"/>
      <c r="H40" s="193"/>
      <c r="I40" s="193"/>
    </row>
    <row r="41" spans="1:9" ht="12.6">
      <c r="A41" s="412"/>
      <c r="B41" s="404" t="s">
        <v>924</v>
      </c>
      <c r="C41" s="413">
        <f t="shared" ref="C41:C50" si="7">$F$4</f>
        <v>950902664.05689549</v>
      </c>
      <c r="D41" s="405">
        <f t="shared" ref="D41:D50" si="8">$E$35/2</f>
        <v>142635399.60853431</v>
      </c>
      <c r="E41" s="406"/>
      <c r="F41" s="193"/>
      <c r="G41" s="193"/>
      <c r="H41" s="193"/>
      <c r="I41" s="193"/>
    </row>
    <row r="42" spans="1:9" ht="12.6">
      <c r="A42" s="414"/>
      <c r="B42" s="404" t="s">
        <v>925</v>
      </c>
      <c r="C42" s="413">
        <f t="shared" si="7"/>
        <v>950902664.05689549</v>
      </c>
      <c r="D42" s="405">
        <f t="shared" si="8"/>
        <v>142635399.60853431</v>
      </c>
      <c r="E42" s="405">
        <f>D41+D42</f>
        <v>285270799.21706861</v>
      </c>
      <c r="F42" s="193"/>
      <c r="G42" s="193"/>
      <c r="H42" s="193"/>
      <c r="I42" s="193"/>
    </row>
    <row r="43" spans="1:9" ht="12.6">
      <c r="A43" s="412"/>
      <c r="B43" s="404" t="s">
        <v>926</v>
      </c>
      <c r="C43" s="413">
        <f t="shared" si="7"/>
        <v>950902664.05689549</v>
      </c>
      <c r="D43" s="405">
        <f t="shared" si="8"/>
        <v>142635399.60853431</v>
      </c>
      <c r="E43" s="406"/>
      <c r="F43" s="193"/>
      <c r="G43" s="193"/>
      <c r="H43" s="193"/>
      <c r="I43" s="193"/>
    </row>
    <row r="44" spans="1:9" ht="12.6">
      <c r="A44" s="414"/>
      <c r="B44" s="404" t="s">
        <v>927</v>
      </c>
      <c r="C44" s="413">
        <f t="shared" si="7"/>
        <v>950902664.05689549</v>
      </c>
      <c r="D44" s="405">
        <f t="shared" si="8"/>
        <v>142635399.60853431</v>
      </c>
      <c r="E44" s="405">
        <f>D43+D44</f>
        <v>285270799.21706861</v>
      </c>
      <c r="F44" s="193"/>
      <c r="G44" s="193"/>
      <c r="H44" s="193"/>
      <c r="I44" s="193"/>
    </row>
    <row r="45" spans="1:9" ht="12.6">
      <c r="A45" s="412"/>
      <c r="B45" s="404" t="s">
        <v>928</v>
      </c>
      <c r="C45" s="413">
        <f t="shared" si="7"/>
        <v>950902664.05689549</v>
      </c>
      <c r="D45" s="405">
        <f t="shared" si="8"/>
        <v>142635399.60853431</v>
      </c>
      <c r="E45" s="406"/>
      <c r="F45" s="193"/>
      <c r="G45" s="193"/>
      <c r="H45" s="193"/>
      <c r="I45" s="193"/>
    </row>
    <row r="46" spans="1:9" ht="12.6">
      <c r="A46" s="414"/>
      <c r="B46" s="404" t="s">
        <v>929</v>
      </c>
      <c r="C46" s="413">
        <f t="shared" si="7"/>
        <v>950902664.05689549</v>
      </c>
      <c r="D46" s="405">
        <f t="shared" si="8"/>
        <v>142635399.60853431</v>
      </c>
      <c r="E46" s="405">
        <f>D45+D46</f>
        <v>285270799.21706861</v>
      </c>
      <c r="F46" s="193"/>
      <c r="G46" s="193"/>
      <c r="H46" s="193"/>
      <c r="I46" s="193"/>
    </row>
    <row r="47" spans="1:9" ht="12.6">
      <c r="A47" s="412"/>
      <c r="B47" s="404" t="s">
        <v>936</v>
      </c>
      <c r="C47" s="413">
        <f t="shared" si="7"/>
        <v>950902664.05689549</v>
      </c>
      <c r="D47" s="405">
        <f t="shared" si="8"/>
        <v>142635399.60853431</v>
      </c>
      <c r="E47" s="406"/>
      <c r="F47" s="193"/>
      <c r="G47" s="193"/>
      <c r="H47" s="193"/>
      <c r="I47" s="193"/>
    </row>
    <row r="48" spans="1:9" ht="12.6">
      <c r="A48" s="414"/>
      <c r="B48" s="404" t="s">
        <v>937</v>
      </c>
      <c r="C48" s="413">
        <f t="shared" si="7"/>
        <v>950902664.05689549</v>
      </c>
      <c r="D48" s="405">
        <f t="shared" si="8"/>
        <v>142635399.60853431</v>
      </c>
      <c r="E48" s="405">
        <f>D47+D48</f>
        <v>285270799.21706861</v>
      </c>
      <c r="F48" s="193"/>
      <c r="G48" s="193"/>
      <c r="H48" s="193"/>
      <c r="I48" s="193"/>
    </row>
    <row r="49" spans="1:9" ht="12.6">
      <c r="A49" s="412"/>
      <c r="B49" s="404" t="s">
        <v>938</v>
      </c>
      <c r="C49" s="413">
        <f t="shared" si="7"/>
        <v>950902664.05689549</v>
      </c>
      <c r="D49" s="405">
        <f t="shared" si="8"/>
        <v>142635399.60853431</v>
      </c>
      <c r="E49" s="406"/>
      <c r="F49" s="193"/>
      <c r="G49" s="193"/>
      <c r="H49" s="193"/>
      <c r="I49" s="193"/>
    </row>
    <row r="50" spans="1:9" ht="12.6">
      <c r="A50" s="414"/>
      <c r="B50" s="404" t="s">
        <v>939</v>
      </c>
      <c r="C50" s="413">
        <f t="shared" si="7"/>
        <v>950902664.05689549</v>
      </c>
      <c r="D50" s="405">
        <f t="shared" si="8"/>
        <v>142635399.60853431</v>
      </c>
      <c r="E50" s="405">
        <f>D50+D49</f>
        <v>285270799.21706861</v>
      </c>
      <c r="F50" s="193"/>
      <c r="G50" s="193"/>
      <c r="H50" s="193"/>
      <c r="I50" s="193"/>
    </row>
  </sheetData>
  <mergeCells count="22">
    <mergeCell ref="B18:D18"/>
    <mergeCell ref="B28:C28"/>
    <mergeCell ref="B31:C31"/>
    <mergeCell ref="B32:C32"/>
    <mergeCell ref="B33:D33"/>
    <mergeCell ref="B34:C34"/>
    <mergeCell ref="B36:C36"/>
    <mergeCell ref="B38:E38"/>
    <mergeCell ref="B39:B40"/>
    <mergeCell ref="C39:C40"/>
    <mergeCell ref="G14:G15"/>
    <mergeCell ref="H14:H15"/>
    <mergeCell ref="B8:C8"/>
    <mergeCell ref="B9:F9"/>
    <mergeCell ref="B11:C11"/>
    <mergeCell ref="B13:I13"/>
    <mergeCell ref="B14:B15"/>
    <mergeCell ref="C14:C15"/>
    <mergeCell ref="D14:D15"/>
    <mergeCell ref="I14:I15"/>
    <mergeCell ref="E14:E15"/>
    <mergeCell ref="F14:F1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workbookViewId="0">
      <selection activeCell="C47" sqref="C47"/>
    </sheetView>
  </sheetViews>
  <sheetFormatPr defaultColWidth="12.5703125" defaultRowHeight="15" customHeight="1"/>
  <cols>
    <col min="1" max="1" width="54.28515625" customWidth="1"/>
    <col min="2" max="2" width="20.5703125" customWidth="1"/>
    <col min="3" max="3" width="17.28515625" customWidth="1"/>
    <col min="4" max="4" width="18.5703125" customWidth="1"/>
    <col min="5" max="5" width="17.42578125" customWidth="1"/>
    <col min="6" max="6" width="17.42578125" bestFit="1" customWidth="1"/>
    <col min="7" max="7" width="11.28515625" customWidth="1"/>
    <col min="8" max="8" width="32.5703125" customWidth="1"/>
    <col min="9" max="9" width="16.42578125" customWidth="1"/>
    <col min="10" max="26" width="11.28515625" customWidth="1"/>
  </cols>
  <sheetData>
    <row r="1" spans="1:26" ht="12.75" customHeight="1">
      <c r="A1" s="1" t="s">
        <v>0</v>
      </c>
      <c r="B1" s="6"/>
      <c r="C1" s="6"/>
      <c r="D1" s="6">
        <f>InfoInicial!E1</f>
        <v>6</v>
      </c>
      <c r="E1" s="1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>
      <c r="A2" s="342" t="s">
        <v>940</v>
      </c>
      <c r="B2" s="88"/>
      <c r="C2" s="88"/>
      <c r="D2" s="89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>
      <c r="A3" s="90" t="s">
        <v>252</v>
      </c>
      <c r="B3" s="269" t="s">
        <v>54</v>
      </c>
      <c r="C3" s="269" t="s">
        <v>55</v>
      </c>
      <c r="D3" s="19" t="s">
        <v>801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>
      <c r="A4" s="11" t="s">
        <v>941</v>
      </c>
      <c r="B4" s="99"/>
      <c r="C4" s="99"/>
      <c r="D4" s="1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>
      <c r="A5" s="6"/>
      <c r="B5" s="99"/>
      <c r="C5" s="99"/>
      <c r="D5" s="11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6" t="s">
        <v>942</v>
      </c>
      <c r="B6" s="99">
        <f>'E-Cal Inv.'!C6</f>
        <v>2225004476.993</v>
      </c>
      <c r="C6" s="99">
        <f>'E-Cal Inv.'!D6</f>
        <v>0</v>
      </c>
      <c r="D6" s="113">
        <f t="shared" ref="D6:D10" si="0">SUM(B6:C6)</f>
        <v>2225004476.993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>
      <c r="A7" s="6" t="s">
        <v>943</v>
      </c>
      <c r="B7" s="99">
        <f>'E-Cal Inv.'!B7+'E-Cal Inv.'!C7+'F-Cred'!G21+'F-Cred'!I21</f>
        <v>516874639.43038398</v>
      </c>
      <c r="C7" s="99">
        <f>'E-Cal Inv.'!D7</f>
        <v>345465036.63241404</v>
      </c>
      <c r="D7" s="113">
        <f t="shared" si="0"/>
        <v>862339676.06279802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>
      <c r="A8" s="11" t="s">
        <v>944</v>
      </c>
      <c r="B8" s="99">
        <f t="shared" ref="B8:C8" si="1">SUM(B6:B7)</f>
        <v>2741879116.4233842</v>
      </c>
      <c r="C8" s="99">
        <f t="shared" si="1"/>
        <v>345465036.63241404</v>
      </c>
      <c r="D8" s="113">
        <f t="shared" si="0"/>
        <v>3087344153.0557981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>
      <c r="A9" s="285" t="s">
        <v>945</v>
      </c>
      <c r="B9" s="99">
        <f t="shared" ref="B9:C9" si="2">B8*0.21</f>
        <v>575794614.44891071</v>
      </c>
      <c r="C9" s="99">
        <f t="shared" si="2"/>
        <v>72547657.692806944</v>
      </c>
      <c r="D9" s="113">
        <f t="shared" si="0"/>
        <v>648342272.14171767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>
      <c r="A10" s="11" t="s">
        <v>946</v>
      </c>
      <c r="B10" s="99">
        <f t="shared" ref="B10:C10" si="3">B8+B9</f>
        <v>3317673730.8722949</v>
      </c>
      <c r="C10" s="99">
        <f t="shared" si="3"/>
        <v>418012694.325221</v>
      </c>
      <c r="D10" s="113">
        <f t="shared" si="0"/>
        <v>3735686425.197516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>
      <c r="A11" s="11" t="s">
        <v>947</v>
      </c>
      <c r="B11" s="99"/>
      <c r="C11" s="99"/>
      <c r="D11" s="113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>
      <c r="A12" s="285" t="s">
        <v>948</v>
      </c>
      <c r="B12" s="99">
        <f>'E-Cal Inv.'!C11</f>
        <v>63673280</v>
      </c>
      <c r="C12" s="99">
        <f>'E-Cal Inv.'!D11</f>
        <v>46685719.843367688</v>
      </c>
      <c r="D12" s="113">
        <f t="shared" ref="D12:D15" si="4">SUM(B12:C12)</f>
        <v>110358999.8433677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>
      <c r="A13" s="6" t="s">
        <v>949</v>
      </c>
      <c r="B13" s="99"/>
      <c r="C13" s="99">
        <f>'E-InvAT'!C7</f>
        <v>327088767.12328768</v>
      </c>
      <c r="D13" s="113">
        <f t="shared" si="4"/>
        <v>327088767.12328768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>
      <c r="A14" s="6" t="s">
        <v>950</v>
      </c>
      <c r="B14" s="99">
        <f>'E-InvAT'!B10</f>
        <v>345477933.61547011</v>
      </c>
      <c r="C14" s="99">
        <f>'E-InvAT'!C10+'E-InvAT'!C11+'E-InvAT'!C12+'E-InvAT'!C13</f>
        <v>577533298.52479339</v>
      </c>
      <c r="D14" s="113">
        <f t="shared" si="4"/>
        <v>923011232.14026356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>
      <c r="A15" s="11" t="s">
        <v>951</v>
      </c>
      <c r="B15" s="99">
        <f t="shared" ref="B15:C15" si="5">SUM(B12:B14)</f>
        <v>409151213.61547011</v>
      </c>
      <c r="C15" s="99">
        <f t="shared" si="5"/>
        <v>951307785.49144876</v>
      </c>
      <c r="D15" s="113">
        <f t="shared" si="4"/>
        <v>1360458999.1069188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>
      <c r="A16" s="6" t="s">
        <v>284</v>
      </c>
      <c r="B16" s="99"/>
      <c r="C16" s="99"/>
      <c r="D16" s="113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>
      <c r="A17" s="6" t="s">
        <v>952</v>
      </c>
      <c r="B17" s="99"/>
      <c r="C17" s="99">
        <f>'E-InvAT'!C17+'E-InvAT'!C18</f>
        <v>3981678.0899409372</v>
      </c>
      <c r="D17" s="113">
        <f t="shared" ref="D17:D23" si="6">SUM(B17:C17)</f>
        <v>3981678.0899409372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>
      <c r="A18" s="6" t="s">
        <v>953</v>
      </c>
      <c r="B18" s="99"/>
      <c r="C18" s="99">
        <f>('E-Inv AF y Am'!D59+'C. Aux. F-CRes'!B6-C17)*30/365</f>
        <v>17607342.321522977</v>
      </c>
      <c r="D18" s="113">
        <f t="shared" si="6"/>
        <v>17607342.321522977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>
      <c r="A19" s="6" t="s">
        <v>954</v>
      </c>
      <c r="B19" s="99"/>
      <c r="C19" s="99">
        <f>('F-CRes'!B14/'E-Costos'!B110)*'E-InvAT'!C7</f>
        <v>30059710.966722224</v>
      </c>
      <c r="D19" s="113">
        <f t="shared" si="6"/>
        <v>30059710.966722224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>
      <c r="A20" s="11" t="s">
        <v>955</v>
      </c>
      <c r="B20" s="99">
        <f>B15</f>
        <v>409151213.61547011</v>
      </c>
      <c r="C20" s="99">
        <f>C15-C17-C18-C19</f>
        <v>899659054.11326265</v>
      </c>
      <c r="D20" s="113">
        <f t="shared" si="6"/>
        <v>1308810267.7287328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>
      <c r="A21" s="6" t="s">
        <v>862</v>
      </c>
      <c r="B21" s="99">
        <f>'E-InvAT'!B34</f>
        <v>72550366.059248716</v>
      </c>
      <c r="C21" s="99">
        <f>'E-InvAT'!C34</f>
        <v>48731626.630957872</v>
      </c>
      <c r="D21" s="113">
        <f t="shared" si="6"/>
        <v>121281992.69020659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>
      <c r="A22" s="11" t="s">
        <v>956</v>
      </c>
      <c r="B22" s="99">
        <f t="shared" ref="B22:C22" si="7">B15+B21</f>
        <v>481701579.67471886</v>
      </c>
      <c r="C22" s="99">
        <f t="shared" si="7"/>
        <v>1000039412.1224066</v>
      </c>
      <c r="D22" s="113">
        <f t="shared" si="6"/>
        <v>1481740991.7971253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>
      <c r="A23" s="11" t="s">
        <v>957</v>
      </c>
      <c r="B23" s="99">
        <f t="shared" ref="B23:C23" si="8">B20+B21</f>
        <v>481701579.67471886</v>
      </c>
      <c r="C23" s="99">
        <f t="shared" si="8"/>
        <v>948390680.7442205</v>
      </c>
      <c r="D23" s="113">
        <f t="shared" si="6"/>
        <v>1430092260.4189394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>
      <c r="A24" s="11" t="s">
        <v>958</v>
      </c>
      <c r="B24" s="99"/>
      <c r="C24" s="99"/>
      <c r="D24" s="113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>
      <c r="A25" s="6" t="s">
        <v>959</v>
      </c>
      <c r="B25" s="99">
        <f t="shared" ref="B25:C25" si="9">B10</f>
        <v>3317673730.8722949</v>
      </c>
      <c r="C25" s="99">
        <f t="shared" si="9"/>
        <v>418012694.325221</v>
      </c>
      <c r="D25" s="113">
        <f t="shared" ref="D25:D27" si="10">SUM(B25:C25)</f>
        <v>3735686425.197516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>
      <c r="A26" s="6" t="s">
        <v>960</v>
      </c>
      <c r="B26" s="99">
        <f t="shared" ref="B26:C26" si="11">B23</f>
        <v>481701579.67471886</v>
      </c>
      <c r="C26" s="99">
        <f t="shared" si="11"/>
        <v>948390680.7442205</v>
      </c>
      <c r="D26" s="113">
        <f t="shared" si="10"/>
        <v>1430092260.4189394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>
      <c r="A27" s="11" t="s">
        <v>961</v>
      </c>
      <c r="B27" s="99">
        <f t="shared" ref="B27:C27" si="12">B25+B26</f>
        <v>3799375310.5470138</v>
      </c>
      <c r="C27" s="99">
        <f t="shared" si="12"/>
        <v>1366403375.0694416</v>
      </c>
      <c r="D27" s="113">
        <f t="shared" si="10"/>
        <v>5165778685.6164551</v>
      </c>
      <c r="E27" s="415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>
      <c r="A28" s="11" t="s">
        <v>962</v>
      </c>
      <c r="B28" s="99"/>
      <c r="C28" s="99"/>
      <c r="D28" s="338"/>
      <c r="E28" s="416" t="s">
        <v>963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>
      <c r="A29" s="11" t="s">
        <v>964</v>
      </c>
      <c r="B29" s="99"/>
      <c r="C29" s="99">
        <f>'F-Cred'!D6</f>
        <v>950902664.05689549</v>
      </c>
      <c r="D29" s="338">
        <f t="shared" ref="D29:D32" si="13">SUM(B29:C29)</f>
        <v>950902664.05689549</v>
      </c>
      <c r="E29" s="128">
        <f t="shared" ref="E29:E32" si="14">D29/$D$32</f>
        <v>0.18407731378515688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>
      <c r="A30" s="11" t="s">
        <v>965</v>
      </c>
      <c r="B30" s="99">
        <f>'F-Cred'!D5</f>
        <v>1316564670.8127069</v>
      </c>
      <c r="C30" s="99"/>
      <c r="D30" s="338">
        <f t="shared" si="13"/>
        <v>1316564670.8127069</v>
      </c>
      <c r="E30" s="128">
        <f t="shared" si="14"/>
        <v>0.25486277112074834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>
      <c r="A31" s="11" t="s">
        <v>966</v>
      </c>
      <c r="B31" s="99">
        <f>B27-B30</f>
        <v>2482810639.7343068</v>
      </c>
      <c r="C31" s="99">
        <f>C27-C29</f>
        <v>415500711.01254606</v>
      </c>
      <c r="D31" s="338">
        <f t="shared" si="13"/>
        <v>2898311350.7468529</v>
      </c>
      <c r="E31" s="128">
        <f t="shared" si="14"/>
        <v>0.56105991509409481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>
      <c r="A32" s="326" t="s">
        <v>801</v>
      </c>
      <c r="B32" s="114">
        <f t="shared" ref="B32:C32" si="15">SUM(B29:B31)</f>
        <v>3799375310.5470138</v>
      </c>
      <c r="C32" s="114">
        <f t="shared" si="15"/>
        <v>1366403375.0694416</v>
      </c>
      <c r="D32" s="362">
        <f t="shared" si="13"/>
        <v>5165778685.6164551</v>
      </c>
      <c r="E32" s="129">
        <f t="shared" si="14"/>
        <v>1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>
      <c r="A34" s="342" t="s">
        <v>967</v>
      </c>
      <c r="B34" s="88"/>
      <c r="C34" s="88"/>
      <c r="D34" s="88"/>
      <c r="E34" s="88"/>
      <c r="F34" s="88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>
      <c r="A35" s="90" t="s">
        <v>252</v>
      </c>
      <c r="B35" s="18" t="s">
        <v>55</v>
      </c>
      <c r="C35" s="18" t="s">
        <v>253</v>
      </c>
      <c r="D35" s="18" t="s">
        <v>254</v>
      </c>
      <c r="E35" s="18" t="s">
        <v>255</v>
      </c>
      <c r="F35" s="18" t="s">
        <v>256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>
      <c r="A36" s="22" t="s">
        <v>332</v>
      </c>
      <c r="B36" s="25">
        <f t="array" ref="B36">_xlfn.XLOOKUP(A36,'E-Costos'!$A$150:$A$155,'E-Costos'!$B$150:$B$155,1,FALSE)</f>
        <v>1630097018.6333096</v>
      </c>
      <c r="C36" s="25">
        <f t="array" ref="C36">_xlfn.XLOOKUP(A36,'E-Costos'!$A$150:$A$155,'E-Costos'!$C$150:$C$155,1,FALSE)</f>
        <v>1717301241.3057799</v>
      </c>
      <c r="D36" s="25">
        <f t="array" ref="D36">_xlfn.XLOOKUP(A36,'E-Costos'!$A$150:$A$155,'E-Costos'!$D$150:$D$155,1,FALSE)</f>
        <v>1717915607.6118143</v>
      </c>
      <c r="E36" s="25">
        <f t="array" ref="E36">_xlfn.XLOOKUP(A36,'E-Costos'!$A$150:$A$155,'E-Costos'!$E$150:$E$155,1,FALSE)</f>
        <v>1717915607.6118143</v>
      </c>
      <c r="F36" s="25">
        <f t="array" ref="F36">_xlfn.XLOOKUP(A36,'E-Costos'!$A$150:$A$155,'E-Costos'!$F$150:$F$155,1,FALSE)</f>
        <v>1717915607.6118143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>
      <c r="A37" s="46" t="s">
        <v>331</v>
      </c>
      <c r="B37" s="25">
        <f t="array" ref="B37">_xlfn.XLOOKUP(A37,'E-Costos'!$A$150:$A$155,'E-Costos'!$B$150:$B$155,1,FALSE)</f>
        <v>660073796.21407199</v>
      </c>
      <c r="C37" s="25">
        <f t="array" ref="C37">_xlfn.XLOOKUP(A37,'E-Costos'!$A$150:$A$155,'E-Costos'!$C$150:$C$155,1,FALSE)</f>
        <v>534510927.16987747</v>
      </c>
      <c r="D37" s="25">
        <f t="array" ref="D37">_xlfn.XLOOKUP(A37,'E-Costos'!$A$150:$A$155,'E-Costos'!$D$150:$D$155,1,FALSE)</f>
        <v>534510927.16987771</v>
      </c>
      <c r="E37" s="25">
        <f t="array" ref="E37">_xlfn.XLOOKUP(A37,'E-Costos'!$A$150:$A$155,'E-Costos'!$E$150:$E$155,1,FALSE)</f>
        <v>534510927.16987771</v>
      </c>
      <c r="F37" s="25">
        <f t="array" ref="F37">_xlfn.XLOOKUP(A37,'E-Costos'!$A$150:$A$155,'E-Costos'!$F$150:$F$155,1,FALSE)</f>
        <v>534510927.16987771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>
      <c r="A38" s="22" t="s">
        <v>334</v>
      </c>
      <c r="B38" s="25">
        <f t="array" ref="B38">_xlfn.XLOOKUP(A38,'E-Costos'!$A$150:$A$155,'E-Costos'!$B$150:$B$155,1,FALSE)</f>
        <v>0</v>
      </c>
      <c r="C38" s="25">
        <f t="array" ref="C38">_xlfn.XLOOKUP(A38,'E-Costos'!$A$150:$A$155,'E-Costos'!$C$150:$C$155,1,FALSE)</f>
        <v>0</v>
      </c>
      <c r="D38" s="25">
        <f t="array" ref="D38">_xlfn.XLOOKUP(A38,'E-Costos'!$A$150:$A$155,'E-Costos'!$D$150:$D$155,1,FALSE)</f>
        <v>0</v>
      </c>
      <c r="E38" s="25">
        <f t="array" ref="E38">_xlfn.XLOOKUP(A38,'E-Costos'!$A$150:$A$155,'E-Costos'!$E$150:$E$155,1,FALSE)</f>
        <v>0</v>
      </c>
      <c r="F38" s="25">
        <f t="array" ref="F38">_xlfn.XLOOKUP(A38,'E-Costos'!$A$150:$A$155,'E-Costos'!$F$150:$F$155,1,FALSE)</f>
        <v>0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>
      <c r="A39" s="46" t="s">
        <v>333</v>
      </c>
      <c r="B39" s="25">
        <f t="array" ref="B39">_xlfn.XLOOKUP(A39,'E-Costos'!$A$150:$A$155,'E-Costos'!$B$150:$B$155,1,FALSE)</f>
        <v>184229796.24615449</v>
      </c>
      <c r="C39" s="25">
        <f t="array" ref="C39">_xlfn.XLOOKUP(A39,'E-Costos'!$A$150:$A$155,'E-Costos'!$C$150:$C$155,1,FALSE)</f>
        <v>151190438.45665291</v>
      </c>
      <c r="D39" s="25">
        <f t="array" ref="D39">_xlfn.XLOOKUP(A39,'E-Costos'!$A$150:$A$155,'E-Costos'!$D$150:$D$155,1,FALSE)</f>
        <v>151190438.45665291</v>
      </c>
      <c r="E39" s="25">
        <f t="array" ref="E39">_xlfn.XLOOKUP(A39,'E-Costos'!$A$150:$A$155,'E-Costos'!$E$150:$E$155,1,FALSE)</f>
        <v>151190438.45665291</v>
      </c>
      <c r="F39" s="25">
        <f t="array" ref="F39">_xlfn.XLOOKUP(A39,'E-Costos'!$A$150:$A$155,'E-Costos'!$F$150:$F$155,1,FALSE)</f>
        <v>151190438.45665291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>
      <c r="A40" s="22" t="s">
        <v>336</v>
      </c>
      <c r="B40" s="25">
        <f t="array" ref="B40">_xlfn.XLOOKUP(A40,'E-Costos'!$A$150:$A$155,'E-Costos'!$B$150:$B$155,1,FALSE)</f>
        <v>189966399.99999997</v>
      </c>
      <c r="C40" s="25">
        <f t="array" ref="C40">_xlfn.XLOOKUP(A40,'E-Costos'!$A$150:$A$155,'E-Costos'!$C$150:$C$155,1,FALSE)</f>
        <v>232959999.99999997</v>
      </c>
      <c r="D40" s="25">
        <f t="array" ref="D40">_xlfn.XLOOKUP(A40,'E-Costos'!$A$150:$A$155,'E-Costos'!$D$150:$D$155,1,FALSE)</f>
        <v>232959999.99999997</v>
      </c>
      <c r="E40" s="25">
        <f t="array" ref="E40">_xlfn.XLOOKUP(A40,'E-Costos'!$A$150:$A$155,'E-Costos'!$E$150:$E$155,1,FALSE)</f>
        <v>232959999.99999997</v>
      </c>
      <c r="F40" s="25">
        <f t="array" ref="F40">_xlfn.XLOOKUP(A40,'E-Costos'!$A$150:$A$155,'E-Costos'!$F$150:$F$155,1,FALSE)</f>
        <v>232959999.99999997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>
      <c r="A41" s="46" t="s">
        <v>335</v>
      </c>
      <c r="B41" s="25">
        <f t="array" ref="B41">_xlfn.XLOOKUP(A41,'E-Costos'!$A$150:$A$155,'E-Costos'!$B$150:$B$155,1,FALSE)</f>
        <v>173876102.52148247</v>
      </c>
      <c r="C41" s="25">
        <f t="array" ref="C41">_xlfn.XLOOKUP(A41,'E-Costos'!$A$150:$A$155,'E-Costos'!$C$150:$C$155,1,FALSE)</f>
        <v>186987119.93198091</v>
      </c>
      <c r="D41" s="25">
        <f t="array" ref="D41">_xlfn.XLOOKUP(A41,'E-Costos'!$A$150:$A$155,'E-Costos'!$D$150:$D$155,1,FALSE)</f>
        <v>186987119.93198091</v>
      </c>
      <c r="E41" s="25">
        <f t="array" ref="E41">_xlfn.XLOOKUP(A41,'E-Costos'!$A$150:$A$155,'E-Costos'!$E$150:$E$155,1,FALSE)</f>
        <v>186987119.93198091</v>
      </c>
      <c r="F41" s="25">
        <f t="array" ref="F41">_xlfn.XLOOKUP(A41,'E-Costos'!$A$150:$A$155,'E-Costos'!$F$150:$F$155,1,FALSE)</f>
        <v>186987119.93198091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>
      <c r="A42" s="46" t="s">
        <v>968</v>
      </c>
      <c r="B42" s="25">
        <f>'F-CRes'!B10</f>
        <v>1221128852.7197678</v>
      </c>
      <c r="C42" s="25">
        <f>'F-CRes'!C10</f>
        <v>935873174.04368138</v>
      </c>
      <c r="D42" s="25">
        <f>'F-CRes'!D10</f>
        <v>650617495.36759472</v>
      </c>
      <c r="E42" s="25">
        <f>'F-CRes'!E10</f>
        <v>285270799.21706861</v>
      </c>
      <c r="F42" s="25">
        <f>'F-CRes'!F10</f>
        <v>285270799.21706861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>
      <c r="A43" s="22" t="s">
        <v>337</v>
      </c>
      <c r="B43" s="25">
        <f>'E-Costos'!B156</f>
        <v>2176924583.854146</v>
      </c>
      <c r="C43" s="25">
        <f>'E-Costos'!C156</f>
        <v>2977752204.3023181</v>
      </c>
      <c r="D43" s="25">
        <f>'E-Costos'!D156</f>
        <v>2977117851.03265</v>
      </c>
      <c r="E43" s="25">
        <f>'E-Costos'!E156</f>
        <v>2977124392.3881855</v>
      </c>
      <c r="F43" s="25">
        <f>'E-Costos'!F156</f>
        <v>2977124392.3881855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>
      <c r="A44" s="33" t="s">
        <v>338</v>
      </c>
      <c r="B44" s="147">
        <f t="shared" ref="B44:F44" si="16">(B41+B39+B37+B42)/B43</f>
        <v>1.0286569246863311</v>
      </c>
      <c r="C44" s="147">
        <f t="shared" si="16"/>
        <v>0.60735801219092211</v>
      </c>
      <c r="D44" s="147">
        <f t="shared" si="16"/>
        <v>0.51167137384155914</v>
      </c>
      <c r="E44" s="147">
        <f t="shared" si="16"/>
        <v>0.38895226807996758</v>
      </c>
      <c r="F44" s="147">
        <f t="shared" si="16"/>
        <v>0.38895226807996758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29.45" customHeight="1">
      <c r="A45" s="149" t="s">
        <v>969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>
      <c r="A48" s="451" t="s">
        <v>356</v>
      </c>
      <c r="B48" s="492"/>
      <c r="C48" s="6"/>
      <c r="D48" s="6"/>
      <c r="G48" s="6"/>
      <c r="H48" s="451" t="s">
        <v>970</v>
      </c>
      <c r="I48" s="492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>
      <c r="A49" s="417" t="s">
        <v>971</v>
      </c>
      <c r="B49" s="418">
        <f>'E-Costos'!B102</f>
        <v>36532</v>
      </c>
      <c r="C49" s="6"/>
      <c r="D49" s="6"/>
      <c r="G49" s="6"/>
      <c r="H49" s="417" t="s">
        <v>971</v>
      </c>
      <c r="I49" s="418">
        <f>'E-Costos'!F102</f>
        <v>44800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>
      <c r="A50" s="419" t="s">
        <v>972</v>
      </c>
      <c r="B50" s="420">
        <f>'E-Costos'!B103</f>
        <v>110000</v>
      </c>
      <c r="C50" s="6"/>
      <c r="D50" s="6"/>
      <c r="G50" s="6"/>
      <c r="H50" s="419" t="s">
        <v>972</v>
      </c>
      <c r="I50" s="420">
        <f>'E-Costos'!F103</f>
        <v>110000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>
      <c r="A51" s="419" t="s">
        <v>973</v>
      </c>
      <c r="B51" s="421">
        <f>(B36+B39+B41)/B49</f>
        <v>54423.598965316618</v>
      </c>
      <c r="C51" s="6"/>
      <c r="D51" s="6"/>
      <c r="G51" s="6"/>
      <c r="H51" s="419" t="s">
        <v>973</v>
      </c>
      <c r="I51" s="421">
        <f>(F36+F39+F41)/I49</f>
        <v>45894.93674108143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>
      <c r="A52" s="419" t="s">
        <v>974</v>
      </c>
      <c r="B52" s="422">
        <f>B37+B39+B41</f>
        <v>1018179694.981709</v>
      </c>
      <c r="C52" s="6"/>
      <c r="D52" s="6"/>
      <c r="G52" s="6"/>
      <c r="H52" s="419" t="s">
        <v>974</v>
      </c>
      <c r="I52" s="422">
        <f>F37+F39+F41</f>
        <v>872688485.5585115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>
      <c r="A53" s="419" t="s">
        <v>975</v>
      </c>
      <c r="B53" s="420">
        <f>B50-B51</f>
        <v>55576.401034683382</v>
      </c>
      <c r="C53" s="6"/>
      <c r="D53" s="6"/>
      <c r="G53" s="6"/>
      <c r="H53" s="419" t="s">
        <v>975</v>
      </c>
      <c r="I53" s="420">
        <f>I50-I51</f>
        <v>64105.06325891857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>
      <c r="A54" s="419" t="s">
        <v>976</v>
      </c>
      <c r="B54" s="423">
        <f>B49*B44</f>
        <v>37578.894772641048</v>
      </c>
      <c r="C54" s="6"/>
      <c r="D54" s="6"/>
      <c r="G54" s="6"/>
      <c r="H54" s="419" t="s">
        <v>976</v>
      </c>
      <c r="I54" s="423">
        <f>I49*F44</f>
        <v>17425.061609982549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>
      <c r="A55" s="424" t="s">
        <v>346</v>
      </c>
      <c r="B55" s="425">
        <f>B54*B50</f>
        <v>4133678424.9905152</v>
      </c>
      <c r="C55" s="6"/>
      <c r="D55" s="6"/>
      <c r="G55" s="6"/>
      <c r="H55" s="424" t="s">
        <v>346</v>
      </c>
      <c r="I55" s="425">
        <f>I54*I50</f>
        <v>1916756777.0980804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>
      <c r="A58" s="6"/>
      <c r="B58" s="452" t="s">
        <v>55</v>
      </c>
      <c r="C58" s="491"/>
      <c r="D58" s="491"/>
      <c r="E58" s="491"/>
      <c r="F58" s="492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>
      <c r="A59" s="6"/>
      <c r="B59" s="150" t="s">
        <v>347</v>
      </c>
      <c r="C59" s="150" t="s">
        <v>348</v>
      </c>
      <c r="D59" s="150" t="s">
        <v>349</v>
      </c>
      <c r="E59" s="150" t="s">
        <v>350</v>
      </c>
      <c r="F59" s="150" t="s">
        <v>351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>
      <c r="A60" s="6"/>
      <c r="B60" s="150">
        <v>0</v>
      </c>
      <c r="C60" s="426">
        <f t="shared" ref="C60:C97" si="17">$B$51*B60</f>
        <v>0</v>
      </c>
      <c r="D60" s="154">
        <f t="shared" ref="D60:D97" si="18">$B$52</f>
        <v>1018179694.981709</v>
      </c>
      <c r="E60" s="154">
        <f t="shared" ref="E60:E97" si="19">D60+C60</f>
        <v>1018179694.981709</v>
      </c>
      <c r="F60" s="152">
        <f t="shared" ref="F60:F97" si="20">B60*$B$50</f>
        <v>0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>
      <c r="A61" s="6"/>
      <c r="B61" s="150">
        <v>1000</v>
      </c>
      <c r="C61" s="426">
        <f t="shared" si="17"/>
        <v>54423598.965316616</v>
      </c>
      <c r="D61" s="154">
        <f t="shared" si="18"/>
        <v>1018179694.981709</v>
      </c>
      <c r="E61" s="154">
        <f t="shared" si="19"/>
        <v>1072603293.9470257</v>
      </c>
      <c r="F61" s="152">
        <f t="shared" si="20"/>
        <v>110000000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>
      <c r="A62" s="6"/>
      <c r="B62" s="150">
        <v>2000</v>
      </c>
      <c r="C62" s="426">
        <f t="shared" si="17"/>
        <v>108847197.93063323</v>
      </c>
      <c r="D62" s="154">
        <f t="shared" si="18"/>
        <v>1018179694.981709</v>
      </c>
      <c r="E62" s="154">
        <f t="shared" si="19"/>
        <v>1127026892.9123423</v>
      </c>
      <c r="F62" s="152">
        <f t="shared" si="20"/>
        <v>220000000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>
      <c r="A63" s="6"/>
      <c r="B63" s="150">
        <v>3000</v>
      </c>
      <c r="C63" s="426">
        <f t="shared" si="17"/>
        <v>163270796.89594984</v>
      </c>
      <c r="D63" s="154">
        <f t="shared" si="18"/>
        <v>1018179694.981709</v>
      </c>
      <c r="E63" s="154">
        <f t="shared" si="19"/>
        <v>1181450491.8776588</v>
      </c>
      <c r="F63" s="152">
        <f t="shared" si="20"/>
        <v>330000000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>
      <c r="A64" s="6"/>
      <c r="B64" s="150">
        <v>4000</v>
      </c>
      <c r="C64" s="426">
        <f t="shared" si="17"/>
        <v>217694395.86126646</v>
      </c>
      <c r="D64" s="154">
        <f t="shared" si="18"/>
        <v>1018179694.981709</v>
      </c>
      <c r="E64" s="154">
        <f t="shared" si="19"/>
        <v>1235874090.8429754</v>
      </c>
      <c r="F64" s="152">
        <f t="shared" si="20"/>
        <v>440000000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>
      <c r="A65" s="6"/>
      <c r="B65" s="150">
        <v>5000</v>
      </c>
      <c r="C65" s="426">
        <f t="shared" si="17"/>
        <v>272117994.82658309</v>
      </c>
      <c r="D65" s="154">
        <f t="shared" si="18"/>
        <v>1018179694.981709</v>
      </c>
      <c r="E65" s="154">
        <f t="shared" si="19"/>
        <v>1290297689.8082922</v>
      </c>
      <c r="F65" s="152">
        <f t="shared" si="20"/>
        <v>550000000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>
      <c r="A66" s="6"/>
      <c r="B66" s="150">
        <v>6000</v>
      </c>
      <c r="C66" s="426">
        <f t="shared" si="17"/>
        <v>326541593.79189968</v>
      </c>
      <c r="D66" s="154">
        <f t="shared" si="18"/>
        <v>1018179694.981709</v>
      </c>
      <c r="E66" s="154">
        <f t="shared" si="19"/>
        <v>1344721288.7736087</v>
      </c>
      <c r="F66" s="152">
        <f t="shared" si="20"/>
        <v>660000000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>
      <c r="A67" s="6"/>
      <c r="B67" s="150">
        <v>7000</v>
      </c>
      <c r="C67" s="426">
        <f t="shared" si="17"/>
        <v>380965192.75721633</v>
      </c>
      <c r="D67" s="154">
        <f t="shared" si="18"/>
        <v>1018179694.981709</v>
      </c>
      <c r="E67" s="154">
        <f t="shared" si="19"/>
        <v>1399144887.7389255</v>
      </c>
      <c r="F67" s="152">
        <f t="shared" si="20"/>
        <v>770000000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>
      <c r="A68" s="6"/>
      <c r="B68" s="150">
        <v>8000</v>
      </c>
      <c r="C68" s="426">
        <f t="shared" si="17"/>
        <v>435388791.72253293</v>
      </c>
      <c r="D68" s="154">
        <f t="shared" si="18"/>
        <v>1018179694.981709</v>
      </c>
      <c r="E68" s="154">
        <f t="shared" si="19"/>
        <v>1453568486.704242</v>
      </c>
      <c r="F68" s="152">
        <f t="shared" si="20"/>
        <v>880000000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>
      <c r="A69" s="6"/>
      <c r="B69" s="150">
        <v>9000</v>
      </c>
      <c r="C69" s="426">
        <f t="shared" si="17"/>
        <v>489812390.68784958</v>
      </c>
      <c r="D69" s="154">
        <f t="shared" si="18"/>
        <v>1018179694.981709</v>
      </c>
      <c r="E69" s="154">
        <f t="shared" si="19"/>
        <v>1507992085.6695585</v>
      </c>
      <c r="F69" s="152">
        <f t="shared" si="20"/>
        <v>990000000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>
      <c r="A70" s="6"/>
      <c r="B70" s="150">
        <v>10000</v>
      </c>
      <c r="C70" s="426">
        <f t="shared" si="17"/>
        <v>544235989.65316617</v>
      </c>
      <c r="D70" s="154">
        <f t="shared" si="18"/>
        <v>1018179694.981709</v>
      </c>
      <c r="E70" s="154">
        <f t="shared" si="19"/>
        <v>1562415684.6348753</v>
      </c>
      <c r="F70" s="152">
        <f t="shared" si="20"/>
        <v>1100000000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>
      <c r="A71" s="6"/>
      <c r="B71" s="150">
        <v>11000</v>
      </c>
      <c r="C71" s="426">
        <f t="shared" si="17"/>
        <v>598659588.61848283</v>
      </c>
      <c r="D71" s="154">
        <f t="shared" si="18"/>
        <v>1018179694.981709</v>
      </c>
      <c r="E71" s="154">
        <f t="shared" si="19"/>
        <v>1616839283.6001918</v>
      </c>
      <c r="F71" s="152">
        <f t="shared" si="20"/>
        <v>1210000000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>
      <c r="A72" s="6"/>
      <c r="B72" s="150">
        <v>12000</v>
      </c>
      <c r="C72" s="426">
        <f t="shared" si="17"/>
        <v>653083187.58379936</v>
      </c>
      <c r="D72" s="154">
        <f t="shared" si="18"/>
        <v>1018179694.981709</v>
      </c>
      <c r="E72" s="154">
        <f t="shared" si="19"/>
        <v>1671262882.5655084</v>
      </c>
      <c r="F72" s="152">
        <f t="shared" si="20"/>
        <v>1320000000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>
      <c r="A73" s="6"/>
      <c r="B73" s="150">
        <v>13000</v>
      </c>
      <c r="C73" s="426">
        <f t="shared" si="17"/>
        <v>707506786.54911602</v>
      </c>
      <c r="D73" s="154">
        <f t="shared" si="18"/>
        <v>1018179694.981709</v>
      </c>
      <c r="E73" s="154">
        <f t="shared" si="19"/>
        <v>1725686481.5308251</v>
      </c>
      <c r="F73" s="152">
        <f t="shared" si="20"/>
        <v>1430000000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>
      <c r="A74" s="6"/>
      <c r="B74" s="150">
        <v>14000</v>
      </c>
      <c r="C74" s="426">
        <f t="shared" si="17"/>
        <v>761930385.51443267</v>
      </c>
      <c r="D74" s="154">
        <f t="shared" si="18"/>
        <v>1018179694.981709</v>
      </c>
      <c r="E74" s="154">
        <f t="shared" si="19"/>
        <v>1780110080.4961417</v>
      </c>
      <c r="F74" s="152">
        <f t="shared" si="20"/>
        <v>1540000000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>
      <c r="A75" s="6"/>
      <c r="B75" s="150">
        <v>15000</v>
      </c>
      <c r="C75" s="426">
        <f t="shared" si="17"/>
        <v>816353984.47974932</v>
      </c>
      <c r="D75" s="154">
        <f t="shared" si="18"/>
        <v>1018179694.981709</v>
      </c>
      <c r="E75" s="154">
        <f t="shared" si="19"/>
        <v>1834533679.4614582</v>
      </c>
      <c r="F75" s="152">
        <f t="shared" si="20"/>
        <v>1650000000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>
      <c r="A76" s="6"/>
      <c r="B76" s="150">
        <v>16000</v>
      </c>
      <c r="C76" s="426">
        <f t="shared" si="17"/>
        <v>870777583.44506586</v>
      </c>
      <c r="D76" s="154">
        <f t="shared" si="18"/>
        <v>1018179694.981709</v>
      </c>
      <c r="E76" s="154">
        <f t="shared" si="19"/>
        <v>1888957278.426775</v>
      </c>
      <c r="F76" s="152">
        <f t="shared" si="20"/>
        <v>1760000000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>
      <c r="A77" s="6"/>
      <c r="B77" s="150">
        <v>17000</v>
      </c>
      <c r="C77" s="426">
        <f t="shared" si="17"/>
        <v>925201182.41038251</v>
      </c>
      <c r="D77" s="154">
        <f t="shared" si="18"/>
        <v>1018179694.981709</v>
      </c>
      <c r="E77" s="154">
        <f t="shared" si="19"/>
        <v>1943380877.3920915</v>
      </c>
      <c r="F77" s="152">
        <f t="shared" si="20"/>
        <v>1870000000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>
      <c r="A78" s="6"/>
      <c r="B78" s="150">
        <v>18000</v>
      </c>
      <c r="C78" s="426">
        <f t="shared" si="17"/>
        <v>979624781.37569916</v>
      </c>
      <c r="D78" s="154">
        <f t="shared" si="18"/>
        <v>1018179694.981709</v>
      </c>
      <c r="E78" s="154">
        <f t="shared" si="19"/>
        <v>1997804476.357408</v>
      </c>
      <c r="F78" s="152">
        <f t="shared" si="20"/>
        <v>1980000000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>
      <c r="A79" s="6"/>
      <c r="B79" s="150">
        <v>19000</v>
      </c>
      <c r="C79" s="426">
        <f t="shared" si="17"/>
        <v>1034048380.3410157</v>
      </c>
      <c r="D79" s="154">
        <f t="shared" si="18"/>
        <v>1018179694.981709</v>
      </c>
      <c r="E79" s="154">
        <f t="shared" si="19"/>
        <v>2052228075.3227248</v>
      </c>
      <c r="F79" s="152">
        <f t="shared" si="20"/>
        <v>2090000000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>
      <c r="A80" s="6"/>
      <c r="B80" s="150">
        <v>20000</v>
      </c>
      <c r="C80" s="426">
        <f t="shared" si="17"/>
        <v>1088471979.3063323</v>
      </c>
      <c r="D80" s="154">
        <f t="shared" si="18"/>
        <v>1018179694.981709</v>
      </c>
      <c r="E80" s="154">
        <f t="shared" si="19"/>
        <v>2106651674.2880414</v>
      </c>
      <c r="F80" s="152">
        <f t="shared" si="20"/>
        <v>2200000000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>
      <c r="A81" s="6"/>
      <c r="B81" s="150">
        <v>21000</v>
      </c>
      <c r="C81" s="426">
        <f t="shared" si="17"/>
        <v>1142895578.2716489</v>
      </c>
      <c r="D81" s="154">
        <f t="shared" si="18"/>
        <v>1018179694.981709</v>
      </c>
      <c r="E81" s="154">
        <f t="shared" si="19"/>
        <v>2161075273.2533579</v>
      </c>
      <c r="F81" s="152">
        <f t="shared" si="20"/>
        <v>2310000000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>
      <c r="A82" s="6"/>
      <c r="B82" s="150">
        <v>22000</v>
      </c>
      <c r="C82" s="426">
        <f t="shared" si="17"/>
        <v>1197319177.2369657</v>
      </c>
      <c r="D82" s="154">
        <f t="shared" si="18"/>
        <v>1018179694.981709</v>
      </c>
      <c r="E82" s="154">
        <f t="shared" si="19"/>
        <v>2215498872.2186747</v>
      </c>
      <c r="F82" s="152">
        <f t="shared" si="20"/>
        <v>2420000000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>
      <c r="A83" s="6"/>
      <c r="B83" s="150">
        <v>23000</v>
      </c>
      <c r="C83" s="426">
        <f t="shared" si="17"/>
        <v>1251742776.2022822</v>
      </c>
      <c r="D83" s="154">
        <f t="shared" si="18"/>
        <v>1018179694.981709</v>
      </c>
      <c r="E83" s="154">
        <f t="shared" si="19"/>
        <v>2269922471.1839914</v>
      </c>
      <c r="F83" s="152">
        <f t="shared" si="20"/>
        <v>2530000000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>
      <c r="A84" s="6"/>
      <c r="B84" s="150">
        <v>24000</v>
      </c>
      <c r="C84" s="426">
        <f t="shared" si="17"/>
        <v>1306166375.1675987</v>
      </c>
      <c r="D84" s="154">
        <f t="shared" si="18"/>
        <v>1018179694.981709</v>
      </c>
      <c r="E84" s="154">
        <f t="shared" si="19"/>
        <v>2324346070.1493077</v>
      </c>
      <c r="F84" s="152">
        <f t="shared" si="20"/>
        <v>2640000000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>
      <c r="A85" s="6"/>
      <c r="B85" s="150">
        <v>25000</v>
      </c>
      <c r="C85" s="426">
        <f t="shared" si="17"/>
        <v>1360589974.1329155</v>
      </c>
      <c r="D85" s="154">
        <f t="shared" si="18"/>
        <v>1018179694.981709</v>
      </c>
      <c r="E85" s="154">
        <f t="shared" si="19"/>
        <v>2378769669.1146245</v>
      </c>
      <c r="F85" s="152">
        <f t="shared" si="20"/>
        <v>2750000000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>
      <c r="A86" s="6"/>
      <c r="B86" s="150">
        <v>26000</v>
      </c>
      <c r="C86" s="426">
        <f t="shared" si="17"/>
        <v>1415013573.098232</v>
      </c>
      <c r="D86" s="154">
        <f t="shared" si="18"/>
        <v>1018179694.981709</v>
      </c>
      <c r="E86" s="154">
        <f t="shared" si="19"/>
        <v>2433193268.0799408</v>
      </c>
      <c r="F86" s="152">
        <f t="shared" si="20"/>
        <v>2860000000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>
      <c r="A87" s="6"/>
      <c r="B87" s="150">
        <v>27000</v>
      </c>
      <c r="C87" s="426">
        <f t="shared" si="17"/>
        <v>1469437172.0635488</v>
      </c>
      <c r="D87" s="154">
        <f t="shared" si="18"/>
        <v>1018179694.981709</v>
      </c>
      <c r="E87" s="154">
        <f t="shared" si="19"/>
        <v>2487616867.0452576</v>
      </c>
      <c r="F87" s="152">
        <f t="shared" si="20"/>
        <v>2970000000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>
      <c r="A88" s="6"/>
      <c r="B88" s="150">
        <v>28000</v>
      </c>
      <c r="C88" s="426">
        <f t="shared" si="17"/>
        <v>1523860771.0288653</v>
      </c>
      <c r="D88" s="154">
        <f t="shared" si="18"/>
        <v>1018179694.981709</v>
      </c>
      <c r="E88" s="154">
        <f t="shared" si="19"/>
        <v>2542040466.0105743</v>
      </c>
      <c r="F88" s="152">
        <f t="shared" si="20"/>
        <v>3080000000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>
      <c r="A89" s="6"/>
      <c r="B89" s="150">
        <v>29000</v>
      </c>
      <c r="C89" s="426">
        <f t="shared" si="17"/>
        <v>1578284369.9941819</v>
      </c>
      <c r="D89" s="154">
        <f t="shared" si="18"/>
        <v>1018179694.981709</v>
      </c>
      <c r="E89" s="154">
        <f t="shared" si="19"/>
        <v>2596464064.9758911</v>
      </c>
      <c r="F89" s="152">
        <f t="shared" si="20"/>
        <v>3190000000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>
      <c r="A90" s="6"/>
      <c r="B90" s="150">
        <v>30000</v>
      </c>
      <c r="C90" s="426">
        <f t="shared" si="17"/>
        <v>1632707968.9594986</v>
      </c>
      <c r="D90" s="154">
        <f t="shared" si="18"/>
        <v>1018179694.981709</v>
      </c>
      <c r="E90" s="154">
        <f t="shared" si="19"/>
        <v>2650887663.9412079</v>
      </c>
      <c r="F90" s="152">
        <f t="shared" si="20"/>
        <v>3300000000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>
      <c r="A91" s="6"/>
      <c r="B91" s="150">
        <v>31000</v>
      </c>
      <c r="C91" s="426">
        <f t="shared" si="17"/>
        <v>1687131567.9248152</v>
      </c>
      <c r="D91" s="154">
        <f t="shared" si="18"/>
        <v>1018179694.981709</v>
      </c>
      <c r="E91" s="154">
        <f t="shared" si="19"/>
        <v>2705311262.9065242</v>
      </c>
      <c r="F91" s="152">
        <f t="shared" si="20"/>
        <v>3410000000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>
      <c r="A92" s="6"/>
      <c r="B92" s="150">
        <v>32000</v>
      </c>
      <c r="C92" s="426">
        <f t="shared" si="17"/>
        <v>1741555166.8901317</v>
      </c>
      <c r="D92" s="154">
        <f t="shared" si="18"/>
        <v>1018179694.981709</v>
      </c>
      <c r="E92" s="154">
        <f t="shared" si="19"/>
        <v>2759734861.8718405</v>
      </c>
      <c r="F92" s="152">
        <f t="shared" si="20"/>
        <v>3520000000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>
      <c r="A93" s="6"/>
      <c r="B93" s="150">
        <v>33000</v>
      </c>
      <c r="C93" s="426">
        <f t="shared" si="17"/>
        <v>1795978765.8554485</v>
      </c>
      <c r="D93" s="154">
        <f t="shared" si="18"/>
        <v>1018179694.981709</v>
      </c>
      <c r="E93" s="154">
        <f t="shared" si="19"/>
        <v>2814158460.8371572</v>
      </c>
      <c r="F93" s="152">
        <f t="shared" si="20"/>
        <v>3630000000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>
      <c r="A94" s="6"/>
      <c r="B94" s="150">
        <v>34000</v>
      </c>
      <c r="C94" s="426">
        <f t="shared" si="17"/>
        <v>1850402364.820765</v>
      </c>
      <c r="D94" s="154">
        <f t="shared" si="18"/>
        <v>1018179694.981709</v>
      </c>
      <c r="E94" s="154">
        <f t="shared" si="19"/>
        <v>2868582059.802474</v>
      </c>
      <c r="F94" s="152">
        <f t="shared" si="20"/>
        <v>3740000000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>
      <c r="A95" s="6"/>
      <c r="B95" s="150">
        <v>35000</v>
      </c>
      <c r="C95" s="426">
        <f t="shared" si="17"/>
        <v>1904825963.7860816</v>
      </c>
      <c r="D95" s="154">
        <f t="shared" si="18"/>
        <v>1018179694.981709</v>
      </c>
      <c r="E95" s="154">
        <f t="shared" si="19"/>
        <v>2923005658.7677908</v>
      </c>
      <c r="F95" s="152">
        <f t="shared" si="20"/>
        <v>3850000000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>
      <c r="A96" s="6"/>
      <c r="B96" s="150">
        <v>36000</v>
      </c>
      <c r="C96" s="426">
        <f t="shared" si="17"/>
        <v>1959249562.7513983</v>
      </c>
      <c r="D96" s="154">
        <f t="shared" si="18"/>
        <v>1018179694.981709</v>
      </c>
      <c r="E96" s="154">
        <f t="shared" si="19"/>
        <v>2977429257.7331076</v>
      </c>
      <c r="F96" s="152">
        <f t="shared" si="20"/>
        <v>3960000000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>
      <c r="A97" s="6"/>
      <c r="B97" s="150">
        <v>36178</v>
      </c>
      <c r="C97" s="426">
        <f t="shared" si="17"/>
        <v>1968936963.3672247</v>
      </c>
      <c r="D97" s="154">
        <f t="shared" si="18"/>
        <v>1018179694.981709</v>
      </c>
      <c r="E97" s="154">
        <f t="shared" si="19"/>
        <v>2987116658.3489337</v>
      </c>
      <c r="F97" s="152">
        <f t="shared" si="20"/>
        <v>3979580000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>
      <c r="A100" s="6"/>
      <c r="B100" s="452" t="s">
        <v>977</v>
      </c>
      <c r="C100" s="491"/>
      <c r="D100" s="491"/>
      <c r="E100" s="491"/>
      <c r="F100" s="492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>
      <c r="A101" s="6"/>
      <c r="B101" s="150" t="s">
        <v>347</v>
      </c>
      <c r="C101" s="150" t="s">
        <v>348</v>
      </c>
      <c r="D101" s="150" t="s">
        <v>349</v>
      </c>
      <c r="E101" s="150" t="s">
        <v>350</v>
      </c>
      <c r="F101" s="150" t="s">
        <v>351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>
      <c r="A102" s="6"/>
      <c r="B102" s="150">
        <v>0</v>
      </c>
      <c r="C102" s="426">
        <f t="shared" ref="C102:C147" si="21">$I$51*B102</f>
        <v>0</v>
      </c>
      <c r="D102" s="154">
        <f t="shared" ref="D102:D147" si="22">$I$52</f>
        <v>872688485.5585115</v>
      </c>
      <c r="E102" s="154">
        <f t="shared" ref="E102:E147" si="23">D102+C102</f>
        <v>872688485.5585115</v>
      </c>
      <c r="F102" s="152">
        <f t="shared" ref="F102:F147" si="24">B102*$I$50</f>
        <v>0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>
      <c r="A103" s="6"/>
      <c r="B103" s="150">
        <v>1000</v>
      </c>
      <c r="C103" s="426">
        <f t="shared" si="21"/>
        <v>45894936.741081432</v>
      </c>
      <c r="D103" s="154">
        <f t="shared" si="22"/>
        <v>872688485.5585115</v>
      </c>
      <c r="E103" s="154">
        <f t="shared" si="23"/>
        <v>918583422.29959297</v>
      </c>
      <c r="F103" s="152">
        <f t="shared" si="24"/>
        <v>110000000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>
      <c r="A104" s="6"/>
      <c r="B104" s="150">
        <v>2000</v>
      </c>
      <c r="C104" s="426">
        <f t="shared" si="21"/>
        <v>91789873.482162863</v>
      </c>
      <c r="D104" s="154">
        <f t="shared" si="22"/>
        <v>872688485.5585115</v>
      </c>
      <c r="E104" s="154">
        <f t="shared" si="23"/>
        <v>964478359.04067433</v>
      </c>
      <c r="F104" s="152">
        <f t="shared" si="24"/>
        <v>220000000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>
      <c r="A105" s="6"/>
      <c r="B105" s="150">
        <v>3000</v>
      </c>
      <c r="C105" s="426">
        <f t="shared" si="21"/>
        <v>137684810.22324428</v>
      </c>
      <c r="D105" s="154">
        <f t="shared" si="22"/>
        <v>872688485.5585115</v>
      </c>
      <c r="E105" s="154">
        <f t="shared" si="23"/>
        <v>1010373295.7817558</v>
      </c>
      <c r="F105" s="152">
        <f t="shared" si="24"/>
        <v>330000000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>
      <c r="A106" s="6"/>
      <c r="B106" s="150">
        <v>4000</v>
      </c>
      <c r="C106" s="426">
        <f t="shared" si="21"/>
        <v>183579746.96432573</v>
      </c>
      <c r="D106" s="154">
        <f t="shared" si="22"/>
        <v>872688485.5585115</v>
      </c>
      <c r="E106" s="154">
        <f t="shared" si="23"/>
        <v>1056268232.5228372</v>
      </c>
      <c r="F106" s="152">
        <f t="shared" si="24"/>
        <v>440000000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>
      <c r="A107" s="6"/>
      <c r="B107" s="150">
        <v>5000</v>
      </c>
      <c r="C107" s="426">
        <f t="shared" si="21"/>
        <v>229474683.70540714</v>
      </c>
      <c r="D107" s="154">
        <f t="shared" si="22"/>
        <v>872688485.5585115</v>
      </c>
      <c r="E107" s="154">
        <f t="shared" si="23"/>
        <v>1102163169.2639186</v>
      </c>
      <c r="F107" s="152">
        <f t="shared" si="24"/>
        <v>550000000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>
      <c r="A108" s="6"/>
      <c r="B108" s="150">
        <v>6000</v>
      </c>
      <c r="C108" s="426">
        <f t="shared" si="21"/>
        <v>275369620.44648856</v>
      </c>
      <c r="D108" s="154">
        <f t="shared" si="22"/>
        <v>872688485.5585115</v>
      </c>
      <c r="E108" s="154">
        <f t="shared" si="23"/>
        <v>1148058106.0050001</v>
      </c>
      <c r="F108" s="152">
        <f t="shared" si="24"/>
        <v>660000000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>
      <c r="A109" s="6"/>
      <c r="B109" s="150">
        <v>7000</v>
      </c>
      <c r="C109" s="426">
        <f t="shared" si="21"/>
        <v>321264557.18757004</v>
      </c>
      <c r="D109" s="154">
        <f t="shared" si="22"/>
        <v>872688485.5585115</v>
      </c>
      <c r="E109" s="154">
        <f t="shared" si="23"/>
        <v>1193953042.7460816</v>
      </c>
      <c r="F109" s="152">
        <f t="shared" si="24"/>
        <v>770000000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>
      <c r="A110" s="6"/>
      <c r="B110" s="150">
        <v>8000</v>
      </c>
      <c r="C110" s="426">
        <f t="shared" si="21"/>
        <v>367159493.92865145</v>
      </c>
      <c r="D110" s="154">
        <f t="shared" si="22"/>
        <v>872688485.5585115</v>
      </c>
      <c r="E110" s="154">
        <f t="shared" si="23"/>
        <v>1239847979.4871631</v>
      </c>
      <c r="F110" s="152">
        <f t="shared" si="24"/>
        <v>880000000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>
      <c r="A111" s="6"/>
      <c r="B111" s="150">
        <v>9000</v>
      </c>
      <c r="C111" s="426">
        <f t="shared" si="21"/>
        <v>413054430.66973287</v>
      </c>
      <c r="D111" s="154">
        <f t="shared" si="22"/>
        <v>872688485.5585115</v>
      </c>
      <c r="E111" s="154">
        <f t="shared" si="23"/>
        <v>1285742916.2282443</v>
      </c>
      <c r="F111" s="152">
        <f t="shared" si="24"/>
        <v>990000000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>
      <c r="A112" s="6"/>
      <c r="B112" s="150">
        <v>10000</v>
      </c>
      <c r="C112" s="426">
        <f t="shared" si="21"/>
        <v>458949367.41081429</v>
      </c>
      <c r="D112" s="154">
        <f t="shared" si="22"/>
        <v>872688485.5585115</v>
      </c>
      <c r="E112" s="154">
        <f t="shared" si="23"/>
        <v>1331637852.9693258</v>
      </c>
      <c r="F112" s="152">
        <f t="shared" si="24"/>
        <v>1100000000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>
      <c r="A113" s="6"/>
      <c r="B113" s="150">
        <v>11000</v>
      </c>
      <c r="C113" s="426">
        <f t="shared" si="21"/>
        <v>504844304.15189576</v>
      </c>
      <c r="D113" s="154">
        <f t="shared" si="22"/>
        <v>872688485.5585115</v>
      </c>
      <c r="E113" s="154">
        <f t="shared" si="23"/>
        <v>1377532789.7104073</v>
      </c>
      <c r="F113" s="152">
        <f t="shared" si="24"/>
        <v>1210000000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>
      <c r="A114" s="6"/>
      <c r="B114" s="150">
        <v>12000</v>
      </c>
      <c r="C114" s="426">
        <f t="shared" si="21"/>
        <v>550739240.89297712</v>
      </c>
      <c r="D114" s="154">
        <f t="shared" si="22"/>
        <v>872688485.5585115</v>
      </c>
      <c r="E114" s="154">
        <f t="shared" si="23"/>
        <v>1423427726.4514885</v>
      </c>
      <c r="F114" s="152">
        <f t="shared" si="24"/>
        <v>1320000000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>
      <c r="A115" s="6"/>
      <c r="B115" s="150">
        <v>13000</v>
      </c>
      <c r="C115" s="426">
        <f t="shared" si="21"/>
        <v>596634177.63405859</v>
      </c>
      <c r="D115" s="154">
        <f t="shared" si="22"/>
        <v>872688485.5585115</v>
      </c>
      <c r="E115" s="154">
        <f t="shared" si="23"/>
        <v>1469322663.1925702</v>
      </c>
      <c r="F115" s="152">
        <f t="shared" si="24"/>
        <v>1430000000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>
      <c r="A116" s="6"/>
      <c r="B116" s="150">
        <v>14000</v>
      </c>
      <c r="C116" s="426">
        <f t="shared" si="21"/>
        <v>642529114.37514007</v>
      </c>
      <c r="D116" s="154">
        <f t="shared" si="22"/>
        <v>872688485.5585115</v>
      </c>
      <c r="E116" s="154">
        <f t="shared" si="23"/>
        <v>1515217599.9336514</v>
      </c>
      <c r="F116" s="152">
        <f t="shared" si="24"/>
        <v>1540000000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>
      <c r="A117" s="6"/>
      <c r="B117" s="150">
        <v>15000</v>
      </c>
      <c r="C117" s="426">
        <f t="shared" si="21"/>
        <v>688424051.11622143</v>
      </c>
      <c r="D117" s="154">
        <f t="shared" si="22"/>
        <v>872688485.5585115</v>
      </c>
      <c r="E117" s="154">
        <f t="shared" si="23"/>
        <v>1561112536.6747329</v>
      </c>
      <c r="F117" s="152">
        <f t="shared" si="24"/>
        <v>1650000000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>
      <c r="A118" s="6"/>
      <c r="B118" s="150">
        <v>16000</v>
      </c>
      <c r="C118" s="426">
        <f t="shared" si="21"/>
        <v>734318987.8573029</v>
      </c>
      <c r="D118" s="154">
        <f t="shared" si="22"/>
        <v>872688485.5585115</v>
      </c>
      <c r="E118" s="154">
        <f t="shared" si="23"/>
        <v>1607007473.4158144</v>
      </c>
      <c r="F118" s="152">
        <f t="shared" si="24"/>
        <v>1760000000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>
      <c r="A119" s="6"/>
      <c r="B119" s="150">
        <v>17000</v>
      </c>
      <c r="C119" s="426">
        <f t="shared" si="21"/>
        <v>780213924.59838426</v>
      </c>
      <c r="D119" s="154">
        <f t="shared" si="22"/>
        <v>872688485.5585115</v>
      </c>
      <c r="E119" s="154">
        <f t="shared" si="23"/>
        <v>1652902410.1568956</v>
      </c>
      <c r="F119" s="152">
        <f t="shared" si="24"/>
        <v>1870000000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>
      <c r="A120" s="6"/>
      <c r="B120" s="150">
        <v>18000</v>
      </c>
      <c r="C120" s="426">
        <f t="shared" si="21"/>
        <v>826108861.33946574</v>
      </c>
      <c r="D120" s="154">
        <f t="shared" si="22"/>
        <v>872688485.5585115</v>
      </c>
      <c r="E120" s="154">
        <f t="shared" si="23"/>
        <v>1698797346.8979774</v>
      </c>
      <c r="F120" s="152">
        <f t="shared" si="24"/>
        <v>1980000000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>
      <c r="A121" s="6"/>
      <c r="B121" s="150">
        <v>19000</v>
      </c>
      <c r="C121" s="426">
        <f t="shared" si="21"/>
        <v>872003798.08054721</v>
      </c>
      <c r="D121" s="154">
        <f t="shared" si="22"/>
        <v>872688485.5585115</v>
      </c>
      <c r="E121" s="154">
        <f t="shared" si="23"/>
        <v>1744692283.6390586</v>
      </c>
      <c r="F121" s="152">
        <f t="shared" si="24"/>
        <v>2090000000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>
      <c r="A122" s="6"/>
      <c r="B122" s="150">
        <v>20000</v>
      </c>
      <c r="C122" s="426">
        <f t="shared" si="21"/>
        <v>917898734.82162857</v>
      </c>
      <c r="D122" s="154">
        <f t="shared" si="22"/>
        <v>872688485.5585115</v>
      </c>
      <c r="E122" s="154">
        <f t="shared" si="23"/>
        <v>1790587220.3801401</v>
      </c>
      <c r="F122" s="152">
        <f t="shared" si="24"/>
        <v>2200000000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>
      <c r="A123" s="6"/>
      <c r="B123" s="150">
        <v>21000</v>
      </c>
      <c r="C123" s="426">
        <f t="shared" si="21"/>
        <v>963793671.56271005</v>
      </c>
      <c r="D123" s="154">
        <f t="shared" si="22"/>
        <v>872688485.5585115</v>
      </c>
      <c r="E123" s="154">
        <f t="shared" si="23"/>
        <v>1836482157.1212215</v>
      </c>
      <c r="F123" s="152">
        <f t="shared" si="24"/>
        <v>2310000000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>
      <c r="A124" s="6"/>
      <c r="B124" s="150">
        <v>22000</v>
      </c>
      <c r="C124" s="426">
        <f t="shared" si="21"/>
        <v>1009688608.3037915</v>
      </c>
      <c r="D124" s="154">
        <f t="shared" si="22"/>
        <v>872688485.5585115</v>
      </c>
      <c r="E124" s="154">
        <f t="shared" si="23"/>
        <v>1882377093.862303</v>
      </c>
      <c r="F124" s="152">
        <f t="shared" si="24"/>
        <v>2420000000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>
      <c r="A125" s="6"/>
      <c r="B125" s="150">
        <v>23000</v>
      </c>
      <c r="C125" s="426">
        <f t="shared" si="21"/>
        <v>1055583545.0448729</v>
      </c>
      <c r="D125" s="154">
        <f t="shared" si="22"/>
        <v>872688485.5585115</v>
      </c>
      <c r="E125" s="154">
        <f t="shared" si="23"/>
        <v>1928272030.6033845</v>
      </c>
      <c r="F125" s="152">
        <f t="shared" si="24"/>
        <v>2530000000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>
      <c r="A126" s="6"/>
      <c r="B126" s="150">
        <v>24000</v>
      </c>
      <c r="C126" s="426">
        <f t="shared" si="21"/>
        <v>1101478481.7859542</v>
      </c>
      <c r="D126" s="154">
        <f t="shared" si="22"/>
        <v>872688485.5585115</v>
      </c>
      <c r="E126" s="154">
        <f t="shared" si="23"/>
        <v>1974166967.3444657</v>
      </c>
      <c r="F126" s="152">
        <f t="shared" si="24"/>
        <v>2640000000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>
      <c r="A127" s="6"/>
      <c r="B127" s="150">
        <v>25000</v>
      </c>
      <c r="C127" s="426">
        <f t="shared" si="21"/>
        <v>1147373418.5270357</v>
      </c>
      <c r="D127" s="154">
        <f t="shared" si="22"/>
        <v>872688485.5585115</v>
      </c>
      <c r="E127" s="154">
        <f t="shared" si="23"/>
        <v>2020061904.0855472</v>
      </c>
      <c r="F127" s="152">
        <f t="shared" si="24"/>
        <v>2750000000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>
      <c r="A128" s="6"/>
      <c r="B128" s="150">
        <v>26000</v>
      </c>
      <c r="C128" s="426">
        <f t="shared" si="21"/>
        <v>1193268355.2681172</v>
      </c>
      <c r="D128" s="154">
        <f t="shared" si="22"/>
        <v>872688485.5585115</v>
      </c>
      <c r="E128" s="154">
        <f t="shared" si="23"/>
        <v>2065956840.8266287</v>
      </c>
      <c r="F128" s="152">
        <f t="shared" si="24"/>
        <v>2860000000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>
      <c r="A129" s="6"/>
      <c r="B129" s="150">
        <v>27000</v>
      </c>
      <c r="C129" s="426">
        <f t="shared" si="21"/>
        <v>1239163292.0091987</v>
      </c>
      <c r="D129" s="154">
        <f t="shared" si="22"/>
        <v>872688485.5585115</v>
      </c>
      <c r="E129" s="154">
        <f t="shared" si="23"/>
        <v>2111851777.5677102</v>
      </c>
      <c r="F129" s="152">
        <f t="shared" si="24"/>
        <v>2970000000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>
      <c r="A130" s="6"/>
      <c r="B130" s="150">
        <v>28000</v>
      </c>
      <c r="C130" s="426">
        <f t="shared" si="21"/>
        <v>1285058228.7502801</v>
      </c>
      <c r="D130" s="154">
        <f t="shared" si="22"/>
        <v>872688485.5585115</v>
      </c>
      <c r="E130" s="154">
        <f t="shared" si="23"/>
        <v>2157746714.3087916</v>
      </c>
      <c r="F130" s="152">
        <f t="shared" si="24"/>
        <v>3080000000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>
      <c r="A131" s="6"/>
      <c r="B131" s="150">
        <v>29000</v>
      </c>
      <c r="C131" s="426">
        <f t="shared" si="21"/>
        <v>1330953165.4913614</v>
      </c>
      <c r="D131" s="154">
        <f t="shared" si="22"/>
        <v>872688485.5585115</v>
      </c>
      <c r="E131" s="154">
        <f t="shared" si="23"/>
        <v>2203641651.0498729</v>
      </c>
      <c r="F131" s="152">
        <f t="shared" si="24"/>
        <v>3190000000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>
      <c r="A132" s="6"/>
      <c r="B132" s="150">
        <v>30000</v>
      </c>
      <c r="C132" s="426">
        <f t="shared" si="21"/>
        <v>1376848102.2324429</v>
      </c>
      <c r="D132" s="154">
        <f t="shared" si="22"/>
        <v>872688485.5585115</v>
      </c>
      <c r="E132" s="154">
        <f t="shared" si="23"/>
        <v>2249536587.7909546</v>
      </c>
      <c r="F132" s="152">
        <f t="shared" si="24"/>
        <v>3300000000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>
      <c r="A133" s="6"/>
      <c r="B133" s="150">
        <v>31000</v>
      </c>
      <c r="C133" s="426">
        <f t="shared" si="21"/>
        <v>1422743038.9735243</v>
      </c>
      <c r="D133" s="154">
        <f t="shared" si="22"/>
        <v>872688485.5585115</v>
      </c>
      <c r="E133" s="154">
        <f t="shared" si="23"/>
        <v>2295431524.5320358</v>
      </c>
      <c r="F133" s="152">
        <f t="shared" si="24"/>
        <v>3410000000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>
      <c r="A134" s="6"/>
      <c r="B134" s="150">
        <v>32000</v>
      </c>
      <c r="C134" s="426">
        <f t="shared" si="21"/>
        <v>1468637975.7146058</v>
      </c>
      <c r="D134" s="154">
        <f t="shared" si="22"/>
        <v>872688485.5585115</v>
      </c>
      <c r="E134" s="154">
        <f t="shared" si="23"/>
        <v>2341326461.2731171</v>
      </c>
      <c r="F134" s="152">
        <f t="shared" si="24"/>
        <v>3520000000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>
      <c r="A135" s="6"/>
      <c r="B135" s="150">
        <v>33000</v>
      </c>
      <c r="C135" s="426">
        <f t="shared" si="21"/>
        <v>1514532912.4556873</v>
      </c>
      <c r="D135" s="154">
        <f t="shared" si="22"/>
        <v>872688485.5585115</v>
      </c>
      <c r="E135" s="154">
        <f t="shared" si="23"/>
        <v>2387221398.0141988</v>
      </c>
      <c r="F135" s="152">
        <f t="shared" si="24"/>
        <v>3630000000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>
      <c r="A136" s="6"/>
      <c r="B136" s="150">
        <v>34000</v>
      </c>
      <c r="C136" s="426">
        <f t="shared" si="21"/>
        <v>1560427849.1967685</v>
      </c>
      <c r="D136" s="154">
        <f t="shared" si="22"/>
        <v>872688485.5585115</v>
      </c>
      <c r="E136" s="154">
        <f t="shared" si="23"/>
        <v>2433116334.75528</v>
      </c>
      <c r="F136" s="152">
        <f t="shared" si="24"/>
        <v>3740000000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>
      <c r="A137" s="6"/>
      <c r="B137" s="150">
        <v>35000</v>
      </c>
      <c r="C137" s="426">
        <f t="shared" si="21"/>
        <v>1606322785.93785</v>
      </c>
      <c r="D137" s="154">
        <f t="shared" si="22"/>
        <v>872688485.5585115</v>
      </c>
      <c r="E137" s="154">
        <f t="shared" si="23"/>
        <v>2479011271.4963617</v>
      </c>
      <c r="F137" s="152">
        <f t="shared" si="24"/>
        <v>3850000000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>
      <c r="A138" s="6"/>
      <c r="B138" s="150">
        <v>36000</v>
      </c>
      <c r="C138" s="426">
        <f t="shared" si="21"/>
        <v>1652217722.6789315</v>
      </c>
      <c r="D138" s="154">
        <f t="shared" si="22"/>
        <v>872688485.5585115</v>
      </c>
      <c r="E138" s="154">
        <f t="shared" si="23"/>
        <v>2524906208.237443</v>
      </c>
      <c r="F138" s="152">
        <f t="shared" si="24"/>
        <v>3960000000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>
      <c r="A139" s="6"/>
      <c r="B139" s="150">
        <v>37000</v>
      </c>
      <c r="C139" s="426">
        <f t="shared" si="21"/>
        <v>1698112659.420013</v>
      </c>
      <c r="D139" s="154">
        <f t="shared" si="22"/>
        <v>872688485.5585115</v>
      </c>
      <c r="E139" s="154">
        <f t="shared" si="23"/>
        <v>2570801144.9785242</v>
      </c>
      <c r="F139" s="152">
        <f t="shared" si="24"/>
        <v>4070000000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>
      <c r="A140" s="6"/>
      <c r="B140" s="150">
        <v>38000</v>
      </c>
      <c r="C140" s="426">
        <f t="shared" si="21"/>
        <v>1744007596.1610944</v>
      </c>
      <c r="D140" s="154">
        <f t="shared" si="22"/>
        <v>872688485.5585115</v>
      </c>
      <c r="E140" s="154">
        <f t="shared" si="23"/>
        <v>2616696081.7196059</v>
      </c>
      <c r="F140" s="152">
        <f t="shared" si="24"/>
        <v>4180000000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>
      <c r="A141" s="6"/>
      <c r="B141" s="150">
        <v>39000</v>
      </c>
      <c r="C141" s="426">
        <f t="shared" si="21"/>
        <v>1789902532.9021757</v>
      </c>
      <c r="D141" s="154">
        <f t="shared" si="22"/>
        <v>872688485.5585115</v>
      </c>
      <c r="E141" s="154">
        <f t="shared" si="23"/>
        <v>2662591018.4606872</v>
      </c>
      <c r="F141" s="152">
        <f t="shared" si="24"/>
        <v>4290000000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>
      <c r="A142" s="6"/>
      <c r="B142" s="150">
        <v>40000</v>
      </c>
      <c r="C142" s="426">
        <f t="shared" si="21"/>
        <v>1835797469.6432571</v>
      </c>
      <c r="D142" s="154">
        <f t="shared" si="22"/>
        <v>872688485.5585115</v>
      </c>
      <c r="E142" s="154">
        <f t="shared" si="23"/>
        <v>2708485955.2017689</v>
      </c>
      <c r="F142" s="152">
        <f t="shared" si="24"/>
        <v>4400000000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>
      <c r="A143" s="6"/>
      <c r="B143" s="150">
        <v>41000</v>
      </c>
      <c r="C143" s="426">
        <f t="shared" si="21"/>
        <v>1881692406.3843386</v>
      </c>
      <c r="D143" s="154">
        <f t="shared" si="22"/>
        <v>872688485.5585115</v>
      </c>
      <c r="E143" s="154">
        <f t="shared" si="23"/>
        <v>2754380891.9428501</v>
      </c>
      <c r="F143" s="152">
        <f t="shared" si="24"/>
        <v>4510000000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>
      <c r="A144" s="6"/>
      <c r="B144" s="150">
        <v>42000</v>
      </c>
      <c r="C144" s="426">
        <f t="shared" si="21"/>
        <v>1927587343.1254201</v>
      </c>
      <c r="D144" s="154">
        <f t="shared" si="22"/>
        <v>872688485.5585115</v>
      </c>
      <c r="E144" s="154">
        <f t="shared" si="23"/>
        <v>2800275828.6839314</v>
      </c>
      <c r="F144" s="152">
        <f t="shared" si="24"/>
        <v>4620000000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>
      <c r="A145" s="6"/>
      <c r="B145" s="150">
        <v>43000</v>
      </c>
      <c r="C145" s="426">
        <f t="shared" si="21"/>
        <v>1973482279.8665016</v>
      </c>
      <c r="D145" s="154">
        <f t="shared" si="22"/>
        <v>872688485.5585115</v>
      </c>
      <c r="E145" s="154">
        <f t="shared" si="23"/>
        <v>2846170765.4250131</v>
      </c>
      <c r="F145" s="152">
        <f t="shared" si="24"/>
        <v>4730000000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>
      <c r="A146" s="6"/>
      <c r="B146" s="150">
        <v>44000</v>
      </c>
      <c r="C146" s="426">
        <f t="shared" si="21"/>
        <v>2019377216.607583</v>
      </c>
      <c r="D146" s="154">
        <f t="shared" si="22"/>
        <v>872688485.5585115</v>
      </c>
      <c r="E146" s="154">
        <f t="shared" si="23"/>
        <v>2892065702.1660948</v>
      </c>
      <c r="F146" s="152">
        <f t="shared" si="24"/>
        <v>4840000000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>
      <c r="A147" s="6"/>
      <c r="B147" s="150">
        <v>44800</v>
      </c>
      <c r="C147" s="426">
        <f t="shared" si="21"/>
        <v>2056093166.000448</v>
      </c>
      <c r="D147" s="154">
        <f t="shared" si="22"/>
        <v>872688485.5585115</v>
      </c>
      <c r="E147" s="154">
        <f t="shared" si="23"/>
        <v>2928781651.5589595</v>
      </c>
      <c r="F147" s="152">
        <f t="shared" si="24"/>
        <v>4928000000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4">
    <mergeCell ref="A48:B48"/>
    <mergeCell ref="H48:I48"/>
    <mergeCell ref="B58:F58"/>
    <mergeCell ref="B100:F100"/>
  </mergeCells>
  <pageMargins left="0.25972222222222202" right="0.45972222222222198" top="0.7" bottom="1" header="0" footer="0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>
      <selection activeCell="C1" sqref="C1:G1048576"/>
    </sheetView>
  </sheetViews>
  <sheetFormatPr defaultColWidth="12.5703125" defaultRowHeight="15" customHeight="1"/>
  <cols>
    <col min="1" max="1" width="42.85546875" customWidth="1"/>
    <col min="2" max="2" width="16.85546875" customWidth="1"/>
    <col min="3" max="3" width="15.7109375" bestFit="1" customWidth="1"/>
    <col min="4" max="7" width="17.42578125" bestFit="1" customWidth="1"/>
    <col min="8" max="26" width="11.28515625" customWidth="1"/>
  </cols>
  <sheetData>
    <row r="1" spans="1:26" ht="12.75" customHeight="1">
      <c r="A1" s="1" t="s">
        <v>0</v>
      </c>
      <c r="B1" s="6"/>
      <c r="C1" s="6"/>
      <c r="D1" s="6"/>
      <c r="E1" s="15">
        <f>InfoInicial!E1</f>
        <v>6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>
      <c r="A2" s="342" t="s">
        <v>824</v>
      </c>
      <c r="B2" s="88"/>
      <c r="C2" s="88"/>
      <c r="D2" s="88"/>
      <c r="E2" s="88"/>
      <c r="F2" s="88"/>
      <c r="G2" s="89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>
      <c r="A3" s="343"/>
      <c r="B3" s="344" t="s">
        <v>825</v>
      </c>
      <c r="C3" s="344"/>
      <c r="D3" s="344"/>
      <c r="E3" s="344"/>
      <c r="F3" s="344"/>
      <c r="G3" s="34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>
      <c r="A4" s="346" t="s">
        <v>252</v>
      </c>
      <c r="B4" s="332" t="s">
        <v>54</v>
      </c>
      <c r="C4" s="18" t="s">
        <v>55</v>
      </c>
      <c r="D4" s="18" t="s">
        <v>253</v>
      </c>
      <c r="E4" s="18" t="s">
        <v>254</v>
      </c>
      <c r="F4" s="18" t="s">
        <v>255</v>
      </c>
      <c r="G4" s="19" t="s">
        <v>256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>
      <c r="A5" s="347" t="s">
        <v>978</v>
      </c>
      <c r="B5" s="348"/>
      <c r="C5" s="93"/>
      <c r="D5" s="93"/>
      <c r="E5" s="93"/>
      <c r="F5" s="93"/>
      <c r="G5" s="9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349" t="s">
        <v>979</v>
      </c>
      <c r="B6" s="350">
        <f>'E-IVA '!B17</f>
        <v>0</v>
      </c>
      <c r="C6" s="350">
        <f>'E-IVA '!C17</f>
        <v>256170455.0222702</v>
      </c>
      <c r="D6" s="350">
        <f>'E-IVA '!D17</f>
        <v>331035956.82404518</v>
      </c>
      <c r="E6" s="350">
        <f>'E-IVA '!E17</f>
        <v>330172626.26484686</v>
      </c>
      <c r="F6" s="350">
        <f>'E-IVA '!F17</f>
        <v>330172626.26484686</v>
      </c>
      <c r="G6" s="350">
        <f>'E-IVA '!G17</f>
        <v>330172626.26484686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>
      <c r="A7" s="349" t="s">
        <v>980</v>
      </c>
      <c r="B7" s="350">
        <f>'E-IVA '!B18</f>
        <v>0</v>
      </c>
      <c r="C7" s="350">
        <f>'E-IVA '!C18</f>
        <v>1639418.4350711445</v>
      </c>
      <c r="D7" s="350">
        <f>'E-IVA '!D18</f>
        <v>1614655.3213105872</v>
      </c>
      <c r="E7" s="350">
        <f>'E-IVA '!E18</f>
        <v>1614655.3213105872</v>
      </c>
      <c r="F7" s="350">
        <f>'E-IVA '!F18</f>
        <v>1614655.3213105872</v>
      </c>
      <c r="G7" s="350">
        <f>'E-IVA '!G18</f>
        <v>1614655.3213105872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>
      <c r="A8" s="427" t="s">
        <v>981</v>
      </c>
      <c r="B8" s="350">
        <f>'E-IVA '!B19</f>
        <v>0</v>
      </c>
      <c r="C8" s="350">
        <f>'E-IVA '!C19</f>
        <v>9111207.0110711455</v>
      </c>
      <c r="D8" s="350">
        <f>'E-IVA '!D19</f>
        <v>10822723.897310587</v>
      </c>
      <c r="E8" s="350">
        <f>'E-IVA '!E19</f>
        <v>10822723.897310587</v>
      </c>
      <c r="F8" s="350">
        <f>'E-IVA '!F19</f>
        <v>10822723.897310587</v>
      </c>
      <c r="G8" s="350">
        <f>'E-IVA '!G19</f>
        <v>10822723.897310587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>
      <c r="A9" s="427" t="s">
        <v>982</v>
      </c>
      <c r="B9" s="350"/>
      <c r="C9" s="99">
        <f>('C. Aux. F-CRes'!C3+'C. Aux. F-CRes'!D3)*InfoInicial!B3</f>
        <v>224642022.27102438</v>
      </c>
      <c r="D9" s="99">
        <f>('C. Aux. F-CRes'!C4+'C. Aux. F-CRes'!D4)*InfoInicial!B3</f>
        <v>164738329.74904621</v>
      </c>
      <c r="E9" s="99">
        <f>('C. Aux. F-CRes'!C5+'C. Aux. F-CRes'!D5)*InfoInicial!B3</f>
        <v>104834637.22706802</v>
      </c>
      <c r="F9" s="99">
        <f>('C. Aux. F-CRes'!C6+'C. Aux. F-CRes'!D6)*InfoInicial!B3</f>
        <v>59906867.83558441</v>
      </c>
      <c r="G9" s="113">
        <f>('C. Aux. F-CRes'!C7+'C. Aux. F-CRes'!D7)*InfoInicial!B3</f>
        <v>59906867.83558441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>
      <c r="A10" s="351" t="s">
        <v>983</v>
      </c>
      <c r="B10" s="428">
        <f t="shared" ref="B10:G10" si="0">SUM(B6:B9)</f>
        <v>0</v>
      </c>
      <c r="C10" s="428">
        <f t="shared" si="0"/>
        <v>491563102.73943686</v>
      </c>
      <c r="D10" s="428">
        <f t="shared" si="0"/>
        <v>508211665.79171258</v>
      </c>
      <c r="E10" s="428">
        <f t="shared" si="0"/>
        <v>447444642.71053606</v>
      </c>
      <c r="F10" s="428">
        <f t="shared" si="0"/>
        <v>402516873.31905246</v>
      </c>
      <c r="G10" s="428">
        <f t="shared" si="0"/>
        <v>402516873.31905246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>
      <c r="A11" s="351"/>
      <c r="B11" s="350"/>
      <c r="C11" s="99"/>
      <c r="D11" s="99"/>
      <c r="E11" s="99"/>
      <c r="F11" s="99"/>
      <c r="G11" s="113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>
      <c r="A12" s="349" t="s">
        <v>836</v>
      </c>
      <c r="B12" s="350">
        <f t="shared" ref="B12:G12" si="1">B10</f>
        <v>0</v>
      </c>
      <c r="C12" s="350">
        <f t="shared" si="1"/>
        <v>491563102.73943686</v>
      </c>
      <c r="D12" s="350">
        <f t="shared" si="1"/>
        <v>508211665.79171258</v>
      </c>
      <c r="E12" s="350">
        <f t="shared" si="1"/>
        <v>447444642.71053606</v>
      </c>
      <c r="F12" s="350">
        <f t="shared" si="1"/>
        <v>402516873.31905246</v>
      </c>
      <c r="G12" s="350">
        <f t="shared" si="1"/>
        <v>402516873.31905246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>
      <c r="A13" s="349" t="s">
        <v>837</v>
      </c>
      <c r="B13" s="350">
        <v>0</v>
      </c>
      <c r="C13" s="99">
        <f>'F-CRes'!B4*InfoInicial!$B$3</f>
        <v>843889200</v>
      </c>
      <c r="D13" s="99">
        <f>'F-CRes'!C4*InfoInicial!$B$3</f>
        <v>1034880000</v>
      </c>
      <c r="E13" s="99">
        <f>'F-CRes'!D4*InfoInicial!$B$3</f>
        <v>1034880000</v>
      </c>
      <c r="F13" s="99">
        <f>'F-CRes'!E4*InfoInicial!$B$3</f>
        <v>1034880000</v>
      </c>
      <c r="G13" s="99">
        <f>'F-CRes'!F4*InfoInicial!$B$3</f>
        <v>1034880000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>
      <c r="A14" s="351" t="s">
        <v>984</v>
      </c>
      <c r="B14" s="350">
        <f>B12-B13</f>
        <v>0</v>
      </c>
      <c r="C14" s="99">
        <f t="shared" ref="C14:G14" si="2">C13-C12</f>
        <v>352326097.26056314</v>
      </c>
      <c r="D14" s="99">
        <f t="shared" si="2"/>
        <v>526668334.20828742</v>
      </c>
      <c r="E14" s="99">
        <f t="shared" si="2"/>
        <v>587435357.289464</v>
      </c>
      <c r="F14" s="99">
        <f t="shared" si="2"/>
        <v>632363126.68094754</v>
      </c>
      <c r="G14" s="99">
        <f t="shared" si="2"/>
        <v>632363126.68094754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>
      <c r="A15" s="349"/>
      <c r="B15" s="350"/>
      <c r="C15" s="99"/>
      <c r="D15" s="99"/>
      <c r="E15" s="99"/>
      <c r="F15" s="99"/>
      <c r="G15" s="113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>
      <c r="A16" s="352" t="s">
        <v>985</v>
      </c>
      <c r="B16" s="350">
        <v>0</v>
      </c>
      <c r="C16" s="350">
        <f>B17</f>
        <v>648344980.5081594</v>
      </c>
      <c r="D16" s="350">
        <f t="shared" ref="D16:G16" si="3">C18</f>
        <v>417298167.57136106</v>
      </c>
      <c r="E16" s="350">
        <f t="shared" si="3"/>
        <v>0</v>
      </c>
      <c r="F16" s="350">
        <f t="shared" si="3"/>
        <v>0</v>
      </c>
      <c r="G16" s="350">
        <f t="shared" si="3"/>
        <v>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>
      <c r="A17" s="352" t="s">
        <v>986</v>
      </c>
      <c r="B17" s="350">
        <f>'F-2 Estructura'!B9+'F-2 Estructura'!B21</f>
        <v>648344980.5081594</v>
      </c>
      <c r="C17" s="99">
        <f>'F-2 Estructura'!C9+'F-2 Estructura'!C21</f>
        <v>121279284.32376482</v>
      </c>
      <c r="D17" s="99">
        <f>'E-IVA '!D26</f>
        <v>-31566.621568098664</v>
      </c>
      <c r="E17" s="99">
        <f>'E-IVA '!E26</f>
        <v>-1373.6846623986214</v>
      </c>
      <c r="F17" s="99">
        <f>'E-IVA '!F26</f>
        <v>0</v>
      </c>
      <c r="G17" s="99">
        <f>'E-IVA '!G26</f>
        <v>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>
      <c r="A18" s="351" t="s">
        <v>987</v>
      </c>
      <c r="B18" s="350">
        <f>B17</f>
        <v>648344980.5081594</v>
      </c>
      <c r="C18" s="99">
        <f t="shared" ref="C18:G18" si="4">IF(C16+C17&gt;C14,C16+C17-C14,0)</f>
        <v>417298167.57136106</v>
      </c>
      <c r="D18" s="99">
        <f t="shared" si="4"/>
        <v>0</v>
      </c>
      <c r="E18" s="99">
        <f t="shared" si="4"/>
        <v>0</v>
      </c>
      <c r="F18" s="99">
        <f t="shared" si="4"/>
        <v>0</v>
      </c>
      <c r="G18" s="99">
        <f t="shared" si="4"/>
        <v>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>
      <c r="A19" s="351" t="s">
        <v>988</v>
      </c>
      <c r="B19" s="350">
        <v>0</v>
      </c>
      <c r="C19" s="99">
        <f t="shared" ref="C19:G19" si="5">C16+C17-C18</f>
        <v>352326097.26056314</v>
      </c>
      <c r="D19" s="99">
        <f t="shared" si="5"/>
        <v>417266600.94979298</v>
      </c>
      <c r="E19" s="99">
        <f t="shared" si="5"/>
        <v>-1373.6846623986214</v>
      </c>
      <c r="F19" s="99">
        <f t="shared" si="5"/>
        <v>0</v>
      </c>
      <c r="G19" s="99">
        <f t="shared" si="5"/>
        <v>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>
      <c r="A20" s="349"/>
      <c r="B20" s="350"/>
      <c r="C20" s="99"/>
      <c r="D20" s="99"/>
      <c r="E20" s="99"/>
      <c r="F20" s="99"/>
      <c r="G20" s="113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>
      <c r="A21" s="353" t="s">
        <v>843</v>
      </c>
      <c r="B21" s="354">
        <f t="shared" ref="B21:G21" si="6">IF((B14-B16-B17)&lt;0,0,(B14-B16-B17))</f>
        <v>0</v>
      </c>
      <c r="C21" s="114">
        <f t="shared" si="6"/>
        <v>0</v>
      </c>
      <c r="D21" s="114">
        <f t="shared" si="6"/>
        <v>109401733.25849445</v>
      </c>
      <c r="E21" s="114">
        <f t="shared" si="6"/>
        <v>587436730.97412634</v>
      </c>
      <c r="F21" s="114">
        <f t="shared" si="6"/>
        <v>632363126.68094754</v>
      </c>
      <c r="G21" s="114">
        <f t="shared" si="6"/>
        <v>632363126.68094754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25972222222222202" right="0.45972222222222198" top="1.27013888888889" bottom="1" header="0" footer="0"/>
  <pageSetup paperSize="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workbookViewId="0">
      <selection activeCell="B1" sqref="B1:H1048576"/>
    </sheetView>
  </sheetViews>
  <sheetFormatPr defaultColWidth="12.5703125" defaultRowHeight="15" customHeight="1"/>
  <cols>
    <col min="1" max="1" width="40.85546875" customWidth="1"/>
    <col min="2" max="7" width="17.42578125" bestFit="1" customWidth="1"/>
    <col min="8" max="8" width="18.42578125" bestFit="1" customWidth="1"/>
    <col min="9" max="9" width="17.28515625" customWidth="1"/>
    <col min="10" max="26" width="11.28515625" customWidth="1"/>
  </cols>
  <sheetData>
    <row r="1" spans="1:26" ht="12.75" customHeight="1">
      <c r="A1" s="1" t="s">
        <v>0</v>
      </c>
      <c r="B1" s="6"/>
      <c r="C1" s="6"/>
      <c r="D1" s="6"/>
      <c r="E1" s="15">
        <f>InfoInicial!E1</f>
        <v>6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>
      <c r="A3" s="372" t="s">
        <v>989</v>
      </c>
      <c r="B3" s="130"/>
      <c r="C3" s="130"/>
      <c r="D3" s="130"/>
      <c r="E3" s="130"/>
      <c r="F3" s="130"/>
      <c r="G3" s="429"/>
      <c r="H3" s="131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>
      <c r="A4" s="24"/>
      <c r="B4" s="91" t="s">
        <v>54</v>
      </c>
      <c r="C4" s="91" t="s">
        <v>55</v>
      </c>
      <c r="D4" s="91" t="s">
        <v>253</v>
      </c>
      <c r="E4" s="91" t="s">
        <v>254</v>
      </c>
      <c r="F4" s="91" t="s">
        <v>255</v>
      </c>
      <c r="G4" s="373" t="s">
        <v>256</v>
      </c>
      <c r="H4" s="92" t="s">
        <v>801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>
      <c r="A5" s="11" t="s">
        <v>990</v>
      </c>
      <c r="B5" s="136">
        <f t="shared" ref="B5:H5" si="0">SUM(B6:B11)</f>
        <v>3799375310.5470138</v>
      </c>
      <c r="C5" s="136">
        <f t="shared" si="0"/>
        <v>5737249472.3300047</v>
      </c>
      <c r="D5" s="136">
        <f t="shared" si="0"/>
        <v>6322248789.7454529</v>
      </c>
      <c r="E5" s="136">
        <f t="shared" si="0"/>
        <v>7039519030.6909552</v>
      </c>
      <c r="F5" s="136">
        <f t="shared" si="0"/>
        <v>7979089383.5981827</v>
      </c>
      <c r="G5" s="430">
        <f t="shared" si="0"/>
        <v>9425050129.36129</v>
      </c>
      <c r="H5" s="137">
        <f t="shared" si="0"/>
        <v>40302532116.272903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6" t="s">
        <v>991</v>
      </c>
      <c r="B6" s="99">
        <v>0</v>
      </c>
      <c r="C6" s="99">
        <f>B28</f>
        <v>0</v>
      </c>
      <c r="D6" s="99">
        <f t="shared" ref="D6:G6" si="1">C27</f>
        <v>976982188.7956605</v>
      </c>
      <c r="E6" s="99">
        <f t="shared" si="1"/>
        <v>2111520404.3756185</v>
      </c>
      <c r="F6" s="99">
        <f t="shared" si="1"/>
        <v>3051089383.5981822</v>
      </c>
      <c r="G6" s="338">
        <f t="shared" si="1"/>
        <v>4497050129.3612909</v>
      </c>
      <c r="H6" s="113">
        <f t="shared" ref="H6:H11" si="2">SUM(B6:G6)</f>
        <v>10636642106.130753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>
      <c r="A7" s="6" t="s">
        <v>992</v>
      </c>
      <c r="B7" s="431">
        <f>'F-2 Estructura'!B31</f>
        <v>2482810639.7343068</v>
      </c>
      <c r="C7" s="431">
        <f>'F-2 Estructura'!C31</f>
        <v>415500711.01254606</v>
      </c>
      <c r="D7" s="431">
        <v>0</v>
      </c>
      <c r="E7" s="431">
        <v>0</v>
      </c>
      <c r="F7" s="431">
        <v>0</v>
      </c>
      <c r="G7" s="432">
        <v>0</v>
      </c>
      <c r="H7" s="113">
        <f t="shared" si="2"/>
        <v>2898311350.7468529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>
      <c r="A8" s="6" t="s">
        <v>993</v>
      </c>
      <c r="B8" s="99">
        <v>0</v>
      </c>
      <c r="C8" s="99">
        <f>'F-2 Estructura'!C29</f>
        <v>950902664.05689549</v>
      </c>
      <c r="D8" s="99">
        <v>0</v>
      </c>
      <c r="E8" s="99">
        <v>0</v>
      </c>
      <c r="F8" s="99">
        <v>0</v>
      </c>
      <c r="G8" s="338">
        <v>0</v>
      </c>
      <c r="H8" s="113">
        <f t="shared" si="2"/>
        <v>950902664.05689549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>
      <c r="A9" s="6" t="s">
        <v>994</v>
      </c>
      <c r="B9" s="431">
        <f>'F-2 Estructura'!B30</f>
        <v>1316564670.8127069</v>
      </c>
      <c r="C9" s="431">
        <f>'F-2 Estructura'!C30</f>
        <v>0</v>
      </c>
      <c r="D9" s="431">
        <v>0</v>
      </c>
      <c r="E9" s="431">
        <v>0</v>
      </c>
      <c r="F9" s="431">
        <v>0</v>
      </c>
      <c r="G9" s="432">
        <v>0</v>
      </c>
      <c r="H9" s="113">
        <f t="shared" si="2"/>
        <v>1316564670.8127069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>
      <c r="A10" s="6" t="s">
        <v>995</v>
      </c>
      <c r="B10" s="99">
        <v>0</v>
      </c>
      <c r="C10" s="99">
        <f>'F-CRes'!B4</f>
        <v>4018520000</v>
      </c>
      <c r="D10" s="99">
        <f>'F-CRes'!C4</f>
        <v>4928000000</v>
      </c>
      <c r="E10" s="99">
        <f>'F-CRes'!D4</f>
        <v>4928000000</v>
      </c>
      <c r="F10" s="99">
        <f>'F-CRes'!E4</f>
        <v>4928000000</v>
      </c>
      <c r="G10" s="338">
        <f>'F-CRes'!F4</f>
        <v>4928000000</v>
      </c>
      <c r="H10" s="113">
        <f t="shared" si="2"/>
        <v>23730520000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>
      <c r="A11" s="6" t="s">
        <v>996</v>
      </c>
      <c r="B11" s="136">
        <f>'F-IVA'!B19</f>
        <v>0</v>
      </c>
      <c r="C11" s="136">
        <f>'F-IVA'!C19</f>
        <v>352326097.26056314</v>
      </c>
      <c r="D11" s="136">
        <f>'F-IVA'!D19</f>
        <v>417266600.94979298</v>
      </c>
      <c r="E11" s="136">
        <f>'F-IVA'!E19</f>
        <v>-1373.6846623986214</v>
      </c>
      <c r="F11" s="136">
        <f>'F-IVA'!F19</f>
        <v>0</v>
      </c>
      <c r="G11" s="430">
        <f>'F-IVA'!G19</f>
        <v>0</v>
      </c>
      <c r="H11" s="113">
        <f t="shared" si="2"/>
        <v>769591324.52569377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>
      <c r="A12" s="6"/>
      <c r="B12" s="99"/>
      <c r="C12" s="99"/>
      <c r="D12" s="99"/>
      <c r="E12" s="99"/>
      <c r="F12" s="99"/>
      <c r="G12" s="338"/>
      <c r="H12" s="113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>
      <c r="A13" s="11" t="s">
        <v>997</v>
      </c>
      <c r="B13" s="99">
        <f t="shared" ref="B13:G13" si="3">SUM(B14:B22)</f>
        <v>3799375310.5470133</v>
      </c>
      <c r="C13" s="99">
        <f t="shared" si="3"/>
        <v>5129876563.6796093</v>
      </c>
      <c r="D13" s="99">
        <f t="shared" si="3"/>
        <v>4580337665.5150995</v>
      </c>
      <c r="E13" s="99">
        <f t="shared" si="3"/>
        <v>4358038927.2380381</v>
      </c>
      <c r="F13" s="99">
        <f t="shared" si="3"/>
        <v>3700243597.2386951</v>
      </c>
      <c r="G13" s="338">
        <f t="shared" si="3"/>
        <v>3700243597.2386951</v>
      </c>
      <c r="H13" s="113">
        <f>SUM(H14:H23)</f>
        <v>25268115661.457146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>
      <c r="A14" s="6" t="s">
        <v>906</v>
      </c>
      <c r="B14" s="431">
        <f>'F-2 Estructura'!B8</f>
        <v>2741879116.4233842</v>
      </c>
      <c r="C14" s="431">
        <f>'F-2 Estructura'!C8</f>
        <v>345465036.63241404</v>
      </c>
      <c r="D14" s="431">
        <v>0</v>
      </c>
      <c r="E14" s="431">
        <v>0</v>
      </c>
      <c r="F14" s="431">
        <v>0</v>
      </c>
      <c r="G14" s="432">
        <v>0</v>
      </c>
      <c r="H14" s="433">
        <f t="shared" ref="H14:H21" si="4">SUM(B14:G14)</f>
        <v>3087344153.0557981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>
      <c r="A15" s="6" t="s">
        <v>889</v>
      </c>
      <c r="B15" s="99">
        <f>'E-InvAT'!B24</f>
        <v>409151213.61547011</v>
      </c>
      <c r="C15" s="99">
        <f>'E-InvAT'!C24</f>
        <v>575062452.03261089</v>
      </c>
      <c r="D15" s="99">
        <f>'E-InvAT'!D24</f>
        <v>50988493.713341713</v>
      </c>
      <c r="E15" s="99">
        <f>'E-InvAT'!E24</f>
        <v>-6541.3555352687836</v>
      </c>
      <c r="F15" s="99">
        <f>'E-InvAT'!F24</f>
        <v>0</v>
      </c>
      <c r="G15" s="338">
        <f>'E-InvAT'!G24</f>
        <v>0</v>
      </c>
      <c r="H15" s="433">
        <f t="shared" si="4"/>
        <v>1035195618.0058875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>
      <c r="A16" s="6" t="s">
        <v>998</v>
      </c>
      <c r="B16" s="99">
        <v>0</v>
      </c>
      <c r="C16" s="99">
        <f>'F-CRes'!B5+'F-CRes'!B8+'F-CRes'!B9+'F-CRes'!B10</f>
        <v>3402292568.6966734</v>
      </c>
      <c r="D16" s="99">
        <f>'F-CRes'!C5+'F-CRes'!C8+'F-CRes'!C9+'F-CRes'!C10</f>
        <v>3530579422.9141054</v>
      </c>
      <c r="E16" s="99">
        <f>'F-CRes'!D5+'F-CRes'!D8+'F-CRes'!D9+'F-CRes'!D10</f>
        <v>3244689390.9683518</v>
      </c>
      <c r="F16" s="99">
        <f>'F-CRes'!E5+'F-CRes'!E8+'F-CRes'!E9+'F-CRes'!E10</f>
        <v>2879349236.1733608</v>
      </c>
      <c r="G16" s="338">
        <f>'F-CRes'!F5+'F-CRes'!F8+'F-CRes'!F9+'F-CRes'!F10</f>
        <v>2879349236.1733608</v>
      </c>
      <c r="H16" s="433">
        <f t="shared" si="4"/>
        <v>15936259854.925852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>
      <c r="A17" s="6" t="s">
        <v>999</v>
      </c>
      <c r="B17" s="99">
        <v>0</v>
      </c>
      <c r="C17" s="99">
        <f>'F-CRes'!B13</f>
        <v>198856592.08158356</v>
      </c>
      <c r="D17" s="99">
        <f>'F-CRes'!C13</f>
        <v>450947620.22561806</v>
      </c>
      <c r="E17" s="99">
        <f>'F-CRes'!D13</f>
        <v>543204333.53451288</v>
      </c>
      <c r="F17" s="99">
        <f>'F-CRes'!E13</f>
        <v>661099601.48685622</v>
      </c>
      <c r="G17" s="338">
        <f>'F-CRes'!F13</f>
        <v>661099601.48685622</v>
      </c>
      <c r="H17" s="433">
        <f t="shared" si="4"/>
        <v>2515207748.8154268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>
      <c r="A18" s="6" t="s">
        <v>1000</v>
      </c>
      <c r="B18" s="99">
        <v>0</v>
      </c>
      <c r="C18" s="431">
        <f>'F-Cred'!E24</f>
        <v>438854890.27090234</v>
      </c>
      <c r="D18" s="431">
        <f>'F-Cred'!E26</f>
        <v>438854890.27090234</v>
      </c>
      <c r="E18" s="431">
        <f>'F-Cred'!E28</f>
        <v>438854890.27090234</v>
      </c>
      <c r="F18" s="431">
        <f>'F-Cred'!E30</f>
        <v>0</v>
      </c>
      <c r="G18" s="432"/>
      <c r="H18" s="433">
        <f t="shared" si="4"/>
        <v>1316564670.8127069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>
      <c r="A19" s="6" t="s">
        <v>1001</v>
      </c>
      <c r="B19" s="99">
        <v>0</v>
      </c>
      <c r="C19" s="99">
        <f>'F-CRes'!B12</f>
        <v>48065739.641659491</v>
      </c>
      <c r="D19" s="99">
        <f>'F-CRes'!C12</f>
        <v>108998805.01269975</v>
      </c>
      <c r="E19" s="99">
        <f>'F-CRes'!D12</f>
        <v>131298227.50446856</v>
      </c>
      <c r="F19" s="99">
        <f>'F-CRes'!E12</f>
        <v>159794759.57847783</v>
      </c>
      <c r="G19" s="338">
        <f>'F-CRes'!F12</f>
        <v>159794759.57847783</v>
      </c>
      <c r="H19" s="433">
        <f t="shared" si="4"/>
        <v>607952291.3157835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>
      <c r="A20" s="6" t="s">
        <v>1002</v>
      </c>
      <c r="B20" s="99">
        <v>0</v>
      </c>
      <c r="C20" s="431"/>
      <c r="D20" s="431"/>
      <c r="E20" s="431"/>
      <c r="F20" s="431"/>
      <c r="G20" s="432"/>
      <c r="H20" s="433">
        <f t="shared" si="4"/>
        <v>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>
      <c r="A21" s="6" t="s">
        <v>1003</v>
      </c>
      <c r="B21" s="99">
        <f>'F-IVA'!B17</f>
        <v>648344980.5081594</v>
      </c>
      <c r="C21" s="99">
        <f>'F-IVA'!C17</f>
        <v>121279284.32376482</v>
      </c>
      <c r="D21" s="99">
        <f>'F-IVA'!D17</f>
        <v>-31566.621568098664</v>
      </c>
      <c r="E21" s="99">
        <f>'F-IVA'!E17</f>
        <v>-1373.6846623986214</v>
      </c>
      <c r="F21" s="99">
        <f>'F-IVA'!F17</f>
        <v>0</v>
      </c>
      <c r="G21" s="338">
        <f>'F-IVA'!G17</f>
        <v>0</v>
      </c>
      <c r="H21" s="433">
        <f t="shared" si="4"/>
        <v>769591324.52569377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>
      <c r="A22" s="6" t="s">
        <v>1004</v>
      </c>
      <c r="B22" s="136"/>
      <c r="C22" s="136"/>
      <c r="D22" s="136"/>
      <c r="E22" s="136"/>
      <c r="F22" s="136"/>
      <c r="G22" s="430"/>
      <c r="H22" s="433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>
      <c r="A23" s="6"/>
      <c r="B23" s="99"/>
      <c r="C23" s="99"/>
      <c r="D23" s="99"/>
      <c r="E23" s="99"/>
      <c r="F23" s="99"/>
      <c r="G23" s="338"/>
      <c r="H23" s="113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>
      <c r="A24" s="11" t="s">
        <v>1005</v>
      </c>
      <c r="B24" s="99">
        <f t="shared" ref="B24:H24" si="5">B5-B13</f>
        <v>0</v>
      </c>
      <c r="C24" s="99">
        <f t="shared" si="5"/>
        <v>607372908.65039539</v>
      </c>
      <c r="D24" s="99">
        <f t="shared" si="5"/>
        <v>1741911124.2303534</v>
      </c>
      <c r="E24" s="99">
        <f t="shared" si="5"/>
        <v>2681480103.4529171</v>
      </c>
      <c r="F24" s="99">
        <f t="shared" si="5"/>
        <v>4278845786.3594875</v>
      </c>
      <c r="G24" s="338">
        <f t="shared" si="5"/>
        <v>5724806532.1225948</v>
      </c>
      <c r="H24" s="113">
        <f t="shared" si="5"/>
        <v>15034416454.815758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>
      <c r="A25" s="11" t="s">
        <v>1006</v>
      </c>
      <c r="B25" s="99">
        <v>0</v>
      </c>
      <c r="C25" s="99">
        <f>'E-Inv AF y Am'!$D$59+'C. Aux. F-CRes'!B3</f>
        <v>369609280.1452651</v>
      </c>
      <c r="D25" s="99">
        <f>'E-Inv AF y Am'!$D$59+'C. Aux. F-CRes'!B4</f>
        <v>369609280.1452651</v>
      </c>
      <c r="E25" s="99">
        <f>'E-Inv AF y Am'!$D$59+'C. Aux. F-CRes'!B5</f>
        <v>369609280.1452651</v>
      </c>
      <c r="F25" s="99">
        <f>'E-Inv AF y Am'!$D$59</f>
        <v>218204343.00180382</v>
      </c>
      <c r="G25" s="99">
        <f>'E-Inv AF y Am'!$D$59</f>
        <v>218204343.00180382</v>
      </c>
      <c r="H25" s="113">
        <f>SUM(B25:G25)</f>
        <v>1545236526.4394031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>
      <c r="A26" s="11"/>
      <c r="B26" s="99"/>
      <c r="C26" s="99"/>
      <c r="D26" s="99"/>
      <c r="E26" s="99"/>
      <c r="F26" s="99"/>
      <c r="G26" s="338"/>
      <c r="H26" s="113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>
      <c r="A27" s="11" t="s">
        <v>1007</v>
      </c>
      <c r="B27" s="141">
        <f t="shared" ref="B27:G27" si="6">B25+B24</f>
        <v>0</v>
      </c>
      <c r="C27" s="141">
        <f t="shared" si="6"/>
        <v>976982188.7956605</v>
      </c>
      <c r="D27" s="141">
        <f t="shared" si="6"/>
        <v>2111520404.3756185</v>
      </c>
      <c r="E27" s="141">
        <f t="shared" si="6"/>
        <v>3051089383.5981822</v>
      </c>
      <c r="F27" s="141">
        <f t="shared" si="6"/>
        <v>4497050129.3612909</v>
      </c>
      <c r="G27" s="434">
        <f t="shared" si="6"/>
        <v>5943010875.1243982</v>
      </c>
      <c r="H27" s="142">
        <f t="shared" ref="H27:H28" si="7">SUM(B27:G27)</f>
        <v>16579652981.25515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>
      <c r="A28" s="33" t="s">
        <v>1008</v>
      </c>
      <c r="B28" s="28">
        <f>B27</f>
        <v>0</v>
      </c>
      <c r="C28" s="28">
        <f t="shared" ref="C28:G28" si="8">C27-B27</f>
        <v>976982188.7956605</v>
      </c>
      <c r="D28" s="28">
        <f t="shared" si="8"/>
        <v>1134538215.579958</v>
      </c>
      <c r="E28" s="28">
        <f t="shared" si="8"/>
        <v>939568979.22256374</v>
      </c>
      <c r="F28" s="28">
        <f t="shared" si="8"/>
        <v>1445960745.7631087</v>
      </c>
      <c r="G28" s="435">
        <f t="shared" si="8"/>
        <v>1445960745.7631073</v>
      </c>
      <c r="H28" s="56">
        <f t="shared" si="7"/>
        <v>5943010875.1243982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32013888888888897" right="0.75" top="0.6" bottom="0.24027777777777801" header="0" footer="0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topLeftCell="A21" workbookViewId="0">
      <selection activeCell="F36" sqref="F36"/>
    </sheetView>
  </sheetViews>
  <sheetFormatPr defaultColWidth="12.5703125" defaultRowHeight="15" customHeight="1"/>
  <cols>
    <col min="1" max="1" width="37.5703125" customWidth="1"/>
    <col min="2" max="7" width="17.42578125" bestFit="1" customWidth="1"/>
    <col min="8" max="8" width="11.28515625" customWidth="1"/>
    <col min="9" max="9" width="16.85546875" customWidth="1"/>
    <col min="10" max="26" width="11.28515625" customWidth="1"/>
  </cols>
  <sheetData>
    <row r="1" spans="1:26" ht="12.75" customHeight="1">
      <c r="A1" s="1" t="s">
        <v>0</v>
      </c>
      <c r="B1" s="6"/>
      <c r="C1" s="6"/>
      <c r="D1" s="6"/>
      <c r="E1" s="15">
        <f>InfoInicial!E1</f>
        <v>6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>
      <c r="A3" s="372" t="s">
        <v>1009</v>
      </c>
      <c r="B3" s="130"/>
      <c r="C3" s="130"/>
      <c r="D3" s="130"/>
      <c r="E3" s="130"/>
      <c r="F3" s="130"/>
      <c r="G3" s="131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>
      <c r="A4" s="103"/>
      <c r="B4" s="436" t="s">
        <v>54</v>
      </c>
      <c r="C4" s="436" t="s">
        <v>55</v>
      </c>
      <c r="D4" s="436" t="s">
        <v>253</v>
      </c>
      <c r="E4" s="436" t="s">
        <v>254</v>
      </c>
      <c r="F4" s="436" t="s">
        <v>255</v>
      </c>
      <c r="G4" s="437" t="s">
        <v>256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>
      <c r="A5" s="438" t="s">
        <v>1010</v>
      </c>
      <c r="B5" s="439">
        <f t="shared" ref="B5:F5" si="0">SUM(B7:B11)</f>
        <v>761477310.87603331</v>
      </c>
      <c r="C5" s="439">
        <f t="shared" si="0"/>
        <v>2378494022.0151024</v>
      </c>
      <c r="D5" s="439">
        <f t="shared" si="0"/>
        <v>3146722563.7370415</v>
      </c>
      <c r="E5" s="439">
        <f t="shared" si="0"/>
        <v>4086285001.6040697</v>
      </c>
      <c r="F5" s="439">
        <f t="shared" si="0"/>
        <v>5532245747.367178</v>
      </c>
      <c r="G5" s="439">
        <f>SUM(G6:G11)</f>
        <v>6978206493.1302853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22" t="s">
        <v>1011</v>
      </c>
      <c r="B6" s="99"/>
      <c r="C6" s="99"/>
      <c r="D6" s="99"/>
      <c r="E6" s="99"/>
      <c r="F6" s="99"/>
      <c r="G6" s="99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>
      <c r="A7" s="24" t="s">
        <v>1012</v>
      </c>
      <c r="B7" s="431">
        <f>'E-InvAT'!B6</f>
        <v>63673280</v>
      </c>
      <c r="C7" s="431">
        <f>'E-InvAT'!C6</f>
        <v>79591600</v>
      </c>
      <c r="D7" s="431">
        <f>'E-InvAT'!D6</f>
        <v>89600000</v>
      </c>
      <c r="E7" s="431">
        <f>'E-InvAT'!E6</f>
        <v>89600000</v>
      </c>
      <c r="F7" s="431">
        <f>'E-InvAT'!F6</f>
        <v>89600000</v>
      </c>
      <c r="G7" s="431">
        <f>'E-InvAT'!G6</f>
        <v>89600000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>
      <c r="A8" s="24" t="s">
        <v>1013</v>
      </c>
      <c r="B8" s="99">
        <f>'F- CFyU'!B27</f>
        <v>0</v>
      </c>
      <c r="C8" s="99">
        <f>'F- CFyU'!C27</f>
        <v>976982188.7956605</v>
      </c>
      <c r="D8" s="99">
        <f>'F- CFyU'!D27</f>
        <v>2111520404.3756185</v>
      </c>
      <c r="E8" s="99">
        <f>'F- CFyU'!E27</f>
        <v>3051089383.5981822</v>
      </c>
      <c r="F8" s="99">
        <f>'F- CFyU'!F27</f>
        <v>4497050129.3612909</v>
      </c>
      <c r="G8" s="99">
        <f>'F- CFyU'!G27</f>
        <v>5943010875.1243982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>
      <c r="A9" s="22" t="s">
        <v>1014</v>
      </c>
      <c r="B9" s="431">
        <f>'E-InvAT'!B7</f>
        <v>0</v>
      </c>
      <c r="C9" s="431">
        <f>'E-InvAT'!C7</f>
        <v>327088767.12328768</v>
      </c>
      <c r="D9" s="431">
        <f>'E-InvAT'!D7</f>
        <v>368219178.08219177</v>
      </c>
      <c r="E9" s="431">
        <f>'E-InvAT'!E7</f>
        <v>368219178.08219177</v>
      </c>
      <c r="F9" s="431">
        <f>'E-InvAT'!F7</f>
        <v>368219178.08219177</v>
      </c>
      <c r="G9" s="431">
        <f>'E-InvAT'!G7</f>
        <v>368219178.08219177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>
      <c r="A10" s="22" t="s">
        <v>1015</v>
      </c>
      <c r="B10" s="99">
        <f>SUM('E-InvAT'!B10:B13)</f>
        <v>345477933.61547011</v>
      </c>
      <c r="C10" s="99">
        <f>SUM('E-InvAT'!C10:C13)</f>
        <v>577533298.52479339</v>
      </c>
      <c r="D10" s="99">
        <f>SUM('E-InvAT'!D10:D13)</f>
        <v>577382981.27923095</v>
      </c>
      <c r="E10" s="99">
        <f>SUM('E-InvAT'!E10:E13)</f>
        <v>577376439.92369568</v>
      </c>
      <c r="F10" s="99">
        <f>SUM('E-InvAT'!F10:F13)</f>
        <v>577376439.92369568</v>
      </c>
      <c r="G10" s="99">
        <f>SUM('E-InvAT'!G10:G13)</f>
        <v>577376439.92369568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>
      <c r="A11" s="22" t="s">
        <v>1016</v>
      </c>
      <c r="B11" s="136">
        <f>IF('F-IVA'!B18&gt;'F-IVA'!C14,'F-IVA'!C14,'F-IVA'!B18)</f>
        <v>352326097.26056314</v>
      </c>
      <c r="C11" s="136">
        <f>IF('F-IVA'!C18&gt;'F-IVA'!D14,'F-IVA'!D14,'F-IVA'!C18)</f>
        <v>417298167.57136106</v>
      </c>
      <c r="D11" s="136">
        <f>IF('F-IVA'!D18&gt;'F-IVA'!E14,'F-IVA'!E14,'F-IVA'!D18)</f>
        <v>0</v>
      </c>
      <c r="E11" s="136">
        <f>IF('F-IVA'!E18&gt;'F-IVA'!F14,'F-IVA'!F14,'F-IVA'!E18)</f>
        <v>0</v>
      </c>
      <c r="F11" s="136">
        <f>IF('F-IVA'!F18&gt;'F-IVA'!G14,'F-IVA'!G14,'F-IVA'!F18)</f>
        <v>0</v>
      </c>
      <c r="G11" s="136">
        <f>IF('F-IVA'!G18&gt;'F-IVA'!H14,'F-IVA'!H14,'F-IVA'!G18)</f>
        <v>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>
      <c r="A12" s="440" t="s">
        <v>1017</v>
      </c>
      <c r="B12" s="441">
        <f t="shared" ref="B12:G12" si="1">B17+B22+B23</f>
        <v>3037897999.6709805</v>
      </c>
      <c r="C12" s="441">
        <f t="shared" si="1"/>
        <v>2717734872.910533</v>
      </c>
      <c r="D12" s="441">
        <f t="shared" si="1"/>
        <v>2348125592.7652678</v>
      </c>
      <c r="E12" s="441">
        <f t="shared" si="1"/>
        <v>1978516312.6200027</v>
      </c>
      <c r="F12" s="441">
        <f t="shared" si="1"/>
        <v>1760311969.6181989</v>
      </c>
      <c r="G12" s="441">
        <f t="shared" si="1"/>
        <v>1542107626.6163952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>
      <c r="A13" s="22" t="s">
        <v>1018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>
      <c r="A14" s="24" t="s">
        <v>1019</v>
      </c>
      <c r="B14" s="136">
        <f>'F-2 Estructura'!B7</f>
        <v>516874639.43038398</v>
      </c>
      <c r="C14" s="136">
        <f t="shared" ref="C14:G14" si="2">B17</f>
        <v>516874639.43038398</v>
      </c>
      <c r="D14" s="136">
        <f t="shared" si="2"/>
        <v>629309765.99285388</v>
      </c>
      <c r="E14" s="136">
        <f t="shared" si="2"/>
        <v>396279855.92290974</v>
      </c>
      <c r="F14" s="136">
        <f t="shared" si="2"/>
        <v>163249945.85296559</v>
      </c>
      <c r="G14" s="136">
        <f t="shared" si="2"/>
        <v>81624972.926482782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>
      <c r="A15" s="24" t="s">
        <v>1020</v>
      </c>
      <c r="B15" s="431"/>
      <c r="C15" s="431">
        <f>'F-2 Estructura'!C7</f>
        <v>345465036.63241404</v>
      </c>
      <c r="D15" s="431">
        <f>'E-Cal Inv.'!E7</f>
        <v>0</v>
      </c>
      <c r="E15" s="431">
        <f>'F-2 Estructura'!E7</f>
        <v>0</v>
      </c>
      <c r="F15" s="431">
        <f>'F-2 Estructura'!F7</f>
        <v>0</v>
      </c>
      <c r="G15" s="431">
        <f>'F-2 Estructura'!G7</f>
        <v>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>
      <c r="A16" s="24" t="s">
        <v>1021</v>
      </c>
      <c r="B16" s="99"/>
      <c r="C16" s="99">
        <f>'E-Inv AF y Am'!$D$56+'C. Aux. F-CRes'!$B$3</f>
        <v>233029910.06994414</v>
      </c>
      <c r="D16" s="99">
        <f>'E-Inv AF y Am'!$D$56+'C. Aux. F-CRes'!$B$3</f>
        <v>233029910.06994414</v>
      </c>
      <c r="E16" s="99">
        <f>'E-Inv AF y Am'!$D$56+'C. Aux. F-CRes'!$B$3</f>
        <v>233029910.06994414</v>
      </c>
      <c r="F16" s="99">
        <f>'E-Inv AF y Am'!$E$56</f>
        <v>81624972.926482812</v>
      </c>
      <c r="G16" s="99">
        <f>'E-Inv AF y Am'!$E$56</f>
        <v>81624972.926482812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>
      <c r="A17" s="24" t="s">
        <v>1022</v>
      </c>
      <c r="B17" s="99">
        <f t="shared" ref="B17:G17" si="3">B14+B15-B16</f>
        <v>516874639.43038398</v>
      </c>
      <c r="C17" s="99">
        <f t="shared" si="3"/>
        <v>629309765.99285388</v>
      </c>
      <c r="D17" s="99">
        <f t="shared" si="3"/>
        <v>396279855.92290974</v>
      </c>
      <c r="E17" s="99">
        <f t="shared" si="3"/>
        <v>163249945.85296559</v>
      </c>
      <c r="F17" s="99">
        <f t="shared" si="3"/>
        <v>81624972.926482782</v>
      </c>
      <c r="G17" s="99">
        <f t="shared" si="3"/>
        <v>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>
      <c r="A18" s="22" t="s">
        <v>91</v>
      </c>
      <c r="B18" s="431"/>
      <c r="C18" s="431"/>
      <c r="D18" s="431"/>
      <c r="E18" s="431"/>
      <c r="F18" s="431"/>
      <c r="G18" s="431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>
      <c r="A19" s="24" t="s">
        <v>1019</v>
      </c>
      <c r="B19" s="99">
        <f>'F-2 Estructura'!B6</f>
        <v>2225004476.993</v>
      </c>
      <c r="C19" s="99">
        <f t="shared" ref="C19:G19" si="4">B22</f>
        <v>2225004476.993</v>
      </c>
      <c r="D19" s="99">
        <f t="shared" si="4"/>
        <v>2088425106.9176791</v>
      </c>
      <c r="E19" s="99">
        <f t="shared" si="4"/>
        <v>1951845736.8423581</v>
      </c>
      <c r="F19" s="99">
        <f t="shared" si="4"/>
        <v>1815266366.7670372</v>
      </c>
      <c r="G19" s="99">
        <f t="shared" si="4"/>
        <v>1678686996.6917162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>
      <c r="A20" s="24" t="s">
        <v>1023</v>
      </c>
      <c r="B20" s="99"/>
      <c r="C20" s="99">
        <f>'E-Cal Inv.'!D6</f>
        <v>0</v>
      </c>
      <c r="D20" s="99">
        <f>'E-Cal Inv.'!E6</f>
        <v>0</v>
      </c>
      <c r="E20" s="99">
        <f>'E-Cal Inv.'!F6</f>
        <v>0</v>
      </c>
      <c r="F20" s="99">
        <f>'E-Cal Inv.'!G6</f>
        <v>0</v>
      </c>
      <c r="G20" s="99">
        <f>'E-Cal Inv.'!H6</f>
        <v>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>
      <c r="A21" s="24" t="s">
        <v>1024</v>
      </c>
      <c r="B21" s="99"/>
      <c r="C21" s="99">
        <f>'E-Inv AF y Am'!$D$54</f>
        <v>136579370.07532099</v>
      </c>
      <c r="D21" s="99">
        <f>'E-Inv AF y Am'!$D$54</f>
        <v>136579370.07532099</v>
      </c>
      <c r="E21" s="99">
        <f>'E-Inv AF y Am'!$D$54</f>
        <v>136579370.07532099</v>
      </c>
      <c r="F21" s="99">
        <f>'E-Inv AF y Am'!$E$54</f>
        <v>136579370.07532099</v>
      </c>
      <c r="G21" s="99">
        <f>'E-Inv AF y Am'!$E$54</f>
        <v>136579370.07532099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>
      <c r="A22" s="24" t="s">
        <v>1022</v>
      </c>
      <c r="B22" s="431">
        <f t="shared" ref="B22:G22" si="5">B19+B20-B21</f>
        <v>2225004476.993</v>
      </c>
      <c r="C22" s="431">
        <f t="shared" si="5"/>
        <v>2088425106.9176791</v>
      </c>
      <c r="D22" s="431">
        <f t="shared" si="5"/>
        <v>1951845736.8423581</v>
      </c>
      <c r="E22" s="431">
        <f t="shared" si="5"/>
        <v>1815266366.7670372</v>
      </c>
      <c r="F22" s="431">
        <f t="shared" si="5"/>
        <v>1678686996.6917162</v>
      </c>
      <c r="G22" s="431">
        <f t="shared" si="5"/>
        <v>1542107626.6163952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>
      <c r="A23" s="22" t="s">
        <v>1025</v>
      </c>
      <c r="B23" s="431">
        <f>'F-IVA'!B18-B11</f>
        <v>296018883.24759626</v>
      </c>
      <c r="C23" s="431">
        <f>'F-IVA'!C18-C11</f>
        <v>0</v>
      </c>
      <c r="D23" s="431">
        <f>'F-IVA'!D18-D11</f>
        <v>0</v>
      </c>
      <c r="E23" s="431">
        <f>'F-IVA'!E18-E11</f>
        <v>0</v>
      </c>
      <c r="F23" s="431">
        <f>'F-IVA'!F18-F11</f>
        <v>0</v>
      </c>
      <c r="G23" s="431">
        <f>'F-IVA'!G18-G11</f>
        <v>0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>
      <c r="A24" s="440" t="s">
        <v>1026</v>
      </c>
      <c r="B24" s="442">
        <f t="shared" ref="B24:G24" si="6">B12+B5</f>
        <v>3799375310.5470138</v>
      </c>
      <c r="C24" s="442">
        <f t="shared" si="6"/>
        <v>5096228894.9256353</v>
      </c>
      <c r="D24" s="442">
        <f t="shared" si="6"/>
        <v>5494848156.5023098</v>
      </c>
      <c r="E24" s="442">
        <f t="shared" si="6"/>
        <v>6064801314.2240725</v>
      </c>
      <c r="F24" s="442">
        <f t="shared" si="6"/>
        <v>7292557716.9853764</v>
      </c>
      <c r="G24" s="442">
        <f t="shared" si="6"/>
        <v>8520314119.7466803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>
      <c r="A25" s="22" t="s">
        <v>1027</v>
      </c>
      <c r="B25" s="431">
        <f t="shared" ref="B25:G25" si="7">SUM(B26:B27)</f>
        <v>438854890.27090234</v>
      </c>
      <c r="C25" s="431">
        <f t="shared" si="7"/>
        <v>1389757554.3277979</v>
      </c>
      <c r="D25" s="431">
        <f t="shared" si="7"/>
        <v>1389757554.3277979</v>
      </c>
      <c r="E25" s="431">
        <f t="shared" si="7"/>
        <v>950902664.05689549</v>
      </c>
      <c r="F25" s="431">
        <f t="shared" si="7"/>
        <v>950902664.05689549</v>
      </c>
      <c r="G25" s="431">
        <f t="shared" si="7"/>
        <v>950902664.05689549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>
      <c r="A26" s="22" t="s">
        <v>1028</v>
      </c>
      <c r="B26" s="431"/>
      <c r="C26" s="431">
        <f>'F-Cred'!$D$6</f>
        <v>950902664.05689549</v>
      </c>
      <c r="D26" s="431">
        <f>'F-Cred'!$D$6</f>
        <v>950902664.05689549</v>
      </c>
      <c r="E26" s="431">
        <f>'F-Cred'!$D$6</f>
        <v>950902664.05689549</v>
      </c>
      <c r="F26" s="431">
        <f>'F-Cred'!$D$6</f>
        <v>950902664.05689549</v>
      </c>
      <c r="G26" s="431">
        <f>'F-Cred'!$D$6</f>
        <v>950902664.05689549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>
      <c r="A27" s="22" t="s">
        <v>1029</v>
      </c>
      <c r="B27" s="99">
        <f>'F-Cred'!E24</f>
        <v>438854890.27090234</v>
      </c>
      <c r="C27" s="99">
        <f>'F-Cred'!E26</f>
        <v>438854890.27090234</v>
      </c>
      <c r="D27" s="99">
        <f>'F-Cred'!E28</f>
        <v>438854890.27090234</v>
      </c>
      <c r="E27" s="99">
        <f>'F-Cred'!E30</f>
        <v>0</v>
      </c>
      <c r="F27" s="99">
        <f>'F-Cred'!E32</f>
        <v>0</v>
      </c>
      <c r="G27" s="99">
        <f>'F-Cred'!E34</f>
        <v>0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>
      <c r="A28" s="22" t="s">
        <v>1030</v>
      </c>
      <c r="B28" s="99">
        <f t="shared" ref="B28:G28" si="8">B29</f>
        <v>877709780.54180467</v>
      </c>
      <c r="C28" s="99">
        <f t="shared" si="8"/>
        <v>438854890.27090234</v>
      </c>
      <c r="D28" s="99">
        <f t="shared" si="8"/>
        <v>0</v>
      </c>
      <c r="E28" s="99">
        <f t="shared" si="8"/>
        <v>0</v>
      </c>
      <c r="F28" s="99">
        <f t="shared" si="8"/>
        <v>0</v>
      </c>
      <c r="G28" s="99">
        <f t="shared" si="8"/>
        <v>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>
      <c r="A29" s="22" t="s">
        <v>1029</v>
      </c>
      <c r="B29" s="431">
        <f>SUM(C27:G27)</f>
        <v>877709780.54180467</v>
      </c>
      <c r="C29" s="431">
        <f>SUM(D27:G27)</f>
        <v>438854890.27090234</v>
      </c>
      <c r="D29" s="431">
        <f>SUM(E27:G27)</f>
        <v>0</v>
      </c>
      <c r="E29" s="431">
        <f>SUM(F27:G27)</f>
        <v>0</v>
      </c>
      <c r="F29" s="431">
        <f>SUM(G27)</f>
        <v>0</v>
      </c>
      <c r="G29" s="431">
        <f>0</f>
        <v>0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>
      <c r="A30" s="22" t="s">
        <v>1031</v>
      </c>
      <c r="B30" s="99">
        <f t="shared" ref="B30:G30" si="9">B28+B25</f>
        <v>1316564670.8127069</v>
      </c>
      <c r="C30" s="99">
        <f t="shared" si="9"/>
        <v>1828612444.5987003</v>
      </c>
      <c r="D30" s="99">
        <f t="shared" si="9"/>
        <v>1389757554.3277979</v>
      </c>
      <c r="E30" s="99">
        <f t="shared" si="9"/>
        <v>950902664.05689549</v>
      </c>
      <c r="F30" s="99">
        <f t="shared" si="9"/>
        <v>950902664.05689549</v>
      </c>
      <c r="G30" s="99">
        <f t="shared" si="9"/>
        <v>950902664.05689549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>
      <c r="A31" s="440" t="s">
        <v>1032</v>
      </c>
      <c r="B31" s="443">
        <f t="shared" ref="B31:G31" si="10">B32+B33+B34</f>
        <v>2482810639.7343068</v>
      </c>
      <c r="C31" s="443">
        <f t="shared" si="10"/>
        <v>3267616450.3269367</v>
      </c>
      <c r="D31" s="443">
        <f t="shared" si="10"/>
        <v>4105090602.1745129</v>
      </c>
      <c r="E31" s="443">
        <f t="shared" si="10"/>
        <v>5113898650.1671801</v>
      </c>
      <c r="F31" s="443">
        <f t="shared" si="10"/>
        <v>6341655052.9284849</v>
      </c>
      <c r="G31" s="443">
        <f t="shared" si="10"/>
        <v>7569411455.6897898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>
      <c r="A32" s="22" t="s">
        <v>1033</v>
      </c>
      <c r="B32" s="99">
        <f>'F-2 Estructura'!B31</f>
        <v>2482810639.7343068</v>
      </c>
      <c r="C32" s="99">
        <f>'F-2 Estructura'!$D$31</f>
        <v>2898311350.7468529</v>
      </c>
      <c r="D32" s="99">
        <f>'F-2 Estructura'!$D$31</f>
        <v>2898311350.7468529</v>
      </c>
      <c r="E32" s="99">
        <f>'F-2 Estructura'!$D$31</f>
        <v>2898311350.7468529</v>
      </c>
      <c r="F32" s="99">
        <f>'F-2 Estructura'!$D$31</f>
        <v>2898311350.7468529</v>
      </c>
      <c r="G32" s="99">
        <f>'F-2 Estructura'!$D$31</f>
        <v>2898311350.7468529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>
      <c r="A33" s="22" t="s">
        <v>1034</v>
      </c>
      <c r="B33" s="431"/>
      <c r="C33" s="431">
        <f>'F-CRes'!B14</f>
        <v>369305099.58008379</v>
      </c>
      <c r="D33" s="431">
        <f>'F-CRes'!C14</f>
        <v>837474151.84757638</v>
      </c>
      <c r="E33" s="431">
        <f>'F-CRes'!D14</f>
        <v>1008808047.9926668</v>
      </c>
      <c r="F33" s="431">
        <f>'F-CRes'!E14</f>
        <v>1227756402.7613046</v>
      </c>
      <c r="G33" s="431">
        <f>'F-CRes'!F14</f>
        <v>1227756402.7613046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>
      <c r="A34" s="22" t="s">
        <v>1035</v>
      </c>
      <c r="B34" s="99"/>
      <c r="C34" s="99">
        <f t="shared" ref="C34:G34" si="11">B33+B34</f>
        <v>0</v>
      </c>
      <c r="D34" s="99">
        <f t="shared" si="11"/>
        <v>369305099.58008379</v>
      </c>
      <c r="E34" s="99">
        <f t="shared" si="11"/>
        <v>1206779251.4276602</v>
      </c>
      <c r="F34" s="99">
        <f t="shared" si="11"/>
        <v>2215587299.4203272</v>
      </c>
      <c r="G34" s="99">
        <f t="shared" si="11"/>
        <v>3443343702.181632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>
      <c r="A35" s="444" t="s">
        <v>1036</v>
      </c>
      <c r="B35" s="445">
        <f t="shared" ref="B35:G35" si="12">B30+B31</f>
        <v>3799375310.5470138</v>
      </c>
      <c r="C35" s="445">
        <f t="shared" si="12"/>
        <v>5096228894.9256372</v>
      </c>
      <c r="D35" s="445">
        <f t="shared" si="12"/>
        <v>5494848156.5023108</v>
      </c>
      <c r="E35" s="445">
        <f t="shared" si="12"/>
        <v>6064801314.2240753</v>
      </c>
      <c r="F35" s="445">
        <f t="shared" si="12"/>
        <v>7292557716.9853802</v>
      </c>
      <c r="G35" s="445">
        <f t="shared" si="12"/>
        <v>8520314119.746685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>
      <c r="A38" s="446" t="s">
        <v>1037</v>
      </c>
      <c r="B38" s="367" t="str">
        <f t="shared" ref="B38:G38" si="13">IF(ROUND(B24,3)=ROUND(B35,3),"OK","MAL")</f>
        <v>OK</v>
      </c>
      <c r="C38" s="367" t="str">
        <f t="shared" si="13"/>
        <v>OK</v>
      </c>
      <c r="D38" s="367" t="str">
        <f t="shared" si="13"/>
        <v>OK</v>
      </c>
      <c r="E38" s="367" t="str">
        <f t="shared" si="13"/>
        <v>OK</v>
      </c>
      <c r="F38" s="367" t="str">
        <f t="shared" si="13"/>
        <v>OK</v>
      </c>
      <c r="G38" s="367" t="str">
        <f t="shared" si="13"/>
        <v>OK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conditionalFormatting sqref="B38:G38">
    <cfRule type="cellIs" dxfId="5" priority="1" operator="equal">
      <formula>"OK"</formula>
    </cfRule>
    <cfRule type="cellIs" dxfId="4" priority="2" operator="equal">
      <formula>"MAL"</formula>
    </cfRule>
  </conditionalFormatting>
  <pageMargins left="0.32013888888888897" right="0.75" top="0.6" bottom="0.24027777777777801" header="0" footer="0"/>
  <pageSetup paperSize="9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topLeftCell="E14" workbookViewId="0">
      <selection activeCell="L33" sqref="L33"/>
    </sheetView>
  </sheetViews>
  <sheetFormatPr defaultColWidth="12.5703125" defaultRowHeight="15" customHeight="1"/>
  <cols>
    <col min="1" max="1" width="7.85546875" customWidth="1"/>
    <col min="2" max="2" width="18.140625" bestFit="1" customWidth="1"/>
    <col min="3" max="3" width="28" customWidth="1"/>
    <col min="4" max="4" width="16" customWidth="1"/>
    <col min="5" max="5" width="18.85546875" customWidth="1"/>
    <col min="6" max="6" width="24.5703125" bestFit="1" customWidth="1"/>
    <col min="7" max="7" width="18.140625" bestFit="1" customWidth="1"/>
    <col min="8" max="8" width="17.5703125" customWidth="1"/>
    <col min="9" max="9" width="16" customWidth="1"/>
    <col min="10" max="10" width="17.42578125" customWidth="1"/>
    <col min="11" max="11" width="14.7109375" customWidth="1"/>
    <col min="12" max="12" width="16.5703125" customWidth="1"/>
    <col min="13" max="13" width="18.42578125" customWidth="1"/>
    <col min="14" max="14" width="17.42578125" customWidth="1"/>
    <col min="15" max="15" width="17.28515625" customWidth="1"/>
    <col min="16" max="26" width="11.28515625" customWidth="1"/>
  </cols>
  <sheetData>
    <row r="1" spans="1:26" ht="12.75" customHeight="1">
      <c r="A1" s="1" t="s">
        <v>0</v>
      </c>
      <c r="B1" s="6"/>
      <c r="C1" s="6"/>
      <c r="D1" s="6"/>
      <c r="E1" s="6"/>
      <c r="F1" s="6"/>
      <c r="G1" s="15">
        <f>InfoInicial!E1</f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>
      <c r="A3" s="342" t="s">
        <v>1038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9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>
      <c r="A4" s="346" t="s">
        <v>780</v>
      </c>
      <c r="B4" s="332" t="s">
        <v>906</v>
      </c>
      <c r="C4" s="332" t="s">
        <v>1039</v>
      </c>
      <c r="D4" s="332" t="s">
        <v>847</v>
      </c>
      <c r="E4" s="332" t="s">
        <v>5</v>
      </c>
      <c r="F4" s="332" t="s">
        <v>848</v>
      </c>
      <c r="G4" s="332" t="s">
        <v>849</v>
      </c>
      <c r="H4" s="332" t="s">
        <v>1040</v>
      </c>
      <c r="I4" s="332" t="s">
        <v>1041</v>
      </c>
      <c r="J4" s="332" t="s">
        <v>260</v>
      </c>
      <c r="K4" s="332" t="s">
        <v>851</v>
      </c>
      <c r="L4" s="332" t="s">
        <v>852</v>
      </c>
      <c r="M4" s="356" t="s">
        <v>853</v>
      </c>
      <c r="N4" s="357" t="s">
        <v>854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>
      <c r="A5" s="358">
        <v>0</v>
      </c>
      <c r="B5" s="348">
        <f>'F-2 Estructura'!B8</f>
        <v>2741879116.4233842</v>
      </c>
      <c r="C5" s="93">
        <f>'F- CFyU'!B15</f>
        <v>409151213.61547011</v>
      </c>
      <c r="D5" s="93">
        <f>'F-IVA'!B17</f>
        <v>648344980.5081594</v>
      </c>
      <c r="E5" s="93"/>
      <c r="F5" s="93"/>
      <c r="G5" s="93">
        <f t="shared" ref="G5:G10" si="0">SUM(B5:F5)</f>
        <v>3799375310.5470133</v>
      </c>
      <c r="H5" s="93"/>
      <c r="I5" s="93">
        <f>'F-Cred'!I13+'F-Cred'!G13</f>
        <v>454214811.43038398</v>
      </c>
      <c r="J5" s="93">
        <f>'F- CFyU'!B25</f>
        <v>0</v>
      </c>
      <c r="K5" s="93">
        <f>'F-IVA'!B19</f>
        <v>0</v>
      </c>
      <c r="L5" s="93">
        <f t="shared" ref="L5:L10" si="1">SUM(H5:K5)</f>
        <v>454214811.43038398</v>
      </c>
      <c r="M5" s="359">
        <f t="shared" ref="M5:M10" si="2">L5-G5</f>
        <v>-3345160499.1166291</v>
      </c>
      <c r="N5" s="94">
        <f>M5</f>
        <v>-3345160499.1166291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360">
        <v>1</v>
      </c>
      <c r="B6" s="350">
        <f>'F-2 Estructura'!C8</f>
        <v>345465036.63241404</v>
      </c>
      <c r="C6" s="99">
        <f>'F- CFyU'!C15</f>
        <v>575062452.03261089</v>
      </c>
      <c r="D6" s="99">
        <f>'F-IVA'!C17</f>
        <v>121279284.32376482</v>
      </c>
      <c r="E6" s="99">
        <f>'F-CRes'!B12</f>
        <v>48065739.641659491</v>
      </c>
      <c r="F6" s="99">
        <f>'F-CRes'!B13</f>
        <v>198856592.08158356</v>
      </c>
      <c r="G6" s="93">
        <f t="shared" si="0"/>
        <v>1288729104.7120328</v>
      </c>
      <c r="H6" s="99">
        <f>'F-CRes'!B11</f>
        <v>616227431.30332685</v>
      </c>
      <c r="I6" s="99">
        <f>'F-Cred'!G24</f>
        <v>1069723915.5763066</v>
      </c>
      <c r="J6" s="99">
        <f>'F- CFyU'!C25</f>
        <v>369609280.1452651</v>
      </c>
      <c r="K6" s="99">
        <f>'F-IVA'!C19</f>
        <v>352326097.26056314</v>
      </c>
      <c r="L6" s="93">
        <f t="shared" si="1"/>
        <v>2407886724.2854614</v>
      </c>
      <c r="M6" s="338">
        <f t="shared" si="2"/>
        <v>1119157619.5734286</v>
      </c>
      <c r="N6" s="113">
        <f t="shared" ref="N6:N10" si="3">N5+M6</f>
        <v>-2226002879.5432005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>
      <c r="A7" s="360">
        <v>2</v>
      </c>
      <c r="B7" s="350"/>
      <c r="C7" s="99">
        <f>'F- CFyU'!D15</f>
        <v>50988493.713341713</v>
      </c>
      <c r="D7" s="99">
        <f>'F-IVA'!D17</f>
        <v>-31566.621568098664</v>
      </c>
      <c r="E7" s="99">
        <f>'F-CRes'!C12</f>
        <v>108998805.01269975</v>
      </c>
      <c r="F7" s="99">
        <f>'F-CRes'!C13</f>
        <v>450947620.22561806</v>
      </c>
      <c r="G7" s="93">
        <f t="shared" si="0"/>
        <v>610903352.33009148</v>
      </c>
      <c r="H7" s="99">
        <f>'F-CRes'!C11</f>
        <v>1397420577.0858943</v>
      </c>
      <c r="I7" s="99">
        <f>'F-Cred'!F26</f>
        <v>784468236.90022004</v>
      </c>
      <c r="J7" s="99">
        <f>'F- CFyU'!D25</f>
        <v>369609280.1452651</v>
      </c>
      <c r="K7" s="99">
        <f>'F-IVA'!D19</f>
        <v>417266600.94979298</v>
      </c>
      <c r="L7" s="93">
        <f t="shared" si="1"/>
        <v>2968764695.0811725</v>
      </c>
      <c r="M7" s="359">
        <f t="shared" si="2"/>
        <v>2357861342.751081</v>
      </c>
      <c r="N7" s="113">
        <f t="shared" si="3"/>
        <v>131858463.2078805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>
      <c r="A8" s="360">
        <v>3</v>
      </c>
      <c r="B8" s="350"/>
      <c r="C8" s="99">
        <f>'F- CFyU'!E15</f>
        <v>-6541.3555352687836</v>
      </c>
      <c r="D8" s="99">
        <f>'F-IVA'!E17</f>
        <v>-1373.6846623986214</v>
      </c>
      <c r="E8" s="99">
        <f>'F-CRes'!D12</f>
        <v>131298227.50446856</v>
      </c>
      <c r="F8" s="99">
        <f>'F-CRes'!D13</f>
        <v>543204333.53451288</v>
      </c>
      <c r="G8" s="93">
        <f t="shared" si="0"/>
        <v>674494645.99878383</v>
      </c>
      <c r="H8" s="99">
        <f>'F-CRes'!D11</f>
        <v>1683310609.0316482</v>
      </c>
      <c r="I8" s="99">
        <f>'F-Cred'!F28</f>
        <v>499212558.22413349</v>
      </c>
      <c r="J8" s="99">
        <f>'F- CFyU'!E25</f>
        <v>369609280.1452651</v>
      </c>
      <c r="K8" s="99">
        <f>'F-IVA'!E19</f>
        <v>-1373.6846623986214</v>
      </c>
      <c r="L8" s="93">
        <f t="shared" si="1"/>
        <v>2552131073.7163844</v>
      </c>
      <c r="M8" s="338">
        <f t="shared" si="2"/>
        <v>1877636427.7176006</v>
      </c>
      <c r="N8" s="113">
        <f t="shared" si="3"/>
        <v>2009494890.9254811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>
      <c r="A9" s="360">
        <v>4</v>
      </c>
      <c r="B9" s="350"/>
      <c r="C9" s="99">
        <f>'F- CFyU'!F15</f>
        <v>0</v>
      </c>
      <c r="D9" s="99">
        <f>'F-IVA'!F17</f>
        <v>0</v>
      </c>
      <c r="E9" s="99">
        <f>'F-CRes'!E12</f>
        <v>159794759.57847783</v>
      </c>
      <c r="F9" s="99">
        <f>'F-CRes'!E13</f>
        <v>661099601.48685622</v>
      </c>
      <c r="G9" s="93">
        <f t="shared" si="0"/>
        <v>820894361.06533408</v>
      </c>
      <c r="H9" s="99">
        <f>'F-CRes'!E11</f>
        <v>2048650763.8266387</v>
      </c>
      <c r="I9" s="99">
        <f>'F-Cred'!F30</f>
        <v>285270799.21706861</v>
      </c>
      <c r="J9" s="99">
        <f>'F- CFyU'!F25</f>
        <v>218204343.00180382</v>
      </c>
      <c r="K9" s="99">
        <f>'F-IVA'!F19</f>
        <v>0</v>
      </c>
      <c r="L9" s="93">
        <f t="shared" si="1"/>
        <v>2552125906.0455112</v>
      </c>
      <c r="M9" s="359">
        <f t="shared" si="2"/>
        <v>1731231544.9801772</v>
      </c>
      <c r="N9" s="113">
        <f t="shared" si="3"/>
        <v>3740726435.9056582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>
      <c r="A10" s="360">
        <v>5</v>
      </c>
      <c r="B10" s="350">
        <f>'E-Form'!B9</f>
        <v>-1542107626.616395</v>
      </c>
      <c r="C10" s="99">
        <f>'F- CFyU'!G15 -'F- CFyU'!H15</f>
        <v>-1035195618.0058875</v>
      </c>
      <c r="D10" s="99">
        <f>'F-IVA'!G17</f>
        <v>0</v>
      </c>
      <c r="E10" s="99">
        <f>'F-CRes'!F12</f>
        <v>159794759.57847783</v>
      </c>
      <c r="F10" s="99">
        <f>'F-CRes'!F13</f>
        <v>661099601.48685622</v>
      </c>
      <c r="G10" s="93">
        <f t="shared" si="0"/>
        <v>-1756408883.5569484</v>
      </c>
      <c r="H10" s="99">
        <f>'F-CRes'!F11</f>
        <v>2048650763.8266387</v>
      </c>
      <c r="I10" s="99">
        <f>'F-Cred'!F32</f>
        <v>285270799.21706861</v>
      </c>
      <c r="J10" s="99">
        <f>'F- CFyU'!G25</f>
        <v>218204343.00180382</v>
      </c>
      <c r="K10" s="99">
        <f>'F-IVA'!G19</f>
        <v>0</v>
      </c>
      <c r="L10" s="93">
        <f t="shared" si="1"/>
        <v>2552125906.0455112</v>
      </c>
      <c r="M10" s="338">
        <f t="shared" si="2"/>
        <v>4308534789.6024599</v>
      </c>
      <c r="N10" s="113">
        <f t="shared" si="3"/>
        <v>8049261225.5081177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>
      <c r="A11" s="360"/>
      <c r="B11" s="350"/>
      <c r="C11" s="99"/>
      <c r="D11" s="99"/>
      <c r="E11" s="99"/>
      <c r="F11" s="99"/>
      <c r="G11" s="99"/>
      <c r="H11" s="99"/>
      <c r="I11" s="99"/>
      <c r="J11" s="99"/>
      <c r="K11" s="99"/>
      <c r="L11" s="93"/>
      <c r="M11" s="338"/>
      <c r="N11" s="113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>
      <c r="A12" s="361" t="s">
        <v>855</v>
      </c>
      <c r="B12" s="354">
        <f t="shared" ref="B12:M12" si="4">SUM(B5:B10)</f>
        <v>1545236526.4394031</v>
      </c>
      <c r="C12" s="114">
        <f t="shared" si="4"/>
        <v>0</v>
      </c>
      <c r="D12" s="114">
        <f t="shared" si="4"/>
        <v>769591324.52569377</v>
      </c>
      <c r="E12" s="114">
        <f t="shared" si="4"/>
        <v>607952291.3157835</v>
      </c>
      <c r="F12" s="114">
        <f t="shared" si="4"/>
        <v>2515207748.8154268</v>
      </c>
      <c r="G12" s="114">
        <f t="shared" si="4"/>
        <v>5437987891.0963078</v>
      </c>
      <c r="H12" s="114">
        <f t="shared" si="4"/>
        <v>7794260145.0741463</v>
      </c>
      <c r="I12" s="114">
        <f t="shared" si="4"/>
        <v>3378161120.5651813</v>
      </c>
      <c r="J12" s="114">
        <f t="shared" si="4"/>
        <v>1545236526.4394031</v>
      </c>
      <c r="K12" s="114">
        <f t="shared" si="4"/>
        <v>769591324.52569377</v>
      </c>
      <c r="L12" s="114">
        <f t="shared" si="4"/>
        <v>13487249116.604425</v>
      </c>
      <c r="M12" s="362">
        <f t="shared" si="4"/>
        <v>8049261225.5081177</v>
      </c>
      <c r="N12" s="115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>
      <c r="A14" s="6"/>
      <c r="B14" s="6"/>
      <c r="C14" s="7" t="s">
        <v>856</v>
      </c>
      <c r="D14" s="363">
        <f>N10</f>
        <v>8049261225.5081177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>
      <c r="A15" s="11"/>
      <c r="B15" s="6"/>
      <c r="C15" s="7" t="s">
        <v>857</v>
      </c>
      <c r="D15" s="364">
        <f>3+(-N7/M8)</f>
        <v>2.9297742303774092</v>
      </c>
      <c r="E15" s="6" t="s">
        <v>858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>
      <c r="A16" s="6"/>
      <c r="B16" s="6"/>
      <c r="C16" s="7" t="s">
        <v>1042</v>
      </c>
      <c r="D16" s="365">
        <f>IRR(M5:M10)</f>
        <v>0.48560675420113553</v>
      </c>
      <c r="E16" s="6"/>
      <c r="F16" s="6"/>
      <c r="G16" s="6"/>
      <c r="H16" s="6"/>
      <c r="I16" s="6"/>
      <c r="J16" s="447"/>
      <c r="K16" s="447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>
      <c r="A17" s="6"/>
      <c r="B17" s="6"/>
      <c r="C17" s="7"/>
      <c r="D17" s="6"/>
      <c r="E17" s="6"/>
      <c r="F17" s="6"/>
      <c r="G17" s="6"/>
      <c r="H17" s="6"/>
      <c r="I17" s="6"/>
      <c r="J17" s="448"/>
      <c r="K17" s="272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>
      <c r="A18" s="274"/>
      <c r="B18" s="116"/>
      <c r="C18" s="116"/>
      <c r="D18" s="6"/>
      <c r="E18" s="116"/>
      <c r="F18" s="278"/>
      <c r="G18" s="278"/>
      <c r="H18" s="278"/>
      <c r="I18" s="278"/>
      <c r="J18" s="448"/>
      <c r="K18" s="272"/>
      <c r="L18" s="278"/>
      <c r="M18" s="278"/>
      <c r="N18" s="278"/>
      <c r="O18" s="11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>
      <c r="A19" s="449"/>
      <c r="B19" s="278"/>
      <c r="C19" s="450"/>
      <c r="D19" s="278"/>
      <c r="E19" s="278"/>
      <c r="F19" s="278"/>
      <c r="G19" s="278"/>
      <c r="H19" s="278"/>
      <c r="I19" s="278"/>
      <c r="J19" s="448"/>
      <c r="K19" s="272"/>
      <c r="L19" s="278"/>
      <c r="M19" s="278"/>
      <c r="N19" s="278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>
      <c r="A20" s="6"/>
      <c r="B20" s="6"/>
      <c r="C20" s="6"/>
      <c r="D20" s="6"/>
      <c r="E20" s="6"/>
      <c r="F20" s="6"/>
      <c r="G20" s="6"/>
      <c r="H20" s="6"/>
      <c r="I20" s="6"/>
      <c r="J20" s="448"/>
      <c r="K20" s="272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>
      <c r="A21" s="290"/>
      <c r="B21" s="6"/>
      <c r="C21" s="6"/>
      <c r="D21" s="6"/>
      <c r="E21" s="6"/>
      <c r="F21" s="6"/>
      <c r="G21" s="6"/>
      <c r="H21" s="6"/>
      <c r="I21" s="6"/>
      <c r="J21" s="6"/>
      <c r="K21" s="272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>
      <c r="A22" s="342" t="s">
        <v>1043</v>
      </c>
      <c r="B22" s="88"/>
      <c r="C22" s="88"/>
      <c r="D22" s="88"/>
      <c r="E22" s="88"/>
      <c r="F22" s="88"/>
      <c r="G22" s="88"/>
      <c r="H22" s="89"/>
      <c r="I22" s="6"/>
      <c r="J22" s="6"/>
      <c r="K22" s="468" t="s">
        <v>860</v>
      </c>
      <c r="L22" s="47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>
      <c r="A23" s="346" t="s">
        <v>780</v>
      </c>
      <c r="B23" s="332" t="s">
        <v>1044</v>
      </c>
      <c r="C23" s="332" t="s">
        <v>849</v>
      </c>
      <c r="D23" s="332" t="s">
        <v>1002</v>
      </c>
      <c r="E23" s="332" t="s">
        <v>1045</v>
      </c>
      <c r="F23" s="332" t="s">
        <v>852</v>
      </c>
      <c r="G23" s="356" t="s">
        <v>853</v>
      </c>
      <c r="H23" s="357" t="s">
        <v>854</v>
      </c>
      <c r="I23" s="6"/>
      <c r="J23" s="6"/>
      <c r="K23" s="474" t="s">
        <v>861</v>
      </c>
      <c r="L23" s="47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>
      <c r="A24" s="358">
        <v>0</v>
      </c>
      <c r="B24" s="348">
        <f>'F-2 Estructura'!B31</f>
        <v>2482810639.7343068</v>
      </c>
      <c r="C24" s="93">
        <f t="shared" ref="C24:C25" si="5">B24</f>
        <v>2482810639.7343068</v>
      </c>
      <c r="D24" s="93">
        <v>0</v>
      </c>
      <c r="E24" s="93">
        <f>'F- CFyU'!B28</f>
        <v>0</v>
      </c>
      <c r="F24" s="93">
        <f t="shared" ref="F24:F29" si="6">E24</f>
        <v>0</v>
      </c>
      <c r="G24" s="359">
        <f t="shared" ref="G24:G29" si="7">F24-C24</f>
        <v>-2482810639.7343068</v>
      </c>
      <c r="H24" s="94">
        <f>G24</f>
        <v>-2482810639.7343068</v>
      </c>
      <c r="I24" s="6"/>
      <c r="J24" s="6"/>
      <c r="K24" s="366" t="s">
        <v>260</v>
      </c>
      <c r="L24" s="367" t="str">
        <f>IF(ROUND(B12,3)=ROUND(J12,3),"OK","MAL")</f>
        <v>OK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>
      <c r="A25" s="360">
        <v>1</v>
      </c>
      <c r="B25" s="350">
        <f>'F-2 Estructura'!C31</f>
        <v>415500711.01254606</v>
      </c>
      <c r="C25" s="99">
        <f t="shared" si="5"/>
        <v>415500711.01254606</v>
      </c>
      <c r="D25" s="99">
        <v>0</v>
      </c>
      <c r="E25" s="99">
        <f>'F- CFyU'!C28</f>
        <v>976982188.7956605</v>
      </c>
      <c r="F25" s="93">
        <f t="shared" si="6"/>
        <v>976982188.7956605</v>
      </c>
      <c r="G25" s="359">
        <f t="shared" si="7"/>
        <v>561481477.78311443</v>
      </c>
      <c r="H25" s="113">
        <f t="shared" ref="H25:H29" si="8">G25+H24</f>
        <v>-1921329161.9511924</v>
      </c>
      <c r="I25" s="6"/>
      <c r="J25" s="6"/>
      <c r="K25" s="366" t="s">
        <v>862</v>
      </c>
      <c r="L25" s="367" t="str">
        <f>IF(ROUND(D12,3)=ROUND(K12,3),"OK","MAL")</f>
        <v>OK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>
      <c r="A26" s="360">
        <v>2</v>
      </c>
      <c r="B26" s="350"/>
      <c r="C26" s="99"/>
      <c r="D26" s="99">
        <v>0</v>
      </c>
      <c r="E26" s="99">
        <f>'F- CFyU'!D28</f>
        <v>1134538215.579958</v>
      </c>
      <c r="F26" s="93">
        <f t="shared" si="6"/>
        <v>1134538215.579958</v>
      </c>
      <c r="G26" s="359">
        <f t="shared" si="7"/>
        <v>1134538215.579958</v>
      </c>
      <c r="H26" s="113">
        <f t="shared" si="8"/>
        <v>-786790946.37123442</v>
      </c>
      <c r="I26" s="6"/>
      <c r="J26" s="6"/>
      <c r="K26" s="366" t="s">
        <v>863</v>
      </c>
      <c r="L26" s="367" t="str">
        <f>IF(ROUND(C12,3)=0,"OK","MAL")</f>
        <v>OK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>
      <c r="A27" s="360">
        <v>3</v>
      </c>
      <c r="B27" s="350"/>
      <c r="C27" s="99"/>
      <c r="D27" s="99">
        <v>0</v>
      </c>
      <c r="E27" s="99">
        <f>'F- CFyU'!E28</f>
        <v>939568979.22256374</v>
      </c>
      <c r="F27" s="93">
        <f t="shared" si="6"/>
        <v>939568979.22256374</v>
      </c>
      <c r="G27" s="359">
        <f t="shared" si="7"/>
        <v>939568979.22256374</v>
      </c>
      <c r="H27" s="94">
        <f t="shared" si="8"/>
        <v>152778032.85132933</v>
      </c>
      <c r="I27" s="6"/>
      <c r="J27" s="6"/>
      <c r="K27" s="366" t="s">
        <v>864</v>
      </c>
      <c r="L27" s="367" t="str">
        <f>IF(ROUND((H12-F12-E12+I12),3)=ROUND(M12,3),IF(ROUND(M12,3)=ROUND(N10,3),"OK","MAL"),"MAL")</f>
        <v>OK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>
      <c r="A28" s="360">
        <v>4</v>
      </c>
      <c r="B28" s="350"/>
      <c r="C28" s="99"/>
      <c r="D28" s="99">
        <v>0</v>
      </c>
      <c r="E28" s="99">
        <f>'F- CFyU'!F28</f>
        <v>1445960745.7631087</v>
      </c>
      <c r="F28" s="93">
        <f t="shared" si="6"/>
        <v>1445960745.7631087</v>
      </c>
      <c r="G28" s="359">
        <f t="shared" si="7"/>
        <v>1445960745.7631087</v>
      </c>
      <c r="H28" s="113">
        <f t="shared" si="8"/>
        <v>1598738778.6144381</v>
      </c>
      <c r="I28" s="6"/>
      <c r="J28" s="6"/>
      <c r="K28" s="366" t="s">
        <v>864</v>
      </c>
      <c r="L28" s="367" t="str">
        <f>IF(ROUND(H12+I12,3)=ROUND('E-Form'!H11,3),"OK","MAL")</f>
        <v>OK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>
      <c r="A29" s="360">
        <v>5</v>
      </c>
      <c r="B29" s="350">
        <f>B10+'F-Cred'!D6-'F- CFyU'!H15</f>
        <v>-1626400580.565387</v>
      </c>
      <c r="C29" s="99">
        <f>B29</f>
        <v>-1626400580.565387</v>
      </c>
      <c r="D29" s="99">
        <v>0</v>
      </c>
      <c r="E29" s="99">
        <f>'F- CFyU'!G28</f>
        <v>1445960745.7631073</v>
      </c>
      <c r="F29" s="93">
        <f t="shared" si="6"/>
        <v>1445960745.7631073</v>
      </c>
      <c r="G29" s="359">
        <f>F29-C29</f>
        <v>3072361326.3284941</v>
      </c>
      <c r="H29" s="113">
        <f t="shared" si="8"/>
        <v>4671100104.9429321</v>
      </c>
      <c r="I29" s="6"/>
      <c r="J29" s="6"/>
      <c r="K29" s="474" t="s">
        <v>1046</v>
      </c>
      <c r="L29" s="47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>
      <c r="A30" s="360"/>
      <c r="B30" s="350"/>
      <c r="C30" s="99"/>
      <c r="D30" s="99"/>
      <c r="E30" s="99"/>
      <c r="F30" s="99"/>
      <c r="G30" s="359"/>
      <c r="H30" s="113"/>
      <c r="I30" s="6"/>
      <c r="J30" s="6"/>
      <c r="K30" s="366" t="s">
        <v>1047</v>
      </c>
      <c r="L30" s="367" t="str">
        <f>IF(ROUND((H12-E12-F12),3)=ROUND(G31,3),"OK","MAL")</f>
        <v>OK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>
      <c r="A31" s="361" t="s">
        <v>855</v>
      </c>
      <c r="B31" s="354">
        <f t="shared" ref="B31:C31" si="9">SUM(B24:B29)</f>
        <v>1271910770.1814659</v>
      </c>
      <c r="C31" s="114">
        <f t="shared" si="9"/>
        <v>1271910770.1814659</v>
      </c>
      <c r="D31" s="114">
        <v>0</v>
      </c>
      <c r="E31" s="114">
        <f t="shared" ref="E31:F31" si="10">SUM(E24:E29)</f>
        <v>5943010875.1243982</v>
      </c>
      <c r="F31" s="114">
        <f t="shared" si="10"/>
        <v>5943010875.1243982</v>
      </c>
      <c r="G31" s="362">
        <f>F31-C31</f>
        <v>4671100104.9429321</v>
      </c>
      <c r="H31" s="115"/>
      <c r="I31" s="6"/>
      <c r="J31" s="6"/>
      <c r="K31" s="366" t="s">
        <v>1048</v>
      </c>
      <c r="L31" s="367" t="str">
        <f>IF(ROUND(('F- CFyU'!H28-'F- CFyU'!H7-'F- CFyU'!H8+'F- CFyU'!H14-'F- CFyU'!H25+'F- CFyU'!H15),3)=ROUND('F- Form'!G31,3),"OK","MAL")</f>
        <v>OK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366" t="s">
        <v>1049</v>
      </c>
      <c r="L32" s="367" t="str">
        <f>IF(ROUND('F-CRes'!G14,3)=ROUND(G31,3),"OK","MAL")</f>
        <v>OK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366" t="s">
        <v>1050</v>
      </c>
      <c r="L33" s="367" t="str">
        <f>IF(ROUND(('F-Balance'!G33+'F-Balance'!G34),3)=ROUND('F- Form'!G31,3),"OK","MAL")</f>
        <v>OK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>
      <c r="A34" s="6"/>
      <c r="B34" s="6"/>
      <c r="C34" s="7" t="s">
        <v>856</v>
      </c>
      <c r="D34" s="363">
        <f>H29</f>
        <v>4671100104.9429321</v>
      </c>
      <c r="E34" s="6" t="s">
        <v>1051</v>
      </c>
      <c r="F34" s="6"/>
      <c r="G34" s="6"/>
      <c r="H34" s="6"/>
      <c r="I34" s="6"/>
      <c r="J34" s="6"/>
      <c r="K34" s="366" t="s">
        <v>1052</v>
      </c>
      <c r="L34" s="367" t="str">
        <f>IF(ROUND(('F- CFyU'!H10-'F- CFyU'!H16-'F- CFyU'!H19-'F- CFyU'!H17),3)=ROUND(G31,3),"OK","MAL")</f>
        <v>OK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>
      <c r="A35" s="6"/>
      <c r="B35" s="6"/>
      <c r="C35" s="7" t="s">
        <v>857</v>
      </c>
      <c r="D35" s="364">
        <f>4+(-H27/G28)</f>
        <v>3.8943415073341425</v>
      </c>
      <c r="E35" s="6" t="s">
        <v>1053</v>
      </c>
      <c r="F35" s="6"/>
      <c r="G35" s="6"/>
      <c r="H35" s="6"/>
      <c r="I35" s="6"/>
      <c r="J35" s="6"/>
      <c r="K35" s="474" t="s">
        <v>1054</v>
      </c>
      <c r="L35" s="47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>
      <c r="A36" s="6"/>
      <c r="B36" s="6"/>
      <c r="C36" s="7" t="s">
        <v>1055</v>
      </c>
      <c r="D36" s="365">
        <f>IRR(G24:G29)</f>
        <v>0.35999704391809906</v>
      </c>
      <c r="E36" s="6"/>
      <c r="F36" s="6"/>
      <c r="G36" s="6"/>
      <c r="H36" s="6"/>
      <c r="I36" s="6"/>
      <c r="J36" s="6"/>
      <c r="K36" s="366" t="s">
        <v>1056</v>
      </c>
      <c r="L36" s="367" t="str">
        <f>IF(SUM('F-Balance'!B35:G35)=SUM('F-Balance'!B24:G24),"OK","MAL")</f>
        <v>OK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4">
    <mergeCell ref="K22:L22"/>
    <mergeCell ref="K23:L23"/>
    <mergeCell ref="K29:L29"/>
    <mergeCell ref="K35:L35"/>
  </mergeCells>
  <conditionalFormatting sqref="L23:L28">
    <cfRule type="cellIs" dxfId="3" priority="1" operator="equal">
      <formula>"OK"</formula>
    </cfRule>
    <cfRule type="cellIs" dxfId="2" priority="2" operator="equal">
      <formula>"MAL"</formula>
    </cfRule>
  </conditionalFormatting>
  <conditionalFormatting sqref="L30:L34 L36">
    <cfRule type="cellIs" dxfId="1" priority="7" operator="equal">
      <formula>"OK"</formula>
    </cfRule>
    <cfRule type="cellIs" dxfId="0" priority="8" operator="equal">
      <formula>"MAL"</formula>
    </cfRule>
  </conditionalFormatting>
  <pageMargins left="0.25972222222222202" right="0.45972222222222198" top="1.27013888888889" bottom="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Ramiro Moreno</cp:lastModifiedBy>
  <cp:revision/>
  <dcterms:created xsi:type="dcterms:W3CDTF">2026-05-09T04:15:37Z</dcterms:created>
  <dcterms:modified xsi:type="dcterms:W3CDTF">2026-05-09T04:15:37Z</dcterms:modified>
  <cp:category/>
  <cp:contentStatus/>
</cp:coreProperties>
</file>