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visão de Carga" sheetId="1" r:id="rId4"/>
    <sheet state="visible" name="Quadro de Cargas" sheetId="2" r:id="rId5"/>
    <sheet state="visible" name="Capacidade de Corrente" sheetId="3" r:id="rId6"/>
    <sheet state="visible" name="Queda de Tensão Unitária" sheetId="4" r:id="rId7"/>
    <sheet state="visible" name="Dimensionamento de Condutores" sheetId="5" r:id="rId8"/>
    <sheet state="visible" name="Dimensionamento de Eletrodutos" sheetId="6" r:id="rId9"/>
    <sheet state="visible" name="Dimensionamento de Disjuntores" sheetId="7" r:id="rId10"/>
    <sheet state="visible" name="Dimensionamento Categoria da Un" sheetId="8" r:id="rId11"/>
  </sheets>
  <definedNames/>
  <calcPr/>
</workbook>
</file>

<file path=xl/sharedStrings.xml><?xml version="1.0" encoding="utf-8"?>
<sst xmlns="http://schemas.openxmlformats.org/spreadsheetml/2006/main" count="529" uniqueCount="250">
  <si>
    <t>Quadro de Previsão de Cargas</t>
  </si>
  <si>
    <t>Dependência</t>
  </si>
  <si>
    <t>Dimensões</t>
  </si>
  <si>
    <t>Iluminação</t>
  </si>
  <si>
    <t>TUG (Tomadas de Uso Geral)</t>
  </si>
  <si>
    <t>TUE (Tomadas de Uso Específico)</t>
  </si>
  <si>
    <t>Area (m²)</t>
  </si>
  <si>
    <t>Perimetro (m)</t>
  </si>
  <si>
    <t>N° de pontos</t>
  </si>
  <si>
    <t>Pot. Unitária (VA)</t>
  </si>
  <si>
    <t>Pot. Total (VA)</t>
  </si>
  <si>
    <t>Aparelho</t>
  </si>
  <si>
    <t>Potência (VA)</t>
  </si>
  <si>
    <t>Sala de Estar/Jantar</t>
  </si>
  <si>
    <t>—</t>
  </si>
  <si>
    <t>Cozinha</t>
  </si>
  <si>
    <t>Microondas</t>
  </si>
  <si>
    <t>Forno Elétrico</t>
  </si>
  <si>
    <t>Banheiro Social</t>
  </si>
  <si>
    <t>Chuveiro</t>
  </si>
  <si>
    <t>Quarto</t>
  </si>
  <si>
    <t>Ar Condicionado 10.000 BTU/h</t>
  </si>
  <si>
    <t>Suíte</t>
  </si>
  <si>
    <t>Banheiro Suíte</t>
  </si>
  <si>
    <t>Banheira Hidro</t>
  </si>
  <si>
    <t>Área de Serviço</t>
  </si>
  <si>
    <t>Máquina de Lavar Roupa</t>
  </si>
  <si>
    <t>Circulação</t>
  </si>
  <si>
    <t>Garagem</t>
  </si>
  <si>
    <t>Total</t>
  </si>
  <si>
    <t>Dupla: Caio Henrique Rodrigues Marcelos e Jessica Souza Kubit</t>
  </si>
  <si>
    <t>Equipamentos elétricos tipo D - Circuitos de iluminação e tomada separados.</t>
  </si>
  <si>
    <t>• Chuveiro: 6500W/220V</t>
  </si>
  <si>
    <r>
      <rPr/>
      <t xml:space="preserve">• Banheira Hidro: Motobomba: 1/2cv/220V/ fp=0,8 atrasado; Aquecedor: 5200W/220V; Link de referência: </t>
    </r>
    <r>
      <rPr>
        <color rgb="FF1155CC"/>
        <u/>
      </rPr>
      <t>https://cdn.leroymerlin.com.br/medias/document-89306371-installation-guide-banheira-de-hidromassagem-170x110x45cm-neo-confort-sensea.pdf</t>
    </r>
  </si>
  <si>
    <t>• Ar condicionado quarto e suíte, com tensão de alimentação igual a 127V</t>
  </si>
  <si>
    <t>• Microondas: 1300W/220V/ fp=0,8 atrasado</t>
  </si>
  <si>
    <t>• Forno elétrico: 1750W/220V</t>
  </si>
  <si>
    <t>• Máquina de lavar roupa: 1400W/220V/ fp=0,8 atrasado</t>
  </si>
  <si>
    <t>Quadro de Cargas</t>
  </si>
  <si>
    <t>Circuito</t>
  </si>
  <si>
    <t>Local de Utilização</t>
  </si>
  <si>
    <t>Ponto de Luz (VA)</t>
  </si>
  <si>
    <t>TUG (VA)</t>
  </si>
  <si>
    <t>TUE (VA)</t>
  </si>
  <si>
    <t>Potencia Total (VA)</t>
  </si>
  <si>
    <t>Tensão (V)</t>
  </si>
  <si>
    <t>Corrente (A)</t>
  </si>
  <si>
    <t>fp</t>
  </si>
  <si>
    <t>Potência (W)</t>
  </si>
  <si>
    <t># mm²</t>
  </si>
  <si>
    <t>Disjuntor (A)</t>
  </si>
  <si>
    <t>Balanceamento (W)</t>
  </si>
  <si>
    <t>R</t>
  </si>
  <si>
    <t>S</t>
  </si>
  <si>
    <t>T</t>
  </si>
  <si>
    <t>Iluminação (Quarto, Suíte, Banheiros, Circulação)</t>
  </si>
  <si>
    <t>-</t>
  </si>
  <si>
    <t xml:space="preserve">Iluminação (Área de Serviço, Cozinha, Garagem, Sala de Estar/Jantar) </t>
  </si>
  <si>
    <t>Tomada TUG (Garagem + Sala de Estar + Circulação)</t>
  </si>
  <si>
    <t>Tomada TUG (Suíte)</t>
  </si>
  <si>
    <t>Tomada TUE (Ar Condicionado Suíte)</t>
  </si>
  <si>
    <t>Tomada TUG (Banheiro Suíte)</t>
  </si>
  <si>
    <t>Tomada TUE (Hidromassagem)</t>
  </si>
  <si>
    <t>Tomada TUE (Chuveiro suíte)</t>
  </si>
  <si>
    <t>Tomada TUG (Quarto)</t>
  </si>
  <si>
    <t>Tomada TUE (Ar Condicionado Quarto)</t>
  </si>
  <si>
    <t>Tomada TUG (Área de Serviço)</t>
  </si>
  <si>
    <t>Tomada TUE (Máquina de Lavar)</t>
  </si>
  <si>
    <t>Tomada TUG (Cozinha)</t>
  </si>
  <si>
    <t>Tomada TUE (Forno Elétrico)</t>
  </si>
  <si>
    <t>Tomada TUE (Microondas)</t>
  </si>
  <si>
    <t>Tomada TUE (Chuveiro Banheiro Social)</t>
  </si>
  <si>
    <t>Tomada TUG (Banheiro Social)</t>
  </si>
  <si>
    <t>Reserva</t>
  </si>
  <si>
    <t>Medidor para QDC</t>
  </si>
  <si>
    <t>Dimensionamento de Condutores pelo Critério de Capacidade de Corrente</t>
  </si>
  <si>
    <t>Corrente de Projeto Ip (A)</t>
  </si>
  <si>
    <t>FCT</t>
  </si>
  <si>
    <t>FCR</t>
  </si>
  <si>
    <t>FCA</t>
  </si>
  <si>
    <t>Corrente de Projeto Corrigida Ip' (A)</t>
  </si>
  <si>
    <t># (mm²)</t>
  </si>
  <si>
    <t>OBSERVAÇÕES</t>
  </si>
  <si>
    <t xml:space="preserve">Foram tomadas as seguintes considerações:        </t>
  </si>
  <si>
    <t>• FCT = 1 (assumindo uma temperatura ambiente de 30°C);</t>
  </si>
  <si>
    <t>• FCR = 1 (assumindo um solo não úmido para a elaboração do projeto);</t>
  </si>
  <si>
    <t>• FCA = Varia de acordo com a quantidade de cabos em um mesmo eletroduto (quantidade máxima de cabos por eletroduto = 4).</t>
  </si>
  <si>
    <t>Trecho</t>
  </si>
  <si>
    <t>Potencia Total por Trecho (VA)</t>
  </si>
  <si>
    <t>Ip (A)</t>
  </si>
  <si>
    <t>Comprimento (l) do Trecho (m)</t>
  </si>
  <si>
    <t>Comprimento (l) do Trecho (km)</t>
  </si>
  <si>
    <t>ΔV unit [V/(A.km)]</t>
  </si>
  <si>
    <t>Δe trecho (%)</t>
  </si>
  <si>
    <t>Δe acum (%)</t>
  </si>
  <si>
    <t>QDC/Iluminação (Quarto, Suíte, Banheiros, Circulação)</t>
  </si>
  <si>
    <t>QDC/Iluminação (Área de Serviço, Cozinha, Garagem, Sala de Estar/Jantar)</t>
  </si>
  <si>
    <t>QDC/TUG Sala + Corredor + Garagem</t>
  </si>
  <si>
    <t>QDC/TUG Suíte</t>
  </si>
  <si>
    <t>QDC/AC Suíte</t>
  </si>
  <si>
    <t>QDC/TUG B Suíte</t>
  </si>
  <si>
    <t>QDC/Hidro</t>
  </si>
  <si>
    <t>QDC/Chuveiro WC Suíte</t>
  </si>
  <si>
    <t>QDC/TUG Quarto</t>
  </si>
  <si>
    <t>QDC/AC Quarto</t>
  </si>
  <si>
    <t>QDC/TUG A Serviço</t>
  </si>
  <si>
    <t>QDC/Máquina de Lavar</t>
  </si>
  <si>
    <t>QDC/TUG Cozinha</t>
  </si>
  <si>
    <t>QDC/Forno</t>
  </si>
  <si>
    <t>QDC/Microondas</t>
  </si>
  <si>
    <t>QDC/Chuveiro WC Social</t>
  </si>
  <si>
    <t>QDC/TUG B Social</t>
  </si>
  <si>
    <t>Medidor/QDC</t>
  </si>
  <si>
    <t>• Eletroduto/eletrocalha (material não-magnético);</t>
  </si>
  <si>
    <t>• Será considerado fp = 0,8 para circuitos de tomada e fp = 0,95 para circuitos de iluminação;</t>
  </si>
  <si>
    <t>• A queda de tensão acumulada deve ser menor que 4%;</t>
  </si>
  <si>
    <t>• O cálculo da queda de tensão será aplicado apenas para o ramo de maior comprimento do circuito;</t>
  </si>
  <si>
    <t>• Considerando que a casa projetada possui pé direito de 3m, será somado: 1,5m (subida QDC para o teto); 2,7m (para tomadas baixas); 1,7m (para tomadas médias e interruptores); e 1m (para tomadas altas).</t>
  </si>
  <si>
    <t>Dimensionamento de Condutores</t>
  </si>
  <si>
    <t>Critério da Seção Mínima</t>
  </si>
  <si>
    <t>Capacidade de Corrente</t>
  </si>
  <si>
    <t>Queda de Tensão Unitária</t>
  </si>
  <si>
    <t>#' (mm²)</t>
  </si>
  <si>
    <t>• Circuito de Iluminação = #1,5mm²</t>
  </si>
  <si>
    <t>• Circuito de Tomada = #2,5mm²</t>
  </si>
  <si>
    <t>Dimensionamento de Eletrodutos</t>
  </si>
  <si>
    <t>Eletroduto</t>
  </si>
  <si>
    <t>Local</t>
  </si>
  <si>
    <t>Circuitos presentes no eletroduto</t>
  </si>
  <si>
    <t>N° de Condutores no Eletroduto</t>
  </si>
  <si>
    <t>Área ocupada pelos condutores elétricos St (mm²)</t>
  </si>
  <si>
    <t>Taxa de ocupação Tx (0,53; 0,31; 0,4)</t>
  </si>
  <si>
    <t>Diâmetro interno calculado Di (mm)</t>
  </si>
  <si>
    <t>Diametro interno nominal (mm)</t>
  </si>
  <si>
    <t>Diametro externo nominal (mm)</t>
  </si>
  <si>
    <t>Referência de Rosca</t>
  </si>
  <si>
    <t>Comprimento do eletroduto Lreal (m)</t>
  </si>
  <si>
    <t>Número maximo de curvas de 90° no trecho</t>
  </si>
  <si>
    <t>Comprimento máximo entre duas caixas Lmax (m)</t>
  </si>
  <si>
    <t>Aumento do Eletroduto</t>
  </si>
  <si>
    <t>Referência de Rosca com aumento</t>
  </si>
  <si>
    <t>1,5mm²</t>
  </si>
  <si>
    <t>2,5mm²</t>
  </si>
  <si>
    <t>6mm²</t>
  </si>
  <si>
    <t>10mm²</t>
  </si>
  <si>
    <t>16mm²</t>
  </si>
  <si>
    <t>25mm²</t>
  </si>
  <si>
    <t>35mm²</t>
  </si>
  <si>
    <t>2,3,11,12</t>
  </si>
  <si>
    <t>2,3</t>
  </si>
  <si>
    <t>3</t>
  </si>
  <si>
    <t>1,3,9,10</t>
  </si>
  <si>
    <t>1</t>
  </si>
  <si>
    <t>1,9,10</t>
  </si>
  <si>
    <t>1,9</t>
  </si>
  <si>
    <t>9</t>
  </si>
  <si>
    <t>9,1</t>
  </si>
  <si>
    <t>1,6,7,8</t>
  </si>
  <si>
    <t>7</t>
  </si>
  <si>
    <t>1,6</t>
  </si>
  <si>
    <t>8</t>
  </si>
  <si>
    <t>1,4,5</t>
  </si>
  <si>
    <t>4</t>
  </si>
  <si>
    <t>1,5</t>
  </si>
  <si>
    <t>1,4</t>
  </si>
  <si>
    <t>Banheiro</t>
  </si>
  <si>
    <t>1,3,17,16</t>
  </si>
  <si>
    <t>16</t>
  </si>
  <si>
    <t>1,3,17</t>
  </si>
  <si>
    <t>13,14,15</t>
  </si>
  <si>
    <t>2,13</t>
  </si>
  <si>
    <t>13</t>
  </si>
  <si>
    <t>14,15</t>
  </si>
  <si>
    <t>2,11,12</t>
  </si>
  <si>
    <t>2</t>
  </si>
  <si>
    <t>2,11</t>
  </si>
  <si>
    <t>11</t>
  </si>
  <si>
    <t>12</t>
  </si>
  <si>
    <t>Dimensionamento de Disjuntores</t>
  </si>
  <si>
    <t>Capacidade de Condução de Corrente dos Condutores Ic (A)</t>
  </si>
  <si>
    <t>Capacidade de Condução de Corrente dos Condutores Corrigida Iz (A)</t>
  </si>
  <si>
    <t>Condição para In</t>
  </si>
  <si>
    <t>In (A)</t>
  </si>
  <si>
    <t>Ik (A)</t>
  </si>
  <si>
    <t>Icn (A)</t>
  </si>
  <si>
    <t>Ics (A)</t>
  </si>
  <si>
    <t>Tempo Máximo para Atuação</t>
  </si>
  <si>
    <t>Ik/In</t>
  </si>
  <si>
    <t>Tdd</t>
  </si>
  <si>
    <t>Categoria</t>
  </si>
  <si>
    <t>Caracterísiticas do Disjuntor</t>
  </si>
  <si>
    <t>B</t>
  </si>
  <si>
    <t>C</t>
  </si>
  <si>
    <t>Cálculo da Carga Instalada (kW) (de acordo com a norma PT.DT.PDN.03.14.014 da EDP ESPÍRITO SANTO)</t>
  </si>
  <si>
    <t>Potência aparente total dos pontos de luz projetados</t>
  </si>
  <si>
    <t>Potencia (VA)</t>
  </si>
  <si>
    <t>Fator de Potência</t>
  </si>
  <si>
    <t>Potência Total (W)</t>
  </si>
  <si>
    <t>TUG</t>
  </si>
  <si>
    <t>Em função da área construída</t>
  </si>
  <si>
    <t>Área (m²)</t>
  </si>
  <si>
    <t>TUE</t>
  </si>
  <si>
    <t>Aplicação</t>
  </si>
  <si>
    <t>Unidade</t>
  </si>
  <si>
    <t>Potência Unitária (W)</t>
  </si>
  <si>
    <t>Aquecedor Hidro</t>
  </si>
  <si>
    <t>Motor Hidro 1/2cv</t>
  </si>
  <si>
    <t>Ar condicionado</t>
  </si>
  <si>
    <t>Forno elétrico</t>
  </si>
  <si>
    <t>Máquina de lavar roupa</t>
  </si>
  <si>
    <t>Classificação da Categoria de Atendimento da Unidade Consumidora</t>
  </si>
  <si>
    <t>Categoria de Atendimento</t>
  </si>
  <si>
    <t>Proteção da Entrada Principal</t>
  </si>
  <si>
    <t>Carga Instalada (kW)</t>
  </si>
  <si>
    <t>Tipo de Fornecimento</t>
  </si>
  <si>
    <t>Ramal de Ligação Aéreo Multiplex Alumínio (mm²)</t>
  </si>
  <si>
    <t>Condutores de Entrada Isolados Classe 2 (Fase/Neutro)</t>
  </si>
  <si>
    <t>Tipo de Caixa</t>
  </si>
  <si>
    <t>Eletroduto de Entrada</t>
  </si>
  <si>
    <t>Terra</t>
  </si>
  <si>
    <t>Motor</t>
  </si>
  <si>
    <t>Até o medidor (mm²)</t>
  </si>
  <si>
    <t>Após o medidor (mm²)</t>
  </si>
  <si>
    <t>Classe</t>
  </si>
  <si>
    <t>Condutor Cobre Nu (mm²)</t>
  </si>
  <si>
    <t>Maior Motor (cv)</t>
  </si>
  <si>
    <t>Partida</t>
  </si>
  <si>
    <t>T2</t>
  </si>
  <si>
    <t>Disjuntor Tripolar 80A</t>
  </si>
  <si>
    <t>26001 a 34000</t>
  </si>
  <si>
    <t>3 Fases (Neutro)</t>
  </si>
  <si>
    <t>Responsabilidade da EDP</t>
  </si>
  <si>
    <t>Cobre Isolado 25mm²</t>
  </si>
  <si>
    <t>Caixa Policarbonato Padrão Individual</t>
  </si>
  <si>
    <t>PVC 50mm ou Aço diametro interno 40mm</t>
  </si>
  <si>
    <t>PVC 20mm ou Aço diametro interno 15mm</t>
  </si>
  <si>
    <t>C. R. T. P.</t>
  </si>
  <si>
    <t>Ramal de Ligação, Poste e Pontaletes</t>
  </si>
  <si>
    <t>Ramal de Ligação (Multiplex)</t>
  </si>
  <si>
    <t>Engastamento</t>
  </si>
  <si>
    <t>Diametro para engastamento e Concretagem da base do poste</t>
  </si>
  <si>
    <t>Poste de Aço Galvanizado</t>
  </si>
  <si>
    <t>mm²</t>
  </si>
  <si>
    <t>m</t>
  </si>
  <si>
    <t>Altura 7,0m</t>
  </si>
  <si>
    <t>Q16 e Q25</t>
  </si>
  <si>
    <t>(Nota 3)</t>
  </si>
  <si>
    <t>Base + 0,3</t>
  </si>
  <si>
    <t>Diametro Externo (Pol) x Espessura (mm)</t>
  </si>
  <si>
    <t>76 (3") x 3,35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</si>
</sst>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color rgb="FF000000"/>
      <name val="Arial"/>
    </font>
    <font>
      <u/>
      <color rgb="FF0000FF"/>
    </font>
    <font>
      <sz val="10.0"/>
      <color theme="1"/>
      <name val="Arial"/>
      <scheme val="minor"/>
    </font>
    <font>
      <color theme="1"/>
      <name val="Arial"/>
    </font>
    <font>
      <sz val="10.0"/>
      <color theme="1"/>
      <name val="Arial"/>
    </font>
    <font>
      <sz val="11.0"/>
      <color rgb="FFF7981D"/>
      <name val="Inconsolata"/>
    </font>
    <font>
      <b/>
      <color theme="1"/>
      <name val="Arial"/>
    </font>
    <font>
      <b/>
      <color rgb="FF000000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5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5" fillId="0" fontId="2" numFmtId="0" xfId="0" applyBorder="1" applyFont="1"/>
    <xf borderId="6" fillId="2" fontId="1" numFmtId="0" xfId="0" applyAlignment="1" applyBorder="1" applyFont="1">
      <alignment horizontal="center" readingOrder="0" shrinkToFit="0" vertical="center" wrapText="1"/>
    </xf>
    <xf borderId="6" fillId="2" fontId="3" numFmtId="0" xfId="0" applyAlignment="1" applyBorder="1" applyFont="1">
      <alignment horizontal="center" readingOrder="0" shrinkToFit="0" vertical="center" wrapText="1"/>
    </xf>
    <xf borderId="6" fillId="0" fontId="3" numFmtId="4" xfId="0" applyAlignment="1" applyBorder="1" applyFont="1" applyNumberFormat="1">
      <alignment horizontal="center" readingOrder="0" shrinkToFit="0" vertical="center" wrapText="1"/>
    </xf>
    <xf borderId="6" fillId="0" fontId="3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horizontal="center" shrinkToFit="0" vertical="center" wrapText="1"/>
    </xf>
    <xf borderId="4" fillId="2" fontId="3" numFmtId="0" xfId="0" applyAlignment="1" applyBorder="1" applyFont="1">
      <alignment horizontal="center" readingOrder="0" shrinkToFit="0" vertical="center" wrapText="1"/>
    </xf>
    <xf borderId="4" fillId="0" fontId="3" numFmtId="4" xfId="0" applyAlignment="1" applyBorder="1" applyFont="1" applyNumberFormat="1">
      <alignment horizontal="center" readingOrder="0"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0" fillId="3" fontId="4" numFmtId="0" xfId="0" applyAlignment="1" applyFill="1" applyFont="1">
      <alignment horizontal="center" readingOrder="0" shrinkToFit="0" wrapText="1"/>
    </xf>
    <xf borderId="6" fillId="2" fontId="1" numFmtId="0" xfId="0" applyAlignment="1" applyBorder="1" applyFont="1">
      <alignment horizontal="center" readingOrder="0" vertical="center"/>
    </xf>
    <xf borderId="6" fillId="0" fontId="3" numFmtId="4" xfId="0" applyAlignment="1" applyBorder="1" applyFont="1" applyNumberFormat="1">
      <alignment horizontal="center" vertical="center"/>
    </xf>
    <xf borderId="6" fillId="4" fontId="3" numFmtId="0" xfId="0" applyAlignment="1" applyBorder="1" applyFill="1" applyFont="1">
      <alignment horizontal="center" vertical="center"/>
    </xf>
    <xf borderId="6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readingOrder="0" shrinkToFit="0" vertical="center" wrapText="1"/>
    </xf>
    <xf borderId="7" fillId="0" fontId="5" numFmtId="0" xfId="0" applyAlignment="1" applyBorder="1" applyFont="1">
      <alignment readingOrder="0" shrinkToFit="0" vertical="center" wrapText="1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0" fillId="0" fontId="3" numFmtId="0" xfId="0" applyAlignment="1" applyFont="1">
      <alignment readingOrder="0" shrinkToFit="0" vertical="center" wrapText="1"/>
    </xf>
    <xf borderId="7" fillId="2" fontId="1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horizontal="center" readingOrder="0" shrinkToFit="0" vertical="center" wrapText="1"/>
    </xf>
    <xf borderId="6" fillId="0" fontId="3" numFmtId="4" xfId="0" applyAlignment="1" applyBorder="1" applyFont="1" applyNumberFormat="1">
      <alignment horizontal="center" readingOrder="0" shrinkToFit="0" vertical="center" wrapText="1"/>
    </xf>
    <xf borderId="6" fillId="0" fontId="3" numFmtId="0" xfId="0" applyAlignment="1" applyBorder="1" applyFont="1">
      <alignment horizontal="center" shrinkToFit="0" vertical="center" wrapText="1"/>
    </xf>
    <xf borderId="0" fillId="5" fontId="4" numFmtId="0" xfId="0" applyAlignment="1" applyFill="1" applyFont="1">
      <alignment horizontal="center" readingOrder="0"/>
    </xf>
    <xf borderId="6" fillId="5" fontId="4" numFmtId="0" xfId="0" applyAlignment="1" applyBorder="1" applyFont="1">
      <alignment horizontal="center" readingOrder="0"/>
    </xf>
    <xf borderId="6" fillId="3" fontId="4" numFmtId="0" xfId="0" applyAlignment="1" applyBorder="1" applyFont="1">
      <alignment horizontal="center" readingOrder="0" vertical="center"/>
    </xf>
    <xf borderId="6" fillId="0" fontId="3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center" readingOrder="0" vertical="center"/>
    </xf>
    <xf borderId="6" fillId="4" fontId="3" numFmtId="0" xfId="0" applyBorder="1" applyFont="1"/>
    <xf borderId="6" fillId="0" fontId="3" numFmtId="4" xfId="0" applyAlignment="1" applyBorder="1" applyFont="1" applyNumberFormat="1">
      <alignment horizontal="center" readingOrder="0" vertical="center"/>
    </xf>
    <xf borderId="6" fillId="0" fontId="3" numFmtId="4" xfId="0" applyAlignment="1" applyBorder="1" applyFont="1" applyNumberFormat="1">
      <alignment horizontal="center" vertical="center"/>
    </xf>
    <xf borderId="1" fillId="3" fontId="4" numFmtId="0" xfId="0" applyAlignment="1" applyBorder="1" applyFont="1">
      <alignment horizontal="left" readingOrder="0"/>
    </xf>
    <xf borderId="1" fillId="0" fontId="3" numFmtId="0" xfId="0" applyAlignment="1" applyBorder="1" applyFont="1">
      <alignment readingOrder="0"/>
    </xf>
    <xf borderId="1" fillId="0" fontId="3" numFmtId="0" xfId="0" applyAlignment="1" applyBorder="1" applyFont="1">
      <alignment readingOrder="0" shrinkToFit="0" wrapText="1"/>
    </xf>
    <xf borderId="4" fillId="0" fontId="6" numFmtId="0" xfId="0" applyAlignment="1" applyBorder="1" applyFont="1">
      <alignment horizontal="center" vertical="center"/>
    </xf>
    <xf borderId="6" fillId="0" fontId="6" numFmtId="4" xfId="0" applyAlignment="1" applyBorder="1" applyFont="1" applyNumberFormat="1">
      <alignment horizontal="center" vertical="center"/>
    </xf>
    <xf borderId="6" fillId="0" fontId="3" numFmtId="0" xfId="0" applyAlignment="1" applyBorder="1" applyFont="1">
      <alignment horizontal="center" readingOrder="0" vertical="center"/>
    </xf>
    <xf borderId="4" fillId="0" fontId="3" numFmtId="4" xfId="0" applyAlignment="1" applyBorder="1" applyFont="1" applyNumberFormat="1">
      <alignment horizontal="center" readingOrder="0" vertical="center"/>
    </xf>
    <xf borderId="6" fillId="0" fontId="3" numFmtId="4" xfId="0" applyAlignment="1" applyBorder="1" applyFont="1" applyNumberFormat="1">
      <alignment horizontal="center" readingOrder="0" vertical="center"/>
    </xf>
    <xf borderId="4" fillId="0" fontId="3" numFmtId="0" xfId="0" applyAlignment="1" applyBorder="1" applyFont="1">
      <alignment horizontal="center" vertical="center"/>
    </xf>
    <xf borderId="15" fillId="0" fontId="2" numFmtId="0" xfId="0" applyBorder="1" applyFont="1"/>
    <xf borderId="4" fillId="5" fontId="3" numFmtId="0" xfId="0" applyAlignment="1" applyBorder="1" applyFont="1">
      <alignment horizontal="center" readingOrder="0" shrinkToFit="0" vertical="center" wrapText="1"/>
    </xf>
    <xf borderId="6" fillId="5" fontId="3" numFmtId="0" xfId="0" applyAlignment="1" applyBorder="1" applyFont="1">
      <alignment horizontal="center" readingOrder="0" shrinkToFit="0" vertical="center" wrapText="1"/>
    </xf>
    <xf borderId="4" fillId="5" fontId="6" numFmtId="0" xfId="0" applyAlignment="1" applyBorder="1" applyFont="1">
      <alignment horizontal="center" vertical="center"/>
    </xf>
    <xf borderId="6" fillId="5" fontId="6" numFmtId="4" xfId="0" applyAlignment="1" applyBorder="1" applyFont="1" applyNumberFormat="1">
      <alignment horizontal="center" vertical="center"/>
    </xf>
    <xf borderId="6" fillId="5" fontId="3" numFmtId="4" xfId="0" applyAlignment="1" applyBorder="1" applyFont="1" applyNumberFormat="1">
      <alignment horizontal="center" vertical="center"/>
    </xf>
    <xf borderId="6" fillId="5" fontId="3" numFmtId="0" xfId="0" applyAlignment="1" applyBorder="1" applyFont="1">
      <alignment horizontal="center" readingOrder="0" vertical="center"/>
    </xf>
    <xf borderId="4" fillId="5" fontId="3" numFmtId="4" xfId="0" applyAlignment="1" applyBorder="1" applyFont="1" applyNumberFormat="1">
      <alignment horizontal="center" readingOrder="0" vertical="center"/>
    </xf>
    <xf borderId="6" fillId="5" fontId="3" numFmtId="4" xfId="0" applyAlignment="1" applyBorder="1" applyFont="1" applyNumberFormat="1">
      <alignment horizontal="center" readingOrder="0" vertical="center"/>
    </xf>
    <xf borderId="4" fillId="5" fontId="0" numFmtId="0" xfId="0" applyAlignment="1" applyBorder="1" applyFont="1">
      <alignment horizontal="center" vertical="center"/>
    </xf>
    <xf borderId="4" fillId="5" fontId="3" numFmtId="0" xfId="0" applyAlignment="1" applyBorder="1" applyFont="1">
      <alignment horizontal="center" vertical="center"/>
    </xf>
    <xf borderId="6" fillId="0" fontId="6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center" vertical="center"/>
    </xf>
    <xf borderId="6" fillId="5" fontId="6" numFmtId="0" xfId="0" applyAlignment="1" applyBorder="1" applyFont="1">
      <alignment horizontal="center" vertical="center"/>
    </xf>
    <xf borderId="6" fillId="5" fontId="3" numFmtId="0" xfId="0" applyAlignment="1" applyBorder="1" applyFont="1">
      <alignment horizontal="center" vertical="center"/>
    </xf>
    <xf borderId="1" fillId="6" fontId="1" numFmtId="0" xfId="0" applyAlignment="1" applyBorder="1" applyFill="1" applyFont="1">
      <alignment horizontal="center" readingOrder="0" shrinkToFit="0" vertical="center" wrapText="1"/>
    </xf>
    <xf borderId="0" fillId="0" fontId="7" numFmtId="0" xfId="0" applyAlignment="1" applyFont="1">
      <alignment horizontal="right" vertical="bottom"/>
    </xf>
    <xf borderId="6" fillId="3" fontId="8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center" shrinkToFit="0" vertical="center" wrapText="1"/>
    </xf>
    <xf borderId="6" fillId="0" fontId="8" numFmtId="0" xfId="0" applyAlignment="1" applyBorder="1" applyFont="1">
      <alignment horizontal="center" readingOrder="0" vertical="center"/>
    </xf>
    <xf borderId="0" fillId="3" fontId="9" numFmtId="0" xfId="0" applyFont="1"/>
    <xf borderId="1" fillId="2" fontId="10" numFmtId="0" xfId="0" applyAlignment="1" applyBorder="1" applyFont="1">
      <alignment horizontal="center" readingOrder="0" vertical="center"/>
    </xf>
    <xf borderId="15" fillId="2" fontId="10" numFmtId="0" xfId="0" applyAlignment="1" applyBorder="1" applyFont="1">
      <alignment horizontal="center" readingOrder="0" shrinkToFit="0" vertical="center" wrapText="1"/>
    </xf>
    <xf borderId="11" fillId="2" fontId="10" numFmtId="0" xfId="0" applyAlignment="1" applyBorder="1" applyFont="1">
      <alignment horizontal="center" readingOrder="0" shrinkToFit="0" vertical="center" wrapText="1"/>
    </xf>
    <xf borderId="13" fillId="2" fontId="10" numFmtId="0" xfId="0" applyAlignment="1" applyBorder="1" applyFont="1">
      <alignment horizontal="center" readingOrder="0" shrinkToFit="0" vertical="center" wrapText="1"/>
    </xf>
    <xf borderId="4" fillId="2" fontId="10" numFmtId="0" xfId="0" applyAlignment="1" applyBorder="1" applyFont="1">
      <alignment horizontal="center" readingOrder="0" shrinkToFit="0" vertical="center" wrapText="1"/>
    </xf>
    <xf borderId="14" fillId="3" fontId="2" numFmtId="0" xfId="0" applyBorder="1" applyFont="1"/>
    <xf borderId="14" fillId="3" fontId="10" numFmtId="0" xfId="0" applyAlignment="1" applyBorder="1" applyFont="1">
      <alignment horizontal="center" readingOrder="0" vertical="center"/>
    </xf>
    <xf borderId="14" fillId="3" fontId="10" numFmtId="4" xfId="0" applyAlignment="1" applyBorder="1" applyFont="1" applyNumberFormat="1">
      <alignment horizontal="center" readingOrder="0" vertical="center"/>
    </xf>
    <xf borderId="5" fillId="3" fontId="2" numFmtId="0" xfId="0" applyBorder="1" applyFont="1"/>
    <xf borderId="14" fillId="5" fontId="7" numFmtId="49" xfId="0" applyAlignment="1" applyBorder="1" applyFont="1" applyNumberFormat="1">
      <alignment horizontal="center" readingOrder="0" shrinkToFit="0" vertical="center" wrapText="1"/>
    </xf>
    <xf borderId="14" fillId="5" fontId="7" numFmtId="0" xfId="0" applyAlignment="1" applyBorder="1" applyFont="1">
      <alignment horizontal="center" readingOrder="0" vertical="center"/>
    </xf>
    <xf borderId="14" fillId="5" fontId="7" numFmtId="0" xfId="0" applyAlignment="1" applyBorder="1" applyFont="1">
      <alignment horizontal="center" vertical="center"/>
    </xf>
    <xf borderId="14" fillId="5" fontId="7" numFmtId="4" xfId="0" applyAlignment="1" applyBorder="1" applyFont="1" applyNumberFormat="1">
      <alignment horizontal="center" vertical="center"/>
    </xf>
    <xf borderId="14" fillId="5" fontId="7" numFmtId="4" xfId="0" applyAlignment="1" applyBorder="1" applyFont="1" applyNumberFormat="1">
      <alignment horizontal="center" readingOrder="0" vertical="center"/>
    </xf>
    <xf borderId="6" fillId="5" fontId="7" numFmtId="4" xfId="0" applyAlignment="1" applyBorder="1" applyFont="1" applyNumberFormat="1">
      <alignment horizontal="center" readingOrder="0" vertical="center"/>
    </xf>
    <xf borderId="6" fillId="5" fontId="7" numFmtId="0" xfId="0" applyAlignment="1" applyBorder="1" applyFont="1">
      <alignment horizontal="center" vertical="center"/>
    </xf>
    <xf borderId="6" fillId="5" fontId="7" numFmtId="0" xfId="0" applyAlignment="1" applyBorder="1" applyFont="1">
      <alignment horizontal="center" vertical="center"/>
    </xf>
    <xf borderId="6" fillId="5" fontId="7" numFmtId="4" xfId="0" applyAlignment="1" applyBorder="1" applyFont="1" applyNumberFormat="1">
      <alignment horizontal="center" vertical="center"/>
    </xf>
    <xf borderId="6" fillId="5" fontId="7" numFmtId="0" xfId="0" applyAlignment="1" applyBorder="1" applyFont="1">
      <alignment horizontal="center" readingOrder="0" vertical="center"/>
    </xf>
    <xf borderId="6" fillId="3" fontId="3" numFmtId="0" xfId="0" applyAlignment="1" applyBorder="1" applyFont="1">
      <alignment horizontal="center" readingOrder="0" shrinkToFit="0" vertical="center" wrapText="1"/>
    </xf>
    <xf borderId="14" fillId="3" fontId="7" numFmtId="49" xfId="0" applyAlignment="1" applyBorder="1" applyFont="1" applyNumberFormat="1">
      <alignment horizontal="center" readingOrder="0" shrinkToFit="0" vertical="center" wrapText="1"/>
    </xf>
    <xf borderId="14" fillId="3" fontId="7" numFmtId="0" xfId="0" applyAlignment="1" applyBorder="1" applyFont="1">
      <alignment horizontal="center" readingOrder="0" vertical="center"/>
    </xf>
    <xf borderId="14" fillId="3" fontId="7" numFmtId="0" xfId="0" applyAlignment="1" applyBorder="1" applyFont="1">
      <alignment horizontal="center" vertical="center"/>
    </xf>
    <xf borderId="14" fillId="3" fontId="7" numFmtId="4" xfId="0" applyAlignment="1" applyBorder="1" applyFont="1" applyNumberFormat="1">
      <alignment horizontal="center" vertical="center"/>
    </xf>
    <xf borderId="14" fillId="3" fontId="7" numFmtId="4" xfId="0" applyAlignment="1" applyBorder="1" applyFont="1" applyNumberFormat="1">
      <alignment horizontal="center" readingOrder="0" vertical="center"/>
    </xf>
    <xf borderId="6" fillId="3" fontId="7" numFmtId="4" xfId="0" applyAlignment="1" applyBorder="1" applyFont="1" applyNumberFormat="1">
      <alignment horizontal="center" readingOrder="0" vertical="center"/>
    </xf>
    <xf borderId="6" fillId="3" fontId="7" numFmtId="0" xfId="0" applyAlignment="1" applyBorder="1" applyFont="1">
      <alignment horizontal="center" vertical="center"/>
    </xf>
    <xf borderId="6" fillId="3" fontId="7" numFmtId="0" xfId="0" applyAlignment="1" applyBorder="1" applyFont="1">
      <alignment horizontal="center" vertical="center"/>
    </xf>
    <xf borderId="6" fillId="3" fontId="7" numFmtId="4" xfId="0" applyAlignment="1" applyBorder="1" applyFont="1" applyNumberFormat="1">
      <alignment horizontal="center" vertical="center"/>
    </xf>
    <xf borderId="6" fillId="3" fontId="7" numFmtId="0" xfId="0" applyAlignment="1" applyBorder="1" applyFont="1">
      <alignment horizontal="center" readingOrder="0" vertical="center"/>
    </xf>
    <xf borderId="3" fillId="3" fontId="7" numFmtId="49" xfId="0" applyAlignment="1" applyBorder="1" applyFont="1" applyNumberFormat="1">
      <alignment horizontal="center" readingOrder="0" shrinkToFit="0" wrapText="1"/>
    </xf>
    <xf borderId="3" fillId="3" fontId="7" numFmtId="0" xfId="0" applyAlignment="1" applyBorder="1" applyFont="1">
      <alignment horizontal="center"/>
    </xf>
    <xf borderId="3" fillId="3" fontId="7" numFmtId="0" xfId="0" applyAlignment="1" applyBorder="1" applyFont="1">
      <alignment horizontal="center" readingOrder="0"/>
    </xf>
    <xf borderId="3" fillId="3" fontId="7" numFmtId="0" xfId="0" applyBorder="1" applyFont="1"/>
    <xf borderId="3" fillId="3" fontId="7" numFmtId="4" xfId="0" applyAlignment="1" applyBorder="1" applyFont="1" applyNumberFormat="1">
      <alignment horizontal="center"/>
    </xf>
    <xf borderId="3" fillId="3" fontId="7" numFmtId="0" xfId="0" applyAlignment="1" applyBorder="1" applyFont="1">
      <alignment horizontal="center"/>
    </xf>
    <xf borderId="14" fillId="5" fontId="7" numFmtId="4" xfId="0" applyAlignment="1" applyBorder="1" applyFont="1" applyNumberFormat="1">
      <alignment horizontal="center"/>
    </xf>
    <xf borderId="14" fillId="5" fontId="7" numFmtId="0" xfId="0" applyAlignment="1" applyBorder="1" applyFont="1">
      <alignment horizontal="center"/>
    </xf>
    <xf borderId="14" fillId="5" fontId="7" numFmtId="0" xfId="0" applyAlignment="1" applyBorder="1" applyFont="1">
      <alignment horizontal="center"/>
    </xf>
    <xf borderId="14" fillId="3" fontId="7" numFmtId="4" xfId="0" applyAlignment="1" applyBorder="1" applyFont="1" applyNumberFormat="1">
      <alignment horizontal="center"/>
    </xf>
    <xf borderId="14" fillId="3" fontId="7" numFmtId="0" xfId="0" applyAlignment="1" applyBorder="1" applyFont="1">
      <alignment horizontal="center"/>
    </xf>
    <xf borderId="14" fillId="3" fontId="7" numFmtId="0" xfId="0" applyAlignment="1" applyBorder="1" applyFont="1">
      <alignment horizontal="center"/>
    </xf>
    <xf borderId="14" fillId="5" fontId="7" numFmtId="0" xfId="0" applyAlignment="1" applyBorder="1" applyFont="1">
      <alignment horizontal="center" readingOrder="0"/>
    </xf>
    <xf borderId="5" fillId="3" fontId="7" numFmtId="0" xfId="0" applyAlignment="1" applyBorder="1" applyFont="1">
      <alignment horizontal="center" shrinkToFit="0" wrapText="1"/>
    </xf>
    <xf borderId="14" fillId="3" fontId="7" numFmtId="49" xfId="0" applyAlignment="1" applyBorder="1" applyFont="1" applyNumberFormat="1">
      <alignment horizontal="center" readingOrder="0" vertical="center"/>
    </xf>
    <xf borderId="14" fillId="3" fontId="7" numFmtId="0" xfId="0" applyAlignment="1" applyBorder="1" applyFont="1">
      <alignment horizontal="center" readingOrder="0"/>
    </xf>
    <xf borderId="5" fillId="5" fontId="7" numFmtId="0" xfId="0" applyAlignment="1" applyBorder="1" applyFont="1">
      <alignment horizontal="center" shrinkToFit="0" wrapText="1"/>
    </xf>
    <xf borderId="3" fillId="5" fontId="7" numFmtId="49" xfId="0" applyAlignment="1" applyBorder="1" applyFont="1" applyNumberFormat="1">
      <alignment horizontal="center" shrinkToFit="0" vertical="center" wrapText="1"/>
    </xf>
    <xf borderId="6" fillId="3" fontId="7" numFmtId="0" xfId="0" applyAlignment="1" applyBorder="1" applyFont="1">
      <alignment horizontal="center" readingOrder="0" shrinkToFit="0" wrapText="1"/>
    </xf>
    <xf borderId="6" fillId="3" fontId="3" numFmtId="0" xfId="0" applyAlignment="1" applyBorder="1" applyFont="1">
      <alignment horizontal="center" readingOrder="0" vertical="center"/>
    </xf>
    <xf borderId="6" fillId="5" fontId="7" numFmtId="0" xfId="0" applyAlignment="1" applyBorder="1" applyFont="1">
      <alignment horizontal="center" readingOrder="0" shrinkToFit="0" wrapText="1"/>
    </xf>
    <xf borderId="6" fillId="5" fontId="7" numFmtId="49" xfId="0" applyAlignment="1" applyBorder="1" applyFont="1" applyNumberFormat="1">
      <alignment horizontal="center" readingOrder="0" shrinkToFit="0" vertical="center" wrapText="1"/>
    </xf>
    <xf borderId="6" fillId="3" fontId="7" numFmtId="49" xfId="0" applyAlignment="1" applyBorder="1" applyFont="1" applyNumberFormat="1">
      <alignment horizontal="center" readingOrder="0" shrinkToFit="0" vertical="center" wrapText="1"/>
    </xf>
    <xf borderId="5" fillId="3" fontId="7" numFmtId="0" xfId="0" applyAlignment="1" applyBorder="1" applyFont="1">
      <alignment horizontal="center" readingOrder="0" shrinkToFit="0" wrapText="1"/>
    </xf>
    <xf borderId="6" fillId="3" fontId="7" numFmtId="49" xfId="0" applyAlignment="1" applyBorder="1" applyFont="1" applyNumberFormat="1">
      <alignment horizontal="center" readingOrder="0" vertical="center"/>
    </xf>
    <xf borderId="5" fillId="5" fontId="7" numFmtId="0" xfId="0" applyAlignment="1" applyBorder="1" applyFont="1">
      <alignment horizontal="center" readingOrder="0" shrinkToFit="0" wrapText="1"/>
    </xf>
    <xf borderId="6" fillId="5" fontId="7" numFmtId="49" xfId="0" applyAlignment="1" applyBorder="1" applyFont="1" applyNumberFormat="1">
      <alignment horizontal="center" readingOrder="0" vertical="center"/>
    </xf>
    <xf borderId="3" fillId="5" fontId="7" numFmtId="4" xfId="0" applyAlignment="1" applyBorder="1" applyFont="1" applyNumberFormat="1">
      <alignment horizontal="center"/>
    </xf>
    <xf borderId="3" fillId="5" fontId="7" numFmtId="0" xfId="0" applyAlignment="1" applyBorder="1" applyFont="1">
      <alignment horizontal="center"/>
    </xf>
    <xf borderId="3" fillId="5" fontId="7" numFmtId="0" xfId="0" applyAlignment="1" applyBorder="1" applyFont="1">
      <alignment horizontal="center"/>
    </xf>
    <xf borderId="3" fillId="5" fontId="7" numFmtId="0" xfId="0" applyAlignment="1" applyBorder="1" applyFont="1">
      <alignment horizontal="center" readingOrder="0"/>
    </xf>
    <xf borderId="6" fillId="5" fontId="7" numFmtId="49" xfId="0" applyAlignment="1" applyBorder="1" applyFont="1" applyNumberFormat="1">
      <alignment horizontal="center" vertical="center"/>
    </xf>
    <xf borderId="1" fillId="2" fontId="10" numFmtId="0" xfId="0" applyAlignment="1" applyBorder="1" applyFont="1">
      <alignment horizontal="center" vertical="center"/>
    </xf>
    <xf borderId="5" fillId="2" fontId="10" numFmtId="0" xfId="0" applyAlignment="1" applyBorder="1" applyFont="1">
      <alignment horizontal="center" shrinkToFit="0" vertical="center" wrapText="1"/>
    </xf>
    <xf borderId="14" fillId="2" fontId="10" numFmtId="0" xfId="0" applyAlignment="1" applyBorder="1" applyFont="1">
      <alignment horizontal="center" shrinkToFit="0" vertical="center" wrapText="1"/>
    </xf>
    <xf borderId="6" fillId="2" fontId="10" numFmtId="0" xfId="0" applyAlignment="1" applyBorder="1" applyFont="1">
      <alignment horizontal="center" shrinkToFit="0" vertical="center" wrapText="1"/>
    </xf>
    <xf borderId="6" fillId="2" fontId="10" numFmtId="0" xfId="0" applyAlignment="1" applyBorder="1" applyFont="1">
      <alignment horizontal="center" readingOrder="0" shrinkToFit="0" vertical="center" wrapText="1"/>
    </xf>
    <xf borderId="14" fillId="3" fontId="7" numFmtId="0" xfId="0" applyAlignment="1" applyBorder="1" applyFont="1">
      <alignment horizontal="center" shrinkToFit="0" vertical="center" wrapText="1"/>
    </xf>
    <xf borderId="14" fillId="3" fontId="7" numFmtId="0" xfId="0" applyAlignment="1" applyBorder="1" applyFont="1">
      <alignment horizontal="center" vertical="center"/>
    </xf>
    <xf borderId="12" fillId="3" fontId="7" numFmtId="0" xfId="0" applyAlignment="1" applyBorder="1" applyFont="1">
      <alignment horizontal="center" vertical="center"/>
    </xf>
    <xf borderId="13" fillId="3" fontId="2" numFmtId="0" xfId="0" applyBorder="1" applyFont="1"/>
    <xf borderId="14" fillId="5" fontId="7" numFmtId="0" xfId="0" applyAlignment="1" applyBorder="1" applyFont="1">
      <alignment horizontal="center" shrinkToFit="0" vertical="center" wrapText="1"/>
    </xf>
    <xf borderId="14" fillId="5" fontId="7" numFmtId="0" xfId="0" applyAlignment="1" applyBorder="1" applyFont="1">
      <alignment horizontal="center" vertical="center"/>
    </xf>
    <xf borderId="12" fillId="5" fontId="7" numFmtId="0" xfId="0" applyAlignment="1" applyBorder="1" applyFont="1">
      <alignment horizontal="center" vertical="center"/>
    </xf>
    <xf borderId="13" fillId="5" fontId="2" numFmtId="0" xfId="0" applyBorder="1" applyFont="1"/>
    <xf borderId="14" fillId="5" fontId="2" numFmtId="0" xfId="0" applyBorder="1" applyFont="1"/>
    <xf borderId="4" fillId="2" fontId="1" numFmtId="0" xfId="0" applyAlignment="1" applyBorder="1" applyFont="1">
      <alignment horizontal="center" readingOrder="0" vertical="center"/>
    </xf>
    <xf borderId="1" fillId="0" fontId="3" numFmtId="4" xfId="0" applyAlignment="1" applyBorder="1" applyFont="1" applyNumberFormat="1">
      <alignment horizontal="center" readingOrder="0" vertical="center"/>
    </xf>
    <xf borderId="1" fillId="2" fontId="11" numFmtId="0" xfId="0" applyAlignment="1" applyBorder="1" applyFont="1">
      <alignment horizontal="center" readingOrder="0" shrinkToFit="0" vertical="center" wrapText="1"/>
    </xf>
    <xf borderId="4" fillId="2" fontId="11" numFmtId="0" xfId="0" applyAlignment="1" applyBorder="1" applyFont="1">
      <alignment horizontal="center" readingOrder="0" shrinkToFit="0" textRotation="90" vertical="center" wrapText="1"/>
    </xf>
    <xf borderId="6" fillId="2" fontId="11" numFmtId="0" xfId="0" applyAlignment="1" applyBorder="1" applyFont="1">
      <alignment horizontal="center" readingOrder="0" shrinkToFit="0" textRotation="90" vertical="center" wrapText="1"/>
    </xf>
    <xf borderId="6" fillId="0" fontId="3" numFmtId="0" xfId="0" applyAlignment="1" applyBorder="1" applyFont="1">
      <alignment horizontal="center" readingOrder="0" shrinkToFit="0" textRotation="90" vertical="center" wrapText="1"/>
    </xf>
    <xf borderId="0" fillId="0" fontId="3" numFmtId="0" xfId="0" applyAlignment="1" applyFont="1">
      <alignment horizontal="center" readingOrder="0" vertical="center"/>
    </xf>
    <xf borderId="7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3">
    <tableStyle count="2" pivot="0" name="Quadro de Cargas-style">
      <tableStyleElement dxfId="1" type="firstRowStripe"/>
      <tableStyleElement dxfId="2" type="secondRowStripe"/>
    </tableStyle>
    <tableStyle count="2" pivot="0" name="Capacidade de Corrente-style">
      <tableStyleElement dxfId="1" type="firstRowStripe"/>
      <tableStyleElement dxfId="2" type="secondRowStripe"/>
    </tableStyle>
    <tableStyle count="2" pivot="0" name="Dimensionamento de Condutores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9.png"/><Relationship Id="rId2" Type="http://schemas.openxmlformats.org/officeDocument/2006/relationships/image" Target="../media/image6.png"/><Relationship Id="rId3" Type="http://schemas.openxmlformats.org/officeDocument/2006/relationships/image" Target="../media/image16.png"/><Relationship Id="rId4" Type="http://schemas.openxmlformats.org/officeDocument/2006/relationships/image" Target="../media/image7.png"/><Relationship Id="rId5" Type="http://schemas.openxmlformats.org/officeDocument/2006/relationships/image" Target="../media/image2.png"/><Relationship Id="rId6" Type="http://schemas.openxmlformats.org/officeDocument/2006/relationships/image" Target="../media/image17.png"/><Relationship Id="rId7" Type="http://schemas.openxmlformats.org/officeDocument/2006/relationships/image" Target="../media/image4.png"/><Relationship Id="rId8" Type="http://schemas.openxmlformats.org/officeDocument/2006/relationships/image" Target="../media/image3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0.png"/><Relationship Id="rId3" Type="http://schemas.openxmlformats.org/officeDocument/2006/relationships/image" Target="../media/image5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8.png"/><Relationship Id="rId3" Type="http://schemas.openxmlformats.org/officeDocument/2006/relationships/image" Target="../media/image12.png"/><Relationship Id="rId4" Type="http://schemas.openxmlformats.org/officeDocument/2006/relationships/image" Target="../media/image14.png"/><Relationship Id="rId5" Type="http://schemas.openxmlformats.org/officeDocument/2006/relationships/image" Target="../media/image11.png"/><Relationship Id="rId6" Type="http://schemas.openxmlformats.org/officeDocument/2006/relationships/image" Target="../media/image21.png"/><Relationship Id="rId7" Type="http://schemas.openxmlformats.org/officeDocument/2006/relationships/image" Target="../media/image13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22.png"/><Relationship Id="rId2" Type="http://schemas.openxmlformats.org/officeDocument/2006/relationships/image" Target="../media/image23.png"/><Relationship Id="rId3" Type="http://schemas.openxmlformats.org/officeDocument/2006/relationships/image" Target="../media/image24.png"/><Relationship Id="rId4" Type="http://schemas.openxmlformats.org/officeDocument/2006/relationships/image" Target="../media/image18.png"/><Relationship Id="rId5" Type="http://schemas.openxmlformats.org/officeDocument/2006/relationships/image" Target="../media/image15.png"/><Relationship Id="rId6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923925</xdr:colOff>
      <xdr:row>42</xdr:row>
      <xdr:rowOff>57150</xdr:rowOff>
    </xdr:from>
    <xdr:ext cx="5524500" cy="7362825"/>
    <xdr:pic>
      <xdr:nvPicPr>
        <xdr:cNvPr id="0" name="image19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438150</xdr:colOff>
      <xdr:row>29</xdr:row>
      <xdr:rowOff>200025</xdr:rowOff>
    </xdr:from>
    <xdr:ext cx="5924550" cy="2714625"/>
    <xdr:pic>
      <xdr:nvPicPr>
        <xdr:cNvPr id="0" name="image6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742950</xdr:colOff>
      <xdr:row>44</xdr:row>
      <xdr:rowOff>200025</xdr:rowOff>
    </xdr:from>
    <xdr:ext cx="7267575" cy="5848350"/>
    <xdr:pic>
      <xdr:nvPicPr>
        <xdr:cNvPr id="0" name="image16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962025</xdr:colOff>
      <xdr:row>6</xdr:row>
      <xdr:rowOff>57150</xdr:rowOff>
    </xdr:from>
    <xdr:ext cx="7362825" cy="7000875"/>
    <xdr:pic>
      <xdr:nvPicPr>
        <xdr:cNvPr id="0" name="image7.png" title="Image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123825</xdr:colOff>
      <xdr:row>0</xdr:row>
      <xdr:rowOff>200025</xdr:rowOff>
    </xdr:from>
    <xdr:ext cx="7124700" cy="762000"/>
    <xdr:pic>
      <xdr:nvPicPr>
        <xdr:cNvPr id="0" name="image2.png" title="Imagem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123825</xdr:colOff>
      <xdr:row>3</xdr:row>
      <xdr:rowOff>209550</xdr:rowOff>
    </xdr:from>
    <xdr:ext cx="7124700" cy="904875"/>
    <xdr:pic>
      <xdr:nvPicPr>
        <xdr:cNvPr id="0" name="image17.png" title="Imagem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</xdr:colOff>
      <xdr:row>31</xdr:row>
      <xdr:rowOff>171450</xdr:rowOff>
    </xdr:from>
    <xdr:ext cx="6191250" cy="2628900"/>
    <xdr:pic>
      <xdr:nvPicPr>
        <xdr:cNvPr id="0" name="image4.png" title="Imagem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962025</xdr:colOff>
      <xdr:row>44</xdr:row>
      <xdr:rowOff>200025</xdr:rowOff>
    </xdr:from>
    <xdr:ext cx="6248400" cy="2809875"/>
    <xdr:pic>
      <xdr:nvPicPr>
        <xdr:cNvPr id="0" name="image3.png" title="Imagem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0</xdr:colOff>
      <xdr:row>1</xdr:row>
      <xdr:rowOff>0</xdr:rowOff>
    </xdr:from>
    <xdr:ext cx="7781925" cy="4438650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962025</xdr:colOff>
      <xdr:row>21</xdr:row>
      <xdr:rowOff>28575</xdr:rowOff>
    </xdr:from>
    <xdr:ext cx="7781925" cy="3648075"/>
    <xdr:pic>
      <xdr:nvPicPr>
        <xdr:cNvPr id="0" name="image10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342900</xdr:colOff>
      <xdr:row>32</xdr:row>
      <xdr:rowOff>19050</xdr:rowOff>
    </xdr:from>
    <xdr:ext cx="2724150" cy="714375"/>
    <xdr:pic>
      <xdr:nvPicPr>
        <xdr:cNvPr id="0" name="image5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876300</xdr:colOff>
      <xdr:row>73</xdr:row>
      <xdr:rowOff>190500</xdr:rowOff>
    </xdr:from>
    <xdr:ext cx="9953625" cy="3695700"/>
    <xdr:pic>
      <xdr:nvPicPr>
        <xdr:cNvPr id="0" name="image9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971550</xdr:colOff>
      <xdr:row>59</xdr:row>
      <xdr:rowOff>142875</xdr:rowOff>
    </xdr:from>
    <xdr:ext cx="9772650" cy="2847975"/>
    <xdr:pic>
      <xdr:nvPicPr>
        <xdr:cNvPr id="0" name="image8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857250</xdr:colOff>
      <xdr:row>92</xdr:row>
      <xdr:rowOff>85725</xdr:rowOff>
    </xdr:from>
    <xdr:ext cx="9991725" cy="3609975"/>
    <xdr:pic>
      <xdr:nvPicPr>
        <xdr:cNvPr id="0" name="image12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914400</xdr:colOff>
      <xdr:row>56</xdr:row>
      <xdr:rowOff>9525</xdr:rowOff>
    </xdr:from>
    <xdr:ext cx="9867900" cy="2486025"/>
    <xdr:pic>
      <xdr:nvPicPr>
        <xdr:cNvPr id="0" name="image14.png" title="Image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723900</xdr:colOff>
      <xdr:row>94</xdr:row>
      <xdr:rowOff>133350</xdr:rowOff>
    </xdr:from>
    <xdr:ext cx="10248900" cy="2914650"/>
    <xdr:pic>
      <xdr:nvPicPr>
        <xdr:cNvPr id="0" name="image11.png" title="Imagem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933450</xdr:colOff>
      <xdr:row>109</xdr:row>
      <xdr:rowOff>47625</xdr:rowOff>
    </xdr:from>
    <xdr:ext cx="9839325" cy="4867275"/>
    <xdr:pic>
      <xdr:nvPicPr>
        <xdr:cNvPr id="0" name="image21.png" title="Imagem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952500</xdr:colOff>
      <xdr:row>67</xdr:row>
      <xdr:rowOff>142875</xdr:rowOff>
    </xdr:from>
    <xdr:ext cx="5362575" cy="5391150"/>
    <xdr:pic>
      <xdr:nvPicPr>
        <xdr:cNvPr id="0" name="image13.png" title="Imagem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561975</xdr:colOff>
      <xdr:row>29</xdr:row>
      <xdr:rowOff>-38100</xdr:rowOff>
    </xdr:from>
    <xdr:ext cx="6572250" cy="8220075"/>
    <xdr:pic>
      <xdr:nvPicPr>
        <xdr:cNvPr id="0" name="image22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95250</xdr:colOff>
      <xdr:row>15</xdr:row>
      <xdr:rowOff>200025</xdr:rowOff>
    </xdr:from>
    <xdr:ext cx="6619875" cy="5495925"/>
    <xdr:pic>
      <xdr:nvPicPr>
        <xdr:cNvPr id="0" name="image23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495300</xdr:colOff>
      <xdr:row>0</xdr:row>
      <xdr:rowOff>95250</xdr:rowOff>
    </xdr:from>
    <xdr:ext cx="6696075" cy="2981325"/>
    <xdr:pic>
      <xdr:nvPicPr>
        <xdr:cNvPr id="0" name="image24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447675</xdr:colOff>
      <xdr:row>23</xdr:row>
      <xdr:rowOff>47625</xdr:rowOff>
    </xdr:from>
    <xdr:ext cx="5924550" cy="2838450"/>
    <xdr:pic>
      <xdr:nvPicPr>
        <xdr:cNvPr id="0" name="image18.png" title="Image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762000</xdr:colOff>
      <xdr:row>36</xdr:row>
      <xdr:rowOff>133350</xdr:rowOff>
    </xdr:from>
    <xdr:ext cx="7210425" cy="6038850"/>
    <xdr:pic>
      <xdr:nvPicPr>
        <xdr:cNvPr id="0" name="image15.png" title="Imagem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628650</xdr:colOff>
      <xdr:row>66</xdr:row>
      <xdr:rowOff>171450</xdr:rowOff>
    </xdr:from>
    <xdr:ext cx="7496175" cy="4448175"/>
    <xdr:pic>
      <xdr:nvPicPr>
        <xdr:cNvPr id="0" name="image20.png" title="Imagem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headerRowCount="0" ref="C5:R26" displayName="Table_1" id="1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Quadro de Cargas-style" showColumnStripes="0" showFirstColumn="1" showLastColumn="1" showRowStripes="1"/>
</table>
</file>

<file path=xl/tables/table2.xml><?xml version="1.0" encoding="utf-8"?>
<table xmlns="http://schemas.openxmlformats.org/spreadsheetml/2006/main" headerRowCount="0" ref="C4:K25" displayName="Table_2" id="2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Capacidade de Corrente-style" showColumnStripes="0" showFirstColumn="1" showLastColumn="1" showRowStripes="1"/>
</table>
</file>

<file path=xl/tables/table3.xml><?xml version="1.0" encoding="utf-8"?>
<table xmlns="http://schemas.openxmlformats.org/spreadsheetml/2006/main" headerRowCount="0" ref="C4:H25" displayName="Table_3" id="3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Dimensionamento de Condutor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dn.leroymerlin.com.br/medias/document-89306371-installation-guide-banheira-de-hidromassagem-170x110x45cm-neo-confort-sensea.pdf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3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2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3"/>
    </row>
    <row r="3">
      <c r="B3" s="4" t="s">
        <v>1</v>
      </c>
      <c r="C3" s="5" t="s">
        <v>2</v>
      </c>
      <c r="D3" s="3"/>
      <c r="E3" s="5" t="s">
        <v>3</v>
      </c>
      <c r="F3" s="2"/>
      <c r="G3" s="3"/>
      <c r="H3" s="5" t="s">
        <v>4</v>
      </c>
      <c r="I3" s="2"/>
      <c r="J3" s="3"/>
      <c r="K3" s="5" t="s">
        <v>5</v>
      </c>
      <c r="L3" s="3"/>
    </row>
    <row r="4">
      <c r="B4" s="6"/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8</v>
      </c>
      <c r="I4" s="7" t="s">
        <v>9</v>
      </c>
      <c r="J4" s="7" t="s">
        <v>10</v>
      </c>
      <c r="K4" s="7" t="s">
        <v>11</v>
      </c>
      <c r="L4" s="7" t="s">
        <v>12</v>
      </c>
    </row>
    <row r="5">
      <c r="B5" s="8" t="s">
        <v>13</v>
      </c>
      <c r="C5" s="9">
        <v>22.73</v>
      </c>
      <c r="D5" s="9">
        <v>19.08</v>
      </c>
      <c r="E5" s="10">
        <v>2.0</v>
      </c>
      <c r="F5" s="10">
        <v>200.0</v>
      </c>
      <c r="G5" s="11">
        <f t="shared" ref="G5:G6" si="1">E5*F5</f>
        <v>400</v>
      </c>
      <c r="H5" s="10">
        <v>4.0</v>
      </c>
      <c r="I5" s="10">
        <v>100.0</v>
      </c>
      <c r="J5" s="11">
        <f>H5*I5</f>
        <v>400</v>
      </c>
      <c r="K5" s="10" t="s">
        <v>14</v>
      </c>
      <c r="L5" s="10" t="s">
        <v>14</v>
      </c>
    </row>
    <row r="6">
      <c r="B6" s="12" t="s">
        <v>15</v>
      </c>
      <c r="C6" s="13">
        <v>8.09</v>
      </c>
      <c r="D6" s="13">
        <v>12.0</v>
      </c>
      <c r="E6" s="14">
        <v>1.0</v>
      </c>
      <c r="F6" s="14">
        <v>100.0</v>
      </c>
      <c r="G6" s="15">
        <f t="shared" si="1"/>
        <v>100</v>
      </c>
      <c r="H6" s="10">
        <v>3.0</v>
      </c>
      <c r="I6" s="10">
        <v>600.0</v>
      </c>
      <c r="J6" s="15">
        <f>(H6*I6)+(H7*I7)</f>
        <v>1900</v>
      </c>
      <c r="K6" s="10" t="s">
        <v>16</v>
      </c>
      <c r="L6" s="10">
        <v>1625.0</v>
      </c>
    </row>
    <row r="7">
      <c r="B7" s="6"/>
      <c r="C7" s="6"/>
      <c r="D7" s="6"/>
      <c r="E7" s="6"/>
      <c r="F7" s="6"/>
      <c r="G7" s="6"/>
      <c r="H7" s="10">
        <v>1.0</v>
      </c>
      <c r="I7" s="10">
        <v>100.0</v>
      </c>
      <c r="J7" s="6"/>
      <c r="K7" s="10" t="s">
        <v>17</v>
      </c>
      <c r="L7" s="10">
        <v>1750.0</v>
      </c>
    </row>
    <row r="8">
      <c r="B8" s="8" t="s">
        <v>18</v>
      </c>
      <c r="C8" s="9">
        <v>2.46</v>
      </c>
      <c r="D8" s="9">
        <v>6.5</v>
      </c>
      <c r="E8" s="10">
        <v>1.0</v>
      </c>
      <c r="F8" s="10">
        <v>100.0</v>
      </c>
      <c r="G8" s="11">
        <f t="shared" ref="G8:G11" si="2">E8*F8</f>
        <v>100</v>
      </c>
      <c r="H8" s="10">
        <v>1.0</v>
      </c>
      <c r="I8" s="10">
        <v>600.0</v>
      </c>
      <c r="J8" s="11">
        <f t="shared" ref="J8:J11" si="3">H8*I8</f>
        <v>600</v>
      </c>
      <c r="K8" s="10" t="s">
        <v>19</v>
      </c>
      <c r="L8" s="10">
        <v>6500.0</v>
      </c>
    </row>
    <row r="9">
      <c r="B9" s="8" t="s">
        <v>20</v>
      </c>
      <c r="C9" s="9">
        <v>13.69</v>
      </c>
      <c r="D9" s="9">
        <v>15.41</v>
      </c>
      <c r="E9" s="10">
        <v>2.0</v>
      </c>
      <c r="F9" s="10">
        <v>100.0</v>
      </c>
      <c r="G9" s="11">
        <f t="shared" si="2"/>
        <v>200</v>
      </c>
      <c r="H9" s="10">
        <v>3.0</v>
      </c>
      <c r="I9" s="10">
        <v>100.0</v>
      </c>
      <c r="J9" s="11">
        <f t="shared" si="3"/>
        <v>300</v>
      </c>
      <c r="K9" s="10" t="s">
        <v>21</v>
      </c>
      <c r="L9" s="10">
        <v>1900.0</v>
      </c>
    </row>
    <row r="10">
      <c r="B10" s="8" t="s">
        <v>22</v>
      </c>
      <c r="C10" s="9">
        <v>12.69</v>
      </c>
      <c r="D10" s="9">
        <v>15.41</v>
      </c>
      <c r="E10" s="10">
        <v>2.0</v>
      </c>
      <c r="F10" s="10">
        <v>100.0</v>
      </c>
      <c r="G10" s="11">
        <f t="shared" si="2"/>
        <v>200</v>
      </c>
      <c r="H10" s="10">
        <v>3.0</v>
      </c>
      <c r="I10" s="10">
        <v>100.0</v>
      </c>
      <c r="J10" s="11">
        <f t="shared" si="3"/>
        <v>300</v>
      </c>
      <c r="K10" s="16" t="s">
        <v>21</v>
      </c>
      <c r="L10" s="10">
        <v>1900.0</v>
      </c>
    </row>
    <row r="11">
      <c r="B11" s="12" t="s">
        <v>23</v>
      </c>
      <c r="C11" s="13">
        <v>6.68</v>
      </c>
      <c r="D11" s="13">
        <v>11.87</v>
      </c>
      <c r="E11" s="14">
        <v>1.0</v>
      </c>
      <c r="F11" s="14">
        <v>100.0</v>
      </c>
      <c r="G11" s="15">
        <f t="shared" si="2"/>
        <v>100</v>
      </c>
      <c r="H11" s="14">
        <v>1.0</v>
      </c>
      <c r="I11" s="14">
        <v>600.0</v>
      </c>
      <c r="J11" s="15">
        <f t="shared" si="3"/>
        <v>600</v>
      </c>
      <c r="K11" s="10" t="s">
        <v>19</v>
      </c>
      <c r="L11" s="10">
        <v>6500.0</v>
      </c>
    </row>
    <row r="12">
      <c r="B12" s="6"/>
      <c r="C12" s="6"/>
      <c r="D12" s="6"/>
      <c r="E12" s="6"/>
      <c r="F12" s="6"/>
      <c r="G12" s="6"/>
      <c r="H12" s="6"/>
      <c r="I12" s="6"/>
      <c r="J12" s="6"/>
      <c r="K12" s="10" t="s">
        <v>24</v>
      </c>
      <c r="L12" s="10">
        <v>5670.0</v>
      </c>
    </row>
    <row r="13">
      <c r="B13" s="8" t="s">
        <v>25</v>
      </c>
      <c r="C13" s="9">
        <v>4.3</v>
      </c>
      <c r="D13" s="9">
        <v>8.3</v>
      </c>
      <c r="E13" s="10">
        <v>1.0</v>
      </c>
      <c r="F13" s="10">
        <v>100.0</v>
      </c>
      <c r="G13" s="11">
        <f t="shared" ref="G13:G15" si="4">E13*F13</f>
        <v>100</v>
      </c>
      <c r="H13" s="10">
        <v>3.0</v>
      </c>
      <c r="I13" s="10">
        <v>600.0</v>
      </c>
      <c r="J13" s="11">
        <f t="shared" ref="J13:J15" si="5">H13*I13</f>
        <v>1800</v>
      </c>
      <c r="K13" s="10" t="s">
        <v>26</v>
      </c>
      <c r="L13" s="10">
        <v>1750.0</v>
      </c>
    </row>
    <row r="14">
      <c r="B14" s="8" t="s">
        <v>27</v>
      </c>
      <c r="C14" s="9">
        <v>1.56</v>
      </c>
      <c r="D14" s="9">
        <v>5.08</v>
      </c>
      <c r="E14" s="10">
        <v>1.0</v>
      </c>
      <c r="F14" s="10">
        <v>100.0</v>
      </c>
      <c r="G14" s="11">
        <f t="shared" si="4"/>
        <v>100</v>
      </c>
      <c r="H14" s="10">
        <v>1.0</v>
      </c>
      <c r="I14" s="10">
        <v>100.0</v>
      </c>
      <c r="J14" s="11">
        <f t="shared" si="5"/>
        <v>100</v>
      </c>
      <c r="K14" s="10" t="s">
        <v>14</v>
      </c>
      <c r="L14" s="10" t="s">
        <v>14</v>
      </c>
    </row>
    <row r="15">
      <c r="B15" s="8" t="s">
        <v>28</v>
      </c>
      <c r="C15" s="10" t="s">
        <v>14</v>
      </c>
      <c r="D15" s="10" t="s">
        <v>14</v>
      </c>
      <c r="E15" s="10">
        <v>2.0</v>
      </c>
      <c r="F15" s="10">
        <v>100.0</v>
      </c>
      <c r="G15" s="11">
        <f t="shared" si="4"/>
        <v>200</v>
      </c>
      <c r="H15" s="10">
        <v>1.0</v>
      </c>
      <c r="I15" s="10">
        <v>100.0</v>
      </c>
      <c r="J15" s="11">
        <f t="shared" si="5"/>
        <v>100</v>
      </c>
      <c r="K15" s="10" t="s">
        <v>14</v>
      </c>
      <c r="L15" s="10" t="s">
        <v>14</v>
      </c>
    </row>
    <row r="16">
      <c r="B16" s="17" t="s">
        <v>29</v>
      </c>
      <c r="C16" s="18">
        <f>SUM(C5:C14)</f>
        <v>72.2</v>
      </c>
      <c r="D16" s="19"/>
      <c r="E16" s="20">
        <f>SUM(E5:E15)</f>
        <v>13</v>
      </c>
      <c r="F16" s="19"/>
      <c r="G16" s="20">
        <f t="shared" ref="G16:H16" si="6">SUM(G5:G15)</f>
        <v>1500</v>
      </c>
      <c r="H16" s="20">
        <f t="shared" si="6"/>
        <v>21</v>
      </c>
      <c r="I16" s="19"/>
      <c r="J16" s="20">
        <f>SUM(J5:J15)</f>
        <v>6100</v>
      </c>
      <c r="K16" s="19"/>
      <c r="L16" s="20">
        <f>SUM(L5:L15)</f>
        <v>27595</v>
      </c>
    </row>
    <row r="18">
      <c r="B18" s="5" t="s">
        <v>30</v>
      </c>
      <c r="C18" s="2"/>
      <c r="D18" s="2"/>
      <c r="E18" s="2"/>
      <c r="F18" s="2"/>
      <c r="G18" s="2"/>
      <c r="H18" s="2"/>
      <c r="I18" s="3"/>
    </row>
    <row r="19">
      <c r="B19" s="5" t="s">
        <v>31</v>
      </c>
      <c r="C19" s="2"/>
      <c r="D19" s="2"/>
      <c r="E19" s="2"/>
      <c r="F19" s="2"/>
      <c r="G19" s="2"/>
      <c r="H19" s="2"/>
      <c r="I19" s="3"/>
    </row>
    <row r="20">
      <c r="B20" s="21" t="s">
        <v>32</v>
      </c>
      <c r="C20" s="2"/>
      <c r="D20" s="2"/>
      <c r="E20" s="3"/>
      <c r="F20" s="22" t="s">
        <v>33</v>
      </c>
      <c r="G20" s="23"/>
      <c r="H20" s="23"/>
      <c r="I20" s="24"/>
    </row>
    <row r="21">
      <c r="B21" s="21" t="s">
        <v>34</v>
      </c>
      <c r="C21" s="2"/>
      <c r="D21" s="2"/>
      <c r="E21" s="3"/>
      <c r="F21" s="25"/>
      <c r="I21" s="26"/>
    </row>
    <row r="22">
      <c r="B22" s="21" t="s">
        <v>35</v>
      </c>
      <c r="C22" s="2"/>
      <c r="D22" s="2"/>
      <c r="E22" s="3"/>
      <c r="F22" s="25"/>
      <c r="I22" s="26"/>
    </row>
    <row r="23">
      <c r="B23" s="21" t="s">
        <v>36</v>
      </c>
      <c r="C23" s="2"/>
      <c r="D23" s="2"/>
      <c r="E23" s="3"/>
      <c r="F23" s="25"/>
      <c r="I23" s="26"/>
    </row>
    <row r="24">
      <c r="B24" s="21" t="s">
        <v>37</v>
      </c>
      <c r="C24" s="2"/>
      <c r="D24" s="2"/>
      <c r="E24" s="3"/>
      <c r="F24" s="27"/>
      <c r="G24" s="28"/>
      <c r="H24" s="28"/>
      <c r="I24" s="29"/>
    </row>
    <row r="25">
      <c r="B25" s="30"/>
      <c r="C25" s="30"/>
      <c r="D25" s="30"/>
      <c r="E25" s="30"/>
    </row>
  </sheetData>
  <mergeCells count="30">
    <mergeCell ref="E6:E7"/>
    <mergeCell ref="F6:F7"/>
    <mergeCell ref="G6:G7"/>
    <mergeCell ref="J6:J7"/>
    <mergeCell ref="B2:L2"/>
    <mergeCell ref="B3:B4"/>
    <mergeCell ref="C3:D3"/>
    <mergeCell ref="E3:G3"/>
    <mergeCell ref="H3:J3"/>
    <mergeCell ref="K3:L3"/>
    <mergeCell ref="B6:B7"/>
    <mergeCell ref="C6:C7"/>
    <mergeCell ref="D6:D7"/>
    <mergeCell ref="B11:B12"/>
    <mergeCell ref="C11:C12"/>
    <mergeCell ref="D11:D12"/>
    <mergeCell ref="E11:E12"/>
    <mergeCell ref="F11:F12"/>
    <mergeCell ref="B20:E20"/>
    <mergeCell ref="B21:E21"/>
    <mergeCell ref="B22:E22"/>
    <mergeCell ref="B23:E23"/>
    <mergeCell ref="G11:G12"/>
    <mergeCell ref="H11:H12"/>
    <mergeCell ref="I11:I12"/>
    <mergeCell ref="J11:J12"/>
    <mergeCell ref="B18:I18"/>
    <mergeCell ref="B19:I19"/>
    <mergeCell ref="F20:I24"/>
    <mergeCell ref="B24:E24"/>
  </mergeCells>
  <hyperlinks>
    <hyperlink r:id="rId1" ref="F20"/>
  </hyperlinks>
  <printOptions horizontalCentered="1"/>
  <pageMargins bottom="0.75" footer="0.0" header="0.0" left="0.7" right="0.7" top="0.75"/>
  <pageSetup fitToHeight="0" paperSize="9" orientation="landscape" pageOrder="overThenDown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3" max="3" width="32.13"/>
    <col customWidth="1" min="4" max="4" width="11.38"/>
    <col customWidth="1" min="5" max="5" width="10.88"/>
  </cols>
  <sheetData>
    <row r="2">
      <c r="B2" s="31" t="s">
        <v>38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4"/>
    </row>
    <row r="3">
      <c r="B3" s="4" t="s">
        <v>39</v>
      </c>
      <c r="C3" s="4" t="s">
        <v>40</v>
      </c>
      <c r="D3" s="5" t="s">
        <v>41</v>
      </c>
      <c r="E3" s="3"/>
      <c r="F3" s="5" t="s">
        <v>42</v>
      </c>
      <c r="G3" s="3"/>
      <c r="H3" s="4" t="s">
        <v>43</v>
      </c>
      <c r="I3" s="4" t="s">
        <v>44</v>
      </c>
      <c r="J3" s="4" t="s">
        <v>45</v>
      </c>
      <c r="K3" s="4" t="s">
        <v>46</v>
      </c>
      <c r="L3" s="4" t="s">
        <v>47</v>
      </c>
      <c r="M3" s="4" t="s">
        <v>48</v>
      </c>
      <c r="N3" s="4" t="s">
        <v>49</v>
      </c>
      <c r="O3" s="4" t="s">
        <v>50</v>
      </c>
      <c r="P3" s="5" t="s">
        <v>51</v>
      </c>
      <c r="Q3" s="2"/>
      <c r="R3" s="3"/>
    </row>
    <row r="4">
      <c r="B4" s="6"/>
      <c r="C4" s="6"/>
      <c r="D4" s="7">
        <v>100.0</v>
      </c>
      <c r="E4" s="7">
        <v>200.0</v>
      </c>
      <c r="F4" s="7">
        <v>100.0</v>
      </c>
      <c r="G4" s="7">
        <v>600.0</v>
      </c>
      <c r="H4" s="6"/>
      <c r="I4" s="6"/>
      <c r="J4" s="6"/>
      <c r="K4" s="6"/>
      <c r="L4" s="6"/>
      <c r="M4" s="6"/>
      <c r="N4" s="6"/>
      <c r="O4" s="6"/>
      <c r="P4" s="7" t="s">
        <v>52</v>
      </c>
      <c r="Q4" s="7" t="s">
        <v>53</v>
      </c>
      <c r="R4" s="7" t="s">
        <v>54</v>
      </c>
    </row>
    <row r="5">
      <c r="B5" s="7">
        <v>1.0</v>
      </c>
      <c r="C5" s="32" t="s">
        <v>55</v>
      </c>
      <c r="D5" s="32">
        <v>7.0</v>
      </c>
      <c r="E5" s="32">
        <v>0.0</v>
      </c>
      <c r="F5" s="32" t="s">
        <v>56</v>
      </c>
      <c r="G5" s="32" t="s">
        <v>56</v>
      </c>
      <c r="H5" s="32" t="s">
        <v>56</v>
      </c>
      <c r="I5" s="32">
        <f>(D5*D4)+(E5*E4)</f>
        <v>700</v>
      </c>
      <c r="J5" s="32">
        <v>127.0</v>
      </c>
      <c r="K5" s="33">
        <f t="shared" ref="K5:K26" si="1">I5/J5</f>
        <v>5.511811024</v>
      </c>
      <c r="L5" s="32">
        <v>0.95</v>
      </c>
      <c r="M5" s="34">
        <f t="shared" ref="M5:M26" si="2">I5*L5</f>
        <v>665</v>
      </c>
      <c r="N5" s="34">
        <f>'Dimensionamento de Condutores'!G4</f>
        <v>1.5</v>
      </c>
      <c r="O5" s="34">
        <f>'Dimensionamento de Disjuntores'!O4</f>
        <v>10</v>
      </c>
      <c r="P5" s="32"/>
      <c r="Q5" s="32">
        <v>665.0</v>
      </c>
      <c r="R5" s="34"/>
    </row>
    <row r="6">
      <c r="B6" s="7">
        <v>2.0</v>
      </c>
      <c r="C6" s="32" t="s">
        <v>57</v>
      </c>
      <c r="D6" s="32">
        <v>4.0</v>
      </c>
      <c r="E6" s="32">
        <v>2.0</v>
      </c>
      <c r="F6" s="32" t="s">
        <v>56</v>
      </c>
      <c r="G6" s="32" t="s">
        <v>56</v>
      </c>
      <c r="H6" s="32" t="s">
        <v>56</v>
      </c>
      <c r="I6" s="32">
        <f>(D6*D4)+(E6*E4)</f>
        <v>800</v>
      </c>
      <c r="J6" s="32">
        <v>127.0</v>
      </c>
      <c r="K6" s="33">
        <f t="shared" si="1"/>
        <v>6.299212598</v>
      </c>
      <c r="L6" s="32">
        <v>0.95</v>
      </c>
      <c r="M6" s="34">
        <f t="shared" si="2"/>
        <v>760</v>
      </c>
      <c r="N6" s="34">
        <f>'Dimensionamento de Condutores'!G5</f>
        <v>1.5</v>
      </c>
      <c r="O6" s="34">
        <f>'Dimensionamento de Disjuntores'!O5</f>
        <v>10</v>
      </c>
      <c r="P6" s="34"/>
      <c r="Q6" s="35">
        <v>760.0</v>
      </c>
      <c r="R6" s="36"/>
    </row>
    <row r="7">
      <c r="B7" s="7">
        <v>3.0</v>
      </c>
      <c r="C7" s="32" t="s">
        <v>58</v>
      </c>
      <c r="D7" s="32" t="s">
        <v>56</v>
      </c>
      <c r="E7" s="32" t="s">
        <v>56</v>
      </c>
      <c r="F7" s="32">
        <v>6.0</v>
      </c>
      <c r="G7" s="32">
        <v>0.0</v>
      </c>
      <c r="H7" s="32" t="s">
        <v>56</v>
      </c>
      <c r="I7" s="32">
        <f>(F7*F4)+(G7*G4)</f>
        <v>600</v>
      </c>
      <c r="J7" s="32">
        <v>127.0</v>
      </c>
      <c r="K7" s="33">
        <f t="shared" si="1"/>
        <v>4.724409449</v>
      </c>
      <c r="L7" s="37">
        <v>0.8</v>
      </c>
      <c r="M7" s="34">
        <f t="shared" si="2"/>
        <v>480</v>
      </c>
      <c r="N7" s="34">
        <f>'Dimensionamento de Condutores'!G6</f>
        <v>2.5</v>
      </c>
      <c r="O7" s="34">
        <f>'Dimensionamento de Disjuntores'!O6</f>
        <v>10</v>
      </c>
      <c r="P7" s="34"/>
      <c r="Q7" s="34"/>
      <c r="R7" s="32">
        <v>480.0</v>
      </c>
    </row>
    <row r="8">
      <c r="B8" s="7">
        <v>4.0</v>
      </c>
      <c r="C8" s="32" t="s">
        <v>59</v>
      </c>
      <c r="D8" s="32" t="s">
        <v>56</v>
      </c>
      <c r="E8" s="32" t="s">
        <v>56</v>
      </c>
      <c r="F8" s="32">
        <v>3.0</v>
      </c>
      <c r="G8" s="32">
        <v>0.0</v>
      </c>
      <c r="H8" s="32" t="s">
        <v>56</v>
      </c>
      <c r="I8" s="32">
        <f>(F8*F4)+(G8*G4)</f>
        <v>300</v>
      </c>
      <c r="J8" s="32">
        <v>127.0</v>
      </c>
      <c r="K8" s="33">
        <f t="shared" si="1"/>
        <v>2.362204724</v>
      </c>
      <c r="L8" s="37">
        <v>0.8</v>
      </c>
      <c r="M8" s="34">
        <f t="shared" si="2"/>
        <v>240</v>
      </c>
      <c r="N8" s="34">
        <f>'Dimensionamento de Condutores'!G7</f>
        <v>2.5</v>
      </c>
      <c r="O8" s="34">
        <f>'Dimensionamento de Disjuntores'!O7</f>
        <v>6</v>
      </c>
      <c r="P8" s="32">
        <v>240.0</v>
      </c>
      <c r="Q8" s="32"/>
      <c r="R8" s="34"/>
    </row>
    <row r="9">
      <c r="B9" s="7">
        <v>5.0</v>
      </c>
      <c r="C9" s="32" t="s">
        <v>60</v>
      </c>
      <c r="D9" s="32" t="s">
        <v>56</v>
      </c>
      <c r="E9" s="32" t="s">
        <v>56</v>
      </c>
      <c r="F9" s="32" t="s">
        <v>56</v>
      </c>
      <c r="G9" s="32" t="s">
        <v>56</v>
      </c>
      <c r="H9" s="32">
        <v>1900.0</v>
      </c>
      <c r="I9" s="32">
        <f>H9</f>
        <v>1900</v>
      </c>
      <c r="J9" s="32">
        <v>127.0</v>
      </c>
      <c r="K9" s="33">
        <f t="shared" si="1"/>
        <v>14.96062992</v>
      </c>
      <c r="L9" s="37">
        <v>0.8</v>
      </c>
      <c r="M9" s="34">
        <f t="shared" si="2"/>
        <v>1520</v>
      </c>
      <c r="N9" s="34">
        <f>'Dimensionamento de Condutores'!G8</f>
        <v>2.5</v>
      </c>
      <c r="O9" s="34">
        <f>'Dimensionamento de Disjuntores'!O8</f>
        <v>16</v>
      </c>
      <c r="P9" s="34"/>
      <c r="Q9" s="32">
        <v>1520.0</v>
      </c>
      <c r="R9" s="34"/>
    </row>
    <row r="10">
      <c r="B10" s="7">
        <v>6.0</v>
      </c>
      <c r="C10" s="32" t="s">
        <v>61</v>
      </c>
      <c r="D10" s="32" t="s">
        <v>56</v>
      </c>
      <c r="E10" s="32" t="s">
        <v>56</v>
      </c>
      <c r="F10" s="32">
        <v>0.0</v>
      </c>
      <c r="G10" s="32">
        <v>1.0</v>
      </c>
      <c r="H10" s="32" t="s">
        <v>56</v>
      </c>
      <c r="I10" s="32">
        <f>(F10*F4)+(G10*G4)</f>
        <v>600</v>
      </c>
      <c r="J10" s="32">
        <v>127.0</v>
      </c>
      <c r="K10" s="33">
        <f t="shared" si="1"/>
        <v>4.724409449</v>
      </c>
      <c r="L10" s="37">
        <v>0.8</v>
      </c>
      <c r="M10" s="34">
        <f t="shared" si="2"/>
        <v>480</v>
      </c>
      <c r="N10" s="34">
        <f>'Dimensionamento de Condutores'!G9</f>
        <v>2.5</v>
      </c>
      <c r="O10" s="34">
        <f>'Dimensionamento de Disjuntores'!O9</f>
        <v>10</v>
      </c>
      <c r="P10" s="34"/>
      <c r="Q10" s="34"/>
      <c r="R10" s="32">
        <v>480.0</v>
      </c>
    </row>
    <row r="11">
      <c r="B11" s="7">
        <v>7.0</v>
      </c>
      <c r="C11" s="32" t="s">
        <v>62</v>
      </c>
      <c r="D11" s="32" t="s">
        <v>56</v>
      </c>
      <c r="E11" s="32" t="s">
        <v>56</v>
      </c>
      <c r="F11" s="32" t="s">
        <v>56</v>
      </c>
      <c r="G11" s="32" t="s">
        <v>56</v>
      </c>
      <c r="H11" s="32">
        <v>5670.0</v>
      </c>
      <c r="I11" s="32">
        <f t="shared" ref="I11:I12" si="3">H11</f>
        <v>5670</v>
      </c>
      <c r="J11" s="32">
        <v>220.0</v>
      </c>
      <c r="K11" s="33">
        <f t="shared" si="1"/>
        <v>25.77272727</v>
      </c>
      <c r="L11" s="37">
        <v>0.8</v>
      </c>
      <c r="M11" s="34">
        <f t="shared" si="2"/>
        <v>4536</v>
      </c>
      <c r="N11" s="34">
        <f>'Dimensionamento de Condutores'!G10</f>
        <v>6</v>
      </c>
      <c r="O11" s="34">
        <f>'Dimensionamento de Disjuntores'!O10</f>
        <v>25</v>
      </c>
      <c r="P11" s="32">
        <v>2268.0</v>
      </c>
      <c r="Q11" s="32">
        <v>2268.0</v>
      </c>
      <c r="R11" s="34"/>
    </row>
    <row r="12">
      <c r="B12" s="7">
        <v>8.0</v>
      </c>
      <c r="C12" s="32" t="s">
        <v>63</v>
      </c>
      <c r="D12" s="32" t="s">
        <v>56</v>
      </c>
      <c r="E12" s="32" t="s">
        <v>56</v>
      </c>
      <c r="F12" s="32" t="s">
        <v>56</v>
      </c>
      <c r="G12" s="32" t="s">
        <v>56</v>
      </c>
      <c r="H12" s="32">
        <v>6500.0</v>
      </c>
      <c r="I12" s="32">
        <f t="shared" si="3"/>
        <v>6500</v>
      </c>
      <c r="J12" s="32">
        <v>220.0</v>
      </c>
      <c r="K12" s="33">
        <f t="shared" si="1"/>
        <v>29.54545455</v>
      </c>
      <c r="L12" s="32">
        <v>1.0</v>
      </c>
      <c r="M12" s="34">
        <f t="shared" si="2"/>
        <v>6500</v>
      </c>
      <c r="N12" s="34">
        <f>'Dimensionamento de Condutores'!G11</f>
        <v>10</v>
      </c>
      <c r="O12" s="34">
        <f>'Dimensionamento de Disjuntores'!O11</f>
        <v>32</v>
      </c>
      <c r="P12" s="32">
        <v>3250.0</v>
      </c>
      <c r="Q12" s="32"/>
      <c r="R12" s="32">
        <v>3250.0</v>
      </c>
    </row>
    <row r="13">
      <c r="B13" s="7">
        <v>9.0</v>
      </c>
      <c r="C13" s="32" t="s">
        <v>64</v>
      </c>
      <c r="D13" s="32" t="s">
        <v>56</v>
      </c>
      <c r="E13" s="32" t="s">
        <v>56</v>
      </c>
      <c r="F13" s="32">
        <v>3.0</v>
      </c>
      <c r="G13" s="32">
        <v>0.0</v>
      </c>
      <c r="H13" s="32" t="s">
        <v>56</v>
      </c>
      <c r="I13" s="32">
        <f>(F13*F4)+(G13*G4)</f>
        <v>300</v>
      </c>
      <c r="J13" s="32">
        <v>127.0</v>
      </c>
      <c r="K13" s="33">
        <f t="shared" si="1"/>
        <v>2.362204724</v>
      </c>
      <c r="L13" s="37">
        <v>0.8</v>
      </c>
      <c r="M13" s="34">
        <f t="shared" si="2"/>
        <v>240</v>
      </c>
      <c r="N13" s="34">
        <f>'Dimensionamento de Condutores'!G12</f>
        <v>2.5</v>
      </c>
      <c r="O13" s="34">
        <f>'Dimensionamento de Disjuntores'!O12</f>
        <v>6</v>
      </c>
      <c r="P13" s="38"/>
      <c r="Q13" s="39"/>
      <c r="R13" s="39">
        <v>240.0</v>
      </c>
    </row>
    <row r="14">
      <c r="B14" s="7">
        <v>10.0</v>
      </c>
      <c r="C14" s="32" t="s">
        <v>65</v>
      </c>
      <c r="D14" s="32" t="s">
        <v>56</v>
      </c>
      <c r="E14" s="32" t="s">
        <v>56</v>
      </c>
      <c r="F14" s="32" t="s">
        <v>56</v>
      </c>
      <c r="G14" s="32" t="s">
        <v>56</v>
      </c>
      <c r="H14" s="32">
        <v>1900.0</v>
      </c>
      <c r="I14" s="32">
        <f>H14</f>
        <v>1900</v>
      </c>
      <c r="J14" s="32">
        <v>127.0</v>
      </c>
      <c r="K14" s="33">
        <f t="shared" si="1"/>
        <v>14.96062992</v>
      </c>
      <c r="L14" s="37">
        <v>0.8</v>
      </c>
      <c r="M14" s="34">
        <f t="shared" si="2"/>
        <v>1520</v>
      </c>
      <c r="N14" s="34">
        <f>'Dimensionamento de Condutores'!G13</f>
        <v>2.5</v>
      </c>
      <c r="O14" s="34">
        <f>'Dimensionamento de Disjuntores'!O13</f>
        <v>13</v>
      </c>
      <c r="P14" s="39">
        <v>1520.0</v>
      </c>
      <c r="Q14" s="38"/>
      <c r="R14" s="38"/>
    </row>
    <row r="15">
      <c r="B15" s="7">
        <v>11.0</v>
      </c>
      <c r="C15" s="32" t="s">
        <v>66</v>
      </c>
      <c r="D15" s="32" t="s">
        <v>56</v>
      </c>
      <c r="E15" s="32" t="s">
        <v>56</v>
      </c>
      <c r="F15" s="32">
        <v>0.0</v>
      </c>
      <c r="G15" s="32">
        <v>3.0</v>
      </c>
      <c r="H15" s="32" t="s">
        <v>56</v>
      </c>
      <c r="I15" s="32">
        <f>(F15*F4)+(G15*G4)</f>
        <v>1800</v>
      </c>
      <c r="J15" s="32">
        <v>127.0</v>
      </c>
      <c r="K15" s="33">
        <f t="shared" si="1"/>
        <v>14.17322835</v>
      </c>
      <c r="L15" s="37">
        <v>0.8</v>
      </c>
      <c r="M15" s="34">
        <f t="shared" si="2"/>
        <v>1440</v>
      </c>
      <c r="N15" s="34">
        <f>'Dimensionamento de Condutores'!G14</f>
        <v>2.5</v>
      </c>
      <c r="O15" s="34">
        <f>'Dimensionamento de Disjuntores'!O14</f>
        <v>13</v>
      </c>
      <c r="P15" s="39">
        <v>1440.0</v>
      </c>
      <c r="Q15" s="39"/>
      <c r="R15" s="38"/>
    </row>
    <row r="16">
      <c r="B16" s="7">
        <v>12.0</v>
      </c>
      <c r="C16" s="32" t="s">
        <v>67</v>
      </c>
      <c r="D16" s="32" t="s">
        <v>56</v>
      </c>
      <c r="E16" s="32" t="s">
        <v>56</v>
      </c>
      <c r="F16" s="32" t="s">
        <v>56</v>
      </c>
      <c r="G16" s="32" t="s">
        <v>56</v>
      </c>
      <c r="H16" s="32">
        <v>1750.0</v>
      </c>
      <c r="I16" s="32">
        <f>H16</f>
        <v>1750</v>
      </c>
      <c r="J16" s="32">
        <v>220.0</v>
      </c>
      <c r="K16" s="33">
        <f t="shared" si="1"/>
        <v>7.954545455</v>
      </c>
      <c r="L16" s="37">
        <v>0.8</v>
      </c>
      <c r="M16" s="34">
        <f t="shared" si="2"/>
        <v>1400</v>
      </c>
      <c r="N16" s="34">
        <f>'Dimensionamento de Condutores'!G15</f>
        <v>2.5</v>
      </c>
      <c r="O16" s="34">
        <f>'Dimensionamento de Disjuntores'!O15</f>
        <v>13</v>
      </c>
      <c r="P16" s="39">
        <v>700.0</v>
      </c>
      <c r="Q16" s="39">
        <v>700.0</v>
      </c>
      <c r="R16" s="38"/>
    </row>
    <row r="17">
      <c r="B17" s="7">
        <v>13.0</v>
      </c>
      <c r="C17" s="32" t="s">
        <v>68</v>
      </c>
      <c r="D17" s="32" t="s">
        <v>56</v>
      </c>
      <c r="E17" s="32" t="s">
        <v>56</v>
      </c>
      <c r="F17" s="32">
        <v>1.0</v>
      </c>
      <c r="G17" s="32">
        <v>3.0</v>
      </c>
      <c r="H17" s="32" t="s">
        <v>56</v>
      </c>
      <c r="I17" s="32">
        <f>(F17*F4)+(G17*G4)</f>
        <v>1900</v>
      </c>
      <c r="J17" s="32">
        <v>127.0</v>
      </c>
      <c r="K17" s="33">
        <f t="shared" si="1"/>
        <v>14.96062992</v>
      </c>
      <c r="L17" s="37">
        <v>0.8</v>
      </c>
      <c r="M17" s="34">
        <f t="shared" si="2"/>
        <v>1520</v>
      </c>
      <c r="N17" s="34">
        <f>'Dimensionamento de Condutores'!G16</f>
        <v>2.5</v>
      </c>
      <c r="O17" s="34">
        <f>'Dimensionamento de Disjuntores'!O16</f>
        <v>16</v>
      </c>
      <c r="P17" s="38"/>
      <c r="Q17" s="38"/>
      <c r="R17" s="39">
        <v>1300.0</v>
      </c>
    </row>
    <row r="18">
      <c r="B18" s="7">
        <v>14.0</v>
      </c>
      <c r="C18" s="32" t="s">
        <v>69</v>
      </c>
      <c r="D18" s="32" t="s">
        <v>56</v>
      </c>
      <c r="E18" s="32" t="s">
        <v>56</v>
      </c>
      <c r="F18" s="32" t="s">
        <v>56</v>
      </c>
      <c r="G18" s="32" t="s">
        <v>56</v>
      </c>
      <c r="H18" s="32">
        <v>1750.0</v>
      </c>
      <c r="I18" s="32">
        <f t="shared" ref="I18:I20" si="4">H18</f>
        <v>1750</v>
      </c>
      <c r="J18" s="32">
        <v>220.0</v>
      </c>
      <c r="K18" s="33">
        <f t="shared" si="1"/>
        <v>7.954545455</v>
      </c>
      <c r="L18" s="37">
        <v>0.8</v>
      </c>
      <c r="M18" s="34">
        <f t="shared" si="2"/>
        <v>1400</v>
      </c>
      <c r="N18" s="34">
        <f>'Dimensionamento de Condutores'!G17</f>
        <v>2.5</v>
      </c>
      <c r="O18" s="34">
        <f>'Dimensionamento de Disjuntores'!O17</f>
        <v>13</v>
      </c>
      <c r="P18" s="39">
        <v>700.0</v>
      </c>
      <c r="Q18" s="39">
        <v>700.0</v>
      </c>
      <c r="R18" s="38"/>
    </row>
    <row r="19">
      <c r="B19" s="7">
        <v>15.0</v>
      </c>
      <c r="C19" s="32" t="s">
        <v>70</v>
      </c>
      <c r="D19" s="32" t="s">
        <v>56</v>
      </c>
      <c r="E19" s="32" t="s">
        <v>56</v>
      </c>
      <c r="F19" s="32" t="s">
        <v>56</v>
      </c>
      <c r="G19" s="32" t="s">
        <v>56</v>
      </c>
      <c r="H19" s="32">
        <v>1625.0</v>
      </c>
      <c r="I19" s="32">
        <f t="shared" si="4"/>
        <v>1625</v>
      </c>
      <c r="J19" s="32">
        <v>220.0</v>
      </c>
      <c r="K19" s="33">
        <f t="shared" si="1"/>
        <v>7.386363636</v>
      </c>
      <c r="L19" s="37">
        <v>0.8</v>
      </c>
      <c r="M19" s="34">
        <f t="shared" si="2"/>
        <v>1300</v>
      </c>
      <c r="N19" s="34">
        <f>'Dimensionamento de Condutores'!G18</f>
        <v>2.5</v>
      </c>
      <c r="O19" s="34">
        <f>'Dimensionamento de Disjuntores'!O18</f>
        <v>13</v>
      </c>
      <c r="P19" s="38"/>
      <c r="Q19" s="39">
        <v>650.0</v>
      </c>
      <c r="R19" s="39">
        <v>650.0</v>
      </c>
    </row>
    <row r="20">
      <c r="B20" s="7">
        <v>16.0</v>
      </c>
      <c r="C20" s="32" t="s">
        <v>71</v>
      </c>
      <c r="D20" s="32" t="s">
        <v>56</v>
      </c>
      <c r="E20" s="32" t="s">
        <v>56</v>
      </c>
      <c r="F20" s="32" t="s">
        <v>56</v>
      </c>
      <c r="G20" s="32" t="s">
        <v>56</v>
      </c>
      <c r="H20" s="32">
        <v>6500.0</v>
      </c>
      <c r="I20" s="32">
        <f t="shared" si="4"/>
        <v>6500</v>
      </c>
      <c r="J20" s="32">
        <v>220.0</v>
      </c>
      <c r="K20" s="33">
        <f t="shared" si="1"/>
        <v>29.54545455</v>
      </c>
      <c r="L20" s="32">
        <v>1.0</v>
      </c>
      <c r="M20" s="34">
        <f t="shared" si="2"/>
        <v>6500</v>
      </c>
      <c r="N20" s="34">
        <f>'Dimensionamento de Condutores'!G19</f>
        <v>10</v>
      </c>
      <c r="O20" s="34">
        <f>'Dimensionamento de Disjuntores'!O19</f>
        <v>32</v>
      </c>
      <c r="P20" s="38"/>
      <c r="Q20" s="39">
        <v>3250.0</v>
      </c>
      <c r="R20" s="39">
        <v>3250.0</v>
      </c>
    </row>
    <row r="21">
      <c r="B21" s="7">
        <v>17.0</v>
      </c>
      <c r="C21" s="32" t="s">
        <v>72</v>
      </c>
      <c r="D21" s="32" t="s">
        <v>56</v>
      </c>
      <c r="E21" s="32" t="s">
        <v>56</v>
      </c>
      <c r="F21" s="32">
        <v>0.0</v>
      </c>
      <c r="G21" s="32">
        <v>1.0</v>
      </c>
      <c r="H21" s="32" t="s">
        <v>56</v>
      </c>
      <c r="I21" s="32">
        <f>(F21*F4)+(G21*G4)</f>
        <v>600</v>
      </c>
      <c r="J21" s="32">
        <v>127.0</v>
      </c>
      <c r="K21" s="33">
        <f t="shared" si="1"/>
        <v>4.724409449</v>
      </c>
      <c r="L21" s="37">
        <v>0.8</v>
      </c>
      <c r="M21" s="34">
        <f t="shared" si="2"/>
        <v>480</v>
      </c>
      <c r="N21" s="34">
        <f>'Dimensionamento de Condutores'!G20</f>
        <v>2.5</v>
      </c>
      <c r="O21" s="34">
        <f>'Dimensionamento de Disjuntores'!O20</f>
        <v>10</v>
      </c>
      <c r="P21" s="39"/>
      <c r="Q21" s="39">
        <v>480.0</v>
      </c>
      <c r="R21" s="38"/>
    </row>
    <row r="22">
      <c r="B22" s="7">
        <v>18.0</v>
      </c>
      <c r="C22" s="32" t="s">
        <v>73</v>
      </c>
      <c r="D22" s="32" t="s">
        <v>56</v>
      </c>
      <c r="E22" s="32" t="s">
        <v>56</v>
      </c>
      <c r="F22" s="32">
        <v>0.0</v>
      </c>
      <c r="G22" s="32">
        <v>1.0</v>
      </c>
      <c r="H22" s="32" t="s">
        <v>56</v>
      </c>
      <c r="I22" s="32">
        <f>(F22*F4)+(G22*G4)</f>
        <v>600</v>
      </c>
      <c r="J22" s="32">
        <v>127.0</v>
      </c>
      <c r="K22" s="33">
        <f t="shared" si="1"/>
        <v>4.724409449</v>
      </c>
      <c r="L22" s="37">
        <v>0.8</v>
      </c>
      <c r="M22" s="34">
        <f t="shared" si="2"/>
        <v>480</v>
      </c>
      <c r="N22" s="34">
        <f>'Dimensionamento de Condutores'!G21</f>
        <v>2.5</v>
      </c>
      <c r="O22" s="34">
        <f>'Dimensionamento de Disjuntores'!O21</f>
        <v>6</v>
      </c>
      <c r="P22" s="38"/>
      <c r="Q22" s="38"/>
      <c r="R22" s="39">
        <v>480.0</v>
      </c>
    </row>
    <row r="23">
      <c r="B23" s="7">
        <v>19.0</v>
      </c>
      <c r="C23" s="32" t="s">
        <v>73</v>
      </c>
      <c r="D23" s="32" t="s">
        <v>56</v>
      </c>
      <c r="E23" s="32" t="s">
        <v>56</v>
      </c>
      <c r="F23" s="32">
        <v>0.0</v>
      </c>
      <c r="G23" s="32">
        <v>1.0</v>
      </c>
      <c r="H23" s="32" t="s">
        <v>56</v>
      </c>
      <c r="I23" s="32">
        <f>(F23*F4)+(G23*G4)</f>
        <v>600</v>
      </c>
      <c r="J23" s="32">
        <v>127.0</v>
      </c>
      <c r="K23" s="33">
        <f t="shared" si="1"/>
        <v>4.724409449</v>
      </c>
      <c r="L23" s="37">
        <v>0.8</v>
      </c>
      <c r="M23" s="34">
        <f t="shared" si="2"/>
        <v>480</v>
      </c>
      <c r="N23" s="34">
        <f>'Dimensionamento de Condutores'!G22</f>
        <v>2.5</v>
      </c>
      <c r="O23" s="34">
        <f>'Dimensionamento de Disjuntores'!O22</f>
        <v>6</v>
      </c>
      <c r="P23" s="39">
        <v>480.0</v>
      </c>
      <c r="Q23" s="38"/>
      <c r="R23" s="38"/>
    </row>
    <row r="24">
      <c r="B24" s="7">
        <v>20.0</v>
      </c>
      <c r="C24" s="32" t="s">
        <v>73</v>
      </c>
      <c r="D24" s="32" t="s">
        <v>56</v>
      </c>
      <c r="E24" s="32" t="s">
        <v>56</v>
      </c>
      <c r="F24" s="32">
        <v>0.0</v>
      </c>
      <c r="G24" s="32">
        <v>1.0</v>
      </c>
      <c r="H24" s="32" t="s">
        <v>56</v>
      </c>
      <c r="I24" s="32">
        <f>(F24*F4)+(G24*G4)</f>
        <v>600</v>
      </c>
      <c r="J24" s="32">
        <v>127.0</v>
      </c>
      <c r="K24" s="33">
        <f t="shared" si="1"/>
        <v>4.724409449</v>
      </c>
      <c r="L24" s="37">
        <v>0.8</v>
      </c>
      <c r="M24" s="34">
        <f t="shared" si="2"/>
        <v>480</v>
      </c>
      <c r="N24" s="34">
        <f>'Dimensionamento de Condutores'!G23</f>
        <v>2.5</v>
      </c>
      <c r="O24" s="34">
        <f>'Dimensionamento de Disjuntores'!O23</f>
        <v>6</v>
      </c>
      <c r="P24" s="38"/>
      <c r="Q24" s="38"/>
      <c r="R24" s="39">
        <v>480.0</v>
      </c>
    </row>
    <row r="25">
      <c r="B25" s="7">
        <v>21.0</v>
      </c>
      <c r="C25" s="32" t="s">
        <v>73</v>
      </c>
      <c r="D25" s="32" t="s">
        <v>56</v>
      </c>
      <c r="E25" s="32" t="s">
        <v>56</v>
      </c>
      <c r="F25" s="32">
        <v>0.0</v>
      </c>
      <c r="G25" s="32">
        <v>1.0</v>
      </c>
      <c r="H25" s="32" t="s">
        <v>56</v>
      </c>
      <c r="I25" s="32">
        <f>(F25*F4)+(G25*G4)</f>
        <v>600</v>
      </c>
      <c r="J25" s="32">
        <v>127.0</v>
      </c>
      <c r="K25" s="33">
        <f t="shared" si="1"/>
        <v>4.724409449</v>
      </c>
      <c r="L25" s="37">
        <v>0.8</v>
      </c>
      <c r="M25" s="34">
        <f t="shared" si="2"/>
        <v>480</v>
      </c>
      <c r="N25" s="34">
        <f>'Dimensionamento de Condutores'!G24</f>
        <v>2.5</v>
      </c>
      <c r="O25" s="34">
        <f>'Dimensionamento de Disjuntores'!O24</f>
        <v>6</v>
      </c>
      <c r="P25" s="39"/>
      <c r="Q25" s="38"/>
      <c r="R25" s="39">
        <v>480.0</v>
      </c>
    </row>
    <row r="26">
      <c r="B26" s="7">
        <v>22.0</v>
      </c>
      <c r="C26" s="32" t="s">
        <v>74</v>
      </c>
      <c r="D26" s="40"/>
      <c r="E26" s="40"/>
      <c r="F26" s="40"/>
      <c r="G26" s="40"/>
      <c r="H26" s="40"/>
      <c r="I26" s="38">
        <f>SUM(I5:I25)</f>
        <v>37595</v>
      </c>
      <c r="J26" s="41">
        <f>ROUND(220*(3^(1/2)),-1)</f>
        <v>380</v>
      </c>
      <c r="K26" s="33">
        <f t="shared" si="1"/>
        <v>98.93421053</v>
      </c>
      <c r="L26" s="37">
        <v>0.8</v>
      </c>
      <c r="M26" s="34">
        <f t="shared" si="2"/>
        <v>30076</v>
      </c>
      <c r="N26" s="34">
        <f>'Dimensionamento de Condutores'!G25</f>
        <v>35</v>
      </c>
      <c r="O26" s="34">
        <f>'Dimensionamento de Disjuntores'!O25</f>
        <v>100</v>
      </c>
      <c r="P26" s="38"/>
      <c r="Q26" s="38"/>
      <c r="R26" s="39"/>
    </row>
    <row r="27">
      <c r="P27" s="20">
        <f t="shared" ref="P27:R27" si="5">SUM(P5:P26)</f>
        <v>10598</v>
      </c>
      <c r="Q27" s="20">
        <f t="shared" si="5"/>
        <v>10993</v>
      </c>
      <c r="R27" s="20">
        <f t="shared" si="5"/>
        <v>11090</v>
      </c>
    </row>
  </sheetData>
  <mergeCells count="14">
    <mergeCell ref="J3:J4"/>
    <mergeCell ref="K3:K4"/>
    <mergeCell ref="L3:L4"/>
    <mergeCell ref="M3:M4"/>
    <mergeCell ref="N3:N4"/>
    <mergeCell ref="O3:O4"/>
    <mergeCell ref="B2:R2"/>
    <mergeCell ref="B3:B4"/>
    <mergeCell ref="C3:C4"/>
    <mergeCell ref="D3:E3"/>
    <mergeCell ref="F3:G3"/>
    <mergeCell ref="H3:H4"/>
    <mergeCell ref="I3:I4"/>
    <mergeCell ref="P3:R3"/>
  </mergeCells>
  <printOptions horizontalCentered="1"/>
  <pageMargins bottom="0.75" footer="0.0" header="0.0" left="0.7" right="0.7" top="0.75"/>
  <pageSetup fitToHeight="0" paperSize="9" orientation="landscape" pageOrder="overThenDown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2.5"/>
    <col customWidth="1" min="4" max="4" width="17.25"/>
    <col customWidth="1" min="5" max="5" width="11.13"/>
    <col customWidth="1" min="6" max="6" width="12.88"/>
    <col customWidth="1" min="10" max="10" width="19.75"/>
  </cols>
  <sheetData>
    <row r="2">
      <c r="B2" s="1" t="s">
        <v>75</v>
      </c>
      <c r="C2" s="2"/>
      <c r="D2" s="2"/>
      <c r="E2" s="2"/>
      <c r="F2" s="2"/>
      <c r="G2" s="2"/>
      <c r="H2" s="2"/>
      <c r="I2" s="2"/>
      <c r="J2" s="2"/>
      <c r="K2" s="3"/>
    </row>
    <row r="3">
      <c r="B3" s="7" t="s">
        <v>39</v>
      </c>
      <c r="C3" s="7" t="s">
        <v>40</v>
      </c>
      <c r="D3" s="7" t="s">
        <v>44</v>
      </c>
      <c r="E3" s="7" t="s">
        <v>45</v>
      </c>
      <c r="F3" s="7" t="s">
        <v>76</v>
      </c>
      <c r="G3" s="7" t="s">
        <v>77</v>
      </c>
      <c r="H3" s="7" t="s">
        <v>78</v>
      </c>
      <c r="I3" s="7" t="s">
        <v>79</v>
      </c>
      <c r="J3" s="7" t="s">
        <v>80</v>
      </c>
      <c r="K3" s="7" t="s">
        <v>81</v>
      </c>
    </row>
    <row r="4">
      <c r="B4" s="7">
        <v>1.0</v>
      </c>
      <c r="C4" s="32" t="s">
        <v>55</v>
      </c>
      <c r="D4" s="32">
        <f>'Quadro de Cargas'!I5</f>
        <v>700</v>
      </c>
      <c r="E4" s="32">
        <f>'Quadro de Cargas'!J5</f>
        <v>127</v>
      </c>
      <c r="F4" s="42">
        <f t="shared" ref="F4:F25" si="1">D4/E4</f>
        <v>5.511811024</v>
      </c>
      <c r="G4" s="39">
        <v>1.0</v>
      </c>
      <c r="H4" s="39">
        <v>1.0</v>
      </c>
      <c r="I4" s="39">
        <v>0.65</v>
      </c>
      <c r="J4" s="42">
        <f t="shared" ref="J4:J25" si="2">F4/(G4*H4*I4)</f>
        <v>8.479709267</v>
      </c>
      <c r="K4" s="39">
        <f t="shared" ref="K4:K24" si="3">IF(J4 &lt;= 9, 0.5, IF(J4 &lt;= 11, 0.75, IF(J4 &lt;= 14, 1, IF(J4 &lt;= 17.5, 1.5, IF(J4 &lt;= 24, 2.5,IF(J4 &lt;= 32, 4, IF(J4 &lt;= 41, 6, IF(J4 &lt;= 57, 10, IF(J4 &lt;= 76, 16, IF(J4 &lt;= 101, 25, IF(J4 &lt;= 125, 35,IF(J4 &lt;= 151, 50,IF(J4 &lt;= 192, 70)))))))))))))</f>
        <v>0.5</v>
      </c>
    </row>
    <row r="5">
      <c r="B5" s="7">
        <v>2.0</v>
      </c>
      <c r="C5" s="32" t="s">
        <v>57</v>
      </c>
      <c r="D5" s="32">
        <f>'Quadro de Cargas'!I6</f>
        <v>800</v>
      </c>
      <c r="E5" s="32">
        <f>'Quadro de Cargas'!J6</f>
        <v>127</v>
      </c>
      <c r="F5" s="42">
        <f t="shared" si="1"/>
        <v>6.299212598</v>
      </c>
      <c r="G5" s="39">
        <v>1.0</v>
      </c>
      <c r="H5" s="39">
        <v>1.0</v>
      </c>
      <c r="I5" s="39">
        <v>0.65</v>
      </c>
      <c r="J5" s="42">
        <f t="shared" si="2"/>
        <v>9.691096305</v>
      </c>
      <c r="K5" s="39">
        <f t="shared" si="3"/>
        <v>0.75</v>
      </c>
    </row>
    <row r="6">
      <c r="B6" s="7">
        <v>3.0</v>
      </c>
      <c r="C6" s="32" t="s">
        <v>58</v>
      </c>
      <c r="D6" s="32">
        <f>'Quadro de Cargas'!I7</f>
        <v>600</v>
      </c>
      <c r="E6" s="32">
        <f>'Quadro de Cargas'!J7</f>
        <v>127</v>
      </c>
      <c r="F6" s="42">
        <f t="shared" si="1"/>
        <v>4.724409449</v>
      </c>
      <c r="G6" s="39">
        <v>1.0</v>
      </c>
      <c r="H6" s="39">
        <v>1.0</v>
      </c>
      <c r="I6" s="39">
        <v>0.65</v>
      </c>
      <c r="J6" s="42">
        <f t="shared" si="2"/>
        <v>7.268322229</v>
      </c>
      <c r="K6" s="39">
        <f t="shared" si="3"/>
        <v>0.5</v>
      </c>
    </row>
    <row r="7">
      <c r="B7" s="7">
        <v>4.0</v>
      </c>
      <c r="C7" s="32" t="s">
        <v>59</v>
      </c>
      <c r="D7" s="32">
        <f>'Quadro de Cargas'!I8</f>
        <v>300</v>
      </c>
      <c r="E7" s="32">
        <f>'Quadro de Cargas'!J8</f>
        <v>127</v>
      </c>
      <c r="F7" s="42">
        <f t="shared" si="1"/>
        <v>2.362204724</v>
      </c>
      <c r="G7" s="39">
        <v>1.0</v>
      </c>
      <c r="H7" s="39">
        <v>1.0</v>
      </c>
      <c r="I7" s="39">
        <v>0.7</v>
      </c>
      <c r="J7" s="42">
        <f t="shared" si="2"/>
        <v>3.374578178</v>
      </c>
      <c r="K7" s="39">
        <f t="shared" si="3"/>
        <v>0.5</v>
      </c>
    </row>
    <row r="8">
      <c r="B8" s="7">
        <v>5.0</v>
      </c>
      <c r="C8" s="32" t="s">
        <v>60</v>
      </c>
      <c r="D8" s="32">
        <f>'Quadro de Cargas'!I9</f>
        <v>1900</v>
      </c>
      <c r="E8" s="32">
        <f>'Quadro de Cargas'!J9</f>
        <v>127</v>
      </c>
      <c r="F8" s="42">
        <f t="shared" si="1"/>
        <v>14.96062992</v>
      </c>
      <c r="G8" s="39">
        <v>1.0</v>
      </c>
      <c r="H8" s="39">
        <v>1.0</v>
      </c>
      <c r="I8" s="39">
        <v>0.7</v>
      </c>
      <c r="J8" s="42">
        <f t="shared" si="2"/>
        <v>21.37232846</v>
      </c>
      <c r="K8" s="39">
        <f t="shared" si="3"/>
        <v>2.5</v>
      </c>
    </row>
    <row r="9">
      <c r="B9" s="7">
        <v>6.0</v>
      </c>
      <c r="C9" s="32" t="s">
        <v>61</v>
      </c>
      <c r="D9" s="32">
        <f>'Quadro de Cargas'!I10</f>
        <v>600</v>
      </c>
      <c r="E9" s="32">
        <f>'Quadro de Cargas'!J10</f>
        <v>127</v>
      </c>
      <c r="F9" s="42">
        <f t="shared" si="1"/>
        <v>4.724409449</v>
      </c>
      <c r="G9" s="39">
        <v>1.0</v>
      </c>
      <c r="H9" s="39">
        <v>1.0</v>
      </c>
      <c r="I9" s="39">
        <v>0.65</v>
      </c>
      <c r="J9" s="42">
        <f t="shared" si="2"/>
        <v>7.268322229</v>
      </c>
      <c r="K9" s="39">
        <f t="shared" si="3"/>
        <v>0.5</v>
      </c>
    </row>
    <row r="10">
      <c r="B10" s="7">
        <v>7.0</v>
      </c>
      <c r="C10" s="32" t="s">
        <v>62</v>
      </c>
      <c r="D10" s="32">
        <f>'Quadro de Cargas'!I11</f>
        <v>5670</v>
      </c>
      <c r="E10" s="32">
        <f>'Quadro de Cargas'!J11</f>
        <v>220</v>
      </c>
      <c r="F10" s="42">
        <f t="shared" si="1"/>
        <v>25.77272727</v>
      </c>
      <c r="G10" s="39">
        <v>1.0</v>
      </c>
      <c r="H10" s="39">
        <v>1.0</v>
      </c>
      <c r="I10" s="39">
        <v>0.65</v>
      </c>
      <c r="J10" s="42">
        <f t="shared" si="2"/>
        <v>39.65034965</v>
      </c>
      <c r="K10" s="39">
        <f t="shared" si="3"/>
        <v>6</v>
      </c>
    </row>
    <row r="11">
      <c r="B11" s="7">
        <v>8.0</v>
      </c>
      <c r="C11" s="32" t="s">
        <v>63</v>
      </c>
      <c r="D11" s="32">
        <f>'Quadro de Cargas'!I12</f>
        <v>6500</v>
      </c>
      <c r="E11" s="32">
        <f>'Quadro de Cargas'!J12</f>
        <v>220</v>
      </c>
      <c r="F11" s="42">
        <f t="shared" si="1"/>
        <v>29.54545455</v>
      </c>
      <c r="G11" s="39">
        <v>1.0</v>
      </c>
      <c r="H11" s="39">
        <v>1.0</v>
      </c>
      <c r="I11" s="39">
        <v>0.65</v>
      </c>
      <c r="J11" s="42">
        <f t="shared" si="2"/>
        <v>45.45454545</v>
      </c>
      <c r="K11" s="39">
        <f t="shared" si="3"/>
        <v>10</v>
      </c>
    </row>
    <row r="12">
      <c r="B12" s="7">
        <v>9.0</v>
      </c>
      <c r="C12" s="32" t="s">
        <v>64</v>
      </c>
      <c r="D12" s="32">
        <f>'Quadro de Cargas'!I13</f>
        <v>300</v>
      </c>
      <c r="E12" s="32">
        <f>'Quadro de Cargas'!J13</f>
        <v>127</v>
      </c>
      <c r="F12" s="42">
        <f t="shared" si="1"/>
        <v>2.362204724</v>
      </c>
      <c r="G12" s="39">
        <v>1.0</v>
      </c>
      <c r="H12" s="39">
        <v>1.0</v>
      </c>
      <c r="I12" s="39">
        <v>0.65</v>
      </c>
      <c r="J12" s="42">
        <f t="shared" si="2"/>
        <v>3.634161114</v>
      </c>
      <c r="K12" s="39">
        <f t="shared" si="3"/>
        <v>0.5</v>
      </c>
    </row>
    <row r="13">
      <c r="B13" s="7">
        <v>10.0</v>
      </c>
      <c r="C13" s="32" t="s">
        <v>65</v>
      </c>
      <c r="D13" s="32">
        <f>'Quadro de Cargas'!I14</f>
        <v>1900</v>
      </c>
      <c r="E13" s="32">
        <f>'Quadro de Cargas'!J14</f>
        <v>127</v>
      </c>
      <c r="F13" s="42">
        <f t="shared" si="1"/>
        <v>14.96062992</v>
      </c>
      <c r="G13" s="39">
        <v>1.0</v>
      </c>
      <c r="H13" s="39">
        <v>1.0</v>
      </c>
      <c r="I13" s="39">
        <v>0.65</v>
      </c>
      <c r="J13" s="42">
        <f t="shared" si="2"/>
        <v>23.01635373</v>
      </c>
      <c r="K13" s="39">
        <f t="shared" si="3"/>
        <v>2.5</v>
      </c>
    </row>
    <row r="14">
      <c r="B14" s="7">
        <v>11.0</v>
      </c>
      <c r="C14" s="32" t="s">
        <v>66</v>
      </c>
      <c r="D14" s="32">
        <f>'Quadro de Cargas'!I15</f>
        <v>1800</v>
      </c>
      <c r="E14" s="32">
        <f>'Quadro de Cargas'!J15</f>
        <v>127</v>
      </c>
      <c r="F14" s="42">
        <f t="shared" si="1"/>
        <v>14.17322835</v>
      </c>
      <c r="G14" s="39">
        <v>1.0</v>
      </c>
      <c r="H14" s="39">
        <v>1.0</v>
      </c>
      <c r="I14" s="39">
        <v>0.65</v>
      </c>
      <c r="J14" s="42">
        <f t="shared" si="2"/>
        <v>21.80496669</v>
      </c>
      <c r="K14" s="39">
        <f t="shared" si="3"/>
        <v>2.5</v>
      </c>
    </row>
    <row r="15">
      <c r="B15" s="7">
        <v>12.0</v>
      </c>
      <c r="C15" s="32" t="s">
        <v>67</v>
      </c>
      <c r="D15" s="32">
        <f>'Quadro de Cargas'!I16</f>
        <v>1750</v>
      </c>
      <c r="E15" s="32">
        <f>'Quadro de Cargas'!J16</f>
        <v>220</v>
      </c>
      <c r="F15" s="42">
        <f t="shared" si="1"/>
        <v>7.954545455</v>
      </c>
      <c r="G15" s="39">
        <v>1.0</v>
      </c>
      <c r="H15" s="39">
        <v>1.0</v>
      </c>
      <c r="I15" s="39">
        <v>0.65</v>
      </c>
      <c r="J15" s="42">
        <f t="shared" si="2"/>
        <v>12.23776224</v>
      </c>
      <c r="K15" s="39">
        <f t="shared" si="3"/>
        <v>1</v>
      </c>
    </row>
    <row r="16">
      <c r="B16" s="7">
        <v>13.0</v>
      </c>
      <c r="C16" s="32" t="s">
        <v>68</v>
      </c>
      <c r="D16" s="32">
        <f>'Quadro de Cargas'!I17</f>
        <v>1900</v>
      </c>
      <c r="E16" s="32">
        <f>'Quadro de Cargas'!J17</f>
        <v>127</v>
      </c>
      <c r="F16" s="42">
        <f t="shared" si="1"/>
        <v>14.96062992</v>
      </c>
      <c r="G16" s="39">
        <v>1.0</v>
      </c>
      <c r="H16" s="39">
        <v>1.0</v>
      </c>
      <c r="I16" s="39">
        <v>0.7</v>
      </c>
      <c r="J16" s="42">
        <f t="shared" si="2"/>
        <v>21.37232846</v>
      </c>
      <c r="K16" s="39">
        <f t="shared" si="3"/>
        <v>2.5</v>
      </c>
    </row>
    <row r="17">
      <c r="B17" s="7">
        <v>14.0</v>
      </c>
      <c r="C17" s="32" t="s">
        <v>69</v>
      </c>
      <c r="D17" s="32">
        <f>'Quadro de Cargas'!I18</f>
        <v>1750</v>
      </c>
      <c r="E17" s="32">
        <f>'Quadro de Cargas'!J18</f>
        <v>220</v>
      </c>
      <c r="F17" s="42">
        <f t="shared" si="1"/>
        <v>7.954545455</v>
      </c>
      <c r="G17" s="39">
        <v>1.0</v>
      </c>
      <c r="H17" s="39">
        <v>1.0</v>
      </c>
      <c r="I17" s="39">
        <v>0.7</v>
      </c>
      <c r="J17" s="42">
        <f t="shared" si="2"/>
        <v>11.36363636</v>
      </c>
      <c r="K17" s="39">
        <f t="shared" si="3"/>
        <v>1</v>
      </c>
    </row>
    <row r="18">
      <c r="B18" s="7">
        <v>15.0</v>
      </c>
      <c r="C18" s="32" t="s">
        <v>70</v>
      </c>
      <c r="D18" s="32">
        <f>'Quadro de Cargas'!I19</f>
        <v>1625</v>
      </c>
      <c r="E18" s="32">
        <f>'Quadro de Cargas'!J19</f>
        <v>220</v>
      </c>
      <c r="F18" s="42">
        <f t="shared" si="1"/>
        <v>7.386363636</v>
      </c>
      <c r="G18" s="39">
        <v>1.0</v>
      </c>
      <c r="H18" s="39">
        <v>1.0</v>
      </c>
      <c r="I18" s="39">
        <v>0.7</v>
      </c>
      <c r="J18" s="42">
        <f t="shared" si="2"/>
        <v>10.55194805</v>
      </c>
      <c r="K18" s="39">
        <f t="shared" si="3"/>
        <v>0.75</v>
      </c>
    </row>
    <row r="19">
      <c r="B19" s="7">
        <v>16.0</v>
      </c>
      <c r="C19" s="32" t="s">
        <v>71</v>
      </c>
      <c r="D19" s="32">
        <f>'Quadro de Cargas'!I20</f>
        <v>6500</v>
      </c>
      <c r="E19" s="32">
        <f>'Quadro de Cargas'!J20</f>
        <v>220</v>
      </c>
      <c r="F19" s="42">
        <f t="shared" si="1"/>
        <v>29.54545455</v>
      </c>
      <c r="G19" s="39">
        <v>1.0</v>
      </c>
      <c r="H19" s="39">
        <v>1.0</v>
      </c>
      <c r="I19" s="39">
        <v>0.65</v>
      </c>
      <c r="J19" s="42">
        <f t="shared" si="2"/>
        <v>45.45454545</v>
      </c>
      <c r="K19" s="39">
        <f t="shared" si="3"/>
        <v>10</v>
      </c>
    </row>
    <row r="20">
      <c r="B20" s="7">
        <v>17.0</v>
      </c>
      <c r="C20" s="32" t="s">
        <v>72</v>
      </c>
      <c r="D20" s="32">
        <f>'Quadro de Cargas'!I21</f>
        <v>600</v>
      </c>
      <c r="E20" s="32">
        <f>'Quadro de Cargas'!J21</f>
        <v>127</v>
      </c>
      <c r="F20" s="42">
        <f t="shared" si="1"/>
        <v>4.724409449</v>
      </c>
      <c r="G20" s="39">
        <v>1.0</v>
      </c>
      <c r="H20" s="39">
        <v>1.0</v>
      </c>
      <c r="I20" s="39">
        <v>0.65</v>
      </c>
      <c r="J20" s="42">
        <f t="shared" si="2"/>
        <v>7.268322229</v>
      </c>
      <c r="K20" s="39">
        <f t="shared" si="3"/>
        <v>0.5</v>
      </c>
    </row>
    <row r="21">
      <c r="B21" s="7">
        <v>18.0</v>
      </c>
      <c r="C21" s="32" t="s">
        <v>73</v>
      </c>
      <c r="D21" s="32">
        <f>'Quadro de Cargas'!I22</f>
        <v>600</v>
      </c>
      <c r="E21" s="32">
        <f>'Quadro de Cargas'!J22</f>
        <v>127</v>
      </c>
      <c r="F21" s="42">
        <f t="shared" si="1"/>
        <v>4.724409449</v>
      </c>
      <c r="G21" s="39">
        <v>1.0</v>
      </c>
      <c r="H21" s="39">
        <v>1.0</v>
      </c>
      <c r="I21" s="39">
        <v>1.0</v>
      </c>
      <c r="J21" s="42">
        <f t="shared" si="2"/>
        <v>4.724409449</v>
      </c>
      <c r="K21" s="39">
        <f t="shared" si="3"/>
        <v>0.5</v>
      </c>
    </row>
    <row r="22">
      <c r="B22" s="7">
        <v>19.0</v>
      </c>
      <c r="C22" s="32" t="s">
        <v>73</v>
      </c>
      <c r="D22" s="32">
        <f>'Quadro de Cargas'!I23</f>
        <v>600</v>
      </c>
      <c r="E22" s="32">
        <f>'Quadro de Cargas'!J23</f>
        <v>127</v>
      </c>
      <c r="F22" s="42">
        <f t="shared" si="1"/>
        <v>4.724409449</v>
      </c>
      <c r="G22" s="39">
        <v>1.0</v>
      </c>
      <c r="H22" s="39">
        <v>1.0</v>
      </c>
      <c r="I22" s="39">
        <v>1.0</v>
      </c>
      <c r="J22" s="42">
        <f t="shared" si="2"/>
        <v>4.724409449</v>
      </c>
      <c r="K22" s="39">
        <f t="shared" si="3"/>
        <v>0.5</v>
      </c>
    </row>
    <row r="23">
      <c r="B23" s="7">
        <v>20.0</v>
      </c>
      <c r="C23" s="32" t="s">
        <v>73</v>
      </c>
      <c r="D23" s="32">
        <f>'Quadro de Cargas'!I24</f>
        <v>600</v>
      </c>
      <c r="E23" s="32">
        <f>'Quadro de Cargas'!J24</f>
        <v>127</v>
      </c>
      <c r="F23" s="42">
        <f t="shared" si="1"/>
        <v>4.724409449</v>
      </c>
      <c r="G23" s="39">
        <v>1.0</v>
      </c>
      <c r="H23" s="39">
        <v>1.0</v>
      </c>
      <c r="I23" s="39">
        <v>1.0</v>
      </c>
      <c r="J23" s="42">
        <f t="shared" si="2"/>
        <v>4.724409449</v>
      </c>
      <c r="K23" s="39">
        <f t="shared" si="3"/>
        <v>0.5</v>
      </c>
    </row>
    <row r="24">
      <c r="B24" s="7">
        <v>21.0</v>
      </c>
      <c r="C24" s="32" t="s">
        <v>73</v>
      </c>
      <c r="D24" s="32">
        <f>'Quadro de Cargas'!I25</f>
        <v>600</v>
      </c>
      <c r="E24" s="32">
        <f>'Quadro de Cargas'!J25</f>
        <v>127</v>
      </c>
      <c r="F24" s="42">
        <f t="shared" si="1"/>
        <v>4.724409449</v>
      </c>
      <c r="G24" s="39">
        <v>1.0</v>
      </c>
      <c r="H24" s="39">
        <v>1.0</v>
      </c>
      <c r="I24" s="39">
        <v>1.0</v>
      </c>
      <c r="J24" s="42">
        <f t="shared" si="2"/>
        <v>4.724409449</v>
      </c>
      <c r="K24" s="39">
        <f t="shared" si="3"/>
        <v>0.5</v>
      </c>
    </row>
    <row r="25">
      <c r="B25" s="7">
        <v>22.0</v>
      </c>
      <c r="C25" s="32" t="s">
        <v>74</v>
      </c>
      <c r="D25" s="32">
        <f>SUM(D4:D24)</f>
        <v>37595</v>
      </c>
      <c r="E25" s="33">
        <f>'Quadro de Cargas'!J26</f>
        <v>380</v>
      </c>
      <c r="F25" s="42">
        <f t="shared" si="1"/>
        <v>98.93421053</v>
      </c>
      <c r="G25" s="39">
        <v>1.0</v>
      </c>
      <c r="H25" s="39">
        <v>1.0</v>
      </c>
      <c r="I25" s="39">
        <v>1.0</v>
      </c>
      <c r="J25" s="42">
        <f t="shared" si="2"/>
        <v>98.93421053</v>
      </c>
      <c r="K25" s="39">
        <f>IF(J25 &lt;= 10, 0.5, IF(J25 &lt;= 12, 0.75, IF(J25 &lt;= 15, 1, IF(J25 &lt;= 18, 1.5, IF(J25 &lt;= 24, 2.5,IF(J25 &lt;= 31, 4,IF(J25 &lt;= 39, 6, IF(J25 &lt;= 52, 10, IF(J25 &lt;= 67, 16, IF(J25 &lt;= 86, 25, IF(J25 &lt;= 103,35)))))))))))</f>
        <v>35</v>
      </c>
    </row>
    <row r="27">
      <c r="B27" s="5" t="s">
        <v>82</v>
      </c>
      <c r="C27" s="2"/>
      <c r="D27" s="2"/>
      <c r="E27" s="3"/>
    </row>
    <row r="28">
      <c r="B28" s="21" t="s">
        <v>83</v>
      </c>
      <c r="C28" s="2"/>
      <c r="D28" s="2"/>
      <c r="E28" s="3"/>
    </row>
    <row r="29">
      <c r="B29" s="43" t="s">
        <v>84</v>
      </c>
      <c r="C29" s="2"/>
      <c r="D29" s="2"/>
      <c r="E29" s="3"/>
    </row>
    <row r="30">
      <c r="B30" s="44" t="s">
        <v>85</v>
      </c>
      <c r="C30" s="2"/>
      <c r="D30" s="2"/>
      <c r="E30" s="3"/>
    </row>
    <row r="31">
      <c r="B31" s="45" t="s">
        <v>86</v>
      </c>
      <c r="C31" s="2"/>
      <c r="D31" s="2"/>
      <c r="E31" s="3"/>
    </row>
  </sheetData>
  <mergeCells count="6">
    <mergeCell ref="B2:K2"/>
    <mergeCell ref="B27:E27"/>
    <mergeCell ref="B28:E28"/>
    <mergeCell ref="B29:E29"/>
    <mergeCell ref="B30:E30"/>
    <mergeCell ref="B31:E31"/>
  </mergeCell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8.5"/>
    <col customWidth="1" min="12" max="12" width="23.0"/>
  </cols>
  <sheetData>
    <row r="2">
      <c r="B2" s="1" t="s">
        <v>75</v>
      </c>
      <c r="C2" s="2"/>
      <c r="D2" s="2"/>
      <c r="E2" s="2"/>
      <c r="F2" s="2"/>
      <c r="G2" s="2"/>
      <c r="H2" s="2"/>
      <c r="I2" s="2"/>
      <c r="J2" s="2"/>
      <c r="K2" s="2"/>
      <c r="L2" s="3"/>
    </row>
    <row r="3">
      <c r="B3" s="7" t="s">
        <v>39</v>
      </c>
      <c r="C3" s="7" t="s">
        <v>87</v>
      </c>
      <c r="D3" s="7" t="s">
        <v>88</v>
      </c>
      <c r="E3" s="7" t="s">
        <v>45</v>
      </c>
      <c r="F3" s="7" t="s">
        <v>89</v>
      </c>
      <c r="G3" s="7" t="s">
        <v>90</v>
      </c>
      <c r="H3" s="7" t="s">
        <v>91</v>
      </c>
      <c r="I3" s="7" t="s">
        <v>92</v>
      </c>
      <c r="J3" s="7" t="s">
        <v>93</v>
      </c>
      <c r="K3" s="7" t="s">
        <v>94</v>
      </c>
      <c r="L3" s="7" t="s">
        <v>81</v>
      </c>
    </row>
    <row r="4">
      <c r="B4" s="4">
        <f>'Quadro de Cargas'!B5</f>
        <v>1</v>
      </c>
      <c r="C4" s="14" t="s">
        <v>95</v>
      </c>
      <c r="D4" s="10">
        <f>'Quadro de Cargas'!I5</f>
        <v>700</v>
      </c>
      <c r="E4" s="46">
        <f>'Quadro de Cargas'!J5</f>
        <v>127</v>
      </c>
      <c r="F4" s="47">
        <f t="shared" ref="F4:F7" si="1">D4/E$4</f>
        <v>5.511811024</v>
      </c>
      <c r="G4" s="18">
        <f>1.5</f>
        <v>1.5</v>
      </c>
      <c r="H4" s="48">
        <f t="shared" ref="H4:H33" si="2">G4/1000</f>
        <v>0.0015</v>
      </c>
      <c r="I4" s="49">
        <f>IF('Dimensionamento de Condutores'!G4=F$42,G$42,IF('Dimensionamento de Condutores'!G4=F$43,G$43,IF('Dimensionamento de Condutores'!G4=F$44,G$44,IF('Dimensionamento de Condutores'!G4=F$45,G$45,IF('Dimensionamento de Condutores'!G4=F$46,G$46,IF('Dimensionamento de Condutores'!G4=F$47,G$47,IF('Dimensionamento de Condutores'!G4=F$48,G$48,IF('Dimensionamento de Condutores'!G4=F$49,G$49,IF('Dimensionamento de Condutores'!G4=F$50,G$50,IF('Dimensionamento de Condutores'!G4=F$51,G$51,IF('Dimensionamento de Condutores'!G4=F$52,G$52)))))))))))</f>
        <v>23.3</v>
      </c>
      <c r="J4" s="50">
        <f t="shared" ref="J4:J7" si="3">(F4*H4*I$4*100)/E$4</f>
        <v>0.1516833034</v>
      </c>
      <c r="K4" s="18">
        <f>J4</f>
        <v>0.1516833034</v>
      </c>
      <c r="L4" s="51">
        <f>IF(K7&lt;=4,IF(I4=G$42,F$42,IF(I4=G$43,F$43,IF(I4=G$44,F$44,IF(I4=G$45,F$45,IF(I4=G$46,F$46,IF(I4=G$47,F$47,IF(I4=G$48,F$48,IF(I4=G$49,F$49,IF(I4=G$50,F$50,IF(I4=G$51,F$51,IF(I4=G$52,F$52,"Aumentar Seção do Condutor"))))))))))))</f>
        <v>1.5</v>
      </c>
    </row>
    <row r="5">
      <c r="B5" s="52"/>
      <c r="C5" s="52"/>
      <c r="D5" s="10">
        <v>300.0</v>
      </c>
      <c r="E5" s="52"/>
      <c r="F5" s="47">
        <f t="shared" si="1"/>
        <v>2.362204724</v>
      </c>
      <c r="G5" s="18">
        <f>1.0813</f>
        <v>1.0813</v>
      </c>
      <c r="H5" s="48">
        <f t="shared" si="2"/>
        <v>0.0010813</v>
      </c>
      <c r="I5" s="52"/>
      <c r="J5" s="50">
        <f t="shared" si="3"/>
        <v>0.04686147312</v>
      </c>
      <c r="K5" s="18">
        <f t="shared" ref="K5:K7" si="4">K4+J5</f>
        <v>0.1985447765</v>
      </c>
      <c r="L5" s="52"/>
    </row>
    <row r="6">
      <c r="B6" s="52"/>
      <c r="C6" s="52"/>
      <c r="D6" s="10">
        <v>200.0</v>
      </c>
      <c r="E6" s="52"/>
      <c r="F6" s="47">
        <f t="shared" si="1"/>
        <v>1.57480315</v>
      </c>
      <c r="G6" s="18">
        <f>2.3358</f>
        <v>2.3358</v>
      </c>
      <c r="H6" s="48">
        <f t="shared" si="2"/>
        <v>0.0023358</v>
      </c>
      <c r="I6" s="52"/>
      <c r="J6" s="50">
        <f t="shared" si="3"/>
        <v>0.06748606857</v>
      </c>
      <c r="K6" s="18">
        <f t="shared" si="4"/>
        <v>0.2660308451</v>
      </c>
      <c r="L6" s="52"/>
    </row>
    <row r="7">
      <c r="B7" s="6"/>
      <c r="C7" s="6"/>
      <c r="D7" s="10">
        <v>100.0</v>
      </c>
      <c r="E7" s="6"/>
      <c r="F7" s="47">
        <f t="shared" si="1"/>
        <v>0.7874015748</v>
      </c>
      <c r="G7" s="18">
        <f>2.1262</f>
        <v>2.1262</v>
      </c>
      <c r="H7" s="48">
        <f t="shared" si="2"/>
        <v>0.0021262</v>
      </c>
      <c r="I7" s="6"/>
      <c r="J7" s="50">
        <f t="shared" si="3"/>
        <v>0.03071514663</v>
      </c>
      <c r="K7" s="18">
        <f t="shared" si="4"/>
        <v>0.2967459917</v>
      </c>
      <c r="L7" s="6"/>
    </row>
    <row r="8">
      <c r="B8" s="4">
        <f>'Quadro de Cargas'!B6</f>
        <v>2</v>
      </c>
      <c r="C8" s="53" t="s">
        <v>96</v>
      </c>
      <c r="D8" s="54">
        <f>'Quadro de Cargas'!I6</f>
        <v>800</v>
      </c>
      <c r="E8" s="55">
        <f>'Quadro de Cargas'!J6</f>
        <v>127</v>
      </c>
      <c r="F8" s="56">
        <f t="shared" ref="F8:F10" si="5">D8/E$8</f>
        <v>6.299212598</v>
      </c>
      <c r="G8" s="57">
        <f>1.5+3.8697</f>
        <v>5.3697</v>
      </c>
      <c r="H8" s="58">
        <f t="shared" si="2"/>
        <v>0.0053697</v>
      </c>
      <c r="I8" s="59">
        <f>IF('Dimensionamento de Condutores'!G5=F$42,G$42,IF('Dimensionamento de Condutores'!G5=F$43,G$43,IF('Dimensionamento de Condutores'!G5=F$44,G$44,IF('Dimensionamento de Condutores'!G5=F$45,G$45,IF('Dimensionamento de Condutores'!G5=F$46,G$46,IF('Dimensionamento de Condutores'!G5=F$47,G$47,IF('Dimensionamento de Condutores'!G5=F$48,G$48,IF('Dimensionamento de Condutores'!G5=F$49,G$49,IF('Dimensionamento de Condutores'!G5=F$50,G$50,IF('Dimensionamento de Condutores'!G5=F$51,G$51,IF('Dimensionamento de Condutores'!G5=F$52,G$52)))))))))))</f>
        <v>23.3</v>
      </c>
      <c r="J8" s="60">
        <f t="shared" ref="J8:J10" si="6">(F8*H8*I$8*100)/E$8</f>
        <v>0.6205667307</v>
      </c>
      <c r="K8" s="57">
        <f>J8</f>
        <v>0.6205667307</v>
      </c>
      <c r="L8" s="61">
        <f>IF(K10&lt;=4,IF(I8=G$42,F$42,IF(I8=G$43,F$43,IF(I8=G$44,F$44,IF(I8=G$45,F$45,IF(I8=G$46,F$46,IF(I8=G$47,F$47,IF(I8=G$48,F$48,IF(I8=G$49,F$49,IF(I8=G$50,F$50,IF(I8=G$51,F$51,IF(I8=G$52,F$52,"Aumentar Seção do Condutor"))))))))))))</f>
        <v>1.5</v>
      </c>
    </row>
    <row r="9">
      <c r="B9" s="52"/>
      <c r="C9" s="52"/>
      <c r="D9" s="54">
        <v>200.0</v>
      </c>
      <c r="E9" s="52"/>
      <c r="F9" s="56">
        <f t="shared" si="5"/>
        <v>1.57480315</v>
      </c>
      <c r="G9" s="57">
        <f>3.1857</f>
        <v>3.1857</v>
      </c>
      <c r="H9" s="58">
        <f t="shared" si="2"/>
        <v>0.0031857</v>
      </c>
      <c r="I9" s="52"/>
      <c r="J9" s="60">
        <f t="shared" si="6"/>
        <v>0.09204142848</v>
      </c>
      <c r="K9" s="57">
        <f t="shared" ref="K9:K10" si="7">K8+J9</f>
        <v>0.7126081592</v>
      </c>
      <c r="L9" s="52"/>
    </row>
    <row r="10">
      <c r="B10" s="6"/>
      <c r="C10" s="6"/>
      <c r="D10" s="54">
        <v>100.0</v>
      </c>
      <c r="E10" s="6"/>
      <c r="F10" s="56">
        <f t="shared" si="5"/>
        <v>0.7874015748</v>
      </c>
      <c r="G10" s="60">
        <v>2.8474</v>
      </c>
      <c r="H10" s="58">
        <f t="shared" si="2"/>
        <v>0.0028474</v>
      </c>
      <c r="I10" s="6"/>
      <c r="J10" s="60">
        <f t="shared" si="6"/>
        <v>0.04113362267</v>
      </c>
      <c r="K10" s="57">
        <f t="shared" si="7"/>
        <v>0.7537417819</v>
      </c>
      <c r="L10" s="6"/>
    </row>
    <row r="11">
      <c r="B11" s="4">
        <f>'Quadro de Cargas'!B7</f>
        <v>3</v>
      </c>
      <c r="C11" s="14" t="s">
        <v>97</v>
      </c>
      <c r="D11" s="10">
        <f>'Quadro de Cargas'!I7</f>
        <v>600</v>
      </c>
      <c r="E11" s="46">
        <f>'Quadro de Cargas'!J7</f>
        <v>127</v>
      </c>
      <c r="F11" s="47">
        <f t="shared" ref="F11:F13" si="8">D11/E$11</f>
        <v>4.724409449</v>
      </c>
      <c r="G11" s="50">
        <v>1.5</v>
      </c>
      <c r="H11" s="48">
        <f t="shared" si="2"/>
        <v>0.0015</v>
      </c>
      <c r="I11" s="49">
        <f>IF('Dimensionamento de Condutores'!G6=F$42,G$42,IF('Dimensionamento de Condutores'!G6=F$43,G$43,IF('Dimensionamento de Condutores'!G6=F$44,G$44,IF('Dimensionamento de Condutores'!G6=F$45,G$45,IF('Dimensionamento de Condutores'!G6=F$46,G$46,IF('Dimensionamento de Condutores'!G6=F$47,G$47,IF('Dimensionamento de Condutores'!G6=F$48,G$48,IF('Dimensionamento de Condutores'!G6=F$49,G$49,IF('Dimensionamento de Condutores'!G6=F$50,G$50,IF('Dimensionamento de Condutores'!G6=F$51,G$51,IF('Dimensionamento de Condutores'!G6=F$52,G$52)))))))))))</f>
        <v>14.3</v>
      </c>
      <c r="J11" s="50">
        <f t="shared" ref="J11:J13" si="9">(F11*H11*I$11*100)/E$11</f>
        <v>0.07979415959</v>
      </c>
      <c r="K11" s="18">
        <f>J11</f>
        <v>0.07979415959</v>
      </c>
      <c r="L11" s="51">
        <f>IF(K13&lt;=4,IF(I11=G$42,F$42,IF(I11=G$43,F$43,IF(I11=G$44,F$44,IF(I11=G$45,F$45,IF(I11=G$46,F$46,IF(I11=G$47,F$47,IF(I11=G$48,F$48,IF(I11=G$49,F$49,IF(I11=G$50,F$50,IF(I11=G$51,F$51,IF(I11=G$52,F$52,"Aumentar Seção do Condutor"))))))))))))</f>
        <v>2.5</v>
      </c>
    </row>
    <row r="12">
      <c r="B12" s="52"/>
      <c r="C12" s="52"/>
      <c r="D12" s="10">
        <v>400.0</v>
      </c>
      <c r="E12" s="52"/>
      <c r="F12" s="47">
        <f t="shared" si="8"/>
        <v>3.149606299</v>
      </c>
      <c r="G12" s="18">
        <f>3.8697</f>
        <v>3.8697</v>
      </c>
      <c r="H12" s="48">
        <f t="shared" si="2"/>
        <v>0.0038697</v>
      </c>
      <c r="I12" s="52"/>
      <c r="J12" s="50">
        <f t="shared" si="9"/>
        <v>0.1372353153</v>
      </c>
      <c r="K12" s="18">
        <f t="shared" ref="K12:K13" si="10">K11+J12</f>
        <v>0.2170294749</v>
      </c>
      <c r="L12" s="52"/>
    </row>
    <row r="13">
      <c r="B13" s="6"/>
      <c r="C13" s="6"/>
      <c r="D13" s="10">
        <v>100.0</v>
      </c>
      <c r="E13" s="6"/>
      <c r="F13" s="47">
        <f t="shared" si="8"/>
        <v>0.7874015748</v>
      </c>
      <c r="G13" s="18">
        <f>2.1081+1.1171+0.075+0.075+1.8738+2.7</f>
        <v>7.949</v>
      </c>
      <c r="H13" s="48">
        <f t="shared" si="2"/>
        <v>0.007949</v>
      </c>
      <c r="I13" s="6"/>
      <c r="J13" s="50">
        <f t="shared" si="9"/>
        <v>0.07047597495</v>
      </c>
      <c r="K13" s="18">
        <f t="shared" si="10"/>
        <v>0.2875054498</v>
      </c>
      <c r="L13" s="6"/>
    </row>
    <row r="14">
      <c r="B14" s="4">
        <f>'Quadro de Cargas'!B8</f>
        <v>4</v>
      </c>
      <c r="C14" s="53" t="s">
        <v>98</v>
      </c>
      <c r="D14" s="54">
        <f>'Quadro de Cargas'!I8</f>
        <v>300</v>
      </c>
      <c r="E14" s="55">
        <f>'Quadro de Cargas'!J8</f>
        <v>127</v>
      </c>
      <c r="F14" s="56">
        <f t="shared" ref="F14:F15" si="11">D14/E$14</f>
        <v>2.362204724</v>
      </c>
      <c r="G14" s="57">
        <f>1.5+1.7008</f>
        <v>3.2008</v>
      </c>
      <c r="H14" s="58">
        <f t="shared" si="2"/>
        <v>0.0032008</v>
      </c>
      <c r="I14" s="59">
        <f>IF('Dimensionamento de Condutores'!G7=F$42,G$42,IF('Dimensionamento de Condutores'!G7=F$43,G$43,IF('Dimensionamento de Condutores'!G7=F$44,G$44,IF('Dimensionamento de Condutores'!G7=F$45,G$45,IF('Dimensionamento de Condutores'!G7=F$46,G$46,IF('Dimensionamento de Condutores'!G7=F$47,G$47,IF('Dimensionamento de Condutores'!G7=F$48,G$48,IF('Dimensionamento de Condutores'!G7=F$49,G$49,IF('Dimensionamento de Condutores'!G7=F$50,G$50,IF('Dimensionamento de Condutores'!G7=F$51,G$51,IF('Dimensionamento de Condutores'!G7=F$52,G$52)))))))))))</f>
        <v>14.3</v>
      </c>
      <c r="J14" s="60">
        <f t="shared" ref="J14:J15" si="12">(F14*H14*I$14*100)/E$14</f>
        <v>0.08513504867</v>
      </c>
      <c r="K14" s="57">
        <f>J14</f>
        <v>0.08513504867</v>
      </c>
      <c r="L14" s="62">
        <f>IF(K15&lt;=4,IF(I14=G$42,F$42,IF(I14=G$43,F$43,IF(I14=G$44,F$44,IF(I14=G$45,F$45,IF(I14=G$46,F$46,IF(I14=G$47,F$47,IF(I14=G$48,F$48,IF(I14=G$49,F$49,IF(I14=G$50,F$50,IF(I14=G$51,F$51,IF(I14=G$52,F$52,"Aumentar Seção do Condutor"))))))))))))</f>
        <v>2.5</v>
      </c>
    </row>
    <row r="15">
      <c r="B15" s="6"/>
      <c r="C15" s="6"/>
      <c r="D15" s="54">
        <v>100.0</v>
      </c>
      <c r="E15" s="6"/>
      <c r="F15" s="56">
        <f t="shared" si="11"/>
        <v>0.7874015748</v>
      </c>
      <c r="G15" s="57">
        <f>1.6937+0.075+0.075+1.2725+2.7</f>
        <v>5.8162</v>
      </c>
      <c r="H15" s="58">
        <f t="shared" si="2"/>
        <v>0.0058162</v>
      </c>
      <c r="I15" s="6"/>
      <c r="J15" s="60">
        <f t="shared" si="12"/>
        <v>0.05156653233</v>
      </c>
      <c r="K15" s="57">
        <f>K14+J15</f>
        <v>0.136701581</v>
      </c>
      <c r="L15" s="6"/>
    </row>
    <row r="16">
      <c r="B16" s="7">
        <f>'Quadro de Cargas'!B9</f>
        <v>5</v>
      </c>
      <c r="C16" s="10" t="s">
        <v>99</v>
      </c>
      <c r="D16" s="10">
        <f>'Quadro de Cargas'!I9</f>
        <v>1900</v>
      </c>
      <c r="E16" s="63">
        <f>'Quadro de Cargas'!J9</f>
        <v>127</v>
      </c>
      <c r="F16" s="47">
        <f t="shared" ref="F16:F19" si="13">D16/E16</f>
        <v>14.96062992</v>
      </c>
      <c r="G16" s="50">
        <f>1.5+1+1.7008+2.1799+1.3771</f>
        <v>7.7578</v>
      </c>
      <c r="H16" s="48">
        <f t="shared" si="2"/>
        <v>0.0077578</v>
      </c>
      <c r="I16" s="50">
        <f>IF('Dimensionamento de Condutores'!G8=F$42,G$42,IF('Dimensionamento de Condutores'!G8=F$43,G$43,IF('Dimensionamento de Condutores'!G8=F$44,G$44,IF('Dimensionamento de Condutores'!G8=F$45,G$45,IF('Dimensionamento de Condutores'!G8=F$46,G$46,IF('Dimensionamento de Condutores'!G8=F$47,G$47,IF('Dimensionamento de Condutores'!G8=F$48,G$48,IF('Dimensionamento de Condutores'!G8=F$49,G$49,IF('Dimensionamento de Condutores'!G8=F$50,G$50,IF('Dimensionamento de Condutores'!G8=F$51,G$51,IF('Dimensionamento de Condutores'!G8=F$52,G$52)))))))))))</f>
        <v>14.3</v>
      </c>
      <c r="J16" s="50">
        <f t="shared" ref="J16:J19" si="14">(F16*H16*I16*100)/E16</f>
        <v>1.306835055</v>
      </c>
      <c r="K16" s="18">
        <f t="shared" ref="K16:K20" si="15">J16</f>
        <v>1.306835055</v>
      </c>
      <c r="L16" s="64">
        <f t="shared" ref="L16:L19" si="16">IF(K16&lt;=4,IF(I16=G$42,F$42,IF(I16=G$43,F$43,IF(I16=G$44,F$44,IF(I16=G$45,F$45,IF(I16=G$46,F$46,IF(I16=G$47,F$47,IF(I16=G$48,F$48,IF(I16=G$49,F$49,IF(I16=G$50,F$50,IF(I16=G$51,F$51,IF(I16=G$52,F$52,"Aumentar Seção do Condutor"))))))))))))</f>
        <v>2.5</v>
      </c>
    </row>
    <row r="17">
      <c r="B17" s="7">
        <f>'Quadro de Cargas'!B10</f>
        <v>6</v>
      </c>
      <c r="C17" s="54" t="s">
        <v>100</v>
      </c>
      <c r="D17" s="54">
        <f>'Quadro de Cargas'!I10</f>
        <v>600</v>
      </c>
      <c r="E17" s="65">
        <f>'Quadro de Cargas'!J10</f>
        <v>127</v>
      </c>
      <c r="F17" s="56">
        <f t="shared" si="13"/>
        <v>4.724409449</v>
      </c>
      <c r="G17" s="60">
        <f>1.5+1.7+3.1085+1.1302</f>
        <v>7.4387</v>
      </c>
      <c r="H17" s="58">
        <f t="shared" si="2"/>
        <v>0.0074387</v>
      </c>
      <c r="I17" s="60">
        <f>IF('Dimensionamento de Condutores'!G9=F$42,G$42,IF('Dimensionamento de Condutores'!G9=F$43,G$43,IF('Dimensionamento de Condutores'!G9=F$44,G$44,IF('Dimensionamento de Condutores'!G9=F$45,G$45,IF('Dimensionamento de Condutores'!G9=F$46,G$46,IF('Dimensionamento de Condutores'!G9=F$47,G$47,IF('Dimensionamento de Condutores'!G9=F$48,G$48,IF('Dimensionamento de Condutores'!G9=F$49,G$49,IF('Dimensionamento de Condutores'!G9=F$50,G$50,IF('Dimensionamento de Condutores'!G9=F$51,G$51,IF('Dimensionamento de Condutores'!G9=F$52,G$52)))))))))))</f>
        <v>14.3</v>
      </c>
      <c r="J17" s="60">
        <f t="shared" si="14"/>
        <v>0.3957098766</v>
      </c>
      <c r="K17" s="57">
        <f t="shared" si="15"/>
        <v>0.3957098766</v>
      </c>
      <c r="L17" s="66">
        <f t="shared" si="16"/>
        <v>2.5</v>
      </c>
    </row>
    <row r="18">
      <c r="B18" s="7">
        <f>'Quadro de Cargas'!B11</f>
        <v>7</v>
      </c>
      <c r="C18" s="10" t="s">
        <v>101</v>
      </c>
      <c r="D18" s="10">
        <f>'Quadro de Cargas'!I11</f>
        <v>5670</v>
      </c>
      <c r="E18" s="63">
        <f>'Quadro de Cargas'!J11</f>
        <v>220</v>
      </c>
      <c r="F18" s="47">
        <f t="shared" si="13"/>
        <v>25.77272727</v>
      </c>
      <c r="G18" s="50">
        <f>1.5+2.7+3.1085+0.8276</f>
        <v>8.1361</v>
      </c>
      <c r="H18" s="48">
        <f t="shared" si="2"/>
        <v>0.0081361</v>
      </c>
      <c r="I18" s="50">
        <f>IF('Dimensionamento de Condutores'!G10=F$42,G$42,IF('Dimensionamento de Condutores'!G10=F$43,G$43,IF('Dimensionamento de Condutores'!G10=F$44,G$44,IF('Dimensionamento de Condutores'!G10=F$45,G$45,IF('Dimensionamento de Condutores'!G10=F$46,G$46,IF('Dimensionamento de Condutores'!G10=F$47,G$47,IF('Dimensionamento de Condutores'!G10=F$48,G$48,IF('Dimensionamento de Condutores'!G10=F$49,G$49,IF('Dimensionamento de Condutores'!G10=F$50,G$50,IF('Dimensionamento de Condutores'!G10=F$51,G$51,IF('Dimensionamento de Condutores'!G10=F$52,G$52)))))))))))</f>
        <v>6.03</v>
      </c>
      <c r="J18" s="50">
        <f t="shared" si="14"/>
        <v>0.5747398194</v>
      </c>
      <c r="K18" s="18">
        <f t="shared" si="15"/>
        <v>0.5747398194</v>
      </c>
      <c r="L18" s="64">
        <f t="shared" si="16"/>
        <v>6</v>
      </c>
    </row>
    <row r="19">
      <c r="B19" s="7">
        <f>'Quadro de Cargas'!B12</f>
        <v>8</v>
      </c>
      <c r="C19" s="54" t="s">
        <v>102</v>
      </c>
      <c r="D19" s="54">
        <f>'Quadro de Cargas'!I12</f>
        <v>6500</v>
      </c>
      <c r="E19" s="65">
        <f>'Quadro de Cargas'!J12</f>
        <v>220</v>
      </c>
      <c r="F19" s="56">
        <f t="shared" si="13"/>
        <v>29.54545455</v>
      </c>
      <c r="G19" s="60">
        <f>1.5+1+3.1085+0.7714</f>
        <v>6.3799</v>
      </c>
      <c r="H19" s="58">
        <f t="shared" si="2"/>
        <v>0.0063799</v>
      </c>
      <c r="I19" s="60">
        <f>IF('Dimensionamento de Condutores'!G11=F$42,G$42,IF('Dimensionamento de Condutores'!G11=F$43,G$43,IF('Dimensionamento de Condutores'!G11=F$44,G$44,IF('Dimensionamento de Condutores'!G11=F$45,G$45,IF('Dimensionamento de Condutores'!G11=F$46,G$46,IF('Dimensionamento de Condutores'!G11=F$47,G$47,IF('Dimensionamento de Condutores'!G11=F$48,G$48,IF('Dimensionamento de Condutores'!G11=F$49,G$49,IF('Dimensionamento de Condutores'!G11=F$50,G$50,IF('Dimensionamento de Condutores'!G11=F$51,G$51,IF('Dimensionamento de Condutores'!G11=F$52,G$52)))))))))))</f>
        <v>3.63</v>
      </c>
      <c r="J19" s="60">
        <f t="shared" si="14"/>
        <v>0.311020125</v>
      </c>
      <c r="K19" s="57">
        <f t="shared" si="15"/>
        <v>0.311020125</v>
      </c>
      <c r="L19" s="66">
        <f t="shared" si="16"/>
        <v>10</v>
      </c>
    </row>
    <row r="20">
      <c r="B20" s="4">
        <f>'Quadro de Cargas'!B13</f>
        <v>9</v>
      </c>
      <c r="C20" s="14" t="s">
        <v>103</v>
      </c>
      <c r="D20" s="10">
        <f>'Quadro de Cargas'!I13</f>
        <v>300</v>
      </c>
      <c r="E20" s="46">
        <f>'Quadro de Cargas'!J13</f>
        <v>127</v>
      </c>
      <c r="F20" s="47">
        <f t="shared" ref="F20:F21" si="17">D20/E$20</f>
        <v>2.362204724</v>
      </c>
      <c r="G20" s="18">
        <f>1.5+1.0813+2.3358</f>
        <v>4.9171</v>
      </c>
      <c r="H20" s="48">
        <f t="shared" si="2"/>
        <v>0.0049171</v>
      </c>
      <c r="I20" s="49">
        <f>IF('Dimensionamento de Condutores'!G12=F$42,G$42,IF('Dimensionamento de Condutores'!G12=F$43,G$43,IF('Dimensionamento de Condutores'!G12=F$44,G$44,IF('Dimensionamento de Condutores'!G12=F$45,G$45,IF('Dimensionamento de Condutores'!G12=F$46,G$46,IF('Dimensionamento de Condutores'!G12=F$47,G$47,IF('Dimensionamento de Condutores'!G12=F$48,G$48,IF('Dimensionamento de Condutores'!G12=F$49,G$49,IF('Dimensionamento de Condutores'!G12=F$50,G$50,IF('Dimensionamento de Condutores'!G12=F$51,G$51,IF('Dimensionamento de Condutores'!G12=F$52,G$52)))))))))))</f>
        <v>14.3</v>
      </c>
      <c r="J20" s="50">
        <f t="shared" ref="J20:J21" si="18">(F20*H20*I$20*100)/E$20</f>
        <v>0.1307852874</v>
      </c>
      <c r="K20" s="18">
        <f t="shared" si="15"/>
        <v>0.1307852874</v>
      </c>
      <c r="L20" s="51">
        <f>IF(K21&lt;=4,IF(I20=G$42,F$42,IF(I20=G$43,F$43,IF(I20=G$44,F$44,IF(I20=G$45,F$45,IF(I20=G$46,F$46,IF(I20=G$47,F$47,IF(I20=G$48,F$48,IF(I20=G$49,F$49,IF(I20=G$50,F$50,IF(I20=G$51,F$51,IF(I20=G$52,F$52,"Aumentar Seção do Condutor"))))))))))))</f>
        <v>2.5</v>
      </c>
    </row>
    <row r="21">
      <c r="B21" s="6"/>
      <c r="C21" s="6"/>
      <c r="D21" s="10">
        <v>100.0</v>
      </c>
      <c r="E21" s="6"/>
      <c r="F21" s="47">
        <f t="shared" si="17"/>
        <v>0.7874015748</v>
      </c>
      <c r="G21" s="18">
        <f>2.1262+1.653+2.7+0.075+1.0716+0.075</f>
        <v>7.7008</v>
      </c>
      <c r="H21" s="48">
        <f t="shared" si="2"/>
        <v>0.0077008</v>
      </c>
      <c r="I21" s="6"/>
      <c r="J21" s="50">
        <f t="shared" si="18"/>
        <v>0.06827542935</v>
      </c>
      <c r="K21" s="18">
        <f>K20+J21</f>
        <v>0.1990607167</v>
      </c>
      <c r="L21" s="6"/>
    </row>
    <row r="22">
      <c r="B22" s="7">
        <f>'Quadro de Cargas'!B14</f>
        <v>10</v>
      </c>
      <c r="C22" s="54" t="s">
        <v>104</v>
      </c>
      <c r="D22" s="54">
        <f>'Quadro de Cargas'!I14</f>
        <v>1900</v>
      </c>
      <c r="E22" s="65">
        <f>'Quadro de Cargas'!J14</f>
        <v>127</v>
      </c>
      <c r="F22" s="56">
        <f>D22/E22</f>
        <v>14.96062992</v>
      </c>
      <c r="G22" s="60">
        <f>1.5+1+1.0813+2.3358+2.1262+1.653</f>
        <v>9.6963</v>
      </c>
      <c r="H22" s="58">
        <f t="shared" si="2"/>
        <v>0.0096963</v>
      </c>
      <c r="I22" s="60">
        <f>IF('Dimensionamento de Condutores'!G13=F$42,G$42,IF('Dimensionamento de Condutores'!G13=F$43,G$43,IF('Dimensionamento de Condutores'!G13=F$44,G$44,IF('Dimensionamento de Condutores'!G13=F$45,G$45,IF('Dimensionamento de Condutores'!G13=F$46,G$46,IF('Dimensionamento de Condutores'!G13=F$47,G$47,IF('Dimensionamento de Condutores'!G13=F$48,G$48,IF('Dimensionamento de Condutores'!G13=F$49,G$49,IF('Dimensionamento de Condutores'!G13=F$50,G$50,IF('Dimensionamento de Condutores'!G13=F$51,G$51,IF('Dimensionamento de Condutores'!G13=F$52,G$52)))))))))))</f>
        <v>14.3</v>
      </c>
      <c r="J22" s="60">
        <f>(F22*H22*I22*100)/E22</f>
        <v>1.633383787</v>
      </c>
      <c r="K22" s="57">
        <f t="shared" ref="K22:K23" si="19">J22</f>
        <v>1.633383787</v>
      </c>
      <c r="L22" s="66">
        <f>IF(K22&lt;=4,IF(I22=G$42,F$42,IF(I22=G$43,F$43,IF(I22=G$44,F$44,IF(I22=G$45,F$45,IF(I22=G$46,F$46,IF(I22=G$47,F$47,IF(I22=G$48,F$48,IF(I22=G$49,F$49,IF(I22=G$50,F$50,IF(I22=G$51,F$51,IF(I22=G$52,F$52,"Aumentar Seção do Condutor"))))))))))))</f>
        <v>2.5</v>
      </c>
    </row>
    <row r="23">
      <c r="B23" s="4">
        <f>'Quadro de Cargas'!B15</f>
        <v>11</v>
      </c>
      <c r="C23" s="14" t="s">
        <v>105</v>
      </c>
      <c r="D23" s="10">
        <f>'Quadro de Cargas'!I15</f>
        <v>1800</v>
      </c>
      <c r="E23" s="46">
        <f>'Quadro de Cargas'!J15</f>
        <v>127</v>
      </c>
      <c r="F23" s="47">
        <f t="shared" ref="F23:F24" si="20">D23/E$23</f>
        <v>14.17322835</v>
      </c>
      <c r="G23" s="18">
        <f>1.5+3.8697+3.1857+2.8474</f>
        <v>11.4028</v>
      </c>
      <c r="H23" s="48">
        <f t="shared" si="2"/>
        <v>0.0114028</v>
      </c>
      <c r="I23" s="49">
        <f>IF('Dimensionamento de Condutores'!G14=F$42,G$42,IF('Dimensionamento de Condutores'!G14=F$43,G$43,IF('Dimensionamento de Condutores'!G14=F$44,G$44,IF('Dimensionamento de Condutores'!G14=F$45,G$45,IF('Dimensionamento de Condutores'!G14=F$46,G$46,IF('Dimensionamento de Condutores'!G14=F$47,G$47,IF('Dimensionamento de Condutores'!G14=F$48,G$48,IF('Dimensionamento de Condutores'!G14=F$49,G$49,IF('Dimensionamento de Condutores'!G14=F$50,G$50,IF('Dimensionamento de Condutores'!G14=F$51,G$51,IF('Dimensionamento de Condutores'!G14=F$52,G$52)))))))))))</f>
        <v>14.3</v>
      </c>
      <c r="J23" s="50">
        <f t="shared" ref="J23:J24" si="21">(F23*H23*I$23*100)/E$23</f>
        <v>1.819753686</v>
      </c>
      <c r="K23" s="18">
        <f t="shared" si="19"/>
        <v>1.819753686</v>
      </c>
      <c r="L23" s="51">
        <f>IF(K24&lt;=4,IF(I23=G$42,F$42,IF(I23=G$43,F$43,IF(I23=G$44,F$44,IF(I23=G$45,F$45,IF(I23=G$46,F$46,IF(I23=G$47,F$47,IF(I23=G$48,F$48,IF(I23=G$49,F$49,IF(I23=G$50,F$50,IF(I23=G$51,F$51,IF(I23=G$52,F$52,"Aumentar Seção do Condutor"))))))))))))</f>
        <v>2.5</v>
      </c>
    </row>
    <row r="24">
      <c r="B24" s="6"/>
      <c r="C24" s="6"/>
      <c r="D24" s="10">
        <v>1200.0</v>
      </c>
      <c r="E24" s="6"/>
      <c r="F24" s="47">
        <f t="shared" si="20"/>
        <v>9.448818898</v>
      </c>
      <c r="G24" s="18">
        <f>1.0023+0.075+0.7393+0.075+1.7</f>
        <v>3.5916</v>
      </c>
      <c r="H24" s="48">
        <f t="shared" si="2"/>
        <v>0.0035916</v>
      </c>
      <c r="I24" s="6"/>
      <c r="J24" s="50">
        <f t="shared" si="21"/>
        <v>0.3821182714</v>
      </c>
      <c r="K24" s="18">
        <f>K23+J24</f>
        <v>2.201871957</v>
      </c>
      <c r="L24" s="6"/>
    </row>
    <row r="25">
      <c r="B25" s="7">
        <f>'Quadro de Cargas'!B16</f>
        <v>12</v>
      </c>
      <c r="C25" s="54" t="s">
        <v>106</v>
      </c>
      <c r="D25" s="54">
        <f>'Quadro de Cargas'!I16</f>
        <v>1750</v>
      </c>
      <c r="E25" s="65">
        <f>'Quadro de Cargas'!J16</f>
        <v>220</v>
      </c>
      <c r="F25" s="56">
        <f>D25/E25</f>
        <v>7.954545455</v>
      </c>
      <c r="G25" s="57">
        <f>1.5+1.7+1.1762+2.8474+3.1857+3.8697</f>
        <v>14.279</v>
      </c>
      <c r="H25" s="58">
        <f t="shared" si="2"/>
        <v>0.014279</v>
      </c>
      <c r="I25" s="60">
        <f>IF('Dimensionamento de Condutores'!G15=F$42,G$42,IF('Dimensionamento de Condutores'!G15=F$43,G$43,IF('Dimensionamento de Condutores'!G15=F$44,G$44,IF('Dimensionamento de Condutores'!G15=F$45,G$45,IF('Dimensionamento de Condutores'!G15=F$46,G$46,IF('Dimensionamento de Condutores'!G15=F$47,G$47,IF('Dimensionamento de Condutores'!G15=F$48,G$48,IF('Dimensionamento de Condutores'!G15=F$49,G$49,IF('Dimensionamento de Condutores'!G15=F$50,G$50,IF('Dimensionamento de Condutores'!G15=F$51,G$51,IF('Dimensionamento de Condutores'!G15=F$52,G$52)))))))))))</f>
        <v>14.3</v>
      </c>
      <c r="J25" s="60">
        <f>(F25*H25*I25*100)/E25</f>
        <v>0.7382892045</v>
      </c>
      <c r="K25" s="57">
        <f t="shared" ref="K25:K26" si="22">J25</f>
        <v>0.7382892045</v>
      </c>
      <c r="L25" s="66">
        <f>IF(K25&lt;=4,IF(I25=G$42,F$42,IF(I25=G$43,F$43,IF(I25=G$44,F$44,IF(I25=G$45,F$45,IF(I25=G$46,F$46,IF(I25=G$47,F$47,IF(I25=G$48,F$48,IF(I25=G$49,F$49,IF(I25=G$50,F$50,IF(I25=G$51,F$51,IF(I25=G$52,F$52,"Aumentar Seção do Condutor"))))))))))))</f>
        <v>2.5</v>
      </c>
    </row>
    <row r="26">
      <c r="B26" s="4">
        <f>'Quadro de Cargas'!B17</f>
        <v>13</v>
      </c>
      <c r="C26" s="14" t="s">
        <v>107</v>
      </c>
      <c r="D26" s="10">
        <f>'Quadro de Cargas'!I17</f>
        <v>1900</v>
      </c>
      <c r="E26" s="46">
        <f>'Quadro de Cargas'!J17</f>
        <v>127</v>
      </c>
      <c r="F26" s="47">
        <f t="shared" ref="F26:F28" si="23">D26/E$26</f>
        <v>14.96062992</v>
      </c>
      <c r="G26" s="18">
        <f>1.5+3.8111</f>
        <v>5.3111</v>
      </c>
      <c r="H26" s="48">
        <f t="shared" si="2"/>
        <v>0.0053111</v>
      </c>
      <c r="I26" s="49">
        <f>IF('Dimensionamento de Condutores'!G16=F$42,G$42,IF('Dimensionamento de Condutores'!G16=F$43,G$43,IF('Dimensionamento de Condutores'!G16=F$44,G$44,IF('Dimensionamento de Condutores'!G16=F$45,G$45,IF('Dimensionamento de Condutores'!G16=F$46,G$46,IF('Dimensionamento de Condutores'!G16=F$47,G$47,IF('Dimensionamento de Condutores'!G16=F$48,G$48,IF('Dimensionamento de Condutores'!G16=F$49,G$49,IF('Dimensionamento de Condutores'!G16=F$50,G$50,IF('Dimensionamento de Condutores'!G16=F$51,G$51,IF('Dimensionamento de Condutores'!G16=F$52,G$52)))))))))))</f>
        <v>14.3</v>
      </c>
      <c r="J26" s="50">
        <f t="shared" ref="J26:J28" si="24">(F26*H26*I$26*100)/E$26</f>
        <v>0.8946778288</v>
      </c>
      <c r="K26" s="18">
        <f t="shared" si="22"/>
        <v>0.8946778288</v>
      </c>
      <c r="L26" s="51">
        <f>IF(K28&lt;=4,IF(I26=G$42,F$42,IF(I26=G$43,F$43,IF(I26=G$44,F$44,IF(I26=G$45,F$45,IF(I26=G$46,F$46,IF(I26=G$47,F$47,IF(I26=G$48,F$48,IF(I26=G$49,F$49,IF(I26=G$50,F$50,IF(I26=G$51,F$51,IF(I26=G$52,F$52,"Aumentar Seção do Condutor"))))))))))))</f>
        <v>2.5</v>
      </c>
    </row>
    <row r="27">
      <c r="B27" s="52"/>
      <c r="C27" s="52"/>
      <c r="D27" s="10">
        <v>700.0</v>
      </c>
      <c r="E27" s="52"/>
      <c r="F27" s="47">
        <f t="shared" si="23"/>
        <v>5.511811024</v>
      </c>
      <c r="G27" s="18">
        <f>1.9223+1.0993+2.7</f>
        <v>5.7216</v>
      </c>
      <c r="H27" s="48">
        <f t="shared" si="2"/>
        <v>0.0057216</v>
      </c>
      <c r="I27" s="52"/>
      <c r="J27" s="50">
        <f t="shared" si="24"/>
        <v>0.3550946494</v>
      </c>
      <c r="K27" s="18">
        <f t="shared" ref="K27:K28" si="25">K26+J27</f>
        <v>1.249772478</v>
      </c>
      <c r="L27" s="52"/>
    </row>
    <row r="28">
      <c r="B28" s="6"/>
      <c r="C28" s="6"/>
      <c r="D28" s="10">
        <v>100.0</v>
      </c>
      <c r="E28" s="6"/>
      <c r="F28" s="47">
        <f t="shared" si="23"/>
        <v>0.7874015748</v>
      </c>
      <c r="G28" s="18">
        <f>2.7+0.075+0.075+2.2168+1.7</f>
        <v>6.7668</v>
      </c>
      <c r="H28" s="48">
        <f t="shared" si="2"/>
        <v>0.0067668</v>
      </c>
      <c r="I28" s="6"/>
      <c r="J28" s="50">
        <f t="shared" si="24"/>
        <v>0.05999456879</v>
      </c>
      <c r="K28" s="18">
        <f t="shared" si="25"/>
        <v>1.309767047</v>
      </c>
      <c r="L28" s="6"/>
    </row>
    <row r="29">
      <c r="B29" s="7">
        <f>'Quadro de Cargas'!B18</f>
        <v>14</v>
      </c>
      <c r="C29" s="54" t="s">
        <v>108</v>
      </c>
      <c r="D29" s="54">
        <f>'Quadro de Cargas'!I18</f>
        <v>1750</v>
      </c>
      <c r="E29" s="65">
        <f>'Quadro de Cargas'!J18</f>
        <v>220</v>
      </c>
      <c r="F29" s="56">
        <f t="shared" ref="F29:F33" si="26">D29/E29</f>
        <v>7.954545455</v>
      </c>
      <c r="G29" s="60">
        <f t="shared" ref="G29:G30" si="27">1.5+1.7+3.8111+1.4892</f>
        <v>8.5003</v>
      </c>
      <c r="H29" s="58">
        <f t="shared" si="2"/>
        <v>0.0085003</v>
      </c>
      <c r="I29" s="60">
        <f>IF('Dimensionamento de Condutores'!G17=F$42,G$42,IF('Dimensionamento de Condutores'!G17=F$43,G$43,IF('Dimensionamento de Condutores'!G17=F$44,G$44,IF('Dimensionamento de Condutores'!G17=F$45,G$45,IF('Dimensionamento de Condutores'!G17=F$46,G$46,IF('Dimensionamento de Condutores'!G17=F$47,G$47,IF('Dimensionamento de Condutores'!G17=F$48,G$48,IF('Dimensionamento de Condutores'!G17=F$49,G$49,IF('Dimensionamento de Condutores'!G17=F$50,G$50,IF('Dimensionamento de Condutores'!G17=F$51,G$51,IF('Dimensionamento de Condutores'!G17=F$52,G$52)))))))))))</f>
        <v>14.3</v>
      </c>
      <c r="J29" s="60">
        <f t="shared" ref="J29:J33" si="28">(F29*H29*I29*100)/E29</f>
        <v>0.4395041477</v>
      </c>
      <c r="K29" s="57">
        <f t="shared" ref="K29:K33" si="29">J29</f>
        <v>0.4395041477</v>
      </c>
      <c r="L29" s="66">
        <f t="shared" ref="L29:L33" si="30">IF(K29&lt;=4,IF(I29=G$42,F$42,IF(I29=G$43,F$43,IF(I29=G$44,F$44,IF(I29=G$45,F$45,IF(I29=G$46,F$46,IF(I29=G$47,F$47,IF(I29=G$48,F$48,IF(I29=G$49,F$49,IF(I29=G$50,F$50,IF(I29=G$51,F$51,IF(I29=G$52,F$52,"Aumentar Seção do Condutor"))))))))))))</f>
        <v>2.5</v>
      </c>
    </row>
    <row r="30">
      <c r="B30" s="7">
        <f>'Quadro de Cargas'!B19</f>
        <v>15</v>
      </c>
      <c r="C30" s="10" t="s">
        <v>109</v>
      </c>
      <c r="D30" s="10">
        <f>'Quadro de Cargas'!I19</f>
        <v>1625</v>
      </c>
      <c r="E30" s="63">
        <f>'Quadro de Cargas'!J19</f>
        <v>220</v>
      </c>
      <c r="F30" s="47">
        <f t="shared" si="26"/>
        <v>7.386363636</v>
      </c>
      <c r="G30" s="50">
        <f t="shared" si="27"/>
        <v>8.5003</v>
      </c>
      <c r="H30" s="48">
        <f t="shared" si="2"/>
        <v>0.0085003</v>
      </c>
      <c r="I30" s="50">
        <f>IF('Dimensionamento de Condutores'!G18=F$42,G$42,IF('Dimensionamento de Condutores'!G18=F$43,G$43,IF('Dimensionamento de Condutores'!G18=F$44,G$44,IF('Dimensionamento de Condutores'!G18=F$45,G$45,IF('Dimensionamento de Condutores'!G18=F$46,G$46,IF('Dimensionamento de Condutores'!G18=F$47,G$47,IF('Dimensionamento de Condutores'!G18=F$48,G$48,IF('Dimensionamento de Condutores'!G18=F$49,G$49,IF('Dimensionamento de Condutores'!G18=F$50,G$50,IF('Dimensionamento de Condutores'!G18=F$51,G$51,IF('Dimensionamento de Condutores'!G18=F$52,G$52)))))))))))</f>
        <v>14.3</v>
      </c>
      <c r="J30" s="50">
        <f t="shared" si="28"/>
        <v>0.4081109943</v>
      </c>
      <c r="K30" s="18">
        <f t="shared" si="29"/>
        <v>0.4081109943</v>
      </c>
      <c r="L30" s="64">
        <f t="shared" si="30"/>
        <v>2.5</v>
      </c>
    </row>
    <row r="31">
      <c r="B31" s="7">
        <f>'Quadro de Cargas'!B20</f>
        <v>16</v>
      </c>
      <c r="C31" s="54" t="s">
        <v>110</v>
      </c>
      <c r="D31" s="54">
        <f>'Quadro de Cargas'!I20</f>
        <v>6500</v>
      </c>
      <c r="E31" s="65">
        <f>'Quadro de Cargas'!J20</f>
        <v>220</v>
      </c>
      <c r="F31" s="56">
        <f t="shared" si="26"/>
        <v>29.54545455</v>
      </c>
      <c r="G31" s="60">
        <f>1.5+1+1.2568+0.7171</f>
        <v>4.4739</v>
      </c>
      <c r="H31" s="58">
        <f t="shared" si="2"/>
        <v>0.0044739</v>
      </c>
      <c r="I31" s="60">
        <f>IF('Dimensionamento de Condutores'!G19=F$42,G$42,IF('Dimensionamento de Condutores'!G19=F$43,G$43,IF('Dimensionamento de Condutores'!G19=F$44,G$44,IF('Dimensionamento de Condutores'!G19=F$45,G$45,IF('Dimensionamento de Condutores'!G19=F$46,G$46,IF('Dimensionamento de Condutores'!G19=F$47,G$47,IF('Dimensionamento de Condutores'!G19=F$48,G$48,IF('Dimensionamento de Condutores'!G19=F$49,G$49,IF('Dimensionamento de Condutores'!G19=F$50,G$50,IF('Dimensionamento de Condutores'!G19=F$51,G$51,IF('Dimensionamento de Condutores'!G19=F$52,G$52)))))))))))</f>
        <v>3.63</v>
      </c>
      <c r="J31" s="60">
        <f t="shared" si="28"/>
        <v>0.218102625</v>
      </c>
      <c r="K31" s="57">
        <f t="shared" si="29"/>
        <v>0.218102625</v>
      </c>
      <c r="L31" s="66">
        <f t="shared" si="30"/>
        <v>10</v>
      </c>
    </row>
    <row r="32">
      <c r="B32" s="7">
        <f>'Quadro de Cargas'!B21</f>
        <v>17</v>
      </c>
      <c r="C32" s="10" t="s">
        <v>111</v>
      </c>
      <c r="D32" s="10">
        <f>'Quadro de Cargas'!I21</f>
        <v>600</v>
      </c>
      <c r="E32" s="63">
        <f>'Quadro de Cargas'!J21</f>
        <v>127</v>
      </c>
      <c r="F32" s="47">
        <f t="shared" si="26"/>
        <v>4.724409449</v>
      </c>
      <c r="G32" s="50">
        <f>1.5+1.7+1.2568+0.9881</f>
        <v>5.4449</v>
      </c>
      <c r="H32" s="48">
        <f t="shared" si="2"/>
        <v>0.0054449</v>
      </c>
      <c r="I32" s="50">
        <f>IF('Dimensionamento de Condutores'!G20=F$42,G$42,IF('Dimensionamento de Condutores'!G20=F$43,G$43,IF('Dimensionamento de Condutores'!G20=F$44,G$44,IF('Dimensionamento de Condutores'!G20=F$45,G$45,IF('Dimensionamento de Condutores'!G20=F$46,G$46,IF('Dimensionamento de Condutores'!G20=F$47,G$47,IF('Dimensionamento de Condutores'!G20=F$48,G$48,IF('Dimensionamento de Condutores'!G20=F$49,G$49,IF('Dimensionamento de Condutores'!G20=F$50,G$50,IF('Dimensionamento de Condutores'!G20=F$51,G$51,IF('Dimensionamento de Condutores'!G20=F$52,G$52)))))))))))</f>
        <v>14.3</v>
      </c>
      <c r="J32" s="50">
        <f t="shared" si="28"/>
        <v>0.2896474797</v>
      </c>
      <c r="K32" s="18">
        <f t="shared" si="29"/>
        <v>0.2896474797</v>
      </c>
      <c r="L32" s="64">
        <f t="shared" si="30"/>
        <v>2.5</v>
      </c>
    </row>
    <row r="33">
      <c r="B33" s="7">
        <f>'Quadro de Cargas'!B26</f>
        <v>22</v>
      </c>
      <c r="C33" s="54" t="s">
        <v>112</v>
      </c>
      <c r="D33" s="54">
        <f>'Quadro de Cargas'!I26</f>
        <v>37595</v>
      </c>
      <c r="E33" s="56">
        <f>'Quadro de Cargas'!J26</f>
        <v>380</v>
      </c>
      <c r="F33" s="56">
        <f t="shared" si="26"/>
        <v>98.93421053</v>
      </c>
      <c r="G33" s="60">
        <f>1.5+1.5+10.4656</f>
        <v>13.4656</v>
      </c>
      <c r="H33" s="58">
        <f t="shared" si="2"/>
        <v>0.0134656</v>
      </c>
      <c r="I33" s="60">
        <f>IF('Dimensionamento de Condutores'!G25=F42,G42,IF('Dimensionamento de Condutores'!G25=F43,G43,IF('Dimensionamento de Condutores'!G25=F44,G44,IF('Dimensionamento de Condutores'!G25=F45,G45,IF('Dimensionamento de Condutores'!G25=F46,G46,IF('Dimensionamento de Condutores'!G25=F47,G47,IF('Dimensionamento de Condutores'!G25=F48,G48,IF('Dimensionamento de Condutores'!G25=F49,G49,IF('Dimensionamento de Condutores'!G25=F50,G50,IF('Dimensionamento de Condutores'!G25=F51,G51,IF('Dimensionamento de Condutores'!G25=F52,G52)))))))))))</f>
        <v>1.12</v>
      </c>
      <c r="J33" s="60">
        <f t="shared" si="28"/>
        <v>0.3926509279</v>
      </c>
      <c r="K33" s="57">
        <f t="shared" si="29"/>
        <v>0.3926509279</v>
      </c>
      <c r="L33" s="66">
        <f t="shared" si="30"/>
        <v>35</v>
      </c>
    </row>
    <row r="35">
      <c r="B35" s="67" t="s">
        <v>82</v>
      </c>
      <c r="C35" s="2"/>
      <c r="D35" s="2"/>
      <c r="E35" s="2"/>
      <c r="F35" s="2"/>
      <c r="G35" s="2"/>
      <c r="H35" s="2"/>
      <c r="I35" s="3"/>
    </row>
    <row r="36">
      <c r="B36" s="43" t="s">
        <v>113</v>
      </c>
      <c r="C36" s="2"/>
      <c r="D36" s="2"/>
      <c r="E36" s="2"/>
      <c r="F36" s="2"/>
      <c r="G36" s="2"/>
      <c r="H36" s="2"/>
      <c r="I36" s="3"/>
    </row>
    <row r="37">
      <c r="B37" s="45" t="s">
        <v>114</v>
      </c>
      <c r="C37" s="2"/>
      <c r="D37" s="2"/>
      <c r="E37" s="2"/>
      <c r="F37" s="2"/>
      <c r="G37" s="2"/>
      <c r="H37" s="2"/>
      <c r="I37" s="3"/>
    </row>
    <row r="38">
      <c r="B38" s="45" t="s">
        <v>115</v>
      </c>
      <c r="C38" s="2"/>
      <c r="D38" s="2"/>
      <c r="E38" s="2"/>
      <c r="F38" s="2"/>
      <c r="G38" s="2"/>
      <c r="H38" s="2"/>
      <c r="I38" s="3"/>
    </row>
    <row r="39">
      <c r="B39" s="45" t="s">
        <v>116</v>
      </c>
      <c r="C39" s="2"/>
      <c r="D39" s="2"/>
      <c r="E39" s="2"/>
      <c r="F39" s="2"/>
      <c r="G39" s="2"/>
      <c r="H39" s="2"/>
      <c r="I39" s="3"/>
    </row>
    <row r="40">
      <c r="B40" s="45" t="s">
        <v>117</v>
      </c>
      <c r="C40" s="2"/>
      <c r="D40" s="2"/>
      <c r="E40" s="2"/>
      <c r="F40" s="2"/>
      <c r="G40" s="2"/>
      <c r="H40" s="2"/>
      <c r="I40" s="3"/>
    </row>
    <row r="42" hidden="1">
      <c r="B42" s="68"/>
      <c r="C42" s="68"/>
      <c r="D42" s="68"/>
      <c r="F42" s="68">
        <v>1.5</v>
      </c>
      <c r="G42" s="68">
        <v>23.3</v>
      </c>
      <c r="H42" s="68">
        <v>27.6</v>
      </c>
    </row>
    <row r="43" hidden="1">
      <c r="B43" s="68"/>
      <c r="C43" s="68"/>
      <c r="D43" s="68"/>
      <c r="F43" s="68">
        <v>2.5</v>
      </c>
      <c r="G43" s="68">
        <v>14.3</v>
      </c>
      <c r="H43" s="68">
        <v>16.9</v>
      </c>
    </row>
    <row r="44" hidden="1">
      <c r="B44" s="68"/>
      <c r="C44" s="68"/>
      <c r="D44" s="68"/>
      <c r="F44" s="68">
        <v>4.0</v>
      </c>
      <c r="G44" s="68">
        <v>8.96</v>
      </c>
      <c r="H44" s="68">
        <v>10.6</v>
      </c>
    </row>
    <row r="45" hidden="1">
      <c r="B45" s="68"/>
      <c r="C45" s="68"/>
      <c r="D45" s="68"/>
      <c r="F45" s="68">
        <v>6.0</v>
      </c>
      <c r="G45" s="68">
        <v>6.03</v>
      </c>
      <c r="H45" s="68">
        <v>7.07</v>
      </c>
    </row>
    <row r="46" hidden="1">
      <c r="B46" s="68"/>
      <c r="C46" s="68"/>
      <c r="D46" s="68"/>
      <c r="F46" s="68">
        <v>10.0</v>
      </c>
      <c r="G46" s="68">
        <v>3.63</v>
      </c>
      <c r="H46" s="68">
        <v>4.23</v>
      </c>
    </row>
    <row r="47" hidden="1">
      <c r="B47" s="68"/>
      <c r="C47" s="68"/>
      <c r="D47" s="68"/>
      <c r="F47" s="68">
        <v>16.0</v>
      </c>
      <c r="G47" s="68">
        <v>2.32</v>
      </c>
      <c r="H47" s="68">
        <v>2.68</v>
      </c>
    </row>
    <row r="48" hidden="1">
      <c r="B48" s="68"/>
      <c r="C48" s="68"/>
      <c r="D48" s="68"/>
      <c r="F48" s="68">
        <v>25.0</v>
      </c>
      <c r="G48" s="68">
        <v>1.51</v>
      </c>
      <c r="H48" s="68">
        <v>1.71</v>
      </c>
    </row>
    <row r="49" hidden="1">
      <c r="B49" s="68"/>
      <c r="C49" s="68"/>
      <c r="D49" s="68"/>
      <c r="F49" s="68">
        <v>35.0</v>
      </c>
      <c r="G49" s="68">
        <v>1.12</v>
      </c>
      <c r="H49" s="68">
        <v>1.25</v>
      </c>
    </row>
    <row r="50" hidden="1">
      <c r="B50" s="68"/>
      <c r="C50" s="68"/>
      <c r="D50" s="68"/>
      <c r="F50" s="68">
        <v>50.0</v>
      </c>
      <c r="G50" s="68">
        <v>0.85</v>
      </c>
      <c r="H50" s="68">
        <v>0.94</v>
      </c>
    </row>
    <row r="51" hidden="1">
      <c r="B51" s="68"/>
      <c r="C51" s="68"/>
      <c r="D51" s="68"/>
      <c r="F51" s="68">
        <v>70.0</v>
      </c>
      <c r="G51" s="68">
        <v>0.62</v>
      </c>
      <c r="H51" s="68">
        <v>0.67</v>
      </c>
    </row>
    <row r="52" hidden="1">
      <c r="B52" s="68"/>
      <c r="C52" s="68"/>
      <c r="D52" s="68"/>
      <c r="F52" s="68">
        <v>95.0</v>
      </c>
      <c r="G52" s="68">
        <v>0.48</v>
      </c>
      <c r="H52" s="68">
        <v>0.5</v>
      </c>
    </row>
  </sheetData>
  <mergeCells count="42">
    <mergeCell ref="E4:E7"/>
    <mergeCell ref="E8:E10"/>
    <mergeCell ref="E11:E13"/>
    <mergeCell ref="L4:L7"/>
    <mergeCell ref="L8:L10"/>
    <mergeCell ref="L11:L13"/>
    <mergeCell ref="L14:L15"/>
    <mergeCell ref="L26:L28"/>
    <mergeCell ref="B2:L2"/>
    <mergeCell ref="B4:B7"/>
    <mergeCell ref="C4:C7"/>
    <mergeCell ref="I4:I7"/>
    <mergeCell ref="B8:B10"/>
    <mergeCell ref="C8:C10"/>
    <mergeCell ref="I8:I10"/>
    <mergeCell ref="B11:B13"/>
    <mergeCell ref="C11:C13"/>
    <mergeCell ref="I11:I13"/>
    <mergeCell ref="B14:B15"/>
    <mergeCell ref="C14:C15"/>
    <mergeCell ref="E14:E15"/>
    <mergeCell ref="I14:I15"/>
    <mergeCell ref="I20:I21"/>
    <mergeCell ref="I23:I24"/>
    <mergeCell ref="I26:I28"/>
    <mergeCell ref="B20:B21"/>
    <mergeCell ref="C20:C21"/>
    <mergeCell ref="E20:E21"/>
    <mergeCell ref="L20:L21"/>
    <mergeCell ref="C23:C24"/>
    <mergeCell ref="E23:E24"/>
    <mergeCell ref="L23:L24"/>
    <mergeCell ref="B38:I38"/>
    <mergeCell ref="B39:I39"/>
    <mergeCell ref="B40:I40"/>
    <mergeCell ref="B23:B24"/>
    <mergeCell ref="B26:B28"/>
    <mergeCell ref="C26:C28"/>
    <mergeCell ref="E26:E28"/>
    <mergeCell ref="B35:I35"/>
    <mergeCell ref="B36:I36"/>
    <mergeCell ref="B37:I3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25"/>
    <col customWidth="1" min="3" max="3" width="36.63"/>
    <col customWidth="1" min="4" max="4" width="12.88"/>
    <col customWidth="1" min="6" max="6" width="13.38"/>
    <col hidden="1" min="7" max="7" width="12.63"/>
    <col customWidth="1" min="8" max="8" width="7.75"/>
  </cols>
  <sheetData>
    <row r="2">
      <c r="B2" s="1" t="s">
        <v>118</v>
      </c>
      <c r="C2" s="2"/>
      <c r="D2" s="2"/>
      <c r="E2" s="2"/>
      <c r="F2" s="2"/>
      <c r="G2" s="2"/>
      <c r="H2" s="3"/>
    </row>
    <row r="3">
      <c r="B3" s="7" t="s">
        <v>39</v>
      </c>
      <c r="C3" s="7" t="s">
        <v>40</v>
      </c>
      <c r="D3" s="7" t="s">
        <v>119</v>
      </c>
      <c r="E3" s="7" t="s">
        <v>120</v>
      </c>
      <c r="F3" s="7" t="s">
        <v>121</v>
      </c>
      <c r="G3" s="7" t="s">
        <v>122</v>
      </c>
      <c r="H3" s="7" t="s">
        <v>81</v>
      </c>
    </row>
    <row r="4">
      <c r="B4" s="7">
        <v>1.0</v>
      </c>
      <c r="C4" s="32" t="s">
        <v>55</v>
      </c>
      <c r="D4" s="32">
        <v>1.5</v>
      </c>
      <c r="E4" s="32">
        <f>'Capacidade de Corrente'!K4</f>
        <v>0.5</v>
      </c>
      <c r="F4" s="69">
        <f>'Queda de Tensão Unitária'!L4</f>
        <v>1.5</v>
      </c>
      <c r="G4" s="70">
        <f t="shared" ref="G4:G25" si="1">LARGE(D4:E4,1)</f>
        <v>1.5</v>
      </c>
      <c r="H4" s="70">
        <f t="shared" ref="H4:H24" si="2">LARGE(D4:G4,1)</f>
        <v>1.5</v>
      </c>
    </row>
    <row r="5">
      <c r="B5" s="7">
        <v>2.0</v>
      </c>
      <c r="C5" s="32" t="s">
        <v>57</v>
      </c>
      <c r="D5" s="32">
        <v>1.5</v>
      </c>
      <c r="E5" s="32">
        <f>'Capacidade de Corrente'!K5</f>
        <v>0.75</v>
      </c>
      <c r="F5" s="69">
        <f>'Queda de Tensão Unitária'!L8</f>
        <v>1.5</v>
      </c>
      <c r="G5" s="70">
        <f t="shared" si="1"/>
        <v>1.5</v>
      </c>
      <c r="H5" s="70">
        <f t="shared" si="2"/>
        <v>1.5</v>
      </c>
    </row>
    <row r="6">
      <c r="B6" s="7">
        <v>3.0</v>
      </c>
      <c r="C6" s="32" t="s">
        <v>58</v>
      </c>
      <c r="D6" s="32">
        <v>2.5</v>
      </c>
      <c r="E6" s="32">
        <f>'Capacidade de Corrente'!K6</f>
        <v>0.5</v>
      </c>
      <c r="F6" s="69">
        <f>'Queda de Tensão Unitária'!L11</f>
        <v>2.5</v>
      </c>
      <c r="G6" s="70">
        <f t="shared" si="1"/>
        <v>2.5</v>
      </c>
      <c r="H6" s="70">
        <f t="shared" si="2"/>
        <v>2.5</v>
      </c>
    </row>
    <row r="7">
      <c r="B7" s="7">
        <v>4.0</v>
      </c>
      <c r="C7" s="32" t="s">
        <v>59</v>
      </c>
      <c r="D7" s="32">
        <v>2.5</v>
      </c>
      <c r="E7" s="32">
        <f>'Capacidade de Corrente'!K7</f>
        <v>0.5</v>
      </c>
      <c r="F7" s="69">
        <f>'Queda de Tensão Unitária'!L14</f>
        <v>2.5</v>
      </c>
      <c r="G7" s="70">
        <f t="shared" si="1"/>
        <v>2.5</v>
      </c>
      <c r="H7" s="70">
        <f t="shared" si="2"/>
        <v>2.5</v>
      </c>
    </row>
    <row r="8">
      <c r="B8" s="7">
        <v>5.0</v>
      </c>
      <c r="C8" s="32" t="s">
        <v>60</v>
      </c>
      <c r="D8" s="32">
        <v>2.5</v>
      </c>
      <c r="E8" s="32">
        <f>'Capacidade de Corrente'!K8</f>
        <v>2.5</v>
      </c>
      <c r="F8" s="69">
        <f>'Queda de Tensão Unitária'!L16</f>
        <v>2.5</v>
      </c>
      <c r="G8" s="70">
        <f t="shared" si="1"/>
        <v>2.5</v>
      </c>
      <c r="H8" s="70">
        <f t="shared" si="2"/>
        <v>2.5</v>
      </c>
    </row>
    <row r="9">
      <c r="B9" s="7">
        <v>6.0</v>
      </c>
      <c r="C9" s="32" t="s">
        <v>61</v>
      </c>
      <c r="D9" s="32">
        <v>2.5</v>
      </c>
      <c r="E9" s="32">
        <f>'Capacidade de Corrente'!K9</f>
        <v>0.5</v>
      </c>
      <c r="F9" s="69">
        <f>'Queda de Tensão Unitária'!L17</f>
        <v>2.5</v>
      </c>
      <c r="G9" s="70">
        <f t="shared" si="1"/>
        <v>2.5</v>
      </c>
      <c r="H9" s="70">
        <f t="shared" si="2"/>
        <v>2.5</v>
      </c>
    </row>
    <row r="10">
      <c r="B10" s="7">
        <v>7.0</v>
      </c>
      <c r="C10" s="32" t="s">
        <v>62</v>
      </c>
      <c r="D10" s="32">
        <v>2.5</v>
      </c>
      <c r="E10" s="32">
        <f>'Capacidade de Corrente'!K10</f>
        <v>6</v>
      </c>
      <c r="F10" s="69">
        <f>'Queda de Tensão Unitária'!L18</f>
        <v>6</v>
      </c>
      <c r="G10" s="70">
        <f t="shared" si="1"/>
        <v>6</v>
      </c>
      <c r="H10" s="70">
        <f t="shared" si="2"/>
        <v>6</v>
      </c>
    </row>
    <row r="11">
      <c r="B11" s="7">
        <v>8.0</v>
      </c>
      <c r="C11" s="32" t="s">
        <v>63</v>
      </c>
      <c r="D11" s="32">
        <v>2.5</v>
      </c>
      <c r="E11" s="32">
        <f>'Capacidade de Corrente'!K11</f>
        <v>10</v>
      </c>
      <c r="F11" s="69">
        <f>'Queda de Tensão Unitária'!L19</f>
        <v>10</v>
      </c>
      <c r="G11" s="70">
        <f t="shared" si="1"/>
        <v>10</v>
      </c>
      <c r="H11" s="70">
        <f t="shared" si="2"/>
        <v>10</v>
      </c>
    </row>
    <row r="12">
      <c r="B12" s="7">
        <v>9.0</v>
      </c>
      <c r="C12" s="32" t="s">
        <v>64</v>
      </c>
      <c r="D12" s="32">
        <v>2.5</v>
      </c>
      <c r="E12" s="32">
        <f>'Capacidade de Corrente'!K12</f>
        <v>0.5</v>
      </c>
      <c r="F12" s="69">
        <f>'Queda de Tensão Unitária'!L20</f>
        <v>2.5</v>
      </c>
      <c r="G12" s="70">
        <f t="shared" si="1"/>
        <v>2.5</v>
      </c>
      <c r="H12" s="70">
        <f t="shared" si="2"/>
        <v>2.5</v>
      </c>
    </row>
    <row r="13">
      <c r="B13" s="7">
        <v>10.0</v>
      </c>
      <c r="C13" s="32" t="s">
        <v>65</v>
      </c>
      <c r="D13" s="32">
        <v>2.5</v>
      </c>
      <c r="E13" s="32">
        <f>'Capacidade de Corrente'!K13</f>
        <v>2.5</v>
      </c>
      <c r="F13" s="69">
        <f>'Queda de Tensão Unitária'!L22</f>
        <v>2.5</v>
      </c>
      <c r="G13" s="70">
        <f t="shared" si="1"/>
        <v>2.5</v>
      </c>
      <c r="H13" s="70">
        <f t="shared" si="2"/>
        <v>2.5</v>
      </c>
    </row>
    <row r="14">
      <c r="B14" s="7">
        <v>11.0</v>
      </c>
      <c r="C14" s="32" t="s">
        <v>66</v>
      </c>
      <c r="D14" s="32">
        <v>2.5</v>
      </c>
      <c r="E14" s="32">
        <f>'Capacidade de Corrente'!K14</f>
        <v>2.5</v>
      </c>
      <c r="F14" s="69">
        <f>'Queda de Tensão Unitária'!L23</f>
        <v>2.5</v>
      </c>
      <c r="G14" s="70">
        <f t="shared" si="1"/>
        <v>2.5</v>
      </c>
      <c r="H14" s="70">
        <f t="shared" si="2"/>
        <v>2.5</v>
      </c>
    </row>
    <row r="15">
      <c r="B15" s="7">
        <v>12.0</v>
      </c>
      <c r="C15" s="32" t="s">
        <v>67</v>
      </c>
      <c r="D15" s="32">
        <v>2.5</v>
      </c>
      <c r="E15" s="32">
        <f>'Capacidade de Corrente'!K15</f>
        <v>1</v>
      </c>
      <c r="F15" s="69">
        <f>'Queda de Tensão Unitária'!L25</f>
        <v>2.5</v>
      </c>
      <c r="G15" s="70">
        <f t="shared" si="1"/>
        <v>2.5</v>
      </c>
      <c r="H15" s="70">
        <f t="shared" si="2"/>
        <v>2.5</v>
      </c>
    </row>
    <row r="16">
      <c r="B16" s="7">
        <v>13.0</v>
      </c>
      <c r="C16" s="32" t="s">
        <v>68</v>
      </c>
      <c r="D16" s="32">
        <v>2.5</v>
      </c>
      <c r="E16" s="32">
        <f>'Capacidade de Corrente'!K16</f>
        <v>2.5</v>
      </c>
      <c r="F16" s="69">
        <f>'Queda de Tensão Unitária'!L26</f>
        <v>2.5</v>
      </c>
      <c r="G16" s="70">
        <f t="shared" si="1"/>
        <v>2.5</v>
      </c>
      <c r="H16" s="70">
        <f t="shared" si="2"/>
        <v>2.5</v>
      </c>
    </row>
    <row r="17">
      <c r="B17" s="7">
        <v>14.0</v>
      </c>
      <c r="C17" s="32" t="s">
        <v>69</v>
      </c>
      <c r="D17" s="32">
        <v>2.5</v>
      </c>
      <c r="E17" s="32">
        <f>'Capacidade de Corrente'!K17</f>
        <v>1</v>
      </c>
      <c r="F17" s="69">
        <f>'Queda de Tensão Unitária'!L29</f>
        <v>2.5</v>
      </c>
      <c r="G17" s="70">
        <f t="shared" si="1"/>
        <v>2.5</v>
      </c>
      <c r="H17" s="70">
        <f t="shared" si="2"/>
        <v>2.5</v>
      </c>
    </row>
    <row r="18">
      <c r="B18" s="7">
        <v>15.0</v>
      </c>
      <c r="C18" s="32" t="s">
        <v>70</v>
      </c>
      <c r="D18" s="32">
        <v>2.5</v>
      </c>
      <c r="E18" s="32">
        <f>'Capacidade de Corrente'!K18</f>
        <v>0.75</v>
      </c>
      <c r="F18" s="69">
        <f>'Queda de Tensão Unitária'!L30</f>
        <v>2.5</v>
      </c>
      <c r="G18" s="70">
        <f t="shared" si="1"/>
        <v>2.5</v>
      </c>
      <c r="H18" s="70">
        <f t="shared" si="2"/>
        <v>2.5</v>
      </c>
    </row>
    <row r="19">
      <c r="B19" s="7">
        <v>16.0</v>
      </c>
      <c r="C19" s="32" t="s">
        <v>71</v>
      </c>
      <c r="D19" s="32">
        <v>2.5</v>
      </c>
      <c r="E19" s="32">
        <f>'Capacidade de Corrente'!K19</f>
        <v>10</v>
      </c>
      <c r="F19" s="69">
        <f>'Queda de Tensão Unitária'!L31</f>
        <v>10</v>
      </c>
      <c r="G19" s="70">
        <f t="shared" si="1"/>
        <v>10</v>
      </c>
      <c r="H19" s="70">
        <f t="shared" si="2"/>
        <v>10</v>
      </c>
    </row>
    <row r="20">
      <c r="B20" s="7">
        <v>17.0</v>
      </c>
      <c r="C20" s="32" t="s">
        <v>72</v>
      </c>
      <c r="D20" s="32">
        <v>2.5</v>
      </c>
      <c r="E20" s="32">
        <f>'Capacidade de Corrente'!K20</f>
        <v>0.5</v>
      </c>
      <c r="F20" s="69">
        <f>'Queda de Tensão Unitária'!L32</f>
        <v>2.5</v>
      </c>
      <c r="G20" s="70">
        <f t="shared" si="1"/>
        <v>2.5</v>
      </c>
      <c r="H20" s="70">
        <f t="shared" si="2"/>
        <v>2.5</v>
      </c>
    </row>
    <row r="21">
      <c r="B21" s="7">
        <v>18.0</v>
      </c>
      <c r="C21" s="32" t="s">
        <v>73</v>
      </c>
      <c r="D21" s="32">
        <v>2.5</v>
      </c>
      <c r="E21" s="32">
        <f>'Capacidade de Corrente'!K21</f>
        <v>0.5</v>
      </c>
      <c r="F21" s="71" t="s">
        <v>56</v>
      </c>
      <c r="G21" s="70">
        <f t="shared" si="1"/>
        <v>2.5</v>
      </c>
      <c r="H21" s="70">
        <f t="shared" si="2"/>
        <v>2.5</v>
      </c>
    </row>
    <row r="22">
      <c r="B22" s="7">
        <v>19.0</v>
      </c>
      <c r="C22" s="32" t="s">
        <v>73</v>
      </c>
      <c r="D22" s="32">
        <v>2.5</v>
      </c>
      <c r="E22" s="32">
        <f>'Capacidade de Corrente'!K22</f>
        <v>0.5</v>
      </c>
      <c r="F22" s="71" t="s">
        <v>56</v>
      </c>
      <c r="G22" s="70">
        <f t="shared" si="1"/>
        <v>2.5</v>
      </c>
      <c r="H22" s="70">
        <f t="shared" si="2"/>
        <v>2.5</v>
      </c>
    </row>
    <row r="23">
      <c r="B23" s="7">
        <v>20.0</v>
      </c>
      <c r="C23" s="32" t="s">
        <v>73</v>
      </c>
      <c r="D23" s="32">
        <v>2.5</v>
      </c>
      <c r="E23" s="32">
        <f>'Capacidade de Corrente'!K23</f>
        <v>0.5</v>
      </c>
      <c r="F23" s="71" t="s">
        <v>56</v>
      </c>
      <c r="G23" s="70">
        <f t="shared" si="1"/>
        <v>2.5</v>
      </c>
      <c r="H23" s="70">
        <f t="shared" si="2"/>
        <v>2.5</v>
      </c>
    </row>
    <row r="24">
      <c r="B24" s="7">
        <v>21.0</v>
      </c>
      <c r="C24" s="32" t="s">
        <v>73</v>
      </c>
      <c r="D24" s="32">
        <v>2.5</v>
      </c>
      <c r="E24" s="32">
        <f>'Capacidade de Corrente'!K24</f>
        <v>0.5</v>
      </c>
      <c r="F24" s="71" t="s">
        <v>56</v>
      </c>
      <c r="G24" s="70">
        <f t="shared" si="1"/>
        <v>2.5</v>
      </c>
      <c r="H24" s="70">
        <f t="shared" si="2"/>
        <v>2.5</v>
      </c>
    </row>
    <row r="25" ht="58.5" customHeight="1">
      <c r="B25" s="7">
        <v>22.0</v>
      </c>
      <c r="C25" s="32" t="s">
        <v>74</v>
      </c>
      <c r="D25" s="32">
        <v>2.5</v>
      </c>
      <c r="E25" s="32">
        <f>'Capacidade de Corrente'!K25</f>
        <v>35</v>
      </c>
      <c r="F25" s="69">
        <f>'Queda de Tensão Unitária'!L33</f>
        <v>35</v>
      </c>
      <c r="G25" s="70">
        <f t="shared" si="1"/>
        <v>35</v>
      </c>
      <c r="H25" s="70" t="str">
        <f>CONCATENATE("F = ",LARGE(D25:G25,1), "; N = 25; PE = 16")</f>
        <v>F = 35; N = 25; PE = 16</v>
      </c>
    </row>
    <row r="27">
      <c r="B27" s="5" t="s">
        <v>119</v>
      </c>
      <c r="C27" s="2"/>
      <c r="D27" s="2"/>
      <c r="E27" s="3"/>
    </row>
    <row r="28">
      <c r="B28" s="21" t="s">
        <v>123</v>
      </c>
      <c r="C28" s="2"/>
      <c r="D28" s="2"/>
      <c r="E28" s="3"/>
    </row>
    <row r="29">
      <c r="B29" s="21" t="s">
        <v>124</v>
      </c>
      <c r="C29" s="2"/>
      <c r="D29" s="2"/>
      <c r="E29" s="3"/>
    </row>
    <row r="50">
      <c r="B50" s="72" t="str">
        <f>'Queda de Tensão Unitária'!L34</f>
        <v/>
      </c>
    </row>
    <row r="51">
      <c r="B51" s="72" t="str">
        <f>'Queda de Tensão Unitária'!L35</f>
        <v/>
      </c>
    </row>
    <row r="52">
      <c r="B52" s="72" t="str">
        <f>'Queda de Tensão Unitária'!L36</f>
        <v/>
      </c>
    </row>
    <row r="53">
      <c r="B53" s="72" t="str">
        <f>'Queda de Tensão Unitária'!L37</f>
        <v/>
      </c>
    </row>
    <row r="54">
      <c r="B54" s="72" t="str">
        <f>'Queda de Tensão Unitária'!L38</f>
        <v/>
      </c>
    </row>
    <row r="55">
      <c r="B55" s="72" t="str">
        <f>'Queda de Tensão Unitária'!L39</f>
        <v/>
      </c>
    </row>
  </sheetData>
  <mergeCells count="4">
    <mergeCell ref="B2:H2"/>
    <mergeCell ref="B27:E27"/>
    <mergeCell ref="B28:E28"/>
    <mergeCell ref="B29:E29"/>
  </mergeCell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2.5"/>
    <col customWidth="1" min="4" max="4" width="16.75"/>
    <col customWidth="1" min="6" max="6" width="11.5"/>
    <col customWidth="1" min="12" max="12" width="16.5"/>
    <col customWidth="1" min="13" max="13" width="14.0"/>
    <col customWidth="1" min="14" max="14" width="15.88"/>
    <col customWidth="1" min="15" max="15" width="21.13"/>
    <col customWidth="1" min="16" max="16" width="14.38"/>
  </cols>
  <sheetData>
    <row r="2">
      <c r="B2" s="73" t="s">
        <v>125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3"/>
    </row>
    <row r="3" ht="25.5" customHeight="1">
      <c r="B3" s="74" t="s">
        <v>126</v>
      </c>
      <c r="C3" s="75" t="s">
        <v>127</v>
      </c>
      <c r="D3" s="75" t="s">
        <v>128</v>
      </c>
      <c r="E3" s="76" t="s">
        <v>129</v>
      </c>
      <c r="F3" s="28"/>
      <c r="G3" s="28"/>
      <c r="H3" s="28"/>
      <c r="I3" s="28"/>
      <c r="J3" s="28"/>
      <c r="K3" s="29"/>
      <c r="L3" s="75" t="s">
        <v>130</v>
      </c>
      <c r="M3" s="75" t="s">
        <v>131</v>
      </c>
      <c r="N3" s="77" t="s">
        <v>132</v>
      </c>
      <c r="O3" s="77" t="s">
        <v>133</v>
      </c>
      <c r="P3" s="77" t="s">
        <v>134</v>
      </c>
      <c r="Q3" s="77" t="s">
        <v>135</v>
      </c>
      <c r="R3" s="77" t="s">
        <v>136</v>
      </c>
      <c r="S3" s="77" t="s">
        <v>137</v>
      </c>
      <c r="T3" s="77" t="s">
        <v>138</v>
      </c>
      <c r="U3" s="77" t="s">
        <v>139</v>
      </c>
      <c r="V3" s="77" t="s">
        <v>140</v>
      </c>
    </row>
    <row r="4" ht="25.5" customHeight="1">
      <c r="B4" s="6"/>
      <c r="C4" s="78"/>
      <c r="D4" s="78"/>
      <c r="E4" s="79" t="s">
        <v>141</v>
      </c>
      <c r="F4" s="80" t="s">
        <v>142</v>
      </c>
      <c r="G4" s="79" t="s">
        <v>143</v>
      </c>
      <c r="H4" s="79" t="s">
        <v>144</v>
      </c>
      <c r="I4" s="79" t="s">
        <v>145</v>
      </c>
      <c r="J4" s="79" t="s">
        <v>146</v>
      </c>
      <c r="K4" s="79" t="s">
        <v>147</v>
      </c>
      <c r="L4" s="78"/>
      <c r="M4" s="78"/>
      <c r="N4" s="81"/>
      <c r="O4" s="81"/>
      <c r="P4" s="81"/>
      <c r="Q4" s="81"/>
      <c r="R4" s="81"/>
      <c r="S4" s="81"/>
      <c r="T4" s="81"/>
      <c r="U4" s="81"/>
      <c r="V4" s="81"/>
    </row>
    <row r="5">
      <c r="B5" s="7">
        <v>1.0</v>
      </c>
      <c r="C5" s="54" t="s">
        <v>13</v>
      </c>
      <c r="D5" s="82" t="s">
        <v>148</v>
      </c>
      <c r="E5" s="83">
        <v>2.0</v>
      </c>
      <c r="F5" s="83">
        <v>5.0</v>
      </c>
      <c r="G5" s="84"/>
      <c r="H5" s="84"/>
      <c r="I5" s="84"/>
      <c r="J5" s="84"/>
      <c r="K5" s="84"/>
      <c r="L5" s="85">
        <f t="shared" ref="L5:L55" si="1">E5*((PI()*(3^2)/4))+F5*((PI()*(3.7^2)/4))+G5*((PI()*(4.8^2)/4))+H5*((PI()*(5.9^2)/4))+I5*((PI()*(6.9^2)/4))+J5*((PI()*(8.5^2)/4))+K5*((PI()*(9.5^2)/4))</f>
        <v>67.89767123</v>
      </c>
      <c r="M5" s="86">
        <v>0.4</v>
      </c>
      <c r="N5" s="87">
        <f t="shared" ref="N5:N55" si="2">2*SQRT(L5/(PI()*M5))</f>
        <v>14.70119043</v>
      </c>
      <c r="O5" s="88">
        <f t="shared" ref="O5:O55" si="3">IF(N5 &lt;= 16, 16, IF(N5 &lt;= 21, 21, IF(N5 &lt;= 26.8, 26.8, IF(N5 &lt;= 35, 35, IF(N5 &lt;= 39.8, 39.8)))))</f>
        <v>16</v>
      </c>
      <c r="P5" s="88">
        <f t="shared" ref="P5:P55" si="4">IF(N5 &lt;= 20, 20, IF(N5 &lt;= 25, 25, IF(N5 &lt;= 32, 32, IF(N5 &lt;= 40, 40, IF(N5 &lt;= 50, 50)))))</f>
        <v>20</v>
      </c>
      <c r="Q5" s="89" t="str">
        <f t="shared" ref="Q5:Q55" si="5">IF(N5 &lt;= 16, "1/2''", IF(N5 &lt;= 21, "3/4''", IF(N5 &lt;= 26.8, "1''", IF(N5 &lt;= 35, "1.1/4''", IF(N5 &lt;= 39.8, "1.1/2''")))))</f>
        <v>1/2''</v>
      </c>
      <c r="R5" s="90">
        <f>1.5+3.8697</f>
        <v>5.3697</v>
      </c>
      <c r="S5" s="91">
        <v>1.0</v>
      </c>
      <c r="T5" s="89">
        <f t="shared" ref="T5:T55" si="6">15-3*S5</f>
        <v>12</v>
      </c>
      <c r="U5" s="90">
        <f t="shared" ref="U5:U55" si="7">(R5-T5)/6</f>
        <v>-1.10505</v>
      </c>
      <c r="V5" s="90" t="str">
        <f t="shared" ref="V5:V55" si="8">IF(U5&lt;1,Q5,"CORRIGIR")</f>
        <v>1/2''</v>
      </c>
    </row>
    <row r="6">
      <c r="B6" s="7">
        <v>2.0</v>
      </c>
      <c r="C6" s="92" t="s">
        <v>13</v>
      </c>
      <c r="D6" s="93" t="s">
        <v>149</v>
      </c>
      <c r="E6" s="94">
        <v>5.0</v>
      </c>
      <c r="F6" s="94">
        <v>3.0</v>
      </c>
      <c r="G6" s="95"/>
      <c r="H6" s="95"/>
      <c r="I6" s="95"/>
      <c r="J6" s="95"/>
      <c r="K6" s="95"/>
      <c r="L6" s="96">
        <f t="shared" si="1"/>
        <v>67.59921992</v>
      </c>
      <c r="M6" s="97">
        <v>0.4</v>
      </c>
      <c r="N6" s="98">
        <f t="shared" si="2"/>
        <v>14.66884454</v>
      </c>
      <c r="O6" s="99">
        <f t="shared" si="3"/>
        <v>16</v>
      </c>
      <c r="P6" s="99">
        <f t="shared" si="4"/>
        <v>20</v>
      </c>
      <c r="Q6" s="100" t="str">
        <f t="shared" si="5"/>
        <v>1/2''</v>
      </c>
      <c r="R6" s="101">
        <f>2.1081</f>
        <v>2.1081</v>
      </c>
      <c r="S6" s="102">
        <v>0.0</v>
      </c>
      <c r="T6" s="100">
        <f t="shared" si="6"/>
        <v>15</v>
      </c>
      <c r="U6" s="101">
        <f t="shared" si="7"/>
        <v>-2.14865</v>
      </c>
      <c r="V6" s="101" t="str">
        <f t="shared" si="8"/>
        <v>1/2''</v>
      </c>
    </row>
    <row r="7">
      <c r="B7" s="7">
        <v>3.0</v>
      </c>
      <c r="C7" s="54" t="s">
        <v>13</v>
      </c>
      <c r="D7" s="82" t="s">
        <v>149</v>
      </c>
      <c r="E7" s="83">
        <v>4.0</v>
      </c>
      <c r="F7" s="83">
        <v>3.0</v>
      </c>
      <c r="G7" s="84"/>
      <c r="H7" s="84"/>
      <c r="I7" s="84"/>
      <c r="J7" s="84"/>
      <c r="K7" s="84"/>
      <c r="L7" s="85">
        <f t="shared" si="1"/>
        <v>60.53063645</v>
      </c>
      <c r="M7" s="86">
        <v>0.4</v>
      </c>
      <c r="N7" s="87">
        <f t="shared" si="2"/>
        <v>13.88074206</v>
      </c>
      <c r="O7" s="88">
        <f t="shared" si="3"/>
        <v>16</v>
      </c>
      <c r="P7" s="88">
        <f t="shared" si="4"/>
        <v>20</v>
      </c>
      <c r="Q7" s="89" t="str">
        <f t="shared" si="5"/>
        <v>1/2''</v>
      </c>
      <c r="R7" s="90">
        <f>1.5571+1.7</f>
        <v>3.2571</v>
      </c>
      <c r="S7" s="91">
        <v>1.0</v>
      </c>
      <c r="T7" s="89">
        <f t="shared" si="6"/>
        <v>12</v>
      </c>
      <c r="U7" s="90">
        <f t="shared" si="7"/>
        <v>-1.45715</v>
      </c>
      <c r="V7" s="90" t="str">
        <f t="shared" si="8"/>
        <v>1/2''</v>
      </c>
    </row>
    <row r="8">
      <c r="B8" s="7">
        <v>4.0</v>
      </c>
      <c r="C8" s="92" t="s">
        <v>13</v>
      </c>
      <c r="D8" s="93" t="s">
        <v>150</v>
      </c>
      <c r="E8" s="95"/>
      <c r="F8" s="94">
        <v>3.0</v>
      </c>
      <c r="G8" s="95"/>
      <c r="H8" s="95"/>
      <c r="I8" s="95"/>
      <c r="J8" s="95"/>
      <c r="K8" s="95"/>
      <c r="L8" s="96">
        <f t="shared" si="1"/>
        <v>32.25630257</v>
      </c>
      <c r="M8" s="97">
        <v>0.4</v>
      </c>
      <c r="N8" s="98">
        <f t="shared" si="2"/>
        <v>10.13286731</v>
      </c>
      <c r="O8" s="99">
        <f t="shared" si="3"/>
        <v>16</v>
      </c>
      <c r="P8" s="99">
        <f t="shared" si="4"/>
        <v>20</v>
      </c>
      <c r="Q8" s="100" t="str">
        <f t="shared" si="5"/>
        <v>1/2''</v>
      </c>
      <c r="R8" s="101">
        <f>1.4995+2.7</f>
        <v>4.1995</v>
      </c>
      <c r="S8" s="102">
        <v>1.0</v>
      </c>
      <c r="T8" s="100">
        <f t="shared" si="6"/>
        <v>12</v>
      </c>
      <c r="U8" s="101">
        <f t="shared" si="7"/>
        <v>-1.300083333</v>
      </c>
      <c r="V8" s="101" t="str">
        <f t="shared" si="8"/>
        <v>1/2''</v>
      </c>
    </row>
    <row r="9">
      <c r="B9" s="7">
        <v>5.0</v>
      </c>
      <c r="C9" s="54" t="s">
        <v>13</v>
      </c>
      <c r="D9" s="82" t="s">
        <v>150</v>
      </c>
      <c r="E9" s="84"/>
      <c r="F9" s="83">
        <v>3.0</v>
      </c>
      <c r="G9" s="84"/>
      <c r="H9" s="84"/>
      <c r="I9" s="84"/>
      <c r="J9" s="84"/>
      <c r="K9" s="84"/>
      <c r="L9" s="85">
        <f t="shared" si="1"/>
        <v>32.25630257</v>
      </c>
      <c r="M9" s="86">
        <v>0.4</v>
      </c>
      <c r="N9" s="87">
        <f t="shared" si="2"/>
        <v>10.13286731</v>
      </c>
      <c r="O9" s="88">
        <f t="shared" si="3"/>
        <v>16</v>
      </c>
      <c r="P9" s="88">
        <f t="shared" si="4"/>
        <v>20</v>
      </c>
      <c r="Q9" s="89" t="str">
        <f t="shared" si="5"/>
        <v>1/2''</v>
      </c>
      <c r="R9" s="90">
        <f>0.3+2.3324+0.3</f>
        <v>2.9324</v>
      </c>
      <c r="S9" s="91">
        <v>2.0</v>
      </c>
      <c r="T9" s="89">
        <f t="shared" si="6"/>
        <v>9</v>
      </c>
      <c r="U9" s="90">
        <f t="shared" si="7"/>
        <v>-1.011266667</v>
      </c>
      <c r="V9" s="90" t="str">
        <f t="shared" si="8"/>
        <v>1/2''</v>
      </c>
    </row>
    <row r="10">
      <c r="B10" s="7">
        <v>6.0</v>
      </c>
      <c r="C10" s="92" t="s">
        <v>13</v>
      </c>
      <c r="D10" s="93" t="s">
        <v>149</v>
      </c>
      <c r="E10" s="94">
        <v>3.0</v>
      </c>
      <c r="F10" s="94">
        <v>3.0</v>
      </c>
      <c r="G10" s="95"/>
      <c r="H10" s="95"/>
      <c r="I10" s="95"/>
      <c r="J10" s="95"/>
      <c r="K10" s="95"/>
      <c r="L10" s="96">
        <f t="shared" si="1"/>
        <v>53.46205298</v>
      </c>
      <c r="M10" s="97">
        <v>0.4</v>
      </c>
      <c r="N10" s="98">
        <f t="shared" si="2"/>
        <v>13.04511403</v>
      </c>
      <c r="O10" s="99">
        <f t="shared" si="3"/>
        <v>16</v>
      </c>
      <c r="P10" s="99">
        <f t="shared" si="4"/>
        <v>20</v>
      </c>
      <c r="Q10" s="100" t="str">
        <f t="shared" si="5"/>
        <v>1/2''</v>
      </c>
      <c r="R10" s="101">
        <f>1.1171+1.7</f>
        <v>2.8171</v>
      </c>
      <c r="S10" s="102">
        <v>1.0</v>
      </c>
      <c r="T10" s="100">
        <f t="shared" si="6"/>
        <v>12</v>
      </c>
      <c r="U10" s="101">
        <f t="shared" si="7"/>
        <v>-1.530483333</v>
      </c>
      <c r="V10" s="101" t="str">
        <f t="shared" si="8"/>
        <v>1/2''</v>
      </c>
    </row>
    <row r="11">
      <c r="B11" s="7">
        <v>7.0</v>
      </c>
      <c r="C11" s="54" t="s">
        <v>13</v>
      </c>
      <c r="D11" s="82" t="s">
        <v>150</v>
      </c>
      <c r="E11" s="83"/>
      <c r="F11" s="83">
        <v>3.0</v>
      </c>
      <c r="G11" s="84"/>
      <c r="H11" s="84"/>
      <c r="I11" s="84"/>
      <c r="J11" s="84"/>
      <c r="K11" s="84"/>
      <c r="L11" s="85">
        <f t="shared" si="1"/>
        <v>32.25630257</v>
      </c>
      <c r="M11" s="86">
        <v>0.4</v>
      </c>
      <c r="N11" s="87">
        <f t="shared" si="2"/>
        <v>10.13286731</v>
      </c>
      <c r="O11" s="88">
        <f t="shared" si="3"/>
        <v>16</v>
      </c>
      <c r="P11" s="88">
        <f t="shared" si="4"/>
        <v>20</v>
      </c>
      <c r="Q11" s="89" t="str">
        <f t="shared" si="5"/>
        <v>1/2''</v>
      </c>
      <c r="R11" s="90">
        <f>0.075+0.075+1.873+1</f>
        <v>3.023</v>
      </c>
      <c r="S11" s="91">
        <v>2.0</v>
      </c>
      <c r="T11" s="89">
        <f t="shared" si="6"/>
        <v>9</v>
      </c>
      <c r="U11" s="90">
        <f t="shared" si="7"/>
        <v>-0.9961666667</v>
      </c>
      <c r="V11" s="90" t="str">
        <f t="shared" si="8"/>
        <v>1/2''</v>
      </c>
    </row>
    <row r="12">
      <c r="B12" s="7">
        <v>8.0</v>
      </c>
      <c r="C12" s="92" t="s">
        <v>27</v>
      </c>
      <c r="D12" s="93" t="s">
        <v>151</v>
      </c>
      <c r="E12" s="94">
        <v>2.0</v>
      </c>
      <c r="F12" s="94">
        <v>7.0</v>
      </c>
      <c r="G12" s="95"/>
      <c r="H12" s="95"/>
      <c r="I12" s="95"/>
      <c r="J12" s="95"/>
      <c r="K12" s="95"/>
      <c r="L12" s="96">
        <f t="shared" si="1"/>
        <v>89.40187294</v>
      </c>
      <c r="M12" s="97">
        <v>0.4</v>
      </c>
      <c r="N12" s="98">
        <f t="shared" si="2"/>
        <v>16.86935091</v>
      </c>
      <c r="O12" s="99">
        <f t="shared" si="3"/>
        <v>21</v>
      </c>
      <c r="P12" s="99">
        <f t="shared" si="4"/>
        <v>20</v>
      </c>
      <c r="Q12" s="100" t="str">
        <f t="shared" si="5"/>
        <v>3/4''</v>
      </c>
      <c r="R12" s="101">
        <f>1.5+1.0813</f>
        <v>2.5813</v>
      </c>
      <c r="S12" s="102">
        <v>1.0</v>
      </c>
      <c r="T12" s="100">
        <f t="shared" si="6"/>
        <v>12</v>
      </c>
      <c r="U12" s="101">
        <f t="shared" si="7"/>
        <v>-1.569783333</v>
      </c>
      <c r="V12" s="101" t="str">
        <f t="shared" si="8"/>
        <v>3/4''</v>
      </c>
    </row>
    <row r="13">
      <c r="B13" s="7">
        <v>9.0</v>
      </c>
      <c r="C13" s="54" t="s">
        <v>27</v>
      </c>
      <c r="D13" s="82" t="s">
        <v>152</v>
      </c>
      <c r="E13" s="83">
        <v>2.0</v>
      </c>
      <c r="F13" s="84"/>
      <c r="G13" s="84"/>
      <c r="H13" s="84"/>
      <c r="I13" s="84"/>
      <c r="J13" s="84"/>
      <c r="K13" s="84"/>
      <c r="L13" s="85">
        <f t="shared" si="1"/>
        <v>14.13716694</v>
      </c>
      <c r="M13" s="86">
        <v>0.4</v>
      </c>
      <c r="N13" s="87">
        <f t="shared" si="2"/>
        <v>6.708203932</v>
      </c>
      <c r="O13" s="88">
        <f t="shared" si="3"/>
        <v>16</v>
      </c>
      <c r="P13" s="88">
        <f t="shared" si="4"/>
        <v>20</v>
      </c>
      <c r="Q13" s="89" t="str">
        <f t="shared" si="5"/>
        <v>1/2''</v>
      </c>
      <c r="R13" s="90">
        <f>0.9178+1.7</f>
        <v>2.6178</v>
      </c>
      <c r="S13" s="91">
        <v>1.0</v>
      </c>
      <c r="T13" s="89">
        <f t="shared" si="6"/>
        <v>12</v>
      </c>
      <c r="U13" s="90">
        <f t="shared" si="7"/>
        <v>-1.5637</v>
      </c>
      <c r="V13" s="90" t="str">
        <f t="shared" si="8"/>
        <v>1/2''</v>
      </c>
    </row>
    <row r="14">
      <c r="B14" s="7">
        <v>10.0</v>
      </c>
      <c r="C14" s="92" t="s">
        <v>27</v>
      </c>
      <c r="D14" s="93" t="s">
        <v>150</v>
      </c>
      <c r="E14" s="95"/>
      <c r="F14" s="94">
        <v>3.0</v>
      </c>
      <c r="G14" s="95"/>
      <c r="H14" s="95"/>
      <c r="I14" s="95"/>
      <c r="J14" s="95"/>
      <c r="K14" s="95"/>
      <c r="L14" s="96">
        <f t="shared" si="1"/>
        <v>32.25630257</v>
      </c>
      <c r="M14" s="97">
        <v>0.4</v>
      </c>
      <c r="N14" s="98">
        <f t="shared" si="2"/>
        <v>10.13286731</v>
      </c>
      <c r="O14" s="99">
        <f t="shared" si="3"/>
        <v>16</v>
      </c>
      <c r="P14" s="99">
        <f t="shared" si="4"/>
        <v>20</v>
      </c>
      <c r="Q14" s="100" t="str">
        <f t="shared" si="5"/>
        <v>1/2''</v>
      </c>
      <c r="R14" s="101">
        <f>0.638+2.7</f>
        <v>3.338</v>
      </c>
      <c r="S14" s="102">
        <v>1.0</v>
      </c>
      <c r="T14" s="100">
        <f t="shared" si="6"/>
        <v>12</v>
      </c>
      <c r="U14" s="101">
        <f t="shared" si="7"/>
        <v>-1.443666667</v>
      </c>
      <c r="V14" s="101" t="str">
        <f t="shared" si="8"/>
        <v>1/2''</v>
      </c>
    </row>
    <row r="15">
      <c r="B15" s="7">
        <v>11.0</v>
      </c>
      <c r="C15" s="54" t="s">
        <v>20</v>
      </c>
      <c r="D15" s="82" t="s">
        <v>153</v>
      </c>
      <c r="E15" s="83">
        <v>2.0</v>
      </c>
      <c r="F15" s="83">
        <v>5.0</v>
      </c>
      <c r="G15" s="84"/>
      <c r="H15" s="84"/>
      <c r="I15" s="84"/>
      <c r="J15" s="84"/>
      <c r="K15" s="84"/>
      <c r="L15" s="85">
        <f t="shared" si="1"/>
        <v>67.89767123</v>
      </c>
      <c r="M15" s="86">
        <v>0.4</v>
      </c>
      <c r="N15" s="87">
        <f t="shared" si="2"/>
        <v>14.70119043</v>
      </c>
      <c r="O15" s="88">
        <f t="shared" si="3"/>
        <v>16</v>
      </c>
      <c r="P15" s="88">
        <f t="shared" si="4"/>
        <v>20</v>
      </c>
      <c r="Q15" s="89" t="str">
        <f t="shared" si="5"/>
        <v>1/2''</v>
      </c>
      <c r="R15" s="90">
        <f>2.3358</f>
        <v>2.3358</v>
      </c>
      <c r="S15" s="91">
        <v>0.0</v>
      </c>
      <c r="T15" s="89">
        <f t="shared" si="6"/>
        <v>15</v>
      </c>
      <c r="U15" s="90">
        <f t="shared" si="7"/>
        <v>-2.1107</v>
      </c>
      <c r="V15" s="90" t="str">
        <f t="shared" si="8"/>
        <v>1/2''</v>
      </c>
    </row>
    <row r="16">
      <c r="B16" s="7">
        <v>12.0</v>
      </c>
      <c r="C16" s="92" t="s">
        <v>20</v>
      </c>
      <c r="D16" s="93" t="s">
        <v>154</v>
      </c>
      <c r="E16" s="94">
        <v>2.0</v>
      </c>
      <c r="F16" s="94">
        <v>3.0</v>
      </c>
      <c r="G16" s="95"/>
      <c r="H16" s="95"/>
      <c r="I16" s="95"/>
      <c r="J16" s="95"/>
      <c r="K16" s="95"/>
      <c r="L16" s="96">
        <f t="shared" si="1"/>
        <v>46.39346951</v>
      </c>
      <c r="M16" s="97">
        <v>0.4</v>
      </c>
      <c r="N16" s="98">
        <f t="shared" si="2"/>
        <v>12.1521603</v>
      </c>
      <c r="O16" s="99">
        <f t="shared" si="3"/>
        <v>16</v>
      </c>
      <c r="P16" s="99">
        <f t="shared" si="4"/>
        <v>20</v>
      </c>
      <c r="Q16" s="100" t="str">
        <f t="shared" si="5"/>
        <v>1/2''</v>
      </c>
      <c r="R16" s="101">
        <f>1.506+1.7</f>
        <v>3.206</v>
      </c>
      <c r="S16" s="102">
        <v>1.0</v>
      </c>
      <c r="T16" s="100">
        <f t="shared" si="6"/>
        <v>12</v>
      </c>
      <c r="U16" s="101">
        <f t="shared" si="7"/>
        <v>-1.465666667</v>
      </c>
      <c r="V16" s="101" t="str">
        <f t="shared" si="8"/>
        <v>1/2''</v>
      </c>
    </row>
    <row r="17">
      <c r="B17" s="7">
        <v>13.0</v>
      </c>
      <c r="C17" s="54" t="s">
        <v>20</v>
      </c>
      <c r="D17" s="82" t="s">
        <v>155</v>
      </c>
      <c r="E17" s="84"/>
      <c r="F17" s="83">
        <v>3.0</v>
      </c>
      <c r="G17" s="84"/>
      <c r="H17" s="84"/>
      <c r="I17" s="84"/>
      <c r="J17" s="84"/>
      <c r="K17" s="84"/>
      <c r="L17" s="85">
        <f t="shared" si="1"/>
        <v>32.25630257</v>
      </c>
      <c r="M17" s="86">
        <v>0.4</v>
      </c>
      <c r="N17" s="87">
        <f t="shared" si="2"/>
        <v>10.13286731</v>
      </c>
      <c r="O17" s="88">
        <f t="shared" si="3"/>
        <v>16</v>
      </c>
      <c r="P17" s="88">
        <f t="shared" si="4"/>
        <v>20</v>
      </c>
      <c r="Q17" s="89" t="str">
        <f t="shared" si="5"/>
        <v>1/2''</v>
      </c>
      <c r="R17" s="90">
        <f>0.075+0.075+1+1.2725</f>
        <v>2.4225</v>
      </c>
      <c r="S17" s="91">
        <v>1.0</v>
      </c>
      <c r="T17" s="89">
        <f t="shared" si="6"/>
        <v>12</v>
      </c>
      <c r="U17" s="90">
        <f t="shared" si="7"/>
        <v>-1.59625</v>
      </c>
      <c r="V17" s="90" t="str">
        <f t="shared" si="8"/>
        <v>1/2''</v>
      </c>
    </row>
    <row r="18">
      <c r="B18" s="7">
        <v>14.0</v>
      </c>
      <c r="C18" s="92" t="s">
        <v>20</v>
      </c>
      <c r="D18" s="93" t="s">
        <v>155</v>
      </c>
      <c r="E18" s="95"/>
      <c r="F18" s="94">
        <v>3.0</v>
      </c>
      <c r="G18" s="95"/>
      <c r="H18" s="95"/>
      <c r="I18" s="95"/>
      <c r="J18" s="95"/>
      <c r="K18" s="95"/>
      <c r="L18" s="96">
        <f t="shared" si="1"/>
        <v>32.25630257</v>
      </c>
      <c r="M18" s="97">
        <v>0.4</v>
      </c>
      <c r="N18" s="98">
        <f t="shared" si="2"/>
        <v>10.13286731</v>
      </c>
      <c r="O18" s="99">
        <f t="shared" si="3"/>
        <v>16</v>
      </c>
      <c r="P18" s="99">
        <f t="shared" si="4"/>
        <v>20</v>
      </c>
      <c r="Q18" s="100" t="str">
        <f t="shared" si="5"/>
        <v>1/2''</v>
      </c>
      <c r="R18" s="101">
        <f>1.4321+2.7</f>
        <v>4.1321</v>
      </c>
      <c r="S18" s="102">
        <v>1.0</v>
      </c>
      <c r="T18" s="100">
        <f t="shared" si="6"/>
        <v>12</v>
      </c>
      <c r="U18" s="101">
        <f t="shared" si="7"/>
        <v>-1.311316667</v>
      </c>
      <c r="V18" s="101" t="str">
        <f t="shared" si="8"/>
        <v>1/2''</v>
      </c>
    </row>
    <row r="19">
      <c r="B19" s="7">
        <v>15.0</v>
      </c>
      <c r="C19" s="54" t="s">
        <v>20</v>
      </c>
      <c r="D19" s="82" t="s">
        <v>153</v>
      </c>
      <c r="E19" s="83">
        <v>2.0</v>
      </c>
      <c r="F19" s="83">
        <v>5.0</v>
      </c>
      <c r="G19" s="84"/>
      <c r="H19" s="84"/>
      <c r="I19" s="84"/>
      <c r="J19" s="84"/>
      <c r="K19" s="84"/>
      <c r="L19" s="85">
        <f t="shared" si="1"/>
        <v>67.89767123</v>
      </c>
      <c r="M19" s="86">
        <v>0.4</v>
      </c>
      <c r="N19" s="87">
        <f t="shared" si="2"/>
        <v>14.70119043</v>
      </c>
      <c r="O19" s="88">
        <f t="shared" si="3"/>
        <v>16</v>
      </c>
      <c r="P19" s="88">
        <f t="shared" si="4"/>
        <v>20</v>
      </c>
      <c r="Q19" s="89" t="str">
        <f t="shared" si="5"/>
        <v>1/2''</v>
      </c>
      <c r="R19" s="90">
        <f>2.1262</f>
        <v>2.1262</v>
      </c>
      <c r="S19" s="91">
        <v>0.0</v>
      </c>
      <c r="T19" s="89">
        <f t="shared" si="6"/>
        <v>15</v>
      </c>
      <c r="U19" s="90">
        <f t="shared" si="7"/>
        <v>-2.145633333</v>
      </c>
      <c r="V19" s="90" t="str">
        <f t="shared" si="8"/>
        <v>1/2''</v>
      </c>
    </row>
    <row r="20">
      <c r="B20" s="7">
        <v>16.0</v>
      </c>
      <c r="C20" s="92" t="s">
        <v>20</v>
      </c>
      <c r="D20" s="93" t="s">
        <v>156</v>
      </c>
      <c r="E20" s="95"/>
      <c r="F20" s="94">
        <v>5.0</v>
      </c>
      <c r="G20" s="95"/>
      <c r="H20" s="95"/>
      <c r="I20" s="95"/>
      <c r="J20" s="95"/>
      <c r="K20" s="95"/>
      <c r="L20" s="96">
        <f t="shared" si="1"/>
        <v>53.76050428</v>
      </c>
      <c r="M20" s="97">
        <v>0.4</v>
      </c>
      <c r="N20" s="98">
        <f t="shared" si="2"/>
        <v>13.08147545</v>
      </c>
      <c r="O20" s="99">
        <f t="shared" si="3"/>
        <v>16</v>
      </c>
      <c r="P20" s="99">
        <f t="shared" si="4"/>
        <v>20</v>
      </c>
      <c r="Q20" s="100" t="str">
        <f t="shared" si="5"/>
        <v>1/2''</v>
      </c>
      <c r="R20" s="101">
        <f>1.653+1</f>
        <v>2.653</v>
      </c>
      <c r="S20" s="102">
        <v>1.0</v>
      </c>
      <c r="T20" s="100">
        <f t="shared" si="6"/>
        <v>12</v>
      </c>
      <c r="U20" s="101">
        <f t="shared" si="7"/>
        <v>-1.557833333</v>
      </c>
      <c r="V20" s="101" t="str">
        <f t="shared" si="8"/>
        <v>1/2''</v>
      </c>
    </row>
    <row r="21">
      <c r="B21" s="7">
        <v>17.0</v>
      </c>
      <c r="C21" s="54" t="s">
        <v>20</v>
      </c>
      <c r="D21" s="82" t="s">
        <v>155</v>
      </c>
      <c r="E21" s="84"/>
      <c r="F21" s="83">
        <v>3.0</v>
      </c>
      <c r="G21" s="84"/>
      <c r="H21" s="84"/>
      <c r="I21" s="84"/>
      <c r="J21" s="84"/>
      <c r="K21" s="84"/>
      <c r="L21" s="85">
        <f t="shared" si="1"/>
        <v>32.25630257</v>
      </c>
      <c r="M21" s="86">
        <v>0.4</v>
      </c>
      <c r="N21" s="87">
        <f t="shared" si="2"/>
        <v>10.13286731</v>
      </c>
      <c r="O21" s="88">
        <f t="shared" si="3"/>
        <v>16</v>
      </c>
      <c r="P21" s="88">
        <f t="shared" si="4"/>
        <v>20</v>
      </c>
      <c r="Q21" s="89" t="str">
        <f t="shared" si="5"/>
        <v>1/2''</v>
      </c>
      <c r="R21" s="90">
        <f>0.075+0.075+1.7+1.0716</f>
        <v>2.9216</v>
      </c>
      <c r="S21" s="91">
        <v>2.0</v>
      </c>
      <c r="T21" s="89">
        <f t="shared" si="6"/>
        <v>9</v>
      </c>
      <c r="U21" s="90">
        <f t="shared" si="7"/>
        <v>-1.013066667</v>
      </c>
      <c r="V21" s="90" t="str">
        <f t="shared" si="8"/>
        <v>1/2''</v>
      </c>
    </row>
    <row r="22">
      <c r="B22" s="7">
        <v>18.0</v>
      </c>
      <c r="C22" s="92" t="s">
        <v>23</v>
      </c>
      <c r="D22" s="93" t="s">
        <v>157</v>
      </c>
      <c r="E22" s="94">
        <v>2.0</v>
      </c>
      <c r="F22" s="94">
        <v>2.0</v>
      </c>
      <c r="G22" s="94">
        <v>2.0</v>
      </c>
      <c r="H22" s="94">
        <v>3.0</v>
      </c>
      <c r="I22" s="95"/>
      <c r="J22" s="95"/>
      <c r="K22" s="95"/>
      <c r="L22" s="96">
        <f t="shared" si="1"/>
        <v>153.8516462</v>
      </c>
      <c r="M22" s="97">
        <v>0.4</v>
      </c>
      <c r="N22" s="98">
        <f t="shared" si="2"/>
        <v>22.12973113</v>
      </c>
      <c r="O22" s="99">
        <f t="shared" si="3"/>
        <v>26.8</v>
      </c>
      <c r="P22" s="99">
        <f t="shared" si="4"/>
        <v>25</v>
      </c>
      <c r="Q22" s="100" t="str">
        <f t="shared" si="5"/>
        <v>1''</v>
      </c>
      <c r="R22" s="101">
        <f>1.5+3.1085</f>
        <v>4.6085</v>
      </c>
      <c r="S22" s="102">
        <v>1.0</v>
      </c>
      <c r="T22" s="100">
        <f t="shared" si="6"/>
        <v>12</v>
      </c>
      <c r="U22" s="101">
        <f t="shared" si="7"/>
        <v>-1.231916667</v>
      </c>
      <c r="V22" s="101" t="str">
        <f t="shared" si="8"/>
        <v>1''</v>
      </c>
    </row>
    <row r="23">
      <c r="B23" s="7">
        <v>19.0</v>
      </c>
      <c r="C23" s="54" t="s">
        <v>23</v>
      </c>
      <c r="D23" s="82" t="s">
        <v>158</v>
      </c>
      <c r="E23" s="84"/>
      <c r="F23" s="84"/>
      <c r="G23" s="83">
        <v>3.0</v>
      </c>
      <c r="H23" s="84"/>
      <c r="I23" s="84"/>
      <c r="J23" s="84"/>
      <c r="K23" s="84"/>
      <c r="L23" s="85">
        <f t="shared" si="1"/>
        <v>54.28672105</v>
      </c>
      <c r="M23" s="86">
        <v>0.4</v>
      </c>
      <c r="N23" s="87">
        <f t="shared" si="2"/>
        <v>13.14534138</v>
      </c>
      <c r="O23" s="88">
        <f t="shared" si="3"/>
        <v>16</v>
      </c>
      <c r="P23" s="88">
        <f t="shared" si="4"/>
        <v>20</v>
      </c>
      <c r="Q23" s="89" t="str">
        <f t="shared" si="5"/>
        <v>1/2''</v>
      </c>
      <c r="R23" s="90">
        <f>0.8276+2.7</f>
        <v>3.5276</v>
      </c>
      <c r="S23" s="91">
        <v>1.0</v>
      </c>
      <c r="T23" s="89">
        <f t="shared" si="6"/>
        <v>12</v>
      </c>
      <c r="U23" s="90">
        <f t="shared" si="7"/>
        <v>-1.412066667</v>
      </c>
      <c r="V23" s="90" t="str">
        <f t="shared" si="8"/>
        <v>1/2''</v>
      </c>
    </row>
    <row r="24">
      <c r="B24" s="7">
        <v>20.0</v>
      </c>
      <c r="C24" s="92" t="s">
        <v>23</v>
      </c>
      <c r="D24" s="93" t="s">
        <v>159</v>
      </c>
      <c r="E24" s="94">
        <v>2.0</v>
      </c>
      <c r="F24" s="94">
        <v>3.0</v>
      </c>
      <c r="G24" s="95"/>
      <c r="H24" s="95"/>
      <c r="I24" s="95"/>
      <c r="J24" s="95"/>
      <c r="K24" s="95"/>
      <c r="L24" s="96">
        <f t="shared" si="1"/>
        <v>46.39346951</v>
      </c>
      <c r="M24" s="97">
        <v>0.4</v>
      </c>
      <c r="N24" s="98">
        <f t="shared" si="2"/>
        <v>12.1521603</v>
      </c>
      <c r="O24" s="99">
        <f t="shared" si="3"/>
        <v>16</v>
      </c>
      <c r="P24" s="99">
        <f t="shared" si="4"/>
        <v>20</v>
      </c>
      <c r="Q24" s="100" t="str">
        <f t="shared" si="5"/>
        <v>1/2''</v>
      </c>
      <c r="R24" s="101">
        <f>1.1302+1.7</f>
        <v>2.8302</v>
      </c>
      <c r="S24" s="102">
        <v>1.0</v>
      </c>
      <c r="T24" s="100">
        <f t="shared" si="6"/>
        <v>12</v>
      </c>
      <c r="U24" s="101">
        <f t="shared" si="7"/>
        <v>-1.5283</v>
      </c>
      <c r="V24" s="101" t="str">
        <f t="shared" si="8"/>
        <v>1/2''</v>
      </c>
    </row>
    <row r="25">
      <c r="B25" s="7">
        <v>21.0</v>
      </c>
      <c r="C25" s="54" t="s">
        <v>23</v>
      </c>
      <c r="D25" s="82" t="s">
        <v>160</v>
      </c>
      <c r="E25" s="84"/>
      <c r="F25" s="84"/>
      <c r="G25" s="84"/>
      <c r="H25" s="83">
        <v>3.0</v>
      </c>
      <c r="I25" s="84"/>
      <c r="J25" s="84"/>
      <c r="K25" s="84"/>
      <c r="L25" s="85">
        <f t="shared" si="1"/>
        <v>82.0191302</v>
      </c>
      <c r="M25" s="86">
        <v>0.4</v>
      </c>
      <c r="N25" s="87">
        <f t="shared" si="2"/>
        <v>16.15781545</v>
      </c>
      <c r="O25" s="88">
        <f t="shared" si="3"/>
        <v>21</v>
      </c>
      <c r="P25" s="88">
        <f t="shared" si="4"/>
        <v>20</v>
      </c>
      <c r="Q25" s="89" t="str">
        <f t="shared" si="5"/>
        <v>3/4''</v>
      </c>
      <c r="R25" s="90">
        <f>0.7714+1</f>
        <v>1.7714</v>
      </c>
      <c r="S25" s="91">
        <v>1.0</v>
      </c>
      <c r="T25" s="89">
        <f t="shared" si="6"/>
        <v>12</v>
      </c>
      <c r="U25" s="90">
        <f t="shared" si="7"/>
        <v>-1.704766667</v>
      </c>
      <c r="V25" s="90" t="str">
        <f t="shared" si="8"/>
        <v>3/4''</v>
      </c>
    </row>
    <row r="26">
      <c r="B26" s="7">
        <v>22.0</v>
      </c>
      <c r="C26" s="92" t="s">
        <v>22</v>
      </c>
      <c r="D26" s="93" t="s">
        <v>161</v>
      </c>
      <c r="E26" s="94">
        <v>2.0</v>
      </c>
      <c r="F26" s="94">
        <v>5.0</v>
      </c>
      <c r="G26" s="95"/>
      <c r="H26" s="95"/>
      <c r="I26" s="95"/>
      <c r="J26" s="95"/>
      <c r="K26" s="95"/>
      <c r="L26" s="96">
        <f t="shared" si="1"/>
        <v>67.89767123</v>
      </c>
      <c r="M26" s="97">
        <v>0.4</v>
      </c>
      <c r="N26" s="98">
        <f t="shared" si="2"/>
        <v>14.70119043</v>
      </c>
      <c r="O26" s="99">
        <f t="shared" si="3"/>
        <v>16</v>
      </c>
      <c r="P26" s="99">
        <f t="shared" si="4"/>
        <v>20</v>
      </c>
      <c r="Q26" s="100" t="str">
        <f t="shared" si="5"/>
        <v>1/2''</v>
      </c>
      <c r="R26" s="101">
        <f>1.5+1.7008</f>
        <v>3.2008</v>
      </c>
      <c r="S26" s="102">
        <v>1.0</v>
      </c>
      <c r="T26" s="100">
        <f t="shared" si="6"/>
        <v>12</v>
      </c>
      <c r="U26" s="101">
        <f t="shared" si="7"/>
        <v>-1.466533333</v>
      </c>
      <c r="V26" s="101" t="str">
        <f t="shared" si="8"/>
        <v>1/2''</v>
      </c>
    </row>
    <row r="27">
      <c r="B27" s="7">
        <v>23.0</v>
      </c>
      <c r="C27" s="54" t="s">
        <v>22</v>
      </c>
      <c r="D27" s="82" t="s">
        <v>162</v>
      </c>
      <c r="E27" s="84"/>
      <c r="F27" s="83">
        <v>3.0</v>
      </c>
      <c r="G27" s="84"/>
      <c r="H27" s="84"/>
      <c r="I27" s="84"/>
      <c r="J27" s="84"/>
      <c r="K27" s="84"/>
      <c r="L27" s="85">
        <f t="shared" si="1"/>
        <v>32.25630257</v>
      </c>
      <c r="M27" s="86">
        <v>0.4</v>
      </c>
      <c r="N27" s="87">
        <f t="shared" si="2"/>
        <v>10.13286731</v>
      </c>
      <c r="O27" s="88">
        <f t="shared" si="3"/>
        <v>16</v>
      </c>
      <c r="P27" s="88">
        <f t="shared" si="4"/>
        <v>20</v>
      </c>
      <c r="Q27" s="89" t="str">
        <f t="shared" si="5"/>
        <v>1/2''</v>
      </c>
      <c r="R27" s="90">
        <f t="shared" ref="R27:R28" si="9">1.1688+2.7</f>
        <v>3.8688</v>
      </c>
      <c r="S27" s="91">
        <v>1.0</v>
      </c>
      <c r="T27" s="89">
        <f t="shared" si="6"/>
        <v>12</v>
      </c>
      <c r="U27" s="90">
        <f t="shared" si="7"/>
        <v>-1.3552</v>
      </c>
      <c r="V27" s="90" t="str">
        <f t="shared" si="8"/>
        <v>1/2''</v>
      </c>
    </row>
    <row r="28">
      <c r="B28" s="7">
        <v>24.0</v>
      </c>
      <c r="C28" s="92" t="s">
        <v>22</v>
      </c>
      <c r="D28" s="103" t="s">
        <v>162</v>
      </c>
      <c r="E28" s="104"/>
      <c r="F28" s="105">
        <v>3.0</v>
      </c>
      <c r="G28" s="104"/>
      <c r="H28" s="104"/>
      <c r="I28" s="106"/>
      <c r="J28" s="106"/>
      <c r="K28" s="106"/>
      <c r="L28" s="96">
        <f t="shared" si="1"/>
        <v>32.25630257</v>
      </c>
      <c r="M28" s="107">
        <v>0.4</v>
      </c>
      <c r="N28" s="107">
        <f t="shared" si="2"/>
        <v>10.13286731</v>
      </c>
      <c r="O28" s="104">
        <f t="shared" si="3"/>
        <v>16</v>
      </c>
      <c r="P28" s="104">
        <f t="shared" si="4"/>
        <v>20</v>
      </c>
      <c r="Q28" s="108" t="str">
        <f t="shared" si="5"/>
        <v>1/2''</v>
      </c>
      <c r="R28" s="107">
        <f t="shared" si="9"/>
        <v>3.8688</v>
      </c>
      <c r="S28" s="108">
        <v>1.0</v>
      </c>
      <c r="T28" s="108">
        <f t="shared" si="6"/>
        <v>12</v>
      </c>
      <c r="U28" s="107">
        <f t="shared" si="7"/>
        <v>-1.3552</v>
      </c>
      <c r="V28" s="107" t="str">
        <f t="shared" si="8"/>
        <v>1/2''</v>
      </c>
    </row>
    <row r="29">
      <c r="B29" s="7">
        <v>25.0</v>
      </c>
      <c r="C29" s="54" t="s">
        <v>22</v>
      </c>
      <c r="D29" s="82" t="s">
        <v>163</v>
      </c>
      <c r="E29" s="83">
        <v>4.0</v>
      </c>
      <c r="F29" s="83">
        <v>3.0</v>
      </c>
      <c r="G29" s="84"/>
      <c r="H29" s="84"/>
      <c r="I29" s="84"/>
      <c r="J29" s="84"/>
      <c r="K29" s="84"/>
      <c r="L29" s="85">
        <f t="shared" si="1"/>
        <v>60.53063645</v>
      </c>
      <c r="M29" s="109">
        <v>0.4</v>
      </c>
      <c r="N29" s="109">
        <f t="shared" si="2"/>
        <v>13.88074206</v>
      </c>
      <c r="O29" s="110">
        <f t="shared" si="3"/>
        <v>16</v>
      </c>
      <c r="P29" s="110">
        <f t="shared" si="4"/>
        <v>20</v>
      </c>
      <c r="Q29" s="111" t="str">
        <f t="shared" si="5"/>
        <v>1/2''</v>
      </c>
      <c r="R29" s="109">
        <f>1.3771+1.7</f>
        <v>3.0771</v>
      </c>
      <c r="S29" s="111">
        <v>1.0</v>
      </c>
      <c r="T29" s="111">
        <f t="shared" si="6"/>
        <v>12</v>
      </c>
      <c r="U29" s="109">
        <f t="shared" si="7"/>
        <v>-1.48715</v>
      </c>
      <c r="V29" s="109" t="str">
        <f t="shared" si="8"/>
        <v>1/2''</v>
      </c>
    </row>
    <row r="30">
      <c r="B30" s="7">
        <v>26.0</v>
      </c>
      <c r="C30" s="92" t="s">
        <v>22</v>
      </c>
      <c r="D30" s="93" t="s">
        <v>152</v>
      </c>
      <c r="E30" s="94">
        <v>3.0</v>
      </c>
      <c r="F30" s="95"/>
      <c r="G30" s="95"/>
      <c r="H30" s="95"/>
      <c r="I30" s="95"/>
      <c r="J30" s="95"/>
      <c r="K30" s="95"/>
      <c r="L30" s="96">
        <f t="shared" si="1"/>
        <v>21.20575041</v>
      </c>
      <c r="M30" s="112">
        <v>0.4</v>
      </c>
      <c r="N30" s="112">
        <f t="shared" si="2"/>
        <v>8.215838363</v>
      </c>
      <c r="O30" s="113">
        <f t="shared" si="3"/>
        <v>16</v>
      </c>
      <c r="P30" s="113">
        <f t="shared" si="4"/>
        <v>20</v>
      </c>
      <c r="Q30" s="114" t="str">
        <f t="shared" si="5"/>
        <v>1/2''</v>
      </c>
      <c r="R30" s="112">
        <f>1.1381+1.7</f>
        <v>2.8381</v>
      </c>
      <c r="S30" s="114">
        <v>1.0</v>
      </c>
      <c r="T30" s="114">
        <f t="shared" si="6"/>
        <v>12</v>
      </c>
      <c r="U30" s="112">
        <f t="shared" si="7"/>
        <v>-1.526983333</v>
      </c>
      <c r="V30" s="112" t="str">
        <f t="shared" si="8"/>
        <v>1/2''</v>
      </c>
    </row>
    <row r="31">
      <c r="B31" s="7">
        <v>27.0</v>
      </c>
      <c r="C31" s="54" t="s">
        <v>22</v>
      </c>
      <c r="D31" s="82" t="s">
        <v>163</v>
      </c>
      <c r="E31" s="83">
        <v>4.0</v>
      </c>
      <c r="F31" s="83">
        <v>3.0</v>
      </c>
      <c r="G31" s="84"/>
      <c r="H31" s="84"/>
      <c r="I31" s="84"/>
      <c r="J31" s="84"/>
      <c r="K31" s="84"/>
      <c r="L31" s="85">
        <f t="shared" si="1"/>
        <v>60.53063645</v>
      </c>
      <c r="M31" s="109">
        <v>0.4</v>
      </c>
      <c r="N31" s="109">
        <f t="shared" si="2"/>
        <v>13.88074206</v>
      </c>
      <c r="O31" s="110">
        <f t="shared" si="3"/>
        <v>16</v>
      </c>
      <c r="P31" s="110">
        <f t="shared" si="4"/>
        <v>20</v>
      </c>
      <c r="Q31" s="111" t="str">
        <f t="shared" si="5"/>
        <v>1/2''</v>
      </c>
      <c r="R31" s="109">
        <f>2.1799</f>
        <v>2.1799</v>
      </c>
      <c r="S31" s="115">
        <v>0.0</v>
      </c>
      <c r="T31" s="111">
        <f t="shared" si="6"/>
        <v>15</v>
      </c>
      <c r="U31" s="109">
        <f t="shared" si="7"/>
        <v>-2.136683333</v>
      </c>
      <c r="V31" s="109" t="str">
        <f t="shared" si="8"/>
        <v>1/2''</v>
      </c>
    </row>
    <row r="32">
      <c r="B32" s="7">
        <v>28.0</v>
      </c>
      <c r="C32" s="116" t="s">
        <v>22</v>
      </c>
      <c r="D32" s="117" t="s">
        <v>164</v>
      </c>
      <c r="E32" s="94">
        <v>3.0</v>
      </c>
      <c r="F32" s="94">
        <v>3.0</v>
      </c>
      <c r="G32" s="95"/>
      <c r="H32" s="95"/>
      <c r="I32" s="95"/>
      <c r="J32" s="95"/>
      <c r="K32" s="95"/>
      <c r="L32" s="96">
        <f t="shared" si="1"/>
        <v>53.46205298</v>
      </c>
      <c r="M32" s="112">
        <v>0.4</v>
      </c>
      <c r="N32" s="112">
        <f t="shared" si="2"/>
        <v>13.04511403</v>
      </c>
      <c r="O32" s="113">
        <f t="shared" si="3"/>
        <v>16</v>
      </c>
      <c r="P32" s="113">
        <f t="shared" si="4"/>
        <v>20</v>
      </c>
      <c r="Q32" s="114" t="str">
        <f t="shared" si="5"/>
        <v>1/2''</v>
      </c>
      <c r="R32" s="112">
        <f>1.6937+1.7</f>
        <v>3.3937</v>
      </c>
      <c r="S32" s="118">
        <v>1.0</v>
      </c>
      <c r="T32" s="114">
        <f t="shared" si="6"/>
        <v>12</v>
      </c>
      <c r="U32" s="112">
        <f t="shared" si="7"/>
        <v>-1.434383333</v>
      </c>
      <c r="V32" s="112" t="str">
        <f t="shared" si="8"/>
        <v>1/2''</v>
      </c>
    </row>
    <row r="33">
      <c r="B33" s="7">
        <v>29.0</v>
      </c>
      <c r="C33" s="119" t="s">
        <v>22</v>
      </c>
      <c r="D33" s="120"/>
      <c r="E33" s="84"/>
      <c r="F33" s="83">
        <v>3.0</v>
      </c>
      <c r="G33" s="84"/>
      <c r="H33" s="84"/>
      <c r="I33" s="84"/>
      <c r="J33" s="84"/>
      <c r="K33" s="84"/>
      <c r="L33" s="85">
        <f t="shared" si="1"/>
        <v>32.25630257</v>
      </c>
      <c r="M33" s="109">
        <v>0.4</v>
      </c>
      <c r="N33" s="109">
        <f t="shared" si="2"/>
        <v>10.13286731</v>
      </c>
      <c r="O33" s="110">
        <f t="shared" si="3"/>
        <v>16</v>
      </c>
      <c r="P33" s="110">
        <f t="shared" si="4"/>
        <v>20</v>
      </c>
      <c r="Q33" s="111" t="str">
        <f t="shared" si="5"/>
        <v>1/2''</v>
      </c>
      <c r="R33" s="109">
        <f>0.075+0.075+1.272+1</f>
        <v>2.422</v>
      </c>
      <c r="S33" s="115">
        <v>2.0</v>
      </c>
      <c r="T33" s="111">
        <f t="shared" si="6"/>
        <v>9</v>
      </c>
      <c r="U33" s="109">
        <f t="shared" si="7"/>
        <v>-1.096333333</v>
      </c>
      <c r="V33" s="109" t="str">
        <f t="shared" si="8"/>
        <v>1/2''</v>
      </c>
    </row>
    <row r="34">
      <c r="B34" s="7">
        <v>30.0</v>
      </c>
      <c r="C34" s="121" t="s">
        <v>165</v>
      </c>
      <c r="D34" s="122" t="s">
        <v>166</v>
      </c>
      <c r="E34" s="102">
        <v>2.0</v>
      </c>
      <c r="F34" s="102">
        <v>4.0</v>
      </c>
      <c r="G34" s="102"/>
      <c r="H34" s="102">
        <v>3.0</v>
      </c>
      <c r="I34" s="99"/>
      <c r="J34" s="99"/>
      <c r="K34" s="99"/>
      <c r="L34" s="96">
        <f t="shared" si="1"/>
        <v>139.1647006</v>
      </c>
      <c r="M34" s="107">
        <v>0.4</v>
      </c>
      <c r="N34" s="107">
        <f t="shared" si="2"/>
        <v>21.04697128</v>
      </c>
      <c r="O34" s="104">
        <f t="shared" si="3"/>
        <v>26.8</v>
      </c>
      <c r="P34" s="104">
        <f t="shared" si="4"/>
        <v>25</v>
      </c>
      <c r="Q34" s="108" t="str">
        <f t="shared" si="5"/>
        <v>1''</v>
      </c>
      <c r="R34" s="107">
        <f>1.5+1.2568</f>
        <v>2.7568</v>
      </c>
      <c r="S34" s="108">
        <v>1.0</v>
      </c>
      <c r="T34" s="108">
        <f t="shared" si="6"/>
        <v>12</v>
      </c>
      <c r="U34" s="107">
        <f t="shared" si="7"/>
        <v>-1.540533333</v>
      </c>
      <c r="V34" s="107" t="str">
        <f t="shared" si="8"/>
        <v>1''</v>
      </c>
    </row>
    <row r="35">
      <c r="B35" s="7">
        <v>31.0</v>
      </c>
      <c r="C35" s="123" t="s">
        <v>165</v>
      </c>
      <c r="D35" s="124" t="s">
        <v>167</v>
      </c>
      <c r="E35" s="88"/>
      <c r="F35" s="88"/>
      <c r="G35" s="88"/>
      <c r="H35" s="91">
        <v>3.0</v>
      </c>
      <c r="I35" s="88"/>
      <c r="J35" s="88"/>
      <c r="K35" s="88"/>
      <c r="L35" s="85">
        <f t="shared" si="1"/>
        <v>82.0191302</v>
      </c>
      <c r="M35" s="109">
        <v>0.4</v>
      </c>
      <c r="N35" s="109">
        <f t="shared" si="2"/>
        <v>16.15781545</v>
      </c>
      <c r="O35" s="110">
        <f t="shared" si="3"/>
        <v>21</v>
      </c>
      <c r="P35" s="110">
        <f t="shared" si="4"/>
        <v>20</v>
      </c>
      <c r="Q35" s="111" t="str">
        <f t="shared" si="5"/>
        <v>3/4''</v>
      </c>
      <c r="R35" s="109">
        <f>0.7171+1</f>
        <v>1.7171</v>
      </c>
      <c r="S35" s="111">
        <v>1.0</v>
      </c>
      <c r="T35" s="111">
        <f t="shared" si="6"/>
        <v>12</v>
      </c>
      <c r="U35" s="109">
        <f t="shared" si="7"/>
        <v>-1.713816667</v>
      </c>
      <c r="V35" s="109" t="str">
        <f t="shared" si="8"/>
        <v>3/4''</v>
      </c>
    </row>
    <row r="36">
      <c r="B36" s="7">
        <v>32.0</v>
      </c>
      <c r="C36" s="121" t="s">
        <v>165</v>
      </c>
      <c r="D36" s="125" t="s">
        <v>168</v>
      </c>
      <c r="E36" s="102">
        <v>2.0</v>
      </c>
      <c r="F36" s="102">
        <v>5.0</v>
      </c>
      <c r="G36" s="99"/>
      <c r="H36" s="99"/>
      <c r="I36" s="99"/>
      <c r="J36" s="99"/>
      <c r="K36" s="99"/>
      <c r="L36" s="96">
        <f t="shared" si="1"/>
        <v>67.89767123</v>
      </c>
      <c r="M36" s="112">
        <v>0.4</v>
      </c>
      <c r="N36" s="112">
        <f t="shared" si="2"/>
        <v>14.70119043</v>
      </c>
      <c r="O36" s="113">
        <f t="shared" si="3"/>
        <v>16</v>
      </c>
      <c r="P36" s="113">
        <f t="shared" si="4"/>
        <v>20</v>
      </c>
      <c r="Q36" s="114" t="str">
        <f t="shared" si="5"/>
        <v>1/2''</v>
      </c>
      <c r="R36" s="112">
        <f>0.9881+1.7</f>
        <v>2.6881</v>
      </c>
      <c r="S36" s="114">
        <v>1.0</v>
      </c>
      <c r="T36" s="114">
        <f t="shared" si="6"/>
        <v>12</v>
      </c>
      <c r="U36" s="112">
        <f t="shared" si="7"/>
        <v>-1.551983333</v>
      </c>
      <c r="V36" s="112" t="str">
        <f t="shared" si="8"/>
        <v>1/2''</v>
      </c>
    </row>
    <row r="37">
      <c r="B37" s="7">
        <v>33.0</v>
      </c>
      <c r="C37" s="123" t="s">
        <v>165</v>
      </c>
      <c r="D37" s="124" t="s">
        <v>150</v>
      </c>
      <c r="E37" s="88"/>
      <c r="F37" s="91">
        <v>3.0</v>
      </c>
      <c r="G37" s="88"/>
      <c r="H37" s="88"/>
      <c r="I37" s="88"/>
      <c r="J37" s="88"/>
      <c r="K37" s="88"/>
      <c r="L37" s="85">
        <f t="shared" si="1"/>
        <v>32.25630257</v>
      </c>
      <c r="M37" s="109">
        <v>0.4</v>
      </c>
      <c r="N37" s="109">
        <f t="shared" si="2"/>
        <v>10.13286731</v>
      </c>
      <c r="O37" s="110">
        <f t="shared" si="3"/>
        <v>16</v>
      </c>
      <c r="P37" s="110">
        <f t="shared" si="4"/>
        <v>20</v>
      </c>
      <c r="Q37" s="111" t="str">
        <f t="shared" si="5"/>
        <v>1/2''</v>
      </c>
      <c r="R37" s="109">
        <f>0.6471+0.3+1.3</f>
        <v>2.2471</v>
      </c>
      <c r="S37" s="115">
        <v>2.0</v>
      </c>
      <c r="T37" s="111">
        <f t="shared" si="6"/>
        <v>9</v>
      </c>
      <c r="U37" s="109">
        <f t="shared" si="7"/>
        <v>-1.125483333</v>
      </c>
      <c r="V37" s="109" t="str">
        <f t="shared" si="8"/>
        <v>1/2''</v>
      </c>
    </row>
    <row r="38">
      <c r="B38" s="7">
        <v>34.0</v>
      </c>
      <c r="C38" s="126" t="s">
        <v>15</v>
      </c>
      <c r="D38" s="127" t="s">
        <v>169</v>
      </c>
      <c r="E38" s="99"/>
      <c r="F38" s="102">
        <v>7.0</v>
      </c>
      <c r="G38" s="99"/>
      <c r="H38" s="99"/>
      <c r="I38" s="99"/>
      <c r="J38" s="99"/>
      <c r="K38" s="99"/>
      <c r="L38" s="96">
        <f t="shared" si="1"/>
        <v>75.264706</v>
      </c>
      <c r="M38" s="112">
        <v>0.4</v>
      </c>
      <c r="N38" s="112">
        <f t="shared" si="2"/>
        <v>15.47821049</v>
      </c>
      <c r="O38" s="113">
        <f t="shared" si="3"/>
        <v>16</v>
      </c>
      <c r="P38" s="113">
        <f t="shared" si="4"/>
        <v>20</v>
      </c>
      <c r="Q38" s="114" t="str">
        <f t="shared" si="5"/>
        <v>1/2''</v>
      </c>
      <c r="R38" s="112">
        <f>1.5+3.8111</f>
        <v>5.3111</v>
      </c>
      <c r="S38" s="118">
        <v>1.0</v>
      </c>
      <c r="T38" s="114">
        <f t="shared" si="6"/>
        <v>12</v>
      </c>
      <c r="U38" s="112">
        <f t="shared" si="7"/>
        <v>-1.114816667</v>
      </c>
      <c r="V38" s="112" t="str">
        <f t="shared" si="8"/>
        <v>1/2''</v>
      </c>
    </row>
    <row r="39">
      <c r="B39" s="7">
        <v>35.0</v>
      </c>
      <c r="C39" s="128" t="s">
        <v>15</v>
      </c>
      <c r="D39" s="129" t="s">
        <v>170</v>
      </c>
      <c r="E39" s="91">
        <v>3.0</v>
      </c>
      <c r="F39" s="91">
        <v>3.0</v>
      </c>
      <c r="G39" s="88"/>
      <c r="H39" s="88"/>
      <c r="I39" s="88"/>
      <c r="J39" s="88"/>
      <c r="K39" s="88"/>
      <c r="L39" s="85">
        <f t="shared" si="1"/>
        <v>53.46205298</v>
      </c>
      <c r="M39" s="109">
        <v>0.4</v>
      </c>
      <c r="N39" s="109">
        <f t="shared" si="2"/>
        <v>13.04511403</v>
      </c>
      <c r="O39" s="110">
        <f t="shared" si="3"/>
        <v>16</v>
      </c>
      <c r="P39" s="110">
        <f t="shared" si="4"/>
        <v>20</v>
      </c>
      <c r="Q39" s="111" t="str">
        <f t="shared" si="5"/>
        <v>1/2''</v>
      </c>
      <c r="R39" s="109">
        <f>1.2539+1.7</f>
        <v>2.9539</v>
      </c>
      <c r="S39" s="111">
        <v>0.0</v>
      </c>
      <c r="T39" s="111">
        <f t="shared" si="6"/>
        <v>15</v>
      </c>
      <c r="U39" s="109">
        <f t="shared" si="7"/>
        <v>-2.007683333</v>
      </c>
      <c r="V39" s="109" t="str">
        <f t="shared" si="8"/>
        <v>1/2''</v>
      </c>
    </row>
    <row r="40">
      <c r="B40" s="7">
        <v>36.0</v>
      </c>
      <c r="C40" s="126" t="s">
        <v>15</v>
      </c>
      <c r="D40" s="125" t="s">
        <v>171</v>
      </c>
      <c r="E40" s="99"/>
      <c r="F40" s="102">
        <v>3.0</v>
      </c>
      <c r="G40" s="99"/>
      <c r="H40" s="99"/>
      <c r="I40" s="99"/>
      <c r="J40" s="99"/>
      <c r="K40" s="99"/>
      <c r="L40" s="96">
        <f t="shared" si="1"/>
        <v>32.25630257</v>
      </c>
      <c r="M40" s="107">
        <v>0.4</v>
      </c>
      <c r="N40" s="107">
        <f t="shared" si="2"/>
        <v>10.13286731</v>
      </c>
      <c r="O40" s="104">
        <f t="shared" si="3"/>
        <v>16</v>
      </c>
      <c r="P40" s="104">
        <f t="shared" si="4"/>
        <v>20</v>
      </c>
      <c r="Q40" s="108" t="str">
        <f t="shared" si="5"/>
        <v>1/2''</v>
      </c>
      <c r="R40" s="107">
        <f>0.075+0.075+0.6587</f>
        <v>0.8087</v>
      </c>
      <c r="S40" s="105">
        <v>2.0</v>
      </c>
      <c r="T40" s="108">
        <f t="shared" si="6"/>
        <v>9</v>
      </c>
      <c r="U40" s="107">
        <f t="shared" si="7"/>
        <v>-1.365216667</v>
      </c>
      <c r="V40" s="107" t="str">
        <f t="shared" si="8"/>
        <v>1/2''</v>
      </c>
    </row>
    <row r="41">
      <c r="B41" s="7">
        <v>37.0</v>
      </c>
      <c r="C41" s="128" t="s">
        <v>15</v>
      </c>
      <c r="D41" s="124" t="s">
        <v>172</v>
      </c>
      <c r="E41" s="88"/>
      <c r="F41" s="91">
        <v>5.0</v>
      </c>
      <c r="G41" s="88"/>
      <c r="H41" s="88"/>
      <c r="I41" s="88"/>
      <c r="J41" s="88"/>
      <c r="K41" s="88"/>
      <c r="L41" s="85">
        <f t="shared" si="1"/>
        <v>53.76050428</v>
      </c>
      <c r="M41" s="109">
        <v>0.4</v>
      </c>
      <c r="N41" s="109">
        <f t="shared" si="2"/>
        <v>13.08147545</v>
      </c>
      <c r="O41" s="110">
        <f t="shared" si="3"/>
        <v>16</v>
      </c>
      <c r="P41" s="110">
        <f t="shared" si="4"/>
        <v>20</v>
      </c>
      <c r="Q41" s="111" t="str">
        <f t="shared" si="5"/>
        <v>1/2''</v>
      </c>
      <c r="R41" s="109">
        <f>1.4892+1.7</f>
        <v>3.1892</v>
      </c>
      <c r="S41" s="111">
        <v>1.0</v>
      </c>
      <c r="T41" s="111">
        <f t="shared" si="6"/>
        <v>12</v>
      </c>
      <c r="U41" s="109">
        <f t="shared" si="7"/>
        <v>-1.468466667</v>
      </c>
      <c r="V41" s="109" t="str">
        <f t="shared" si="8"/>
        <v>1/2''</v>
      </c>
    </row>
    <row r="42">
      <c r="B42" s="7">
        <v>38.0</v>
      </c>
      <c r="C42" s="126" t="s">
        <v>15</v>
      </c>
      <c r="D42" s="125" t="s">
        <v>170</v>
      </c>
      <c r="E42" s="102">
        <v>3.0</v>
      </c>
      <c r="F42" s="102">
        <v>3.0</v>
      </c>
      <c r="G42" s="99"/>
      <c r="H42" s="99"/>
      <c r="I42" s="99"/>
      <c r="J42" s="99"/>
      <c r="K42" s="99"/>
      <c r="L42" s="96">
        <f t="shared" si="1"/>
        <v>53.46205298</v>
      </c>
      <c r="M42" s="112">
        <v>0.4</v>
      </c>
      <c r="N42" s="112">
        <f t="shared" si="2"/>
        <v>13.04511403</v>
      </c>
      <c r="O42" s="113">
        <f t="shared" si="3"/>
        <v>16</v>
      </c>
      <c r="P42" s="113">
        <f t="shared" si="4"/>
        <v>20</v>
      </c>
      <c r="Q42" s="114" t="str">
        <f t="shared" si="5"/>
        <v>1/2''</v>
      </c>
      <c r="R42" s="112">
        <f>1.9223+1.7</f>
        <v>3.6223</v>
      </c>
      <c r="S42" s="114">
        <v>1.0</v>
      </c>
      <c r="T42" s="114">
        <f t="shared" si="6"/>
        <v>12</v>
      </c>
      <c r="U42" s="112">
        <f t="shared" si="7"/>
        <v>-1.396283333</v>
      </c>
      <c r="V42" s="112" t="str">
        <f t="shared" si="8"/>
        <v>1/2''</v>
      </c>
    </row>
    <row r="43">
      <c r="B43" s="7">
        <v>39.0</v>
      </c>
      <c r="C43" s="128" t="s">
        <v>15</v>
      </c>
      <c r="D43" s="124" t="s">
        <v>171</v>
      </c>
      <c r="E43" s="88"/>
      <c r="F43" s="91">
        <v>3.0</v>
      </c>
      <c r="G43" s="88"/>
      <c r="H43" s="88"/>
      <c r="I43" s="88"/>
      <c r="J43" s="88"/>
      <c r="K43" s="88"/>
      <c r="L43" s="85">
        <f t="shared" si="1"/>
        <v>32.25630257</v>
      </c>
      <c r="M43" s="109">
        <v>0.4</v>
      </c>
      <c r="N43" s="109">
        <f t="shared" si="2"/>
        <v>10.13286731</v>
      </c>
      <c r="O43" s="110">
        <f t="shared" si="3"/>
        <v>16</v>
      </c>
      <c r="P43" s="110">
        <f t="shared" si="4"/>
        <v>20</v>
      </c>
      <c r="Q43" s="111" t="str">
        <f t="shared" si="5"/>
        <v>1/2''</v>
      </c>
      <c r="R43" s="109">
        <f>1.0993+1.3+0.3</f>
        <v>2.6993</v>
      </c>
      <c r="S43" s="115">
        <v>2.0</v>
      </c>
      <c r="T43" s="111">
        <f t="shared" si="6"/>
        <v>9</v>
      </c>
      <c r="U43" s="109">
        <f t="shared" si="7"/>
        <v>-1.050116667</v>
      </c>
      <c r="V43" s="109" t="str">
        <f t="shared" si="8"/>
        <v>1/2''</v>
      </c>
    </row>
    <row r="44">
      <c r="B44" s="7">
        <v>40.0</v>
      </c>
      <c r="C44" s="126" t="s">
        <v>15</v>
      </c>
      <c r="D44" s="127" t="s">
        <v>171</v>
      </c>
      <c r="E44" s="99"/>
      <c r="F44" s="102">
        <v>3.0</v>
      </c>
      <c r="G44" s="99"/>
      <c r="H44" s="99"/>
      <c r="I44" s="99"/>
      <c r="J44" s="99"/>
      <c r="K44" s="99"/>
      <c r="L44" s="96">
        <f t="shared" si="1"/>
        <v>32.25630257</v>
      </c>
      <c r="M44" s="112">
        <v>0.4</v>
      </c>
      <c r="N44" s="112">
        <f t="shared" si="2"/>
        <v>10.13286731</v>
      </c>
      <c r="O44" s="113">
        <f t="shared" si="3"/>
        <v>16</v>
      </c>
      <c r="P44" s="113">
        <f t="shared" si="4"/>
        <v>20</v>
      </c>
      <c r="Q44" s="114" t="str">
        <f t="shared" si="5"/>
        <v>1/2''</v>
      </c>
      <c r="R44" s="112">
        <f>2.2168+0.075+0.075+1</f>
        <v>3.3668</v>
      </c>
      <c r="S44" s="118">
        <v>2.0</v>
      </c>
      <c r="T44" s="114">
        <f t="shared" si="6"/>
        <v>9</v>
      </c>
      <c r="U44" s="112">
        <f t="shared" si="7"/>
        <v>-0.9388666667</v>
      </c>
      <c r="V44" s="112" t="str">
        <f t="shared" si="8"/>
        <v>1/2''</v>
      </c>
    </row>
    <row r="45">
      <c r="B45" s="7">
        <v>41.0</v>
      </c>
      <c r="C45" s="128" t="s">
        <v>15</v>
      </c>
      <c r="D45" s="129" t="s">
        <v>173</v>
      </c>
      <c r="E45" s="91">
        <v>2.0</v>
      </c>
      <c r="F45" s="91">
        <v>5.0</v>
      </c>
      <c r="G45" s="88"/>
      <c r="H45" s="88"/>
      <c r="I45" s="88"/>
      <c r="J45" s="88"/>
      <c r="K45" s="88"/>
      <c r="L45" s="85">
        <f t="shared" si="1"/>
        <v>67.89767123</v>
      </c>
      <c r="M45" s="109">
        <v>0.4</v>
      </c>
      <c r="N45" s="109">
        <f t="shared" si="2"/>
        <v>14.70119043</v>
      </c>
      <c r="O45" s="110">
        <f t="shared" si="3"/>
        <v>16</v>
      </c>
      <c r="P45" s="110">
        <f t="shared" si="4"/>
        <v>20</v>
      </c>
      <c r="Q45" s="111" t="str">
        <f t="shared" si="5"/>
        <v>1/2''</v>
      </c>
      <c r="R45" s="109">
        <f>2.8474</f>
        <v>2.8474</v>
      </c>
      <c r="S45" s="111">
        <v>0.0</v>
      </c>
      <c r="T45" s="111">
        <f t="shared" si="6"/>
        <v>15</v>
      </c>
      <c r="U45" s="109">
        <f t="shared" si="7"/>
        <v>-2.025433333</v>
      </c>
      <c r="V45" s="109" t="str">
        <f t="shared" si="8"/>
        <v>1/2''</v>
      </c>
    </row>
    <row r="46">
      <c r="B46" s="7">
        <v>42.0</v>
      </c>
      <c r="C46" s="126" t="s">
        <v>15</v>
      </c>
      <c r="D46" s="127" t="s">
        <v>173</v>
      </c>
      <c r="E46" s="102">
        <v>2.0</v>
      </c>
      <c r="F46" s="102">
        <v>5.0</v>
      </c>
      <c r="G46" s="99"/>
      <c r="H46" s="99"/>
      <c r="I46" s="99"/>
      <c r="J46" s="99"/>
      <c r="K46" s="99"/>
      <c r="L46" s="96">
        <f t="shared" si="1"/>
        <v>67.89767123</v>
      </c>
      <c r="M46" s="112">
        <v>0.4</v>
      </c>
      <c r="N46" s="112">
        <f t="shared" si="2"/>
        <v>14.70119043</v>
      </c>
      <c r="O46" s="113">
        <f t="shared" si="3"/>
        <v>16</v>
      </c>
      <c r="P46" s="113">
        <f t="shared" si="4"/>
        <v>20</v>
      </c>
      <c r="Q46" s="114" t="str">
        <f t="shared" si="5"/>
        <v>1/2''</v>
      </c>
      <c r="R46" s="112">
        <f>3.1857</f>
        <v>3.1857</v>
      </c>
      <c r="S46" s="114">
        <v>0.0</v>
      </c>
      <c r="T46" s="114">
        <f t="shared" si="6"/>
        <v>15</v>
      </c>
      <c r="U46" s="112">
        <f t="shared" si="7"/>
        <v>-1.96905</v>
      </c>
      <c r="V46" s="112" t="str">
        <f t="shared" si="8"/>
        <v>1/2''</v>
      </c>
    </row>
    <row r="47">
      <c r="B47" s="7">
        <v>43.0</v>
      </c>
      <c r="C47" s="128" t="s">
        <v>25</v>
      </c>
      <c r="D47" s="129" t="s">
        <v>174</v>
      </c>
      <c r="E47" s="91">
        <v>3.0</v>
      </c>
      <c r="F47" s="88"/>
      <c r="G47" s="88"/>
      <c r="H47" s="88"/>
      <c r="I47" s="88"/>
      <c r="J47" s="88"/>
      <c r="K47" s="88"/>
      <c r="L47" s="85">
        <f t="shared" si="1"/>
        <v>21.20575041</v>
      </c>
      <c r="M47" s="109">
        <v>0.4</v>
      </c>
      <c r="N47" s="109">
        <f t="shared" si="2"/>
        <v>8.215838363</v>
      </c>
      <c r="O47" s="110">
        <f t="shared" si="3"/>
        <v>16</v>
      </c>
      <c r="P47" s="110">
        <f t="shared" si="4"/>
        <v>20</v>
      </c>
      <c r="Q47" s="111" t="str">
        <f t="shared" si="5"/>
        <v>1/2''</v>
      </c>
      <c r="R47" s="109">
        <f>0.969+1.7</f>
        <v>2.669</v>
      </c>
      <c r="S47" s="115">
        <v>1.0</v>
      </c>
      <c r="T47" s="111">
        <f t="shared" si="6"/>
        <v>12</v>
      </c>
      <c r="U47" s="109">
        <f t="shared" si="7"/>
        <v>-1.555166667</v>
      </c>
      <c r="V47" s="109" t="str">
        <f t="shared" si="8"/>
        <v>1/2''</v>
      </c>
    </row>
    <row r="48">
      <c r="B48" s="7">
        <v>44.0</v>
      </c>
      <c r="C48" s="126" t="s">
        <v>25</v>
      </c>
      <c r="D48" s="127" t="s">
        <v>175</v>
      </c>
      <c r="E48" s="102">
        <v>3.0</v>
      </c>
      <c r="F48" s="102">
        <v>3.0</v>
      </c>
      <c r="G48" s="99"/>
      <c r="H48" s="99"/>
      <c r="I48" s="99"/>
      <c r="J48" s="99"/>
      <c r="K48" s="99"/>
      <c r="L48" s="96">
        <f t="shared" si="1"/>
        <v>53.46205298</v>
      </c>
      <c r="M48" s="112">
        <v>0.4</v>
      </c>
      <c r="N48" s="112">
        <f t="shared" si="2"/>
        <v>13.04511403</v>
      </c>
      <c r="O48" s="113">
        <f t="shared" si="3"/>
        <v>16</v>
      </c>
      <c r="P48" s="113">
        <f t="shared" si="4"/>
        <v>20</v>
      </c>
      <c r="Q48" s="114" t="str">
        <f t="shared" si="5"/>
        <v>1/2''</v>
      </c>
      <c r="R48" s="112">
        <f>1.0023+1.7</f>
        <v>2.7023</v>
      </c>
      <c r="S48" s="118">
        <v>1.0</v>
      </c>
      <c r="T48" s="114">
        <f t="shared" si="6"/>
        <v>12</v>
      </c>
      <c r="U48" s="112">
        <f t="shared" si="7"/>
        <v>-1.549616667</v>
      </c>
      <c r="V48" s="112" t="str">
        <f t="shared" si="8"/>
        <v>1/2''</v>
      </c>
    </row>
    <row r="49">
      <c r="B49" s="7">
        <v>45.0</v>
      </c>
      <c r="C49" s="128" t="s">
        <v>25</v>
      </c>
      <c r="D49" s="124" t="s">
        <v>176</v>
      </c>
      <c r="E49" s="88"/>
      <c r="F49" s="91">
        <v>3.0</v>
      </c>
      <c r="G49" s="88"/>
      <c r="H49" s="88"/>
      <c r="I49" s="88"/>
      <c r="J49" s="88"/>
      <c r="K49" s="88"/>
      <c r="L49" s="85">
        <f t="shared" si="1"/>
        <v>32.25630257</v>
      </c>
      <c r="M49" s="130">
        <v>0.4</v>
      </c>
      <c r="N49" s="130">
        <f t="shared" si="2"/>
        <v>10.13286731</v>
      </c>
      <c r="O49" s="131">
        <f t="shared" si="3"/>
        <v>16</v>
      </c>
      <c r="P49" s="131">
        <f t="shared" si="4"/>
        <v>20</v>
      </c>
      <c r="Q49" s="132" t="str">
        <f t="shared" si="5"/>
        <v>1/2''</v>
      </c>
      <c r="R49" s="130">
        <f>0.075+0.075+0.7393</f>
        <v>0.8893</v>
      </c>
      <c r="S49" s="133">
        <v>2.0</v>
      </c>
      <c r="T49" s="132">
        <f t="shared" si="6"/>
        <v>9</v>
      </c>
      <c r="U49" s="130">
        <f t="shared" si="7"/>
        <v>-1.351783333</v>
      </c>
      <c r="V49" s="130" t="str">
        <f t="shared" si="8"/>
        <v>1/2''</v>
      </c>
    </row>
    <row r="50">
      <c r="B50" s="7">
        <v>46.0</v>
      </c>
      <c r="C50" s="126" t="s">
        <v>25</v>
      </c>
      <c r="D50" s="125" t="s">
        <v>177</v>
      </c>
      <c r="E50" s="99"/>
      <c r="F50" s="102">
        <v>3.0</v>
      </c>
      <c r="G50" s="99"/>
      <c r="H50" s="99"/>
      <c r="I50" s="99"/>
      <c r="J50" s="99"/>
      <c r="K50" s="99"/>
      <c r="L50" s="96">
        <f t="shared" si="1"/>
        <v>32.25630257</v>
      </c>
      <c r="M50" s="112">
        <v>0.4</v>
      </c>
      <c r="N50" s="112">
        <f t="shared" si="2"/>
        <v>10.13286731</v>
      </c>
      <c r="O50" s="113">
        <f t="shared" si="3"/>
        <v>16</v>
      </c>
      <c r="P50" s="113">
        <f t="shared" si="4"/>
        <v>20</v>
      </c>
      <c r="Q50" s="114" t="str">
        <f t="shared" si="5"/>
        <v>1/2''</v>
      </c>
      <c r="R50" s="112">
        <f>1.7+1.1762</f>
        <v>2.8762</v>
      </c>
      <c r="S50" s="114">
        <v>1.0</v>
      </c>
      <c r="T50" s="114">
        <f t="shared" si="6"/>
        <v>12</v>
      </c>
      <c r="U50" s="112">
        <f t="shared" si="7"/>
        <v>-1.520633333</v>
      </c>
      <c r="V50" s="112" t="str">
        <f t="shared" si="8"/>
        <v>1/2''</v>
      </c>
    </row>
    <row r="51">
      <c r="B51" s="7">
        <v>47.0</v>
      </c>
      <c r="C51" s="128" t="s">
        <v>25</v>
      </c>
      <c r="D51" s="124" t="s">
        <v>176</v>
      </c>
      <c r="E51" s="88"/>
      <c r="F51" s="91">
        <v>3.0</v>
      </c>
      <c r="G51" s="88"/>
      <c r="H51" s="88"/>
      <c r="I51" s="88"/>
      <c r="J51" s="88"/>
      <c r="K51" s="88"/>
      <c r="L51" s="85">
        <f t="shared" si="1"/>
        <v>32.25630257</v>
      </c>
      <c r="M51" s="109">
        <v>0.4</v>
      </c>
      <c r="N51" s="109">
        <f t="shared" si="2"/>
        <v>10.13286731</v>
      </c>
      <c r="O51" s="110">
        <f t="shared" si="3"/>
        <v>16</v>
      </c>
      <c r="P51" s="110">
        <f t="shared" si="4"/>
        <v>20</v>
      </c>
      <c r="Q51" s="111" t="str">
        <f t="shared" si="5"/>
        <v>1/2''</v>
      </c>
      <c r="R51" s="109">
        <f>1.7+1.3191</f>
        <v>3.0191</v>
      </c>
      <c r="S51" s="111">
        <v>1.0</v>
      </c>
      <c r="T51" s="111">
        <f t="shared" si="6"/>
        <v>12</v>
      </c>
      <c r="U51" s="109">
        <f t="shared" si="7"/>
        <v>-1.496816667</v>
      </c>
      <c r="V51" s="109" t="str">
        <f t="shared" si="8"/>
        <v>1/2''</v>
      </c>
    </row>
    <row r="52">
      <c r="B52" s="7">
        <v>48.0</v>
      </c>
      <c r="C52" s="126" t="s">
        <v>28</v>
      </c>
      <c r="D52" s="125" t="s">
        <v>174</v>
      </c>
      <c r="E52" s="102">
        <v>3.0</v>
      </c>
      <c r="F52" s="99"/>
      <c r="G52" s="99"/>
      <c r="H52" s="99"/>
      <c r="I52" s="99"/>
      <c r="J52" s="99"/>
      <c r="K52" s="99"/>
      <c r="L52" s="96">
        <f t="shared" si="1"/>
        <v>21.20575041</v>
      </c>
      <c r="M52" s="112">
        <v>0.4</v>
      </c>
      <c r="N52" s="112">
        <f t="shared" si="2"/>
        <v>8.215838363</v>
      </c>
      <c r="O52" s="113">
        <f t="shared" si="3"/>
        <v>16</v>
      </c>
      <c r="P52" s="113">
        <f t="shared" si="4"/>
        <v>20</v>
      </c>
      <c r="Q52" s="114" t="str">
        <f t="shared" si="5"/>
        <v>1/2''</v>
      </c>
      <c r="R52" s="112">
        <f>2+1.9619+1.3</f>
        <v>5.2619</v>
      </c>
      <c r="S52" s="118">
        <v>2.0</v>
      </c>
      <c r="T52" s="114">
        <f t="shared" si="6"/>
        <v>9</v>
      </c>
      <c r="U52" s="112">
        <f t="shared" si="7"/>
        <v>-0.6230166667</v>
      </c>
      <c r="V52" s="112" t="str">
        <f t="shared" si="8"/>
        <v>1/2''</v>
      </c>
    </row>
    <row r="53">
      <c r="B53" s="7">
        <v>49.0</v>
      </c>
      <c r="C53" s="128" t="s">
        <v>28</v>
      </c>
      <c r="D53" s="129" t="s">
        <v>174</v>
      </c>
      <c r="E53" s="91">
        <v>3.0</v>
      </c>
      <c r="F53" s="88"/>
      <c r="G53" s="88"/>
      <c r="H53" s="88"/>
      <c r="I53" s="88"/>
      <c r="J53" s="88"/>
      <c r="K53" s="88"/>
      <c r="L53" s="85">
        <f t="shared" si="1"/>
        <v>21.20575041</v>
      </c>
      <c r="M53" s="109">
        <v>0.4</v>
      </c>
      <c r="N53" s="109">
        <f t="shared" si="2"/>
        <v>8.215838363</v>
      </c>
      <c r="O53" s="110">
        <f t="shared" si="3"/>
        <v>16</v>
      </c>
      <c r="P53" s="110">
        <f t="shared" si="4"/>
        <v>20</v>
      </c>
      <c r="Q53" s="111" t="str">
        <f t="shared" si="5"/>
        <v>1/2''</v>
      </c>
      <c r="R53" s="109">
        <f>0.075+1.125+0.7</f>
        <v>1.9</v>
      </c>
      <c r="S53" s="115">
        <v>2.0</v>
      </c>
      <c r="T53" s="111">
        <f t="shared" si="6"/>
        <v>9</v>
      </c>
      <c r="U53" s="109">
        <f t="shared" si="7"/>
        <v>-1.183333333</v>
      </c>
      <c r="V53" s="109" t="str">
        <f t="shared" si="8"/>
        <v>1/2''</v>
      </c>
    </row>
    <row r="54">
      <c r="B54" s="7">
        <v>50.0</v>
      </c>
      <c r="C54" s="126" t="s">
        <v>28</v>
      </c>
      <c r="D54" s="127" t="s">
        <v>149</v>
      </c>
      <c r="E54" s="102">
        <v>2.0</v>
      </c>
      <c r="F54" s="102">
        <v>3.0</v>
      </c>
      <c r="G54" s="99"/>
      <c r="H54" s="99"/>
      <c r="I54" s="99"/>
      <c r="J54" s="99"/>
      <c r="K54" s="99"/>
      <c r="L54" s="96">
        <f t="shared" si="1"/>
        <v>46.39346951</v>
      </c>
      <c r="M54" s="112">
        <v>0.4</v>
      </c>
      <c r="N54" s="112">
        <f t="shared" si="2"/>
        <v>12.1521603</v>
      </c>
      <c r="O54" s="113">
        <f t="shared" si="3"/>
        <v>16</v>
      </c>
      <c r="P54" s="113">
        <f t="shared" si="4"/>
        <v>20</v>
      </c>
      <c r="Q54" s="114" t="str">
        <f t="shared" si="5"/>
        <v>1/2''</v>
      </c>
      <c r="R54" s="112">
        <f>0.075+0.075</f>
        <v>0.15</v>
      </c>
      <c r="S54" s="114">
        <v>0.0</v>
      </c>
      <c r="T54" s="114">
        <f t="shared" si="6"/>
        <v>15</v>
      </c>
      <c r="U54" s="112">
        <f t="shared" si="7"/>
        <v>-2.475</v>
      </c>
      <c r="V54" s="112" t="str">
        <f t="shared" si="8"/>
        <v>1/2''</v>
      </c>
    </row>
    <row r="55">
      <c r="B55" s="7">
        <v>51.0</v>
      </c>
      <c r="C55" s="119" t="s">
        <v>74</v>
      </c>
      <c r="D55" s="134"/>
      <c r="E55" s="88"/>
      <c r="F55" s="88"/>
      <c r="G55" s="88"/>
      <c r="H55" s="88"/>
      <c r="I55" s="91">
        <v>1.0</v>
      </c>
      <c r="J55" s="91">
        <v>1.0</v>
      </c>
      <c r="K55" s="91">
        <v>3.0</v>
      </c>
      <c r="L55" s="85">
        <f t="shared" si="1"/>
        <v>306.7843766</v>
      </c>
      <c r="M55" s="109">
        <v>0.4</v>
      </c>
      <c r="N55" s="109">
        <f t="shared" si="2"/>
        <v>31.24939999</v>
      </c>
      <c r="O55" s="110">
        <f t="shared" si="3"/>
        <v>35</v>
      </c>
      <c r="P55" s="110">
        <f t="shared" si="4"/>
        <v>32</v>
      </c>
      <c r="Q55" s="111" t="str">
        <f t="shared" si="5"/>
        <v>1.1/4''</v>
      </c>
      <c r="R55" s="109">
        <f>1.5+1.5+10.4656</f>
        <v>13.4656</v>
      </c>
      <c r="S55" s="115">
        <v>2.0</v>
      </c>
      <c r="T55" s="111">
        <f t="shared" si="6"/>
        <v>9</v>
      </c>
      <c r="U55" s="109">
        <f t="shared" si="7"/>
        <v>0.7442666667</v>
      </c>
      <c r="V55" s="109" t="str">
        <f t="shared" si="8"/>
        <v>1.1/4''</v>
      </c>
    </row>
    <row r="57">
      <c r="B57" s="67" t="s">
        <v>82</v>
      </c>
      <c r="C57" s="2"/>
      <c r="D57" s="2"/>
      <c r="E57" s="2"/>
      <c r="F57" s="2"/>
      <c r="G57" s="2"/>
      <c r="H57" s="2"/>
      <c r="I57" s="3"/>
    </row>
    <row r="58">
      <c r="B58" s="43" t="s">
        <v>113</v>
      </c>
      <c r="C58" s="2"/>
      <c r="D58" s="2"/>
      <c r="E58" s="2"/>
      <c r="F58" s="2"/>
      <c r="G58" s="2"/>
      <c r="H58" s="2"/>
      <c r="I58" s="3"/>
    </row>
    <row r="59">
      <c r="B59" s="45" t="s">
        <v>117</v>
      </c>
      <c r="C59" s="2"/>
      <c r="D59" s="2"/>
      <c r="E59" s="2"/>
      <c r="F59" s="2"/>
      <c r="G59" s="2"/>
      <c r="H59" s="2"/>
      <c r="I59" s="3"/>
    </row>
  </sheetData>
  <mergeCells count="19">
    <mergeCell ref="N3:N4"/>
    <mergeCell ref="O3:O4"/>
    <mergeCell ref="B57:I57"/>
    <mergeCell ref="B58:I58"/>
    <mergeCell ref="B59:I59"/>
    <mergeCell ref="P3:P4"/>
    <mergeCell ref="Q3:Q4"/>
    <mergeCell ref="R3:R4"/>
    <mergeCell ref="S3:S4"/>
    <mergeCell ref="T3:T4"/>
    <mergeCell ref="U3:U4"/>
    <mergeCell ref="B2:V2"/>
    <mergeCell ref="B3:B4"/>
    <mergeCell ref="C3:C4"/>
    <mergeCell ref="D3:D4"/>
    <mergeCell ref="E3:K3"/>
    <mergeCell ref="L3:L4"/>
    <mergeCell ref="M3:M4"/>
    <mergeCell ref="V3:V4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2.5"/>
    <col customWidth="1" min="4" max="4" width="16.75"/>
    <col customWidth="1" min="6" max="6" width="11.5"/>
    <col customWidth="1" min="10" max="10" width="16.5"/>
    <col customWidth="1" min="11" max="11" width="18.5"/>
    <col customWidth="1" min="12" max="12" width="21.38"/>
    <col customWidth="1" min="13" max="13" width="23.75"/>
    <col customWidth="1" min="14" max="14" width="14.38"/>
    <col customWidth="1" min="25" max="25" width="15.63"/>
  </cols>
  <sheetData>
    <row r="2">
      <c r="B2" s="135" t="s">
        <v>178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>
      <c r="B3" s="136" t="s">
        <v>39</v>
      </c>
      <c r="C3" s="137" t="s">
        <v>40</v>
      </c>
      <c r="D3" s="137" t="s">
        <v>44</v>
      </c>
      <c r="E3" s="137" t="s">
        <v>45</v>
      </c>
      <c r="F3" s="137" t="s">
        <v>76</v>
      </c>
      <c r="G3" s="137" t="s">
        <v>77</v>
      </c>
      <c r="H3" s="137" t="s">
        <v>78</v>
      </c>
      <c r="I3" s="137" t="s">
        <v>79</v>
      </c>
      <c r="J3" s="137" t="s">
        <v>80</v>
      </c>
      <c r="K3" s="137" t="s">
        <v>81</v>
      </c>
      <c r="L3" s="138" t="s">
        <v>179</v>
      </c>
      <c r="M3" s="138" t="s">
        <v>180</v>
      </c>
      <c r="N3" s="138" t="s">
        <v>181</v>
      </c>
      <c r="O3" s="138" t="s">
        <v>182</v>
      </c>
      <c r="P3" s="138" t="s">
        <v>183</v>
      </c>
      <c r="Q3" s="138" t="s">
        <v>184</v>
      </c>
      <c r="R3" s="138" t="s">
        <v>185</v>
      </c>
      <c r="S3" s="139" t="s">
        <v>186</v>
      </c>
      <c r="T3" s="138" t="s">
        <v>187</v>
      </c>
      <c r="U3" s="138" t="s">
        <v>188</v>
      </c>
      <c r="V3" s="138" t="s">
        <v>189</v>
      </c>
      <c r="W3" s="135" t="s">
        <v>190</v>
      </c>
      <c r="X3" s="2"/>
      <c r="Y3" s="3"/>
    </row>
    <row r="4">
      <c r="B4" s="7">
        <v>1.0</v>
      </c>
      <c r="C4" s="92" t="s">
        <v>55</v>
      </c>
      <c r="D4" s="140">
        <f>'Quadro de Cargas'!I5</f>
        <v>700</v>
      </c>
      <c r="E4" s="141">
        <f>'Quadro de Cargas'!J5</f>
        <v>127</v>
      </c>
      <c r="F4" s="96">
        <f t="shared" ref="F4:F25" si="1">D4/E4</f>
        <v>5.511811024</v>
      </c>
      <c r="G4" s="141">
        <f>'Capacidade de Corrente'!G4</f>
        <v>1</v>
      </c>
      <c r="H4" s="141">
        <f>'Capacidade de Corrente'!H4</f>
        <v>1</v>
      </c>
      <c r="I4" s="141">
        <f>'Capacidade de Corrente'!I4</f>
        <v>0.65</v>
      </c>
      <c r="J4" s="96">
        <f t="shared" ref="J4:J25" si="2">F4/(G4*H4*I4)</f>
        <v>8.479709267</v>
      </c>
      <c r="K4" s="141">
        <f> 'Dimensionamento de Condutores'!H4</f>
        <v>1.5</v>
      </c>
      <c r="L4" s="98">
        <f t="shared" ref="L4:L24" si="3">IF(K4 = 0.5, 9, IF(K4 = 0.75, 11, IF(K4 = 1, 14, IF(K4 = 1.5, 17.5, IF(K4 = 2.5, 24, IF(K4 = 4, 32, IF(K4 = 6, 41, IF(K4 = 10, 57, IF(K4 = 16, 76, IF(K4 = 25, 101, IF(K4 = 35, 125, IF(K4 = 50, 151, IF(K4 = 70, 192)))))))))))))</f>
        <v>17.5</v>
      </c>
      <c r="M4" s="100">
        <f t="shared" ref="M4:M25" si="4">L4*G4*H4*I4</f>
        <v>11.375</v>
      </c>
      <c r="N4" s="100" t="str">
        <f t="shared" ref="N4:N25" si="5">CONCATENATE(ROUND(J4,2)," ≤ ", "In", " ≤ ", ROUND(M4,2))</f>
        <v>8,48 ≤ In ≤ 11,38</v>
      </c>
      <c r="O4" s="100">
        <v>10.0</v>
      </c>
      <c r="P4" s="100">
        <v>1000.0</v>
      </c>
      <c r="Q4" s="100">
        <v>3000.0</v>
      </c>
      <c r="R4" s="100">
        <f t="shared" ref="R4:R25" si="6">IF(Q4 &lt;= 6000, Q4, IF(Q4 &lt;= 10000, 0.75*Q4, 0.5*Q4))</f>
        <v>3000</v>
      </c>
      <c r="S4" s="100" t="str">
        <f t="shared" ref="S4:S25" si="7">CONCATENATE("t ","≤ ",ROUND(((115^2)*(K4^2))/(P4^2), 3))</f>
        <v>t ≤ 0,03</v>
      </c>
      <c r="T4" s="101">
        <f t="shared" ref="T4:T25" si="8">P4/O4</f>
        <v>100</v>
      </c>
      <c r="U4" s="100">
        <v>0.01</v>
      </c>
      <c r="V4" s="100" t="s">
        <v>191</v>
      </c>
      <c r="W4" s="142" t="str">
        <f t="shared" ref="W4:W24" si="9">CONCATENATE("Disjuntor ",IF(E4=127,"Monopolar ",IF(E4=220,"Bipolar ", "Tripolar ")),V4,O4," Icn ",Q4,"A"," Ue ",E4,"V 60Hz")</f>
        <v>Disjuntor Monopolar B10 Icn 3000A Ue 127V 60Hz</v>
      </c>
      <c r="X4" s="143"/>
      <c r="Y4" s="78"/>
    </row>
    <row r="5">
      <c r="B5" s="7">
        <v>2.0</v>
      </c>
      <c r="C5" s="54" t="s">
        <v>57</v>
      </c>
      <c r="D5" s="144">
        <f>'Quadro de Cargas'!I6</f>
        <v>800</v>
      </c>
      <c r="E5" s="145">
        <f>'Quadro de Cargas'!J6</f>
        <v>127</v>
      </c>
      <c r="F5" s="85">
        <f t="shared" si="1"/>
        <v>6.299212598</v>
      </c>
      <c r="G5" s="145">
        <f>'Capacidade de Corrente'!G5</f>
        <v>1</v>
      </c>
      <c r="H5" s="145">
        <f>'Capacidade de Corrente'!H5</f>
        <v>1</v>
      </c>
      <c r="I5" s="145">
        <f>'Capacidade de Corrente'!I5</f>
        <v>0.65</v>
      </c>
      <c r="J5" s="85">
        <f t="shared" si="2"/>
        <v>9.691096305</v>
      </c>
      <c r="K5" s="145">
        <f> 'Dimensionamento de Condutores'!H5</f>
        <v>1.5</v>
      </c>
      <c r="L5" s="87">
        <f t="shared" si="3"/>
        <v>17.5</v>
      </c>
      <c r="M5" s="89">
        <f t="shared" si="4"/>
        <v>11.375</v>
      </c>
      <c r="N5" s="89" t="str">
        <f t="shared" si="5"/>
        <v>9,69 ≤ In ≤ 11,38</v>
      </c>
      <c r="O5" s="89">
        <v>10.0</v>
      </c>
      <c r="P5" s="89">
        <v>1000.0</v>
      </c>
      <c r="Q5" s="89">
        <v>3000.0</v>
      </c>
      <c r="R5" s="89">
        <f t="shared" si="6"/>
        <v>3000</v>
      </c>
      <c r="S5" s="89" t="str">
        <f t="shared" si="7"/>
        <v>t ≤ 0,03</v>
      </c>
      <c r="T5" s="90">
        <f t="shared" si="8"/>
        <v>100</v>
      </c>
      <c r="U5" s="89">
        <v>0.01</v>
      </c>
      <c r="V5" s="89" t="s">
        <v>191</v>
      </c>
      <c r="W5" s="146" t="str">
        <f t="shared" si="9"/>
        <v>Disjuntor Monopolar B10 Icn 3000A Ue 127V 60Hz</v>
      </c>
      <c r="X5" s="147"/>
      <c r="Y5" s="148"/>
    </row>
    <row r="6">
      <c r="B6" s="7">
        <v>3.0</v>
      </c>
      <c r="C6" s="92" t="s">
        <v>58</v>
      </c>
      <c r="D6" s="140">
        <f>'Quadro de Cargas'!I7</f>
        <v>600</v>
      </c>
      <c r="E6" s="141">
        <f>'Quadro de Cargas'!J7</f>
        <v>127</v>
      </c>
      <c r="F6" s="96">
        <f t="shared" si="1"/>
        <v>4.724409449</v>
      </c>
      <c r="G6" s="141">
        <f>'Capacidade de Corrente'!G6</f>
        <v>1</v>
      </c>
      <c r="H6" s="141">
        <f>'Capacidade de Corrente'!H6</f>
        <v>1</v>
      </c>
      <c r="I6" s="141">
        <f>'Capacidade de Corrente'!I6</f>
        <v>0.65</v>
      </c>
      <c r="J6" s="96">
        <f t="shared" si="2"/>
        <v>7.268322229</v>
      </c>
      <c r="K6" s="141">
        <f> 'Dimensionamento de Condutores'!H6</f>
        <v>2.5</v>
      </c>
      <c r="L6" s="98">
        <f t="shared" si="3"/>
        <v>24</v>
      </c>
      <c r="M6" s="100">
        <f t="shared" si="4"/>
        <v>15.6</v>
      </c>
      <c r="N6" s="100" t="str">
        <f t="shared" si="5"/>
        <v>7,27 ≤ In ≤ 15,6</v>
      </c>
      <c r="O6" s="100">
        <v>10.0</v>
      </c>
      <c r="P6" s="100">
        <v>1000.0</v>
      </c>
      <c r="Q6" s="100">
        <v>3000.0</v>
      </c>
      <c r="R6" s="100">
        <f t="shared" si="6"/>
        <v>3000</v>
      </c>
      <c r="S6" s="100" t="str">
        <f t="shared" si="7"/>
        <v>t ≤ 0,083</v>
      </c>
      <c r="T6" s="101">
        <f t="shared" si="8"/>
        <v>100</v>
      </c>
      <c r="U6" s="100">
        <v>0.01</v>
      </c>
      <c r="V6" s="100" t="s">
        <v>192</v>
      </c>
      <c r="W6" s="142" t="str">
        <f t="shared" si="9"/>
        <v>Disjuntor Monopolar C10 Icn 3000A Ue 127V 60Hz</v>
      </c>
      <c r="X6" s="143"/>
      <c r="Y6" s="78"/>
    </row>
    <row r="7">
      <c r="B7" s="7">
        <v>4.0</v>
      </c>
      <c r="C7" s="54" t="s">
        <v>59</v>
      </c>
      <c r="D7" s="144">
        <f>'Quadro de Cargas'!I8</f>
        <v>300</v>
      </c>
      <c r="E7" s="145">
        <f>'Quadro de Cargas'!J8</f>
        <v>127</v>
      </c>
      <c r="F7" s="85">
        <f t="shared" si="1"/>
        <v>2.362204724</v>
      </c>
      <c r="G7" s="145">
        <f>'Capacidade de Corrente'!G7</f>
        <v>1</v>
      </c>
      <c r="H7" s="145">
        <f>'Capacidade de Corrente'!H7</f>
        <v>1</v>
      </c>
      <c r="I7" s="145">
        <f>'Capacidade de Corrente'!I7</f>
        <v>0.7</v>
      </c>
      <c r="J7" s="85">
        <f t="shared" si="2"/>
        <v>3.374578178</v>
      </c>
      <c r="K7" s="145">
        <f> 'Dimensionamento de Condutores'!H7</f>
        <v>2.5</v>
      </c>
      <c r="L7" s="87">
        <f t="shared" si="3"/>
        <v>24</v>
      </c>
      <c r="M7" s="89">
        <f t="shared" si="4"/>
        <v>16.8</v>
      </c>
      <c r="N7" s="89" t="str">
        <f t="shared" si="5"/>
        <v>3,37 ≤ In ≤ 16,8</v>
      </c>
      <c r="O7" s="91">
        <v>6.0</v>
      </c>
      <c r="P7" s="89">
        <v>1000.0</v>
      </c>
      <c r="Q7" s="89">
        <v>3000.0</v>
      </c>
      <c r="R7" s="89">
        <f t="shared" si="6"/>
        <v>3000</v>
      </c>
      <c r="S7" s="89" t="str">
        <f t="shared" si="7"/>
        <v>t ≤ 0,083</v>
      </c>
      <c r="T7" s="90">
        <f t="shared" si="8"/>
        <v>166.6666667</v>
      </c>
      <c r="U7" s="89">
        <v>0.01</v>
      </c>
      <c r="V7" s="89" t="s">
        <v>192</v>
      </c>
      <c r="W7" s="146" t="str">
        <f t="shared" si="9"/>
        <v>Disjuntor Monopolar C6 Icn 3000A Ue 127V 60Hz</v>
      </c>
      <c r="X7" s="147"/>
      <c r="Y7" s="148"/>
    </row>
    <row r="8">
      <c r="B8" s="7">
        <v>5.0</v>
      </c>
      <c r="C8" s="92" t="s">
        <v>60</v>
      </c>
      <c r="D8" s="140">
        <f>'Quadro de Cargas'!I9</f>
        <v>1900</v>
      </c>
      <c r="E8" s="141">
        <f>'Quadro de Cargas'!J9</f>
        <v>127</v>
      </c>
      <c r="F8" s="96">
        <f t="shared" si="1"/>
        <v>14.96062992</v>
      </c>
      <c r="G8" s="141">
        <f>'Capacidade de Corrente'!G8</f>
        <v>1</v>
      </c>
      <c r="H8" s="141">
        <f>'Capacidade de Corrente'!H8</f>
        <v>1</v>
      </c>
      <c r="I8" s="141">
        <f>'Capacidade de Corrente'!I8</f>
        <v>0.7</v>
      </c>
      <c r="J8" s="96">
        <f t="shared" si="2"/>
        <v>21.37232846</v>
      </c>
      <c r="K8" s="141">
        <f> 'Dimensionamento de Condutores'!H8</f>
        <v>2.5</v>
      </c>
      <c r="L8" s="98">
        <f t="shared" si="3"/>
        <v>24</v>
      </c>
      <c r="M8" s="100">
        <f t="shared" si="4"/>
        <v>16.8</v>
      </c>
      <c r="N8" s="100" t="str">
        <f t="shared" si="5"/>
        <v>21,37 ≤ In ≤ 16,8</v>
      </c>
      <c r="O8" s="100">
        <v>16.0</v>
      </c>
      <c r="P8" s="100">
        <v>1000.0</v>
      </c>
      <c r="Q8" s="100">
        <v>3000.0</v>
      </c>
      <c r="R8" s="100">
        <f t="shared" si="6"/>
        <v>3000</v>
      </c>
      <c r="S8" s="100" t="str">
        <f t="shared" si="7"/>
        <v>t ≤ 0,083</v>
      </c>
      <c r="T8" s="101">
        <f t="shared" si="8"/>
        <v>62.5</v>
      </c>
      <c r="U8" s="100">
        <v>0.01</v>
      </c>
      <c r="V8" s="100" t="s">
        <v>192</v>
      </c>
      <c r="W8" s="142" t="str">
        <f t="shared" si="9"/>
        <v>Disjuntor Monopolar C16 Icn 3000A Ue 127V 60Hz</v>
      </c>
      <c r="X8" s="143"/>
      <c r="Y8" s="78"/>
    </row>
    <row r="9">
      <c r="B9" s="7">
        <v>6.0</v>
      </c>
      <c r="C9" s="54" t="s">
        <v>61</v>
      </c>
      <c r="D9" s="144">
        <f>'Quadro de Cargas'!I10</f>
        <v>600</v>
      </c>
      <c r="E9" s="145">
        <f>'Quadro de Cargas'!J10</f>
        <v>127</v>
      </c>
      <c r="F9" s="85">
        <f t="shared" si="1"/>
        <v>4.724409449</v>
      </c>
      <c r="G9" s="145">
        <f>'Capacidade de Corrente'!G9</f>
        <v>1</v>
      </c>
      <c r="H9" s="145">
        <f>'Capacidade de Corrente'!H9</f>
        <v>1</v>
      </c>
      <c r="I9" s="145">
        <f>'Capacidade de Corrente'!I9</f>
        <v>0.65</v>
      </c>
      <c r="J9" s="85">
        <f t="shared" si="2"/>
        <v>7.268322229</v>
      </c>
      <c r="K9" s="145">
        <f> 'Dimensionamento de Condutores'!H9</f>
        <v>2.5</v>
      </c>
      <c r="L9" s="87">
        <f t="shared" si="3"/>
        <v>24</v>
      </c>
      <c r="M9" s="89">
        <f t="shared" si="4"/>
        <v>15.6</v>
      </c>
      <c r="N9" s="89" t="str">
        <f t="shared" si="5"/>
        <v>7,27 ≤ In ≤ 15,6</v>
      </c>
      <c r="O9" s="91">
        <v>10.0</v>
      </c>
      <c r="P9" s="89">
        <v>1000.0</v>
      </c>
      <c r="Q9" s="89">
        <v>3000.0</v>
      </c>
      <c r="R9" s="89">
        <f t="shared" si="6"/>
        <v>3000</v>
      </c>
      <c r="S9" s="89" t="str">
        <f t="shared" si="7"/>
        <v>t ≤ 0,083</v>
      </c>
      <c r="T9" s="90">
        <f t="shared" si="8"/>
        <v>100</v>
      </c>
      <c r="U9" s="89">
        <v>0.01</v>
      </c>
      <c r="V9" s="89" t="s">
        <v>191</v>
      </c>
      <c r="W9" s="146" t="str">
        <f t="shared" si="9"/>
        <v>Disjuntor Monopolar B10 Icn 3000A Ue 127V 60Hz</v>
      </c>
      <c r="X9" s="147"/>
      <c r="Y9" s="148"/>
    </row>
    <row r="10">
      <c r="B10" s="7">
        <v>7.0</v>
      </c>
      <c r="C10" s="92" t="s">
        <v>62</v>
      </c>
      <c r="D10" s="140">
        <f>'Quadro de Cargas'!I11</f>
        <v>5670</v>
      </c>
      <c r="E10" s="141">
        <f>'Quadro de Cargas'!J11</f>
        <v>220</v>
      </c>
      <c r="F10" s="96">
        <f t="shared" si="1"/>
        <v>25.77272727</v>
      </c>
      <c r="G10" s="141">
        <f>'Capacidade de Corrente'!G10</f>
        <v>1</v>
      </c>
      <c r="H10" s="141">
        <f>'Capacidade de Corrente'!H10</f>
        <v>1</v>
      </c>
      <c r="I10" s="141">
        <f>'Capacidade de Corrente'!I10</f>
        <v>0.65</v>
      </c>
      <c r="J10" s="96">
        <f t="shared" si="2"/>
        <v>39.65034965</v>
      </c>
      <c r="K10" s="141">
        <f> 'Dimensionamento de Condutores'!H10</f>
        <v>6</v>
      </c>
      <c r="L10" s="98">
        <f t="shared" si="3"/>
        <v>41</v>
      </c>
      <c r="M10" s="100">
        <f t="shared" si="4"/>
        <v>26.65</v>
      </c>
      <c r="N10" s="100" t="str">
        <f t="shared" si="5"/>
        <v>39,65 ≤ In ≤ 26,65</v>
      </c>
      <c r="O10" s="102">
        <v>25.0</v>
      </c>
      <c r="P10" s="100">
        <v>1000.0</v>
      </c>
      <c r="Q10" s="100">
        <v>3000.0</v>
      </c>
      <c r="R10" s="100">
        <f t="shared" si="6"/>
        <v>3000</v>
      </c>
      <c r="S10" s="100" t="str">
        <f t="shared" si="7"/>
        <v>t ≤ 0,476</v>
      </c>
      <c r="T10" s="101">
        <f t="shared" si="8"/>
        <v>40</v>
      </c>
      <c r="U10" s="100">
        <v>0.01</v>
      </c>
      <c r="V10" s="100" t="s">
        <v>192</v>
      </c>
      <c r="W10" s="142" t="str">
        <f t="shared" si="9"/>
        <v>Disjuntor Bipolar C25 Icn 3000A Ue 220V 60Hz</v>
      </c>
      <c r="X10" s="143"/>
      <c r="Y10" s="78"/>
    </row>
    <row r="11">
      <c r="B11" s="7">
        <v>8.0</v>
      </c>
      <c r="C11" s="54" t="s">
        <v>63</v>
      </c>
      <c r="D11" s="144">
        <f>'Quadro de Cargas'!I12</f>
        <v>6500</v>
      </c>
      <c r="E11" s="145">
        <f>'Quadro de Cargas'!J12</f>
        <v>220</v>
      </c>
      <c r="F11" s="85">
        <f t="shared" si="1"/>
        <v>29.54545455</v>
      </c>
      <c r="G11" s="145">
        <f>'Capacidade de Corrente'!G11</f>
        <v>1</v>
      </c>
      <c r="H11" s="145">
        <f>'Capacidade de Corrente'!H11</f>
        <v>1</v>
      </c>
      <c r="I11" s="145">
        <f>'Capacidade de Corrente'!I11</f>
        <v>0.65</v>
      </c>
      <c r="J11" s="85">
        <f t="shared" si="2"/>
        <v>45.45454545</v>
      </c>
      <c r="K11" s="145">
        <f> 'Dimensionamento de Condutores'!H11</f>
        <v>10</v>
      </c>
      <c r="L11" s="87">
        <f t="shared" si="3"/>
        <v>57</v>
      </c>
      <c r="M11" s="89">
        <f t="shared" si="4"/>
        <v>37.05</v>
      </c>
      <c r="N11" s="89" t="str">
        <f t="shared" si="5"/>
        <v>45,45 ≤ In ≤ 37,05</v>
      </c>
      <c r="O11" s="91">
        <v>32.0</v>
      </c>
      <c r="P11" s="89">
        <v>1000.0</v>
      </c>
      <c r="Q11" s="89">
        <v>3000.0</v>
      </c>
      <c r="R11" s="89">
        <f t="shared" si="6"/>
        <v>3000</v>
      </c>
      <c r="S11" s="89" t="str">
        <f t="shared" si="7"/>
        <v>t ≤ 1,323</v>
      </c>
      <c r="T11" s="90">
        <f t="shared" si="8"/>
        <v>31.25</v>
      </c>
      <c r="U11" s="89">
        <v>0.01</v>
      </c>
      <c r="V11" s="91" t="s">
        <v>191</v>
      </c>
      <c r="W11" s="146" t="str">
        <f t="shared" si="9"/>
        <v>Disjuntor Bipolar B32 Icn 3000A Ue 220V 60Hz</v>
      </c>
      <c r="X11" s="147"/>
      <c r="Y11" s="148"/>
    </row>
    <row r="12">
      <c r="B12" s="7">
        <v>9.0</v>
      </c>
      <c r="C12" s="92" t="s">
        <v>64</v>
      </c>
      <c r="D12" s="140">
        <f>'Quadro de Cargas'!I13</f>
        <v>300</v>
      </c>
      <c r="E12" s="141">
        <f>'Quadro de Cargas'!J13</f>
        <v>127</v>
      </c>
      <c r="F12" s="96">
        <f t="shared" si="1"/>
        <v>2.362204724</v>
      </c>
      <c r="G12" s="141">
        <f>'Capacidade de Corrente'!G12</f>
        <v>1</v>
      </c>
      <c r="H12" s="141">
        <f>'Capacidade de Corrente'!H12</f>
        <v>1</v>
      </c>
      <c r="I12" s="141">
        <f>'Capacidade de Corrente'!I12</f>
        <v>0.65</v>
      </c>
      <c r="J12" s="96">
        <f t="shared" si="2"/>
        <v>3.634161114</v>
      </c>
      <c r="K12" s="141">
        <f> 'Dimensionamento de Condutores'!H12</f>
        <v>2.5</v>
      </c>
      <c r="L12" s="98">
        <f t="shared" si="3"/>
        <v>24</v>
      </c>
      <c r="M12" s="100">
        <f t="shared" si="4"/>
        <v>15.6</v>
      </c>
      <c r="N12" s="100" t="str">
        <f t="shared" si="5"/>
        <v>3,63 ≤ In ≤ 15,6</v>
      </c>
      <c r="O12" s="102">
        <v>6.0</v>
      </c>
      <c r="P12" s="100">
        <v>1000.0</v>
      </c>
      <c r="Q12" s="100">
        <v>3000.0</v>
      </c>
      <c r="R12" s="100">
        <f t="shared" si="6"/>
        <v>3000</v>
      </c>
      <c r="S12" s="100" t="str">
        <f t="shared" si="7"/>
        <v>t ≤ 0,083</v>
      </c>
      <c r="T12" s="101">
        <f t="shared" si="8"/>
        <v>166.6666667</v>
      </c>
      <c r="U12" s="100">
        <v>0.01</v>
      </c>
      <c r="V12" s="100" t="s">
        <v>192</v>
      </c>
      <c r="W12" s="142" t="str">
        <f t="shared" si="9"/>
        <v>Disjuntor Monopolar C6 Icn 3000A Ue 127V 60Hz</v>
      </c>
      <c r="X12" s="143"/>
      <c r="Y12" s="78"/>
    </row>
    <row r="13">
      <c r="B13" s="7">
        <v>10.0</v>
      </c>
      <c r="C13" s="54" t="s">
        <v>65</v>
      </c>
      <c r="D13" s="144">
        <f>'Quadro de Cargas'!I14</f>
        <v>1900</v>
      </c>
      <c r="E13" s="145">
        <f>'Quadro de Cargas'!J14</f>
        <v>127</v>
      </c>
      <c r="F13" s="85">
        <f t="shared" si="1"/>
        <v>14.96062992</v>
      </c>
      <c r="G13" s="145">
        <f>'Capacidade de Corrente'!G13</f>
        <v>1</v>
      </c>
      <c r="H13" s="145">
        <f>'Capacidade de Corrente'!H13</f>
        <v>1</v>
      </c>
      <c r="I13" s="145">
        <f>'Capacidade de Corrente'!I13</f>
        <v>0.65</v>
      </c>
      <c r="J13" s="85">
        <f t="shared" si="2"/>
        <v>23.01635373</v>
      </c>
      <c r="K13" s="145">
        <f> 'Dimensionamento de Condutores'!H13</f>
        <v>2.5</v>
      </c>
      <c r="L13" s="87">
        <f t="shared" si="3"/>
        <v>24</v>
      </c>
      <c r="M13" s="89">
        <f t="shared" si="4"/>
        <v>15.6</v>
      </c>
      <c r="N13" s="89" t="str">
        <f t="shared" si="5"/>
        <v>23,02 ≤ In ≤ 15,6</v>
      </c>
      <c r="O13" s="91">
        <v>13.0</v>
      </c>
      <c r="P13" s="89">
        <v>1000.0</v>
      </c>
      <c r="Q13" s="89">
        <v>3000.0</v>
      </c>
      <c r="R13" s="89">
        <f t="shared" si="6"/>
        <v>3000</v>
      </c>
      <c r="S13" s="89" t="str">
        <f t="shared" si="7"/>
        <v>t ≤ 0,083</v>
      </c>
      <c r="T13" s="90">
        <f t="shared" si="8"/>
        <v>76.92307692</v>
      </c>
      <c r="U13" s="89">
        <v>0.01</v>
      </c>
      <c r="V13" s="89" t="s">
        <v>192</v>
      </c>
      <c r="W13" s="146" t="str">
        <f t="shared" si="9"/>
        <v>Disjuntor Monopolar C13 Icn 3000A Ue 127V 60Hz</v>
      </c>
      <c r="X13" s="147"/>
      <c r="Y13" s="148"/>
    </row>
    <row r="14">
      <c r="B14" s="7">
        <v>11.0</v>
      </c>
      <c r="C14" s="92" t="s">
        <v>66</v>
      </c>
      <c r="D14" s="140">
        <f>'Quadro de Cargas'!I15</f>
        <v>1800</v>
      </c>
      <c r="E14" s="141">
        <f>'Quadro de Cargas'!J15</f>
        <v>127</v>
      </c>
      <c r="F14" s="96">
        <f t="shared" si="1"/>
        <v>14.17322835</v>
      </c>
      <c r="G14" s="141">
        <f>'Capacidade de Corrente'!G14</f>
        <v>1</v>
      </c>
      <c r="H14" s="141">
        <f>'Capacidade de Corrente'!H14</f>
        <v>1</v>
      </c>
      <c r="I14" s="141">
        <f>'Capacidade de Corrente'!I14</f>
        <v>0.65</v>
      </c>
      <c r="J14" s="96">
        <f t="shared" si="2"/>
        <v>21.80496669</v>
      </c>
      <c r="K14" s="141">
        <f> 'Dimensionamento de Condutores'!H14</f>
        <v>2.5</v>
      </c>
      <c r="L14" s="98">
        <f t="shared" si="3"/>
        <v>24</v>
      </c>
      <c r="M14" s="100">
        <f t="shared" si="4"/>
        <v>15.6</v>
      </c>
      <c r="N14" s="100" t="str">
        <f t="shared" si="5"/>
        <v>21,8 ≤ In ≤ 15,6</v>
      </c>
      <c r="O14" s="122">
        <v>13.0</v>
      </c>
      <c r="P14" s="100">
        <v>1000.0</v>
      </c>
      <c r="Q14" s="100">
        <v>3000.0</v>
      </c>
      <c r="R14" s="100">
        <f t="shared" si="6"/>
        <v>3000</v>
      </c>
      <c r="S14" s="100" t="str">
        <f t="shared" si="7"/>
        <v>t ≤ 0,083</v>
      </c>
      <c r="T14" s="101">
        <f t="shared" si="8"/>
        <v>76.92307692</v>
      </c>
      <c r="U14" s="100">
        <v>0.01</v>
      </c>
      <c r="V14" s="122" t="s">
        <v>192</v>
      </c>
      <c r="W14" s="142" t="str">
        <f t="shared" si="9"/>
        <v>Disjuntor Monopolar C13 Icn 3000A Ue 127V 60Hz</v>
      </c>
      <c r="X14" s="143"/>
      <c r="Y14" s="78"/>
    </row>
    <row r="15">
      <c r="B15" s="7">
        <v>12.0</v>
      </c>
      <c r="C15" s="54" t="s">
        <v>67</v>
      </c>
      <c r="D15" s="144">
        <f>'Quadro de Cargas'!I16</f>
        <v>1750</v>
      </c>
      <c r="E15" s="145">
        <f>'Quadro de Cargas'!J16</f>
        <v>220</v>
      </c>
      <c r="F15" s="85">
        <f t="shared" si="1"/>
        <v>7.954545455</v>
      </c>
      <c r="G15" s="145">
        <f>'Capacidade de Corrente'!G15</f>
        <v>1</v>
      </c>
      <c r="H15" s="145">
        <f>'Capacidade de Corrente'!H15</f>
        <v>1</v>
      </c>
      <c r="I15" s="145">
        <f>'Capacidade de Corrente'!I15</f>
        <v>0.65</v>
      </c>
      <c r="J15" s="85">
        <f t="shared" si="2"/>
        <v>12.23776224</v>
      </c>
      <c r="K15" s="145">
        <f> 'Dimensionamento de Condutores'!H15</f>
        <v>2.5</v>
      </c>
      <c r="L15" s="87">
        <f t="shared" si="3"/>
        <v>24</v>
      </c>
      <c r="M15" s="89">
        <f t="shared" si="4"/>
        <v>15.6</v>
      </c>
      <c r="N15" s="89" t="str">
        <f t="shared" si="5"/>
        <v>12,24 ≤ In ≤ 15,6</v>
      </c>
      <c r="O15" s="58">
        <v>13.0</v>
      </c>
      <c r="P15" s="89">
        <v>1000.0</v>
      </c>
      <c r="Q15" s="89">
        <v>3000.0</v>
      </c>
      <c r="R15" s="89">
        <f t="shared" si="6"/>
        <v>3000</v>
      </c>
      <c r="S15" s="89" t="str">
        <f t="shared" si="7"/>
        <v>t ≤ 0,083</v>
      </c>
      <c r="T15" s="90">
        <f t="shared" si="8"/>
        <v>76.92307692</v>
      </c>
      <c r="U15" s="89">
        <v>0.01</v>
      </c>
      <c r="V15" s="58" t="s">
        <v>192</v>
      </c>
      <c r="W15" s="146" t="str">
        <f t="shared" si="9"/>
        <v>Disjuntor Bipolar C13 Icn 3000A Ue 220V 60Hz</v>
      </c>
      <c r="X15" s="147"/>
      <c r="Y15" s="148"/>
    </row>
    <row r="16">
      <c r="B16" s="7">
        <v>13.0</v>
      </c>
      <c r="C16" s="92" t="s">
        <v>68</v>
      </c>
      <c r="D16" s="140">
        <f>'Quadro de Cargas'!I17</f>
        <v>1900</v>
      </c>
      <c r="E16" s="141">
        <f>'Quadro de Cargas'!J17</f>
        <v>127</v>
      </c>
      <c r="F16" s="96">
        <f t="shared" si="1"/>
        <v>14.96062992</v>
      </c>
      <c r="G16" s="141">
        <f>'Capacidade de Corrente'!G16</f>
        <v>1</v>
      </c>
      <c r="H16" s="141">
        <f>'Capacidade de Corrente'!H16</f>
        <v>1</v>
      </c>
      <c r="I16" s="141">
        <f>'Capacidade de Corrente'!I16</f>
        <v>0.7</v>
      </c>
      <c r="J16" s="96">
        <f t="shared" si="2"/>
        <v>21.37232846</v>
      </c>
      <c r="K16" s="141">
        <f> 'Dimensionamento de Condutores'!H16</f>
        <v>2.5</v>
      </c>
      <c r="L16" s="98">
        <f t="shared" si="3"/>
        <v>24</v>
      </c>
      <c r="M16" s="100">
        <f t="shared" si="4"/>
        <v>16.8</v>
      </c>
      <c r="N16" s="100" t="str">
        <f t="shared" si="5"/>
        <v>21,37 ≤ In ≤ 16,8</v>
      </c>
      <c r="O16" s="122">
        <v>16.0</v>
      </c>
      <c r="P16" s="100">
        <v>1000.0</v>
      </c>
      <c r="Q16" s="100">
        <v>3000.0</v>
      </c>
      <c r="R16" s="100">
        <f t="shared" si="6"/>
        <v>3000</v>
      </c>
      <c r="S16" s="100" t="str">
        <f t="shared" si="7"/>
        <v>t ≤ 0,083</v>
      </c>
      <c r="T16" s="101">
        <f t="shared" si="8"/>
        <v>62.5</v>
      </c>
      <c r="U16" s="100">
        <v>0.01</v>
      </c>
      <c r="V16" s="122" t="s">
        <v>192</v>
      </c>
      <c r="W16" s="142" t="str">
        <f t="shared" si="9"/>
        <v>Disjuntor Monopolar C16 Icn 3000A Ue 127V 60Hz</v>
      </c>
      <c r="X16" s="143"/>
      <c r="Y16" s="78"/>
    </row>
    <row r="17">
      <c r="B17" s="7">
        <v>14.0</v>
      </c>
      <c r="C17" s="54" t="s">
        <v>69</v>
      </c>
      <c r="D17" s="144">
        <f>'Quadro de Cargas'!I18</f>
        <v>1750</v>
      </c>
      <c r="E17" s="145">
        <f>'Quadro de Cargas'!J18</f>
        <v>220</v>
      </c>
      <c r="F17" s="85">
        <f t="shared" si="1"/>
        <v>7.954545455</v>
      </c>
      <c r="G17" s="145">
        <f>'Capacidade de Corrente'!G17</f>
        <v>1</v>
      </c>
      <c r="H17" s="145">
        <f>'Capacidade de Corrente'!H17</f>
        <v>1</v>
      </c>
      <c r="I17" s="145">
        <f>'Capacidade de Corrente'!I17</f>
        <v>0.7</v>
      </c>
      <c r="J17" s="85">
        <f t="shared" si="2"/>
        <v>11.36363636</v>
      </c>
      <c r="K17" s="145">
        <f> 'Dimensionamento de Condutores'!H17</f>
        <v>2.5</v>
      </c>
      <c r="L17" s="87">
        <f t="shared" si="3"/>
        <v>24</v>
      </c>
      <c r="M17" s="89">
        <f t="shared" si="4"/>
        <v>16.8</v>
      </c>
      <c r="N17" s="89" t="str">
        <f t="shared" si="5"/>
        <v>11,36 ≤ In ≤ 16,8</v>
      </c>
      <c r="O17" s="58">
        <v>13.0</v>
      </c>
      <c r="P17" s="89">
        <v>1000.0</v>
      </c>
      <c r="Q17" s="89">
        <v>3000.0</v>
      </c>
      <c r="R17" s="89">
        <f t="shared" si="6"/>
        <v>3000</v>
      </c>
      <c r="S17" s="89" t="str">
        <f t="shared" si="7"/>
        <v>t ≤ 0,083</v>
      </c>
      <c r="T17" s="90">
        <f t="shared" si="8"/>
        <v>76.92307692</v>
      </c>
      <c r="U17" s="89">
        <v>0.01</v>
      </c>
      <c r="V17" s="58" t="s">
        <v>191</v>
      </c>
      <c r="W17" s="146" t="str">
        <f t="shared" si="9"/>
        <v>Disjuntor Bipolar B13 Icn 3000A Ue 220V 60Hz</v>
      </c>
      <c r="X17" s="147"/>
      <c r="Y17" s="148"/>
    </row>
    <row r="18">
      <c r="B18" s="7">
        <v>15.0</v>
      </c>
      <c r="C18" s="92" t="s">
        <v>70</v>
      </c>
      <c r="D18" s="140">
        <f>'Quadro de Cargas'!I19</f>
        <v>1625</v>
      </c>
      <c r="E18" s="141">
        <f>'Quadro de Cargas'!J19</f>
        <v>220</v>
      </c>
      <c r="F18" s="96">
        <f t="shared" si="1"/>
        <v>7.386363636</v>
      </c>
      <c r="G18" s="141">
        <f>'Capacidade de Corrente'!G18</f>
        <v>1</v>
      </c>
      <c r="H18" s="141">
        <f>'Capacidade de Corrente'!H18</f>
        <v>1</v>
      </c>
      <c r="I18" s="141">
        <f>'Capacidade de Corrente'!I18</f>
        <v>0.7</v>
      </c>
      <c r="J18" s="96">
        <f t="shared" si="2"/>
        <v>10.55194805</v>
      </c>
      <c r="K18" s="141">
        <f> 'Dimensionamento de Condutores'!H18</f>
        <v>2.5</v>
      </c>
      <c r="L18" s="98">
        <f t="shared" si="3"/>
        <v>24</v>
      </c>
      <c r="M18" s="100">
        <f t="shared" si="4"/>
        <v>16.8</v>
      </c>
      <c r="N18" s="100" t="str">
        <f t="shared" si="5"/>
        <v>10,55 ≤ In ≤ 16,8</v>
      </c>
      <c r="O18" s="122">
        <v>13.0</v>
      </c>
      <c r="P18" s="100">
        <v>1000.0</v>
      </c>
      <c r="Q18" s="100">
        <v>3000.0</v>
      </c>
      <c r="R18" s="100">
        <f t="shared" si="6"/>
        <v>3000</v>
      </c>
      <c r="S18" s="100" t="str">
        <f t="shared" si="7"/>
        <v>t ≤ 0,083</v>
      </c>
      <c r="T18" s="101">
        <f t="shared" si="8"/>
        <v>76.92307692</v>
      </c>
      <c r="U18" s="100">
        <v>0.01</v>
      </c>
      <c r="V18" s="122" t="s">
        <v>192</v>
      </c>
      <c r="W18" s="142" t="str">
        <f t="shared" si="9"/>
        <v>Disjuntor Bipolar C13 Icn 3000A Ue 220V 60Hz</v>
      </c>
      <c r="X18" s="143"/>
      <c r="Y18" s="78"/>
    </row>
    <row r="19">
      <c r="B19" s="7">
        <v>16.0</v>
      </c>
      <c r="C19" s="54" t="s">
        <v>71</v>
      </c>
      <c r="D19" s="144">
        <f>'Quadro de Cargas'!I20</f>
        <v>6500</v>
      </c>
      <c r="E19" s="145">
        <f>'Quadro de Cargas'!J20</f>
        <v>220</v>
      </c>
      <c r="F19" s="85">
        <f t="shared" si="1"/>
        <v>29.54545455</v>
      </c>
      <c r="G19" s="145">
        <f>'Capacidade de Corrente'!G19</f>
        <v>1</v>
      </c>
      <c r="H19" s="145">
        <f>'Capacidade de Corrente'!H19</f>
        <v>1</v>
      </c>
      <c r="I19" s="145">
        <f>'Capacidade de Corrente'!I19</f>
        <v>0.65</v>
      </c>
      <c r="J19" s="85">
        <f t="shared" si="2"/>
        <v>45.45454545</v>
      </c>
      <c r="K19" s="145">
        <f> 'Dimensionamento de Condutores'!H19</f>
        <v>10</v>
      </c>
      <c r="L19" s="87">
        <f t="shared" si="3"/>
        <v>57</v>
      </c>
      <c r="M19" s="89">
        <f t="shared" si="4"/>
        <v>37.05</v>
      </c>
      <c r="N19" s="89" t="str">
        <f t="shared" si="5"/>
        <v>45,45 ≤ In ≤ 37,05</v>
      </c>
      <c r="O19" s="58">
        <v>32.0</v>
      </c>
      <c r="P19" s="89">
        <v>1000.0</v>
      </c>
      <c r="Q19" s="89">
        <v>3000.0</v>
      </c>
      <c r="R19" s="89">
        <f t="shared" si="6"/>
        <v>3000</v>
      </c>
      <c r="S19" s="89" t="str">
        <f t="shared" si="7"/>
        <v>t ≤ 1,323</v>
      </c>
      <c r="T19" s="90">
        <f t="shared" si="8"/>
        <v>31.25</v>
      </c>
      <c r="U19" s="89">
        <v>0.01</v>
      </c>
      <c r="V19" s="58" t="s">
        <v>191</v>
      </c>
      <c r="W19" s="146" t="str">
        <f t="shared" si="9"/>
        <v>Disjuntor Bipolar B32 Icn 3000A Ue 220V 60Hz</v>
      </c>
      <c r="X19" s="147"/>
      <c r="Y19" s="148"/>
    </row>
    <row r="20">
      <c r="B20" s="7">
        <v>17.0</v>
      </c>
      <c r="C20" s="92" t="s">
        <v>72</v>
      </c>
      <c r="D20" s="140">
        <f>'Quadro de Cargas'!I21</f>
        <v>600</v>
      </c>
      <c r="E20" s="141">
        <f>'Quadro de Cargas'!J21</f>
        <v>127</v>
      </c>
      <c r="F20" s="96">
        <f t="shared" si="1"/>
        <v>4.724409449</v>
      </c>
      <c r="G20" s="141">
        <f>'Capacidade de Corrente'!G20</f>
        <v>1</v>
      </c>
      <c r="H20" s="141">
        <f>'Capacidade de Corrente'!H20</f>
        <v>1</v>
      </c>
      <c r="I20" s="141">
        <f>'Capacidade de Corrente'!I20</f>
        <v>0.65</v>
      </c>
      <c r="J20" s="96">
        <f t="shared" si="2"/>
        <v>7.268322229</v>
      </c>
      <c r="K20" s="141">
        <f> 'Dimensionamento de Condutores'!H20</f>
        <v>2.5</v>
      </c>
      <c r="L20" s="98">
        <f t="shared" si="3"/>
        <v>24</v>
      </c>
      <c r="M20" s="100">
        <f t="shared" si="4"/>
        <v>15.6</v>
      </c>
      <c r="N20" s="100" t="str">
        <f t="shared" si="5"/>
        <v>7,27 ≤ In ≤ 15,6</v>
      </c>
      <c r="O20" s="122">
        <v>10.0</v>
      </c>
      <c r="P20" s="100">
        <v>1000.0</v>
      </c>
      <c r="Q20" s="100">
        <v>3000.0</v>
      </c>
      <c r="R20" s="100">
        <f t="shared" si="6"/>
        <v>3000</v>
      </c>
      <c r="S20" s="100" t="str">
        <f t="shared" si="7"/>
        <v>t ≤ 0,083</v>
      </c>
      <c r="T20" s="101">
        <f t="shared" si="8"/>
        <v>100</v>
      </c>
      <c r="U20" s="100">
        <v>0.01</v>
      </c>
      <c r="V20" s="122" t="s">
        <v>192</v>
      </c>
      <c r="W20" s="142" t="str">
        <f t="shared" si="9"/>
        <v>Disjuntor Monopolar C10 Icn 3000A Ue 127V 60Hz</v>
      </c>
      <c r="X20" s="143"/>
      <c r="Y20" s="78"/>
    </row>
    <row r="21">
      <c r="B21" s="7">
        <v>18.0</v>
      </c>
      <c r="C21" s="54" t="s">
        <v>73</v>
      </c>
      <c r="D21" s="144">
        <f>'Quadro de Cargas'!I22</f>
        <v>600</v>
      </c>
      <c r="E21" s="145">
        <f>'Quadro de Cargas'!J22</f>
        <v>127</v>
      </c>
      <c r="F21" s="85">
        <f t="shared" si="1"/>
        <v>4.724409449</v>
      </c>
      <c r="G21" s="145">
        <f>'Capacidade de Corrente'!G21</f>
        <v>1</v>
      </c>
      <c r="H21" s="145">
        <f>'Capacidade de Corrente'!H21</f>
        <v>1</v>
      </c>
      <c r="I21" s="145">
        <f>'Capacidade de Corrente'!I21</f>
        <v>1</v>
      </c>
      <c r="J21" s="85">
        <f t="shared" si="2"/>
        <v>4.724409449</v>
      </c>
      <c r="K21" s="145">
        <f> 'Dimensionamento de Condutores'!H21</f>
        <v>2.5</v>
      </c>
      <c r="L21" s="87">
        <f t="shared" si="3"/>
        <v>24</v>
      </c>
      <c r="M21" s="89">
        <f t="shared" si="4"/>
        <v>24</v>
      </c>
      <c r="N21" s="89" t="str">
        <f t="shared" si="5"/>
        <v>4,72 ≤ In ≤ 24</v>
      </c>
      <c r="O21" s="58">
        <v>6.0</v>
      </c>
      <c r="P21" s="89">
        <v>1000.0</v>
      </c>
      <c r="Q21" s="89">
        <v>3000.0</v>
      </c>
      <c r="R21" s="89">
        <f t="shared" si="6"/>
        <v>3000</v>
      </c>
      <c r="S21" s="89" t="str">
        <f t="shared" si="7"/>
        <v>t ≤ 0,083</v>
      </c>
      <c r="T21" s="90">
        <f t="shared" si="8"/>
        <v>166.6666667</v>
      </c>
      <c r="U21" s="89">
        <v>0.01</v>
      </c>
      <c r="V21" s="58" t="s">
        <v>192</v>
      </c>
      <c r="W21" s="146" t="str">
        <f t="shared" si="9"/>
        <v>Disjuntor Monopolar C6 Icn 3000A Ue 127V 60Hz</v>
      </c>
      <c r="X21" s="147"/>
      <c r="Y21" s="148"/>
    </row>
    <row r="22">
      <c r="B22" s="7">
        <v>19.0</v>
      </c>
      <c r="C22" s="92" t="s">
        <v>73</v>
      </c>
      <c r="D22" s="140">
        <f>'Quadro de Cargas'!I23</f>
        <v>600</v>
      </c>
      <c r="E22" s="141">
        <f>'Quadro de Cargas'!J23</f>
        <v>127</v>
      </c>
      <c r="F22" s="96">
        <f t="shared" si="1"/>
        <v>4.724409449</v>
      </c>
      <c r="G22" s="141">
        <f>'Capacidade de Corrente'!G22</f>
        <v>1</v>
      </c>
      <c r="H22" s="141">
        <f>'Capacidade de Corrente'!H22</f>
        <v>1</v>
      </c>
      <c r="I22" s="141">
        <f>'Capacidade de Corrente'!I22</f>
        <v>1</v>
      </c>
      <c r="J22" s="96">
        <f t="shared" si="2"/>
        <v>4.724409449</v>
      </c>
      <c r="K22" s="141">
        <f> 'Dimensionamento de Condutores'!H22</f>
        <v>2.5</v>
      </c>
      <c r="L22" s="98">
        <f t="shared" si="3"/>
        <v>24</v>
      </c>
      <c r="M22" s="100">
        <f t="shared" si="4"/>
        <v>24</v>
      </c>
      <c r="N22" s="100" t="str">
        <f t="shared" si="5"/>
        <v>4,72 ≤ In ≤ 24</v>
      </c>
      <c r="O22" s="122">
        <v>6.0</v>
      </c>
      <c r="P22" s="100">
        <v>1000.0</v>
      </c>
      <c r="Q22" s="100">
        <v>3000.0</v>
      </c>
      <c r="R22" s="100">
        <f t="shared" si="6"/>
        <v>3000</v>
      </c>
      <c r="S22" s="100" t="str">
        <f t="shared" si="7"/>
        <v>t ≤ 0,083</v>
      </c>
      <c r="T22" s="101">
        <f t="shared" si="8"/>
        <v>166.6666667</v>
      </c>
      <c r="U22" s="100">
        <v>0.01</v>
      </c>
      <c r="V22" s="122" t="s">
        <v>192</v>
      </c>
      <c r="W22" s="142" t="str">
        <f t="shared" si="9"/>
        <v>Disjuntor Monopolar C6 Icn 3000A Ue 127V 60Hz</v>
      </c>
      <c r="X22" s="143"/>
      <c r="Y22" s="78"/>
    </row>
    <row r="23">
      <c r="B23" s="7">
        <v>20.0</v>
      </c>
      <c r="C23" s="54" t="s">
        <v>73</v>
      </c>
      <c r="D23" s="144">
        <f>'Quadro de Cargas'!I24</f>
        <v>600</v>
      </c>
      <c r="E23" s="145">
        <f>'Quadro de Cargas'!J24</f>
        <v>127</v>
      </c>
      <c r="F23" s="85">
        <f t="shared" si="1"/>
        <v>4.724409449</v>
      </c>
      <c r="G23" s="145">
        <f>'Capacidade de Corrente'!G23</f>
        <v>1</v>
      </c>
      <c r="H23" s="145">
        <f>'Capacidade de Corrente'!H23</f>
        <v>1</v>
      </c>
      <c r="I23" s="145">
        <f>'Capacidade de Corrente'!I23</f>
        <v>1</v>
      </c>
      <c r="J23" s="85">
        <f t="shared" si="2"/>
        <v>4.724409449</v>
      </c>
      <c r="K23" s="145">
        <f> 'Dimensionamento de Condutores'!H23</f>
        <v>2.5</v>
      </c>
      <c r="L23" s="87">
        <f t="shared" si="3"/>
        <v>24</v>
      </c>
      <c r="M23" s="89">
        <f t="shared" si="4"/>
        <v>24</v>
      </c>
      <c r="N23" s="89" t="str">
        <f t="shared" si="5"/>
        <v>4,72 ≤ In ≤ 24</v>
      </c>
      <c r="O23" s="58">
        <v>6.0</v>
      </c>
      <c r="P23" s="89">
        <v>1000.0</v>
      </c>
      <c r="Q23" s="89">
        <v>3000.0</v>
      </c>
      <c r="R23" s="89">
        <f t="shared" si="6"/>
        <v>3000</v>
      </c>
      <c r="S23" s="89" t="str">
        <f t="shared" si="7"/>
        <v>t ≤ 0,083</v>
      </c>
      <c r="T23" s="90">
        <f t="shared" si="8"/>
        <v>166.6666667</v>
      </c>
      <c r="U23" s="89">
        <v>0.01</v>
      </c>
      <c r="V23" s="58" t="s">
        <v>192</v>
      </c>
      <c r="W23" s="146" t="str">
        <f t="shared" si="9"/>
        <v>Disjuntor Monopolar C6 Icn 3000A Ue 127V 60Hz</v>
      </c>
      <c r="X23" s="147"/>
      <c r="Y23" s="148"/>
    </row>
    <row r="24">
      <c r="B24" s="7">
        <v>21.0</v>
      </c>
      <c r="C24" s="92" t="s">
        <v>73</v>
      </c>
      <c r="D24" s="140">
        <f>'Quadro de Cargas'!I25</f>
        <v>600</v>
      </c>
      <c r="E24" s="141">
        <f>'Quadro de Cargas'!J25</f>
        <v>127</v>
      </c>
      <c r="F24" s="96">
        <f t="shared" si="1"/>
        <v>4.724409449</v>
      </c>
      <c r="G24" s="141">
        <f>'Capacidade de Corrente'!G24</f>
        <v>1</v>
      </c>
      <c r="H24" s="141">
        <f>'Capacidade de Corrente'!H24</f>
        <v>1</v>
      </c>
      <c r="I24" s="141">
        <f>'Capacidade de Corrente'!I24</f>
        <v>1</v>
      </c>
      <c r="J24" s="96">
        <f t="shared" si="2"/>
        <v>4.724409449</v>
      </c>
      <c r="K24" s="141">
        <f> 'Dimensionamento de Condutores'!H24</f>
        <v>2.5</v>
      </c>
      <c r="L24" s="98">
        <f t="shared" si="3"/>
        <v>24</v>
      </c>
      <c r="M24" s="100">
        <f t="shared" si="4"/>
        <v>24</v>
      </c>
      <c r="N24" s="100" t="str">
        <f t="shared" si="5"/>
        <v>4,72 ≤ In ≤ 24</v>
      </c>
      <c r="O24" s="122">
        <v>6.0</v>
      </c>
      <c r="P24" s="100">
        <v>1000.0</v>
      </c>
      <c r="Q24" s="100">
        <v>3000.0</v>
      </c>
      <c r="R24" s="100">
        <f t="shared" si="6"/>
        <v>3000</v>
      </c>
      <c r="S24" s="100" t="str">
        <f t="shared" si="7"/>
        <v>t ≤ 0,083</v>
      </c>
      <c r="T24" s="101">
        <f t="shared" si="8"/>
        <v>166.6666667</v>
      </c>
      <c r="U24" s="100">
        <v>0.01</v>
      </c>
      <c r="V24" s="122" t="s">
        <v>192</v>
      </c>
      <c r="W24" s="142" t="str">
        <f t="shared" si="9"/>
        <v>Disjuntor Monopolar C6 Icn 3000A Ue 127V 60Hz</v>
      </c>
      <c r="X24" s="143"/>
      <c r="Y24" s="78"/>
    </row>
    <row r="25">
      <c r="B25" s="7">
        <v>22.0</v>
      </c>
      <c r="C25" s="54" t="s">
        <v>74</v>
      </c>
      <c r="D25" s="144">
        <f>'Quadro de Cargas'!I26</f>
        <v>37595</v>
      </c>
      <c r="E25" s="85">
        <f>'Quadro de Cargas'!J26</f>
        <v>380</v>
      </c>
      <c r="F25" s="85">
        <f t="shared" si="1"/>
        <v>98.93421053</v>
      </c>
      <c r="G25" s="145">
        <f>'Capacidade de Corrente'!G25</f>
        <v>1</v>
      </c>
      <c r="H25" s="145">
        <f>'Capacidade de Corrente'!H25</f>
        <v>1</v>
      </c>
      <c r="I25" s="145">
        <f>'Capacidade de Corrente'!I25</f>
        <v>1</v>
      </c>
      <c r="J25" s="85">
        <f t="shared" si="2"/>
        <v>98.93421053</v>
      </c>
      <c r="K25" s="83">
        <v>35.0</v>
      </c>
      <c r="L25" s="87">
        <f>IF(K25 = 0.5, 10, IF(K25 = 0.75, 12, IF(K25 = 1, 15, IF(K25 = 1.5, 18, IF(K25 = 2.5, 24, IF(K25 = 4, 31, IF(K25 = 6, 39, IF(K25 = 10, 52, IF(K25 = 16, 67, IF(K25 = 25, 86, IF(K25 = 35, 103, IF(K25 = 50, 122, IF(K25 = 70, 151)))))))))))))</f>
        <v>103</v>
      </c>
      <c r="M25" s="89">
        <f t="shared" si="4"/>
        <v>103</v>
      </c>
      <c r="N25" s="89" t="str">
        <f t="shared" si="5"/>
        <v>98,93 ≤ In ≤ 103</v>
      </c>
      <c r="O25" s="58">
        <v>100.0</v>
      </c>
      <c r="P25" s="89">
        <v>1000.0</v>
      </c>
      <c r="Q25" s="89">
        <v>3000.0</v>
      </c>
      <c r="R25" s="89">
        <f t="shared" si="6"/>
        <v>3000</v>
      </c>
      <c r="S25" s="89" t="str">
        <f t="shared" si="7"/>
        <v>t ≤ 16,201</v>
      </c>
      <c r="T25" s="90">
        <f t="shared" si="8"/>
        <v>10</v>
      </c>
      <c r="U25" s="89">
        <v>0.01</v>
      </c>
      <c r="V25" s="58" t="s">
        <v>192</v>
      </c>
      <c r="W25" s="146" t="str">
        <f>CONCATENATE("Disjuntor ",IF(E25=127,"Monopolar ",IF(E25=220,"Bipolar ", "Tripolar ")),V25,O25," Icn ",Q25,"A"," Ue ",ROUND(E25,-1),"V 60Hz")</f>
        <v>Disjuntor Tripolar C100 Icn 3000A Ue 380V 60Hz</v>
      </c>
      <c r="X25" s="147"/>
      <c r="Y25" s="148"/>
    </row>
  </sheetData>
  <mergeCells count="24">
    <mergeCell ref="B2:Y2"/>
    <mergeCell ref="W3:Y3"/>
    <mergeCell ref="W4:Y4"/>
    <mergeCell ref="W5:Y5"/>
    <mergeCell ref="W6:Y6"/>
    <mergeCell ref="W7:Y7"/>
    <mergeCell ref="W8:Y8"/>
    <mergeCell ref="W9:Y9"/>
    <mergeCell ref="W10:Y10"/>
    <mergeCell ref="W11:Y11"/>
    <mergeCell ref="W12:Y12"/>
    <mergeCell ref="W13:Y13"/>
    <mergeCell ref="W14:Y14"/>
    <mergeCell ref="W15:Y15"/>
    <mergeCell ref="W23:Y23"/>
    <mergeCell ref="W24:Y24"/>
    <mergeCell ref="W25:Y25"/>
    <mergeCell ref="W16:Y16"/>
    <mergeCell ref="W17:Y17"/>
    <mergeCell ref="W18:Y18"/>
    <mergeCell ref="W19:Y19"/>
    <mergeCell ref="W20:Y20"/>
    <mergeCell ref="W21:Y21"/>
    <mergeCell ref="W22:Y2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0.13"/>
    <col customWidth="1" min="4" max="4" width="12.88"/>
    <col customWidth="1" min="5" max="5" width="18.13"/>
    <col customWidth="1" min="6" max="6" width="17.38"/>
    <col customWidth="1" min="8" max="8" width="9.0"/>
    <col customWidth="1" min="9" max="9" width="8.25"/>
    <col customWidth="1" min="10" max="10" width="8.38"/>
    <col customWidth="1" min="11" max="11" width="8.13"/>
    <col customWidth="1" min="12" max="12" width="8.38"/>
    <col customWidth="1" min="13" max="13" width="5.63"/>
    <col customWidth="1" min="14" max="14" width="5.38"/>
    <col customWidth="1" min="15" max="15" width="5.13"/>
    <col customWidth="1" min="16" max="16" width="7.25"/>
    <col customWidth="1" min="17" max="17" width="7.5"/>
    <col customWidth="1" min="18" max="18" width="6.25"/>
    <col customWidth="1" min="19" max="19" width="6.38"/>
    <col customWidth="1" min="20" max="20" width="7.13"/>
    <col customWidth="1" min="21" max="21" width="7.0"/>
  </cols>
  <sheetData>
    <row r="2">
      <c r="B2" s="1" t="s">
        <v>193</v>
      </c>
      <c r="C2" s="2"/>
      <c r="D2" s="2"/>
      <c r="E2" s="2"/>
      <c r="F2" s="3"/>
    </row>
    <row r="3">
      <c r="B3" s="149" t="s">
        <v>3</v>
      </c>
      <c r="C3" s="4" t="s">
        <v>194</v>
      </c>
      <c r="D3" s="17" t="s">
        <v>195</v>
      </c>
      <c r="E3" s="17" t="s">
        <v>196</v>
      </c>
      <c r="F3" s="17" t="s">
        <v>197</v>
      </c>
    </row>
    <row r="4">
      <c r="B4" s="6"/>
      <c r="C4" s="6"/>
      <c r="D4" s="48">
        <v>1500.0</v>
      </c>
      <c r="E4" s="48">
        <v>1.0</v>
      </c>
      <c r="F4" s="20">
        <f>D4*E4</f>
        <v>1500</v>
      </c>
    </row>
    <row r="5">
      <c r="B5" s="149" t="s">
        <v>198</v>
      </c>
      <c r="C5" s="149" t="s">
        <v>199</v>
      </c>
      <c r="D5" s="1" t="s">
        <v>200</v>
      </c>
      <c r="E5" s="3"/>
      <c r="F5" s="17" t="s">
        <v>197</v>
      </c>
    </row>
    <row r="6">
      <c r="B6" s="6"/>
      <c r="C6" s="6"/>
      <c r="D6" s="150">
        <f>'Previsão de Carga'!C16</f>
        <v>72.2</v>
      </c>
      <c r="E6" s="3"/>
      <c r="F6" s="48">
        <v>2600.0</v>
      </c>
    </row>
    <row r="7">
      <c r="B7" s="149" t="s">
        <v>201</v>
      </c>
      <c r="C7" s="17" t="s">
        <v>202</v>
      </c>
      <c r="D7" s="17" t="s">
        <v>203</v>
      </c>
      <c r="E7" s="17" t="s">
        <v>204</v>
      </c>
      <c r="F7" s="17" t="s">
        <v>197</v>
      </c>
    </row>
    <row r="8">
      <c r="B8" s="52"/>
      <c r="C8" s="48" t="s">
        <v>19</v>
      </c>
      <c r="D8" s="48">
        <v>2.0</v>
      </c>
      <c r="E8" s="48">
        <v>5400.0</v>
      </c>
      <c r="F8" s="20">
        <f t="shared" ref="F8:F14" si="1">D8*E8</f>
        <v>10800</v>
      </c>
    </row>
    <row r="9">
      <c r="B9" s="52"/>
      <c r="C9" s="48" t="s">
        <v>205</v>
      </c>
      <c r="D9" s="48">
        <v>1.0</v>
      </c>
      <c r="E9" s="48">
        <v>5200.0</v>
      </c>
      <c r="F9" s="20">
        <f t="shared" si="1"/>
        <v>5200</v>
      </c>
    </row>
    <row r="10">
      <c r="B10" s="52"/>
      <c r="C10" s="48" t="s">
        <v>206</v>
      </c>
      <c r="D10" s="48">
        <v>1.0</v>
      </c>
      <c r="E10" s="48">
        <v>790.0</v>
      </c>
      <c r="F10" s="20">
        <f t="shared" si="1"/>
        <v>790</v>
      </c>
    </row>
    <row r="11">
      <c r="B11" s="52"/>
      <c r="C11" s="48" t="s">
        <v>207</v>
      </c>
      <c r="D11" s="48">
        <v>2.0</v>
      </c>
      <c r="E11" s="48">
        <v>1720.0</v>
      </c>
      <c r="F11" s="20">
        <f t="shared" si="1"/>
        <v>3440</v>
      </c>
    </row>
    <row r="12">
      <c r="B12" s="52"/>
      <c r="C12" s="48" t="s">
        <v>16</v>
      </c>
      <c r="D12" s="48">
        <v>1.0</v>
      </c>
      <c r="E12" s="48">
        <v>1500.0</v>
      </c>
      <c r="F12" s="20">
        <f t="shared" si="1"/>
        <v>1500</v>
      </c>
    </row>
    <row r="13">
      <c r="B13" s="52"/>
      <c r="C13" s="48" t="s">
        <v>208</v>
      </c>
      <c r="D13" s="48">
        <v>1.0</v>
      </c>
      <c r="E13" s="48">
        <v>1500.0</v>
      </c>
      <c r="F13" s="20">
        <f t="shared" si="1"/>
        <v>1500</v>
      </c>
    </row>
    <row r="14">
      <c r="B14" s="6"/>
      <c r="C14" s="48" t="s">
        <v>209</v>
      </c>
      <c r="D14" s="48">
        <v>1.0</v>
      </c>
      <c r="E14" s="48">
        <v>2500.0</v>
      </c>
      <c r="F14" s="20">
        <f t="shared" si="1"/>
        <v>2500</v>
      </c>
    </row>
    <row r="15">
      <c r="B15" s="1" t="s">
        <v>29</v>
      </c>
      <c r="C15" s="2"/>
      <c r="D15" s="2"/>
      <c r="E15" s="3"/>
      <c r="F15" s="20">
        <f>SUM(F8:F14)+F4+F6</f>
        <v>29830</v>
      </c>
    </row>
    <row r="17" ht="26.25" customHeight="1">
      <c r="H17" s="151" t="s">
        <v>210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3"/>
    </row>
    <row r="18">
      <c r="H18" s="152" t="s">
        <v>211</v>
      </c>
      <c r="I18" s="152" t="s">
        <v>212</v>
      </c>
      <c r="J18" s="152" t="s">
        <v>213</v>
      </c>
      <c r="K18" s="152" t="s">
        <v>214</v>
      </c>
      <c r="L18" s="152" t="s">
        <v>215</v>
      </c>
      <c r="M18" s="151" t="s">
        <v>216</v>
      </c>
      <c r="N18" s="2"/>
      <c r="O18" s="3"/>
      <c r="P18" s="152" t="s">
        <v>217</v>
      </c>
      <c r="Q18" s="152" t="s">
        <v>218</v>
      </c>
      <c r="R18" s="151" t="s">
        <v>219</v>
      </c>
      <c r="S18" s="3"/>
      <c r="T18" s="151" t="s">
        <v>220</v>
      </c>
      <c r="U18" s="3"/>
    </row>
    <row r="19" ht="124.5" customHeight="1">
      <c r="H19" s="6"/>
      <c r="I19" s="6"/>
      <c r="J19" s="6"/>
      <c r="K19" s="6"/>
      <c r="L19" s="6"/>
      <c r="M19" s="153" t="s">
        <v>221</v>
      </c>
      <c r="N19" s="153" t="s">
        <v>222</v>
      </c>
      <c r="O19" s="153" t="s">
        <v>223</v>
      </c>
      <c r="P19" s="6"/>
      <c r="Q19" s="6"/>
      <c r="R19" s="153" t="s">
        <v>224</v>
      </c>
      <c r="S19" s="153" t="s">
        <v>126</v>
      </c>
      <c r="T19" s="153" t="s">
        <v>225</v>
      </c>
      <c r="U19" s="153" t="s">
        <v>226</v>
      </c>
    </row>
    <row r="20" ht="143.25" customHeight="1">
      <c r="H20" s="10" t="s">
        <v>227</v>
      </c>
      <c r="I20" s="10" t="s">
        <v>228</v>
      </c>
      <c r="J20" s="10" t="s">
        <v>229</v>
      </c>
      <c r="K20" s="10" t="s">
        <v>230</v>
      </c>
      <c r="L20" s="10">
        <v>25.0</v>
      </c>
      <c r="M20" s="154" t="s">
        <v>231</v>
      </c>
      <c r="N20" s="154" t="s">
        <v>232</v>
      </c>
      <c r="O20" s="10">
        <v>2.0</v>
      </c>
      <c r="P20" s="154" t="s">
        <v>233</v>
      </c>
      <c r="Q20" s="154" t="s">
        <v>234</v>
      </c>
      <c r="R20" s="10">
        <v>16.0</v>
      </c>
      <c r="S20" s="154" t="s">
        <v>235</v>
      </c>
      <c r="T20" s="10">
        <v>10.0</v>
      </c>
      <c r="U20" s="154" t="s">
        <v>236</v>
      </c>
    </row>
    <row r="21">
      <c r="H21" s="1" t="s">
        <v>237</v>
      </c>
      <c r="I21" s="2"/>
      <c r="J21" s="2"/>
      <c r="K21" s="2"/>
      <c r="L21" s="2"/>
      <c r="M21" s="2"/>
      <c r="N21" s="2"/>
      <c r="O21" s="2"/>
      <c r="P21" s="2"/>
      <c r="Q21" s="3"/>
      <c r="R21" s="155"/>
      <c r="S21" s="155"/>
      <c r="T21" s="155"/>
      <c r="U21" s="155"/>
    </row>
    <row r="22">
      <c r="H22" s="5" t="s">
        <v>238</v>
      </c>
      <c r="I22" s="3"/>
      <c r="J22" s="1" t="s">
        <v>239</v>
      </c>
      <c r="K22" s="3"/>
      <c r="L22" s="5" t="s">
        <v>240</v>
      </c>
      <c r="M22" s="3"/>
      <c r="N22" s="5" t="s">
        <v>241</v>
      </c>
      <c r="O22" s="2"/>
      <c r="P22" s="2"/>
      <c r="Q22" s="3"/>
    </row>
    <row r="23">
      <c r="H23" s="1" t="s">
        <v>242</v>
      </c>
      <c r="I23" s="3"/>
      <c r="J23" s="1" t="s">
        <v>243</v>
      </c>
      <c r="K23" s="3"/>
      <c r="L23" s="1" t="s">
        <v>243</v>
      </c>
      <c r="M23" s="3"/>
      <c r="N23" s="5" t="s">
        <v>244</v>
      </c>
      <c r="O23" s="2"/>
      <c r="P23" s="2"/>
      <c r="Q23" s="3"/>
    </row>
    <row r="24">
      <c r="H24" s="156" t="s">
        <v>245</v>
      </c>
      <c r="I24" s="24"/>
      <c r="J24" s="156" t="s">
        <v>246</v>
      </c>
      <c r="K24" s="24"/>
      <c r="L24" s="156" t="s">
        <v>247</v>
      </c>
      <c r="M24" s="24"/>
      <c r="N24" s="157" t="s">
        <v>248</v>
      </c>
      <c r="O24" s="2"/>
      <c r="P24" s="2"/>
      <c r="Q24" s="3"/>
    </row>
    <row r="25">
      <c r="H25" s="27"/>
      <c r="I25" s="29"/>
      <c r="J25" s="27"/>
      <c r="K25" s="29"/>
      <c r="L25" s="27"/>
      <c r="M25" s="29"/>
      <c r="N25" s="158" t="s">
        <v>249</v>
      </c>
      <c r="O25" s="2"/>
      <c r="P25" s="2"/>
      <c r="Q25" s="3"/>
    </row>
  </sheetData>
  <mergeCells count="34">
    <mergeCell ref="B2:F2"/>
    <mergeCell ref="B3:B4"/>
    <mergeCell ref="C3:C4"/>
    <mergeCell ref="B5:B6"/>
    <mergeCell ref="C5:C6"/>
    <mergeCell ref="D5:E5"/>
    <mergeCell ref="D6:E6"/>
    <mergeCell ref="P18:P19"/>
    <mergeCell ref="Q18:Q19"/>
    <mergeCell ref="R18:S18"/>
    <mergeCell ref="T18:U18"/>
    <mergeCell ref="B7:B14"/>
    <mergeCell ref="B15:E15"/>
    <mergeCell ref="H17:U17"/>
    <mergeCell ref="H18:H19"/>
    <mergeCell ref="I18:I19"/>
    <mergeCell ref="J18:J19"/>
    <mergeCell ref="K18:K19"/>
    <mergeCell ref="L18:L19"/>
    <mergeCell ref="M18:O18"/>
    <mergeCell ref="H21:Q21"/>
    <mergeCell ref="H22:I22"/>
    <mergeCell ref="J22:K22"/>
    <mergeCell ref="L22:M22"/>
    <mergeCell ref="N22:Q22"/>
    <mergeCell ref="N24:Q24"/>
    <mergeCell ref="N25:Q25"/>
    <mergeCell ref="H23:I23"/>
    <mergeCell ref="J23:K23"/>
    <mergeCell ref="L23:M23"/>
    <mergeCell ref="N23:Q23"/>
    <mergeCell ref="H24:I25"/>
    <mergeCell ref="J24:K25"/>
    <mergeCell ref="L24:M25"/>
  </mergeCells>
  <drawing r:id="rId1"/>
</worksheet>
</file>