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ropbox\Doc\Vienna\2025_Feb_ADV\Monte Carlo\Afternoon\"/>
    </mc:Choice>
  </mc:AlternateContent>
  <xr:revisionPtr revIDLastSave="0" documentId="13_ncr:1_{86353AAA-3DA1-48FA-8CF3-BBB1ED08E6F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&amp;L" sheetId="1" r:id="rId1"/>
    <sheet name="Cash Flow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E20" i="1" s="1"/>
  <c r="F20" i="1" s="1"/>
  <c r="G20" i="1" s="1"/>
  <c r="H20" i="1" s="1"/>
  <c r="I20" i="1" s="1"/>
  <c r="J20" i="1" s="1"/>
  <c r="K20" i="1" s="1"/>
  <c r="L20" i="1" s="1"/>
  <c r="D33" i="1" l="1"/>
  <c r="E33" i="1" s="1"/>
  <c r="F33" i="1" s="1"/>
  <c r="G33" i="1" s="1"/>
  <c r="H33" i="1" s="1"/>
  <c r="I33" i="1" s="1"/>
  <c r="J33" i="1" s="1"/>
  <c r="K33" i="1" s="1"/>
  <c r="L33" i="1" s="1"/>
  <c r="E9" i="1"/>
  <c r="F9" i="1"/>
  <c r="G9" i="1" s="1"/>
  <c r="H9" i="1" s="1"/>
  <c r="D9" i="1"/>
  <c r="F7" i="1" l="1"/>
  <c r="C8" i="1"/>
  <c r="C10" i="1" s="1"/>
  <c r="D8" i="1"/>
  <c r="G7" i="1" l="1"/>
  <c r="F8" i="1"/>
  <c r="E8" i="1"/>
  <c r="G8" i="1"/>
  <c r="H7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I7" i="1" l="1"/>
  <c r="H8" i="1"/>
  <c r="C15" i="1"/>
  <c r="C19" i="1" s="1"/>
  <c r="C28" i="1" s="1"/>
  <c r="C16" i="2" s="1"/>
  <c r="M7" i="2"/>
  <c r="M8" i="2" s="1"/>
  <c r="D5" i="1"/>
  <c r="L6" i="2"/>
  <c r="H6" i="2"/>
  <c r="E6" i="2"/>
  <c r="D6" i="2"/>
  <c r="C6" i="2"/>
  <c r="D17" i="1"/>
  <c r="E17" i="1" s="1"/>
  <c r="F17" i="1" s="1"/>
  <c r="G17" i="1" s="1"/>
  <c r="H17" i="1" s="1"/>
  <c r="I17" i="1" s="1"/>
  <c r="J17" i="1" s="1"/>
  <c r="K17" i="1" s="1"/>
  <c r="L17" i="1" s="1"/>
  <c r="D24" i="1"/>
  <c r="E24" i="1" s="1"/>
  <c r="F24" i="1" s="1"/>
  <c r="G24" i="1" s="1"/>
  <c r="H24" i="1" s="1"/>
  <c r="I24" i="1" s="1"/>
  <c r="J24" i="1" s="1"/>
  <c r="K24" i="1" s="1"/>
  <c r="L24" i="1" s="1"/>
  <c r="I9" i="1"/>
  <c r="J9" i="1" s="1"/>
  <c r="K9" i="1" s="1"/>
  <c r="L9" i="1" s="1"/>
  <c r="M17" i="2"/>
  <c r="B7" i="2"/>
  <c r="F6" i="2"/>
  <c r="G6" i="2"/>
  <c r="I6" i="2"/>
  <c r="J6" i="2"/>
  <c r="K6" i="2"/>
  <c r="B6" i="2"/>
  <c r="B5" i="2"/>
  <c r="B17" i="2"/>
  <c r="B18" i="2" s="1"/>
  <c r="L29" i="2"/>
  <c r="J29" i="2"/>
  <c r="H29" i="2"/>
  <c r="F29" i="2"/>
  <c r="D29" i="2"/>
  <c r="B29" i="2"/>
  <c r="L35" i="1"/>
  <c r="K35" i="1"/>
  <c r="J35" i="1"/>
  <c r="I35" i="1"/>
  <c r="H35" i="1"/>
  <c r="G35" i="1"/>
  <c r="F35" i="1"/>
  <c r="E35" i="1"/>
  <c r="D35" i="1"/>
  <c r="C35" i="1"/>
  <c r="E5" i="1" l="1"/>
  <c r="D10" i="1"/>
  <c r="J7" i="1"/>
  <c r="I8" i="1"/>
  <c r="D15" i="1"/>
  <c r="D19" i="1" s="1"/>
  <c r="D28" i="1" s="1"/>
  <c r="D16" i="2" s="1"/>
  <c r="B8" i="2"/>
  <c r="B20" i="2" s="1"/>
  <c r="B24" i="2" s="1"/>
  <c r="C29" i="2"/>
  <c r="E29" i="2"/>
  <c r="G29" i="2"/>
  <c r="I29" i="2"/>
  <c r="K29" i="2"/>
  <c r="C27" i="1"/>
  <c r="C21" i="1"/>
  <c r="C22" i="1" s="1"/>
  <c r="F5" i="1" l="1"/>
  <c r="E10" i="1"/>
  <c r="E15" i="1" s="1"/>
  <c r="E19" i="1" s="1"/>
  <c r="E28" i="1" s="1"/>
  <c r="E16" i="2" s="1"/>
  <c r="K7" i="1"/>
  <c r="J8" i="1"/>
  <c r="E21" i="1"/>
  <c r="E22" i="1" s="1"/>
  <c r="E14" i="2" s="1"/>
  <c r="E27" i="1"/>
  <c r="E29" i="1" s="1"/>
  <c r="D27" i="1"/>
  <c r="D29" i="1" s="1"/>
  <c r="D21" i="1"/>
  <c r="D22" i="1" s="1"/>
  <c r="D14" i="2" s="1"/>
  <c r="C29" i="1"/>
  <c r="C31" i="1" s="1"/>
  <c r="C37" i="1" s="1"/>
  <c r="C41" i="1" s="1"/>
  <c r="C15" i="2"/>
  <c r="C14" i="2"/>
  <c r="C17" i="2" s="1"/>
  <c r="C18" i="2" s="1"/>
  <c r="B26" i="2"/>
  <c r="F10" i="1" l="1"/>
  <c r="F15" i="1" s="1"/>
  <c r="G5" i="1"/>
  <c r="E31" i="1"/>
  <c r="E37" i="1" s="1"/>
  <c r="E41" i="1" s="1"/>
  <c r="E44" i="1" s="1"/>
  <c r="E7" i="2" s="1"/>
  <c r="D15" i="2"/>
  <c r="D17" i="2" s="1"/>
  <c r="D18" i="2" s="1"/>
  <c r="K8" i="1"/>
  <c r="L7" i="1"/>
  <c r="L8" i="1" s="1"/>
  <c r="E15" i="2"/>
  <c r="E17" i="2" s="1"/>
  <c r="D31" i="1"/>
  <c r="D37" i="1" s="1"/>
  <c r="D41" i="1" s="1"/>
  <c r="D44" i="1" s="1"/>
  <c r="D7" i="2" s="1"/>
  <c r="F19" i="1"/>
  <c r="F27" i="1"/>
  <c r="C5" i="2"/>
  <c r="C44" i="1"/>
  <c r="C7" i="2" s="1"/>
  <c r="B28" i="2"/>
  <c r="E5" i="2" l="1"/>
  <c r="G10" i="1"/>
  <c r="G15" i="1" s="1"/>
  <c r="G27" i="1" s="1"/>
  <c r="G15" i="2" s="1"/>
  <c r="H5" i="1"/>
  <c r="E18" i="2"/>
  <c r="D5" i="2"/>
  <c r="D8" i="2" s="1"/>
  <c r="D20" i="2" s="1"/>
  <c r="D24" i="2" s="1"/>
  <c r="D26" i="2" s="1"/>
  <c r="F15" i="2"/>
  <c r="F28" i="1"/>
  <c r="F16" i="2" s="1"/>
  <c r="F21" i="1"/>
  <c r="F22" i="1" s="1"/>
  <c r="E46" i="1"/>
  <c r="D46" i="1"/>
  <c r="E8" i="2"/>
  <c r="C8" i="2"/>
  <c r="C20" i="2" s="1"/>
  <c r="C24" i="2" s="1"/>
  <c r="C46" i="1"/>
  <c r="H10" i="1" l="1"/>
  <c r="H15" i="1" s="1"/>
  <c r="H19" i="1" s="1"/>
  <c r="I5" i="1"/>
  <c r="G19" i="1"/>
  <c r="E20" i="2"/>
  <c r="E24" i="2" s="1"/>
  <c r="E26" i="2" s="1"/>
  <c r="H27" i="1"/>
  <c r="F14" i="2"/>
  <c r="F17" i="2" s="1"/>
  <c r="F18" i="2" s="1"/>
  <c r="F29" i="1"/>
  <c r="F31" i="1" s="1"/>
  <c r="F37" i="1" s="1"/>
  <c r="F41" i="1" s="1"/>
  <c r="H28" i="1"/>
  <c r="H16" i="2" s="1"/>
  <c r="H21" i="1"/>
  <c r="H22" i="1" s="1"/>
  <c r="H15" i="2"/>
  <c r="C26" i="2"/>
  <c r="C28" i="2" s="1"/>
  <c r="D28" i="2" s="1"/>
  <c r="G28" i="1" l="1"/>
  <c r="G21" i="1"/>
  <c r="G22" i="1" s="1"/>
  <c r="G14" i="2" s="1"/>
  <c r="I10" i="1"/>
  <c r="I15" i="1" s="1"/>
  <c r="I19" i="1" s="1"/>
  <c r="I28" i="1" s="1"/>
  <c r="I16" i="2" s="1"/>
  <c r="J5" i="1"/>
  <c r="E28" i="2"/>
  <c r="I27" i="1"/>
  <c r="I15" i="2" s="1"/>
  <c r="H29" i="1"/>
  <c r="H31" i="1" s="1"/>
  <c r="H37" i="1" s="1"/>
  <c r="H41" i="1" s="1"/>
  <c r="F44" i="1"/>
  <c r="F7" i="2" s="1"/>
  <c r="F5" i="2"/>
  <c r="H14" i="2"/>
  <c r="H17" i="2" s="1"/>
  <c r="J10" i="1" l="1"/>
  <c r="J15" i="1" s="1"/>
  <c r="J19" i="1" s="1"/>
  <c r="K5" i="1"/>
  <c r="I21" i="1"/>
  <c r="I22" i="1" s="1"/>
  <c r="G16" i="2"/>
  <c r="G17" i="2" s="1"/>
  <c r="G29" i="1"/>
  <c r="G31" i="1" s="1"/>
  <c r="G37" i="1" s="1"/>
  <c r="G41" i="1" s="1"/>
  <c r="J27" i="1"/>
  <c r="F46" i="1"/>
  <c r="F8" i="2"/>
  <c r="F20" i="2" s="1"/>
  <c r="F24" i="2" s="1"/>
  <c r="F26" i="2" s="1"/>
  <c r="F28" i="2" s="1"/>
  <c r="I29" i="1"/>
  <c r="I31" i="1" s="1"/>
  <c r="I37" i="1" s="1"/>
  <c r="I41" i="1" s="1"/>
  <c r="H5" i="2"/>
  <c r="H44" i="1"/>
  <c r="H7" i="2" s="1"/>
  <c r="J15" i="2"/>
  <c r="J28" i="1"/>
  <c r="J16" i="2" s="1"/>
  <c r="J21" i="1"/>
  <c r="J22" i="1" s="1"/>
  <c r="I14" i="2"/>
  <c r="I17" i="2" s="1"/>
  <c r="I18" i="2" s="1"/>
  <c r="G18" i="2" l="1"/>
  <c r="H18" i="2"/>
  <c r="G44" i="1"/>
  <c r="G7" i="2" s="1"/>
  <c r="G5" i="2"/>
  <c r="G8" i="2" s="1"/>
  <c r="G20" i="2" s="1"/>
  <c r="G24" i="2" s="1"/>
  <c r="G26" i="2" s="1"/>
  <c r="G28" i="2" s="1"/>
  <c r="K10" i="1"/>
  <c r="K15" i="1" s="1"/>
  <c r="K27" i="1" s="1"/>
  <c r="L5" i="1"/>
  <c r="L10" i="1" s="1"/>
  <c r="L15" i="1" s="1"/>
  <c r="L19" i="1" s="1"/>
  <c r="L28" i="1" s="1"/>
  <c r="L16" i="2" s="1"/>
  <c r="K19" i="1"/>
  <c r="K21" i="1" s="1"/>
  <c r="K22" i="1" s="1"/>
  <c r="K15" i="2"/>
  <c r="J29" i="1"/>
  <c r="H46" i="1"/>
  <c r="H8" i="2"/>
  <c r="H20" i="2" s="1"/>
  <c r="H24" i="2" s="1"/>
  <c r="H26" i="2" s="1"/>
  <c r="K28" i="1"/>
  <c r="K16" i="2" s="1"/>
  <c r="I5" i="2"/>
  <c r="I44" i="1"/>
  <c r="I7" i="2" s="1"/>
  <c r="J14" i="2"/>
  <c r="J17" i="2" s="1"/>
  <c r="J18" i="2" s="1"/>
  <c r="J31" i="1"/>
  <c r="J37" i="1" s="1"/>
  <c r="J41" i="1" s="1"/>
  <c r="G46" i="1" l="1"/>
  <c r="L27" i="1"/>
  <c r="L15" i="2" s="1"/>
  <c r="L21" i="1"/>
  <c r="L22" i="1" s="1"/>
  <c r="L14" i="2"/>
  <c r="J5" i="2"/>
  <c r="J44" i="1"/>
  <c r="J7" i="2" s="1"/>
  <c r="H28" i="2"/>
  <c r="I46" i="1"/>
  <c r="I8" i="2"/>
  <c r="I20" i="2" s="1"/>
  <c r="I24" i="2" s="1"/>
  <c r="I26" i="2" s="1"/>
  <c r="L29" i="1"/>
  <c r="K14" i="2"/>
  <c r="K17" i="2" s="1"/>
  <c r="K18" i="2" s="1"/>
  <c r="L17" i="2"/>
  <c r="K29" i="1"/>
  <c r="K31" i="1" s="1"/>
  <c r="K37" i="1" s="1"/>
  <c r="K41" i="1" s="1"/>
  <c r="L31" i="1" l="1"/>
  <c r="L37" i="1" s="1"/>
  <c r="L41" i="1" s="1"/>
  <c r="L44" i="1" s="1"/>
  <c r="L7" i="2" s="1"/>
  <c r="J46" i="1"/>
  <c r="J8" i="2"/>
  <c r="J20" i="2" s="1"/>
  <c r="J24" i="2" s="1"/>
  <c r="J26" i="2" s="1"/>
  <c r="K44" i="1"/>
  <c r="K7" i="2" s="1"/>
  <c r="K5" i="2"/>
  <c r="L5" i="2"/>
  <c r="M18" i="2"/>
  <c r="M20" i="2" s="1"/>
  <c r="L18" i="2"/>
  <c r="I28" i="2"/>
  <c r="K46" i="1" l="1"/>
  <c r="J28" i="2"/>
  <c r="L8" i="2"/>
  <c r="L20" i="2" s="1"/>
  <c r="L24" i="2" s="1"/>
  <c r="M24" i="2"/>
  <c r="M26" i="2" s="1"/>
  <c r="L46" i="1"/>
  <c r="K8" i="2"/>
  <c r="K20" i="2" s="1"/>
  <c r="K24" i="2" s="1"/>
  <c r="K26" i="2" s="1"/>
  <c r="K28" i="2" s="1"/>
  <c r="B37" i="2" l="1"/>
  <c r="L26" i="2"/>
  <c r="L28" i="2" s="1"/>
  <c r="B35" i="2"/>
  <c r="M28" i="2" l="1"/>
  <c r="B31" i="2"/>
</calcChain>
</file>

<file path=xl/sharedStrings.xml><?xml version="1.0" encoding="utf-8"?>
<sst xmlns="http://schemas.openxmlformats.org/spreadsheetml/2006/main" count="55" uniqueCount="53">
  <si>
    <t xml:space="preserve">Profit &amp; Loss     </t>
  </si>
  <si>
    <t>Gross sales</t>
  </si>
  <si>
    <t>Discount</t>
  </si>
  <si>
    <t>Net Sales</t>
  </si>
  <si>
    <t>Royalties payable</t>
  </si>
  <si>
    <t>Total Variable Costs</t>
  </si>
  <si>
    <t>Gross Profit</t>
  </si>
  <si>
    <t>Other Direct Cost</t>
  </si>
  <si>
    <t>Total Fixed Costs</t>
  </si>
  <si>
    <t>EBITDA</t>
  </si>
  <si>
    <t>Amortization &amp; Depreciation</t>
  </si>
  <si>
    <t>EBIT</t>
  </si>
  <si>
    <t>Taxes</t>
  </si>
  <si>
    <t>Net Profit</t>
  </si>
  <si>
    <t>Nr patient</t>
  </si>
  <si>
    <t>Nr patient treated with our product</t>
  </si>
  <si>
    <t>Days of Treatment x year</t>
  </si>
  <si>
    <t>Daily Dose (pills)</t>
  </si>
  <si>
    <t>Pills x pack</t>
  </si>
  <si>
    <t>Number of packages sold</t>
  </si>
  <si>
    <t>Ex-Factory Price x pack</t>
  </si>
  <si>
    <t>% Discount</t>
  </si>
  <si>
    <t xml:space="preserve">COGS x pack (including delivery costs) </t>
  </si>
  <si>
    <t>COGS</t>
  </si>
  <si>
    <t>Royalties</t>
  </si>
  <si>
    <t>Promotional Expenses &amp; Reps</t>
  </si>
  <si>
    <t>(values in Euro)</t>
  </si>
  <si>
    <t>tax rate</t>
  </si>
  <si>
    <t>Cash Flows</t>
  </si>
  <si>
    <t>Self Financing</t>
  </si>
  <si>
    <t>Accounts receivables</t>
  </si>
  <si>
    <t>Inventory</t>
  </si>
  <si>
    <t>Accounts payables</t>
  </si>
  <si>
    <t>Working Capital</t>
  </si>
  <si>
    <t>Delta Working Capital</t>
  </si>
  <si>
    <t>Operating Cash Flow</t>
  </si>
  <si>
    <t>Capital Expenditure</t>
  </si>
  <si>
    <t>Free Cash Flow</t>
  </si>
  <si>
    <t>Discounted Cash Flow</t>
  </si>
  <si>
    <t>Cumulative Discounted Cash Flow</t>
  </si>
  <si>
    <t>Discounted PayBack Period</t>
  </si>
  <si>
    <t>WACC</t>
  </si>
  <si>
    <t>NPV</t>
  </si>
  <si>
    <t xml:space="preserve"> + Amortization &amp; Depreciation</t>
  </si>
  <si>
    <t xml:space="preserve"> - Taxes</t>
  </si>
  <si>
    <t xml:space="preserve">Accounts receivables (days) </t>
  </si>
  <si>
    <t xml:space="preserve">Inventory (days) </t>
  </si>
  <si>
    <t xml:space="preserve">Accounts payables (days) </t>
  </si>
  <si>
    <t>IRR</t>
  </si>
  <si>
    <t>New product by competitor</t>
  </si>
  <si>
    <t>New product 0 -1</t>
  </si>
  <si>
    <t>Delta Market Share grab by new product</t>
  </si>
  <si>
    <t>Market share % (gross of new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</si>
</sst>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&quot;ANNO&quot;\ 0"/>
    <numFmt numFmtId="165" formatCode="_-* #,##0_-;\-* #,##0_-;_-* &quot;-&quot;??_-;_-@_-"/>
    <numFmt numFmtId="166" formatCode="_(* #,##0.00_);_(* \(#,##0.00\);_(* &quot;-&quot;??_);_(@_)"/>
    <numFmt numFmtId="167" formatCode="0.0%"/>
    <numFmt numFmtId="168" formatCode="_(* #,##0.0_);_(* \(#,##0.0\);_(* &quot;-&quot;??_);_(@_)"/>
    <numFmt numFmtId="169" formatCode="_(* #,##0_);_(* \(#,##0\);_(* &quot;-&quot;??_);_(@_)"/>
    <numFmt numFmtId="170" formatCode="&quot;YEAR&quot;\ 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8"/>
      <name val="Arial"/>
      <family val="2"/>
    </font>
    <font>
      <b/>
      <i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0000FF"/>
      <name val="Calibri"/>
      <family val="2"/>
      <scheme val="minor"/>
    </font>
    <font>
      <sz val="10"/>
      <color rgb="FF0000FF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left" indent="1"/>
    </xf>
    <xf numFmtId="0" fontId="2" fillId="0" borderId="1" xfId="0" applyFont="1" applyBorder="1" applyAlignment="1">
      <alignment horizontal="left" wrapText="1" indent="1"/>
    </xf>
    <xf numFmtId="0" fontId="3" fillId="0" borderId="2" xfId="0" applyFont="1" applyBorder="1" applyAlignment="1">
      <alignment horizontal="left" wrapText="1" indent="1"/>
    </xf>
    <xf numFmtId="0" fontId="0" fillId="0" borderId="3" xfId="0" applyBorder="1" applyAlignment="1">
      <alignment horizontal="left" indent="2"/>
    </xf>
    <xf numFmtId="165" fontId="0" fillId="0" borderId="3" xfId="1" applyNumberFormat="1" applyFont="1" applyBorder="1"/>
    <xf numFmtId="166" fontId="0" fillId="0" borderId="3" xfId="1" applyNumberFormat="1" applyFont="1" applyBorder="1"/>
    <xf numFmtId="0" fontId="0" fillId="0" borderId="3" xfId="0" applyBorder="1" applyAlignment="1">
      <alignment horizontal="left" indent="1"/>
    </xf>
    <xf numFmtId="166" fontId="0" fillId="0" borderId="3" xfId="0" applyNumberFormat="1" applyBorder="1"/>
    <xf numFmtId="166" fontId="5" fillId="0" borderId="3" xfId="0" applyNumberFormat="1" applyFont="1" applyBorder="1"/>
    <xf numFmtId="167" fontId="0" fillId="0" borderId="3" xfId="2" applyNumberFormat="1" applyFont="1" applyBorder="1"/>
    <xf numFmtId="169" fontId="0" fillId="0" borderId="3" xfId="1" applyNumberFormat="1" applyFont="1" applyBorder="1"/>
    <xf numFmtId="43" fontId="0" fillId="0" borderId="3" xfId="1" applyFont="1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left" indent="2"/>
    </xf>
    <xf numFmtId="0" fontId="0" fillId="0" borderId="3" xfId="0" applyBorder="1" applyAlignment="1">
      <alignment horizontal="left" indent="3"/>
    </xf>
    <xf numFmtId="0" fontId="0" fillId="0" borderId="2" xfId="0" applyBorder="1" applyAlignment="1">
      <alignment horizontal="left" indent="2"/>
    </xf>
    <xf numFmtId="166" fontId="0" fillId="0" borderId="2" xfId="0" applyNumberFormat="1" applyBorder="1"/>
    <xf numFmtId="164" fontId="0" fillId="0" borderId="0" xfId="0" applyNumberFormat="1"/>
    <xf numFmtId="0" fontId="4" fillId="0" borderId="3" xfId="0" applyFont="1" applyBorder="1" applyAlignment="1">
      <alignment horizontal="left" indent="1"/>
    </xf>
    <xf numFmtId="10" fontId="4" fillId="0" borderId="3" xfId="0" applyNumberFormat="1" applyFont="1" applyBorder="1"/>
    <xf numFmtId="169" fontId="4" fillId="0" borderId="3" xfId="1" applyNumberFormat="1" applyFont="1" applyBorder="1"/>
    <xf numFmtId="169" fontId="0" fillId="0" borderId="3" xfId="0" applyNumberFormat="1" applyBorder="1"/>
    <xf numFmtId="169" fontId="0" fillId="0" borderId="2" xfId="0" applyNumberFormat="1" applyBorder="1"/>
    <xf numFmtId="0" fontId="0" fillId="0" borderId="4" xfId="0" applyBorder="1" applyAlignment="1">
      <alignment horizontal="left" indent="2"/>
    </xf>
    <xf numFmtId="165" fontId="0" fillId="0" borderId="4" xfId="1" applyNumberFormat="1" applyFont="1" applyBorder="1"/>
    <xf numFmtId="0" fontId="4" fillId="2" borderId="2" xfId="0" applyFont="1" applyFill="1" applyBorder="1" applyAlignment="1">
      <alignment horizontal="left" indent="1"/>
    </xf>
    <xf numFmtId="169" fontId="4" fillId="2" borderId="2" xfId="1" applyNumberFormat="1" applyFont="1" applyFill="1" applyBorder="1"/>
    <xf numFmtId="166" fontId="4" fillId="2" borderId="2" xfId="1" applyNumberFormat="1" applyFont="1" applyFill="1" applyBorder="1"/>
    <xf numFmtId="0" fontId="4" fillId="3" borderId="2" xfId="0" applyFont="1" applyFill="1" applyBorder="1" applyAlignment="1">
      <alignment horizontal="left" indent="1"/>
    </xf>
    <xf numFmtId="166" fontId="4" fillId="3" borderId="2" xfId="1" applyNumberFormat="1" applyFont="1" applyFill="1" applyBorder="1"/>
    <xf numFmtId="169" fontId="4" fillId="3" borderId="2" xfId="1" applyNumberFormat="1" applyFont="1" applyFill="1" applyBorder="1"/>
    <xf numFmtId="169" fontId="6" fillId="0" borderId="3" xfId="1" applyNumberFormat="1" applyFont="1" applyBorder="1"/>
    <xf numFmtId="166" fontId="7" fillId="0" borderId="3" xfId="0" applyNumberFormat="1" applyFont="1" applyBorder="1"/>
    <xf numFmtId="0" fontId="8" fillId="0" borderId="0" xfId="0" applyFont="1" applyAlignment="1">
      <alignment horizontal="left" indent="4"/>
    </xf>
    <xf numFmtId="166" fontId="8" fillId="0" borderId="3" xfId="1" applyNumberFormat="1" applyFont="1" applyBorder="1"/>
    <xf numFmtId="166" fontId="9" fillId="0" borderId="3" xfId="1" applyNumberFormat="1" applyFont="1" applyBorder="1"/>
    <xf numFmtId="0" fontId="8" fillId="0" borderId="0" xfId="0" applyFont="1"/>
    <xf numFmtId="0" fontId="8" fillId="0" borderId="3" xfId="0" applyFont="1" applyBorder="1" applyAlignment="1">
      <alignment horizontal="left" indent="4"/>
    </xf>
    <xf numFmtId="167" fontId="9" fillId="0" borderId="3" xfId="2" applyNumberFormat="1" applyFont="1" applyBorder="1"/>
    <xf numFmtId="165" fontId="8" fillId="0" borderId="3" xfId="1" applyNumberFormat="1" applyFont="1" applyBorder="1"/>
    <xf numFmtId="43" fontId="9" fillId="0" borderId="3" xfId="1" applyFont="1" applyBorder="1"/>
    <xf numFmtId="0" fontId="8" fillId="0" borderId="3" xfId="0" applyFont="1" applyBorder="1" applyAlignment="1">
      <alignment horizontal="left" indent="3"/>
    </xf>
    <xf numFmtId="165" fontId="9" fillId="0" borderId="3" xfId="1" applyNumberFormat="1" applyFont="1" applyBorder="1"/>
    <xf numFmtId="0" fontId="8" fillId="0" borderId="3" xfId="0" applyFont="1" applyBorder="1" applyAlignment="1">
      <alignment horizontal="left" indent="6"/>
    </xf>
    <xf numFmtId="166" fontId="8" fillId="0" borderId="3" xfId="0" applyNumberFormat="1" applyFont="1" applyBorder="1"/>
    <xf numFmtId="168" fontId="9" fillId="0" borderId="3" xfId="0" applyNumberFormat="1" applyFont="1" applyBorder="1"/>
    <xf numFmtId="0" fontId="8" fillId="0" borderId="3" xfId="0" applyFont="1" applyBorder="1" applyAlignment="1">
      <alignment horizontal="left" indent="5"/>
    </xf>
    <xf numFmtId="0" fontId="8" fillId="0" borderId="0" xfId="0" applyFont="1" applyAlignment="1">
      <alignment horizontal="left" indent="5"/>
    </xf>
    <xf numFmtId="169" fontId="4" fillId="2" borderId="2" xfId="0" applyNumberFormat="1" applyFont="1" applyFill="1" applyBorder="1" applyAlignment="1">
      <alignment horizontal="left" indent="1"/>
    </xf>
    <xf numFmtId="167" fontId="4" fillId="2" borderId="2" xfId="2" applyNumberFormat="1" applyFont="1" applyFill="1" applyBorder="1" applyAlignment="1">
      <alignment horizontal="right"/>
    </xf>
    <xf numFmtId="170" fontId="4" fillId="0" borderId="2" xfId="0" applyNumberFormat="1" applyFont="1" applyBorder="1" applyAlignment="1">
      <alignment horizontal="center"/>
    </xf>
    <xf numFmtId="170" fontId="4" fillId="2" borderId="2" xfId="0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showGridLines="0" workbookViewId="0">
      <pane xSplit="1" ySplit="3" topLeftCell="B22" activePane="bottomRight" state="frozen"/>
      <selection activeCell="A5" sqref="A5"/>
      <selection pane="topRight" activeCell="A5" sqref="A5"/>
      <selection pane="bottomLeft" activeCell="A5" sqref="A5"/>
      <selection pane="bottomRight" activeCell="D20" sqref="D20"/>
    </sheetView>
  </sheetViews>
  <sheetFormatPr defaultRowHeight="14.4" x14ac:dyDescent="0.3"/>
  <cols>
    <col min="1" max="1" width="44.33203125" customWidth="1"/>
    <col min="2" max="2" width="11.5546875" customWidth="1"/>
    <col min="3" max="3" width="14" bestFit="1" customWidth="1"/>
    <col min="4" max="4" width="13" customWidth="1"/>
    <col min="5" max="5" width="12.88671875" customWidth="1"/>
    <col min="6" max="12" width="12.109375" bestFit="1" customWidth="1"/>
    <col min="13" max="13" width="10" customWidth="1"/>
  </cols>
  <sheetData>
    <row r="1" spans="1:12" ht="18" customHeight="1" x14ac:dyDescent="0.3"/>
    <row r="2" spans="1:12" x14ac:dyDescent="0.3">
      <c r="A2" s="2" t="s">
        <v>26</v>
      </c>
    </row>
    <row r="3" spans="1:12" x14ac:dyDescent="0.3">
      <c r="A3" s="3" t="s">
        <v>0</v>
      </c>
      <c r="B3" s="51">
        <v>0</v>
      </c>
      <c r="C3" s="51">
        <v>1</v>
      </c>
      <c r="D3" s="51">
        <v>2</v>
      </c>
      <c r="E3" s="51">
        <v>3</v>
      </c>
      <c r="F3" s="51">
        <v>4</v>
      </c>
      <c r="G3" s="51">
        <v>5</v>
      </c>
      <c r="H3" s="51">
        <v>6</v>
      </c>
      <c r="I3" s="51">
        <v>7</v>
      </c>
      <c r="J3" s="51">
        <v>8</v>
      </c>
      <c r="K3" s="51">
        <v>9</v>
      </c>
      <c r="L3" s="51">
        <v>10</v>
      </c>
    </row>
    <row r="4" spans="1:12" ht="9.75" customHeight="1" x14ac:dyDescent="0.3">
      <c r="A4" s="4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s="37" customFormat="1" x14ac:dyDescent="0.3">
      <c r="A5" s="42" t="s">
        <v>14</v>
      </c>
      <c r="B5" s="40"/>
      <c r="C5" s="43">
        <v>100000</v>
      </c>
      <c r="D5" s="43">
        <f>+C5*1.01</f>
        <v>101000</v>
      </c>
      <c r="E5" s="43">
        <f t="shared" ref="E5:L5" si="0">+D5*1.01</f>
        <v>102010</v>
      </c>
      <c r="F5" s="43">
        <f t="shared" si="0"/>
        <v>103030.1</v>
      </c>
      <c r="G5" s="43">
        <f t="shared" si="0"/>
        <v>104060.40100000001</v>
      </c>
      <c r="H5" s="43">
        <f t="shared" si="0"/>
        <v>105101.00501000001</v>
      </c>
      <c r="I5" s="43">
        <f t="shared" si="0"/>
        <v>106152.01506010001</v>
      </c>
      <c r="J5" s="43">
        <f t="shared" si="0"/>
        <v>107213.53521070101</v>
      </c>
      <c r="K5" s="43">
        <f t="shared" si="0"/>
        <v>108285.67056280802</v>
      </c>
      <c r="L5" s="43">
        <f t="shared" si="0"/>
        <v>109368.52726843611</v>
      </c>
    </row>
    <row r="6" spans="1:12" s="37" customFormat="1" x14ac:dyDescent="0.3">
      <c r="A6" s="44" t="s">
        <v>50</v>
      </c>
      <c r="B6" s="40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s="37" customFormat="1" x14ac:dyDescent="0.3">
      <c r="A7" s="44" t="s">
        <v>49</v>
      </c>
      <c r="B7" s="40"/>
      <c r="C7" s="43">
        <v>0</v>
      </c>
      <c r="D7" s="43">
        <v>0</v>
      </c>
      <c r="E7" s="43">
        <v>0</v>
      </c>
      <c r="F7" s="43">
        <f t="shared" ref="F7" si="1">+IF(E7=1,1,F6)</f>
        <v>0</v>
      </c>
      <c r="G7" s="43">
        <f t="shared" ref="G7" si="2">+IF(F7=1,1,G6)</f>
        <v>0</v>
      </c>
      <c r="H7" s="43">
        <f t="shared" ref="H7" si="3">+IF(G7=1,1,H6)</f>
        <v>0</v>
      </c>
      <c r="I7" s="43">
        <f t="shared" ref="I7" si="4">+IF(H7=1,1,I6)</f>
        <v>0</v>
      </c>
      <c r="J7" s="43">
        <f t="shared" ref="J7" si="5">+IF(I7=1,1,J6)</f>
        <v>0</v>
      </c>
      <c r="K7" s="43">
        <f t="shared" ref="K7" si="6">+IF(J7=1,1,K6)</f>
        <v>0</v>
      </c>
      <c r="L7" s="43">
        <f t="shared" ref="L7" si="7">+IF(K7=1,1,L6)</f>
        <v>0</v>
      </c>
    </row>
    <row r="8" spans="1:12" s="37" customFormat="1" x14ac:dyDescent="0.3">
      <c r="A8" s="44" t="s">
        <v>51</v>
      </c>
      <c r="B8" s="40"/>
      <c r="C8" s="39">
        <f>+C7*1%</f>
        <v>0</v>
      </c>
      <c r="D8" s="39">
        <f t="shared" ref="D8:L8" si="8">+D7*1%</f>
        <v>0</v>
      </c>
      <c r="E8" s="39">
        <f t="shared" si="8"/>
        <v>0</v>
      </c>
      <c r="F8" s="39">
        <f t="shared" si="8"/>
        <v>0</v>
      </c>
      <c r="G8" s="39">
        <f t="shared" si="8"/>
        <v>0</v>
      </c>
      <c r="H8" s="39">
        <f t="shared" si="8"/>
        <v>0</v>
      </c>
      <c r="I8" s="39">
        <f t="shared" si="8"/>
        <v>0</v>
      </c>
      <c r="J8" s="39">
        <f t="shared" si="8"/>
        <v>0</v>
      </c>
      <c r="K8" s="39">
        <f t="shared" si="8"/>
        <v>0</v>
      </c>
      <c r="L8" s="39">
        <f t="shared" si="8"/>
        <v>0</v>
      </c>
    </row>
    <row r="9" spans="1:12" s="37" customFormat="1" x14ac:dyDescent="0.3">
      <c r="A9" s="42" t="s">
        <v>52</v>
      </c>
      <c r="B9" s="40"/>
      <c r="C9" s="39">
        <v>0.2</v>
      </c>
      <c r="D9" s="39">
        <f>+C9+1%</f>
        <v>0.21000000000000002</v>
      </c>
      <c r="E9" s="39">
        <f t="shared" ref="E9:H9" si="9">+D9+1%</f>
        <v>0.22000000000000003</v>
      </c>
      <c r="F9" s="39">
        <f t="shared" si="9"/>
        <v>0.23000000000000004</v>
      </c>
      <c r="G9" s="39">
        <f t="shared" si="9"/>
        <v>0.24000000000000005</v>
      </c>
      <c r="H9" s="39">
        <f t="shared" si="9"/>
        <v>0.25000000000000006</v>
      </c>
      <c r="I9" s="39">
        <f>+H9</f>
        <v>0.25000000000000006</v>
      </c>
      <c r="J9" s="39">
        <f>+I9</f>
        <v>0.25000000000000006</v>
      </c>
      <c r="K9" s="39">
        <f>+J9</f>
        <v>0.25000000000000006</v>
      </c>
      <c r="L9" s="39">
        <f>+K9</f>
        <v>0.25000000000000006</v>
      </c>
    </row>
    <row r="10" spans="1:12" x14ac:dyDescent="0.3">
      <c r="A10" s="24" t="s">
        <v>15</v>
      </c>
      <c r="B10" s="25"/>
      <c r="C10" s="25">
        <f>+C5*(C9-SUM($C8:C8))</f>
        <v>20000</v>
      </c>
      <c r="D10" s="25">
        <f>+D5*(D9-SUM($C8:D8))</f>
        <v>21210.000000000004</v>
      </c>
      <c r="E10" s="25">
        <f>+E5*(E9-SUM($C8:E8))</f>
        <v>22442.200000000004</v>
      </c>
      <c r="F10" s="25">
        <f>+F5*(F9-SUM($C8:F8))</f>
        <v>23696.923000000006</v>
      </c>
      <c r="G10" s="25">
        <f>+G5*(G9-SUM($C8:G8))</f>
        <v>24974.496240000008</v>
      </c>
      <c r="H10" s="25">
        <f>+H5*(H9-SUM($C8:H8))</f>
        <v>26275.251252500009</v>
      </c>
      <c r="I10" s="25">
        <f>+I5*(I9-SUM($C8:I8))</f>
        <v>26538.003765025009</v>
      </c>
      <c r="J10" s="25">
        <f>+J5*(J9-SUM($C8:J8))</f>
        <v>26803.38380267526</v>
      </c>
      <c r="K10" s="25">
        <f>+K5*(K9-SUM($C8:K8))</f>
        <v>27071.417640702013</v>
      </c>
      <c r="L10" s="25">
        <f>+L5*(L9-SUM($C8:L8))</f>
        <v>27342.131817109035</v>
      </c>
    </row>
    <row r="11" spans="1:12" ht="9.75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s="37" customFormat="1" x14ac:dyDescent="0.3">
      <c r="A12" s="42" t="s">
        <v>16</v>
      </c>
      <c r="B12" s="40"/>
      <c r="C12" s="43">
        <v>365</v>
      </c>
      <c r="D12" s="43">
        <v>365</v>
      </c>
      <c r="E12" s="43">
        <v>365</v>
      </c>
      <c r="F12" s="43">
        <v>365</v>
      </c>
      <c r="G12" s="43">
        <v>365</v>
      </c>
      <c r="H12" s="43">
        <v>365</v>
      </c>
      <c r="I12" s="43">
        <v>365</v>
      </c>
      <c r="J12" s="43">
        <v>365</v>
      </c>
      <c r="K12" s="43">
        <v>365</v>
      </c>
      <c r="L12" s="43">
        <v>365</v>
      </c>
    </row>
    <row r="13" spans="1:12" s="37" customFormat="1" x14ac:dyDescent="0.3">
      <c r="A13" s="42" t="s">
        <v>17</v>
      </c>
      <c r="B13" s="40"/>
      <c r="C13" s="43">
        <v>2</v>
      </c>
      <c r="D13" s="43">
        <v>2</v>
      </c>
      <c r="E13" s="43">
        <v>2</v>
      </c>
      <c r="F13" s="43">
        <v>2</v>
      </c>
      <c r="G13" s="43">
        <v>2</v>
      </c>
      <c r="H13" s="43">
        <v>2</v>
      </c>
      <c r="I13" s="43">
        <v>2</v>
      </c>
      <c r="J13" s="43">
        <v>2</v>
      </c>
      <c r="K13" s="43">
        <v>2</v>
      </c>
      <c r="L13" s="43">
        <v>2</v>
      </c>
    </row>
    <row r="14" spans="1:12" s="37" customFormat="1" x14ac:dyDescent="0.3">
      <c r="A14" s="42" t="s">
        <v>18</v>
      </c>
      <c r="B14" s="40"/>
      <c r="C14" s="43">
        <v>60</v>
      </c>
      <c r="D14" s="43">
        <v>60</v>
      </c>
      <c r="E14" s="43">
        <v>60</v>
      </c>
      <c r="F14" s="43">
        <v>60</v>
      </c>
      <c r="G14" s="43">
        <v>60</v>
      </c>
      <c r="H14" s="43">
        <v>60</v>
      </c>
      <c r="I14" s="43">
        <v>60</v>
      </c>
      <c r="J14" s="43">
        <v>60</v>
      </c>
      <c r="K14" s="43">
        <v>60</v>
      </c>
      <c r="L14" s="43">
        <v>60</v>
      </c>
    </row>
    <row r="15" spans="1:12" x14ac:dyDescent="0.3">
      <c r="A15" s="24" t="s">
        <v>19</v>
      </c>
      <c r="B15" s="25"/>
      <c r="C15" s="25">
        <f>+C10*C12*C13/C14</f>
        <v>243333.33333333334</v>
      </c>
      <c r="D15" s="25">
        <f t="shared" ref="D15:L15" si="10">+D10*D12*D13/D14</f>
        <v>258055.00000000003</v>
      </c>
      <c r="E15" s="25">
        <f t="shared" si="10"/>
        <v>273046.76666666672</v>
      </c>
      <c r="F15" s="25">
        <f t="shared" si="10"/>
        <v>288312.56316666672</v>
      </c>
      <c r="G15" s="25">
        <f t="shared" si="10"/>
        <v>303856.37092000007</v>
      </c>
      <c r="H15" s="25">
        <f t="shared" si="10"/>
        <v>319682.22357208346</v>
      </c>
      <c r="I15" s="25">
        <f t="shared" si="10"/>
        <v>322879.04580780427</v>
      </c>
      <c r="J15" s="25">
        <f t="shared" si="10"/>
        <v>326107.83626588236</v>
      </c>
      <c r="K15" s="25">
        <f t="shared" si="10"/>
        <v>329368.91462854116</v>
      </c>
      <c r="L15" s="25">
        <f t="shared" si="10"/>
        <v>332662.60377482662</v>
      </c>
    </row>
    <row r="16" spans="1:12" ht="9.75" customHeight="1" x14ac:dyDescent="0.3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s="37" customFormat="1" x14ac:dyDescent="0.3">
      <c r="A17" s="38" t="s">
        <v>20</v>
      </c>
      <c r="B17" s="40"/>
      <c r="C17" s="41">
        <v>30</v>
      </c>
      <c r="D17" s="36">
        <f>+C17*1.02</f>
        <v>30.6</v>
      </c>
      <c r="E17" s="36">
        <f t="shared" ref="E17:L17" si="11">+D17*1.02</f>
        <v>31.212000000000003</v>
      </c>
      <c r="F17" s="36">
        <f t="shared" si="11"/>
        <v>31.836240000000004</v>
      </c>
      <c r="G17" s="36">
        <f t="shared" si="11"/>
        <v>32.472964800000007</v>
      </c>
      <c r="H17" s="36">
        <f t="shared" si="11"/>
        <v>33.12242409600001</v>
      </c>
      <c r="I17" s="36">
        <f t="shared" si="11"/>
        <v>33.784872577920012</v>
      </c>
      <c r="J17" s="36">
        <f t="shared" si="11"/>
        <v>34.460570029478411</v>
      </c>
      <c r="K17" s="36">
        <f t="shared" si="11"/>
        <v>35.149781430067982</v>
      </c>
      <c r="L17" s="36">
        <f t="shared" si="11"/>
        <v>35.852777058669339</v>
      </c>
    </row>
    <row r="18" spans="1:12" ht="11.25" customHeight="1" x14ac:dyDescent="0.3">
      <c r="A18" s="4"/>
      <c r="B18" s="5"/>
      <c r="C18" s="12"/>
      <c r="D18" s="12"/>
      <c r="E18" s="12"/>
      <c r="F18" s="12"/>
      <c r="G18" s="12"/>
      <c r="H18" s="12"/>
      <c r="I18" s="12"/>
      <c r="J18" s="12"/>
      <c r="K18" s="12"/>
      <c r="L18" s="12"/>
    </row>
    <row r="19" spans="1:12" x14ac:dyDescent="0.3">
      <c r="A19" s="4" t="s">
        <v>1</v>
      </c>
      <c r="B19" s="6"/>
      <c r="C19" s="11">
        <f>+C15*C17</f>
        <v>7300000</v>
      </c>
      <c r="D19" s="11">
        <f t="shared" ref="D19:L19" si="12">+D15*D17</f>
        <v>7896483.0000000009</v>
      </c>
      <c r="E19" s="11">
        <f t="shared" si="12"/>
        <v>8522335.6812000033</v>
      </c>
      <c r="F19" s="11">
        <f t="shared" si="12"/>
        <v>9178787.9559891634</v>
      </c>
      <c r="G19" s="11">
        <f t="shared" si="12"/>
        <v>9867117.2371409088</v>
      </c>
      <c r="H19" s="11">
        <f t="shared" si="12"/>
        <v>10588650.18510684</v>
      </c>
      <c r="I19" s="11">
        <f t="shared" si="12"/>
        <v>10908427.420697067</v>
      </c>
      <c r="J19" s="11">
        <f t="shared" si="12"/>
        <v>11237861.92880212</v>
      </c>
      <c r="K19" s="11">
        <f t="shared" si="12"/>
        <v>11577245.359051943</v>
      </c>
      <c r="L19" s="11">
        <f t="shared" si="12"/>
        <v>11926878.168895312</v>
      </c>
    </row>
    <row r="20" spans="1:12" s="37" customFormat="1" x14ac:dyDescent="0.3">
      <c r="A20" s="42" t="s">
        <v>21</v>
      </c>
      <c r="B20" s="40"/>
      <c r="C20" s="39">
        <v>7.0000000000000007E-2</v>
      </c>
      <c r="D20" s="39">
        <f>+C20</f>
        <v>7.0000000000000007E-2</v>
      </c>
      <c r="E20" s="39">
        <f t="shared" ref="E20:L20" si="13">+D20</f>
        <v>7.0000000000000007E-2</v>
      </c>
      <c r="F20" s="39">
        <f t="shared" si="13"/>
        <v>7.0000000000000007E-2</v>
      </c>
      <c r="G20" s="39">
        <f t="shared" si="13"/>
        <v>7.0000000000000007E-2</v>
      </c>
      <c r="H20" s="39">
        <f t="shared" si="13"/>
        <v>7.0000000000000007E-2</v>
      </c>
      <c r="I20" s="39">
        <f t="shared" si="13"/>
        <v>7.0000000000000007E-2</v>
      </c>
      <c r="J20" s="39">
        <f t="shared" si="13"/>
        <v>7.0000000000000007E-2</v>
      </c>
      <c r="K20" s="39">
        <f t="shared" si="13"/>
        <v>7.0000000000000007E-2</v>
      </c>
      <c r="L20" s="39">
        <f t="shared" si="13"/>
        <v>7.0000000000000007E-2</v>
      </c>
    </row>
    <row r="21" spans="1:12" x14ac:dyDescent="0.3">
      <c r="A21" s="4" t="s">
        <v>2</v>
      </c>
      <c r="B21" s="6"/>
      <c r="C21" s="11">
        <f>+C19*C20</f>
        <v>511000.00000000006</v>
      </c>
      <c r="D21" s="11">
        <f t="shared" ref="D21:L21" si="14">+D19*D20</f>
        <v>552753.81000000017</v>
      </c>
      <c r="E21" s="11">
        <f t="shared" si="14"/>
        <v>596563.49768400029</v>
      </c>
      <c r="F21" s="11">
        <f t="shared" si="14"/>
        <v>642515.15691924153</v>
      </c>
      <c r="G21" s="11">
        <f t="shared" si="14"/>
        <v>690698.20659986371</v>
      </c>
      <c r="H21" s="11">
        <f t="shared" si="14"/>
        <v>741205.51295747887</v>
      </c>
      <c r="I21" s="11">
        <f t="shared" si="14"/>
        <v>763589.9194487948</v>
      </c>
      <c r="J21" s="11">
        <f t="shared" si="14"/>
        <v>786650.3350161484</v>
      </c>
      <c r="K21" s="11">
        <f t="shared" si="14"/>
        <v>810407.1751336361</v>
      </c>
      <c r="L21" s="11">
        <f t="shared" si="14"/>
        <v>834881.47182267194</v>
      </c>
    </row>
    <row r="22" spans="1:12" x14ac:dyDescent="0.3">
      <c r="A22" s="29" t="s">
        <v>3</v>
      </c>
      <c r="B22" s="30"/>
      <c r="C22" s="31">
        <f>+C19-C21</f>
        <v>6789000</v>
      </c>
      <c r="D22" s="31">
        <f t="shared" ref="D22:L22" si="15">+D19-D21</f>
        <v>7343729.1900000004</v>
      </c>
      <c r="E22" s="31">
        <f t="shared" si="15"/>
        <v>7925772.1835160032</v>
      </c>
      <c r="F22" s="31">
        <f t="shared" si="15"/>
        <v>8536272.7990699224</v>
      </c>
      <c r="G22" s="31">
        <f t="shared" si="15"/>
        <v>9176419.0305410456</v>
      </c>
      <c r="H22" s="31">
        <f t="shared" si="15"/>
        <v>9847444.6721493602</v>
      </c>
      <c r="I22" s="31">
        <f t="shared" si="15"/>
        <v>10144837.501248272</v>
      </c>
      <c r="J22" s="31">
        <f t="shared" si="15"/>
        <v>10451211.593785971</v>
      </c>
      <c r="K22" s="31">
        <f t="shared" si="15"/>
        <v>10766838.183918307</v>
      </c>
      <c r="L22" s="31">
        <f t="shared" si="15"/>
        <v>11091996.69707264</v>
      </c>
    </row>
    <row r="23" spans="1:12" ht="9.75" customHeight="1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</row>
    <row r="24" spans="1:12" s="37" customFormat="1" x14ac:dyDescent="0.3">
      <c r="A24" s="34" t="s">
        <v>22</v>
      </c>
      <c r="B24" s="35"/>
      <c r="C24" s="36">
        <v>9</v>
      </c>
      <c r="D24" s="36">
        <f>+C24*1.02</f>
        <v>9.18</v>
      </c>
      <c r="E24" s="36">
        <f t="shared" ref="E24:L24" si="16">+D24*1.02</f>
        <v>9.3635999999999999</v>
      </c>
      <c r="F24" s="36">
        <f t="shared" si="16"/>
        <v>9.550872</v>
      </c>
      <c r="G24" s="36">
        <f t="shared" si="16"/>
        <v>9.7418894399999996</v>
      </c>
      <c r="H24" s="36">
        <f t="shared" si="16"/>
        <v>9.9367272288000006</v>
      </c>
      <c r="I24" s="36">
        <f t="shared" si="16"/>
        <v>10.135461773376001</v>
      </c>
      <c r="J24" s="36">
        <f t="shared" si="16"/>
        <v>10.338171008843521</v>
      </c>
      <c r="K24" s="36">
        <f t="shared" si="16"/>
        <v>10.54493442902039</v>
      </c>
      <c r="L24" s="36">
        <f t="shared" si="16"/>
        <v>10.755833117600798</v>
      </c>
    </row>
    <row r="25" spans="1:12" s="37" customFormat="1" x14ac:dyDescent="0.3">
      <c r="A25" s="38" t="s">
        <v>4</v>
      </c>
      <c r="B25" s="35"/>
      <c r="C25" s="39">
        <v>0.2</v>
      </c>
      <c r="D25" s="39">
        <v>0.2</v>
      </c>
      <c r="E25" s="39">
        <v>0.2</v>
      </c>
      <c r="F25" s="39">
        <v>0.2</v>
      </c>
      <c r="G25" s="39">
        <v>0.2</v>
      </c>
      <c r="H25" s="39">
        <v>0.2</v>
      </c>
      <c r="I25" s="39">
        <v>0.2</v>
      </c>
      <c r="J25" s="39">
        <v>0.2</v>
      </c>
      <c r="K25" s="39">
        <v>0.2</v>
      </c>
      <c r="L25" s="39">
        <v>0.2</v>
      </c>
    </row>
    <row r="26" spans="1:12" ht="9.75" customHeight="1" x14ac:dyDescent="0.3">
      <c r="A26" s="4"/>
      <c r="B26" s="6"/>
      <c r="C26" s="10"/>
      <c r="D26" s="10"/>
      <c r="E26" s="10"/>
      <c r="F26" s="10"/>
      <c r="G26" s="10"/>
      <c r="H26" s="10"/>
      <c r="I26" s="10"/>
      <c r="J26" s="10"/>
      <c r="K26" s="10"/>
      <c r="L26" s="10"/>
    </row>
    <row r="27" spans="1:12" x14ac:dyDescent="0.3">
      <c r="A27" s="4" t="s">
        <v>23</v>
      </c>
      <c r="B27" s="6"/>
      <c r="C27" s="11">
        <f>-C24*C15</f>
        <v>-2190000</v>
      </c>
      <c r="D27" s="11">
        <f t="shared" ref="D27:L27" si="17">-D24*D15</f>
        <v>-2368944.9000000004</v>
      </c>
      <c r="E27" s="11">
        <f t="shared" si="17"/>
        <v>-2556700.7043600003</v>
      </c>
      <c r="F27" s="11">
        <f t="shared" si="17"/>
        <v>-2753636.3867967483</v>
      </c>
      <c r="G27" s="11">
        <f t="shared" si="17"/>
        <v>-2960135.1711422717</v>
      </c>
      <c r="H27" s="11">
        <f t="shared" si="17"/>
        <v>-3176595.0555320513</v>
      </c>
      <c r="I27" s="11">
        <f t="shared" si="17"/>
        <v>-3272528.226209119</v>
      </c>
      <c r="J27" s="11">
        <f t="shared" si="17"/>
        <v>-3371358.5786406347</v>
      </c>
      <c r="K27" s="11">
        <f t="shared" si="17"/>
        <v>-3473173.6077155815</v>
      </c>
      <c r="L27" s="11">
        <f t="shared" si="17"/>
        <v>-3578063.4506685925</v>
      </c>
    </row>
    <row r="28" spans="1:12" x14ac:dyDescent="0.3">
      <c r="A28" s="4" t="s">
        <v>24</v>
      </c>
      <c r="B28" s="9"/>
      <c r="C28" s="11">
        <f>-C19*C25</f>
        <v>-1460000</v>
      </c>
      <c r="D28" s="11">
        <f t="shared" ref="D28:L28" si="18">-D19*D25</f>
        <v>-1579296.6000000003</v>
      </c>
      <c r="E28" s="11">
        <f t="shared" si="18"/>
        <v>-1704467.1362400008</v>
      </c>
      <c r="F28" s="11">
        <f t="shared" si="18"/>
        <v>-1835757.5911978327</v>
      </c>
      <c r="G28" s="11">
        <f t="shared" si="18"/>
        <v>-1973423.4474281818</v>
      </c>
      <c r="H28" s="11">
        <f t="shared" si="18"/>
        <v>-2117730.0370213683</v>
      </c>
      <c r="I28" s="11">
        <f t="shared" si="18"/>
        <v>-2181685.4841394136</v>
      </c>
      <c r="J28" s="11">
        <f t="shared" si="18"/>
        <v>-2247572.3857604242</v>
      </c>
      <c r="K28" s="11">
        <f t="shared" si="18"/>
        <v>-2315449.0718103885</v>
      </c>
      <c r="L28" s="11">
        <f t="shared" si="18"/>
        <v>-2385375.6337790624</v>
      </c>
    </row>
    <row r="29" spans="1:12" x14ac:dyDescent="0.3">
      <c r="A29" s="29" t="s">
        <v>5</v>
      </c>
      <c r="B29" s="30"/>
      <c r="C29" s="31">
        <f>+C27+C28</f>
        <v>-3650000</v>
      </c>
      <c r="D29" s="31">
        <f t="shared" ref="D29:L29" si="19">+D27+D28</f>
        <v>-3948241.5000000009</v>
      </c>
      <c r="E29" s="31">
        <f t="shared" si="19"/>
        <v>-4261167.8406000007</v>
      </c>
      <c r="F29" s="31">
        <f t="shared" si="19"/>
        <v>-4589393.9779945808</v>
      </c>
      <c r="G29" s="31">
        <f t="shared" si="19"/>
        <v>-4933558.6185704535</v>
      </c>
      <c r="H29" s="31">
        <f t="shared" si="19"/>
        <v>-5294325.09255342</v>
      </c>
      <c r="I29" s="31">
        <f t="shared" si="19"/>
        <v>-5454213.7103485325</v>
      </c>
      <c r="J29" s="31">
        <f t="shared" si="19"/>
        <v>-5618930.9644010589</v>
      </c>
      <c r="K29" s="31">
        <f t="shared" si="19"/>
        <v>-5788622.6795259696</v>
      </c>
      <c r="L29" s="31">
        <f t="shared" si="19"/>
        <v>-5963439.0844476549</v>
      </c>
    </row>
    <row r="30" spans="1:12" x14ac:dyDescent="0.3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</row>
    <row r="31" spans="1:12" x14ac:dyDescent="0.3">
      <c r="A31" s="29" t="s">
        <v>6</v>
      </c>
      <c r="B31" s="30"/>
      <c r="C31" s="31">
        <f>+C22+C29</f>
        <v>3139000</v>
      </c>
      <c r="D31" s="31">
        <f t="shared" ref="D31:L31" si="20">+D22+D29</f>
        <v>3395487.6899999995</v>
      </c>
      <c r="E31" s="31">
        <f t="shared" si="20"/>
        <v>3664604.3429160025</v>
      </c>
      <c r="F31" s="31">
        <f t="shared" si="20"/>
        <v>3946878.8210753417</v>
      </c>
      <c r="G31" s="31">
        <f t="shared" si="20"/>
        <v>4242860.4119705921</v>
      </c>
      <c r="H31" s="31">
        <f t="shared" si="20"/>
        <v>4553119.5795959402</v>
      </c>
      <c r="I31" s="31">
        <f t="shared" si="20"/>
        <v>4690623.7908997396</v>
      </c>
      <c r="J31" s="31">
        <f t="shared" si="20"/>
        <v>4832280.6293849126</v>
      </c>
      <c r="K31" s="31">
        <f t="shared" si="20"/>
        <v>4978215.5043923371</v>
      </c>
      <c r="L31" s="31">
        <f t="shared" si="20"/>
        <v>5128557.6126249852</v>
      </c>
    </row>
    <row r="32" spans="1:12" ht="9.75" customHeight="1" x14ac:dyDescent="0.3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</row>
    <row r="33" spans="1:12" x14ac:dyDescent="0.3">
      <c r="A33" s="4" t="s">
        <v>25</v>
      </c>
      <c r="B33" s="6"/>
      <c r="C33" s="32">
        <v>-2000000</v>
      </c>
      <c r="D33" s="32">
        <f>+C33</f>
        <v>-2000000</v>
      </c>
      <c r="E33" s="32">
        <f t="shared" ref="E33:L33" si="21">+D33</f>
        <v>-2000000</v>
      </c>
      <c r="F33" s="32">
        <f t="shared" si="21"/>
        <v>-2000000</v>
      </c>
      <c r="G33" s="32">
        <f t="shared" si="21"/>
        <v>-2000000</v>
      </c>
      <c r="H33" s="32">
        <f t="shared" si="21"/>
        <v>-2000000</v>
      </c>
      <c r="I33" s="32">
        <f t="shared" si="21"/>
        <v>-2000000</v>
      </c>
      <c r="J33" s="32">
        <f t="shared" si="21"/>
        <v>-2000000</v>
      </c>
      <c r="K33" s="32">
        <f t="shared" si="21"/>
        <v>-2000000</v>
      </c>
      <c r="L33" s="32">
        <f t="shared" si="21"/>
        <v>-2000000</v>
      </c>
    </row>
    <row r="34" spans="1:12" x14ac:dyDescent="0.3">
      <c r="A34" s="4" t="s">
        <v>7</v>
      </c>
      <c r="B34" s="9"/>
      <c r="C34" s="33">
        <v>0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</row>
    <row r="35" spans="1:12" x14ac:dyDescent="0.3">
      <c r="A35" s="29" t="s">
        <v>8</v>
      </c>
      <c r="B35" s="30"/>
      <c r="C35" s="31">
        <f>+C33+C34</f>
        <v>-2000000</v>
      </c>
      <c r="D35" s="31">
        <f t="shared" ref="D35:L35" si="22">+D33+D34</f>
        <v>-2000000</v>
      </c>
      <c r="E35" s="31">
        <f t="shared" si="22"/>
        <v>-2000000</v>
      </c>
      <c r="F35" s="31">
        <f t="shared" si="22"/>
        <v>-2000000</v>
      </c>
      <c r="G35" s="31">
        <f t="shared" si="22"/>
        <v>-2000000</v>
      </c>
      <c r="H35" s="31">
        <f t="shared" si="22"/>
        <v>-2000000</v>
      </c>
      <c r="I35" s="31">
        <f t="shared" si="22"/>
        <v>-2000000</v>
      </c>
      <c r="J35" s="31">
        <f t="shared" si="22"/>
        <v>-2000000</v>
      </c>
      <c r="K35" s="31">
        <f t="shared" si="22"/>
        <v>-2000000</v>
      </c>
      <c r="L35" s="31">
        <f t="shared" si="22"/>
        <v>-2000000</v>
      </c>
    </row>
    <row r="36" spans="1:12" x14ac:dyDescent="0.3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</row>
    <row r="37" spans="1:12" x14ac:dyDescent="0.3">
      <c r="A37" s="29" t="s">
        <v>9</v>
      </c>
      <c r="B37" s="30"/>
      <c r="C37" s="31">
        <f>+C31+C35</f>
        <v>1139000</v>
      </c>
      <c r="D37" s="31">
        <f t="shared" ref="D37:L37" si="23">+D31+D35</f>
        <v>1395487.6899999995</v>
      </c>
      <c r="E37" s="31">
        <f t="shared" si="23"/>
        <v>1664604.3429160025</v>
      </c>
      <c r="F37" s="31">
        <f t="shared" si="23"/>
        <v>1946878.8210753417</v>
      </c>
      <c r="G37" s="31">
        <f t="shared" si="23"/>
        <v>2242860.4119705921</v>
      </c>
      <c r="H37" s="31">
        <f t="shared" si="23"/>
        <v>2553119.5795959402</v>
      </c>
      <c r="I37" s="31">
        <f t="shared" si="23"/>
        <v>2690623.7908997396</v>
      </c>
      <c r="J37" s="31">
        <f t="shared" si="23"/>
        <v>2832280.6293849126</v>
      </c>
      <c r="K37" s="31">
        <f t="shared" si="23"/>
        <v>2978215.5043923371</v>
      </c>
      <c r="L37" s="31">
        <f t="shared" si="23"/>
        <v>3128557.6126249852</v>
      </c>
    </row>
    <row r="38" spans="1:12" ht="9.75" customHeight="1" x14ac:dyDescent="0.3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</row>
    <row r="39" spans="1:12" x14ac:dyDescent="0.3">
      <c r="A39" s="4" t="s">
        <v>10</v>
      </c>
      <c r="B39" s="6"/>
      <c r="C39" s="11">
        <f>+'Cash Flow'!B22/(10-B3)</f>
        <v>-350000</v>
      </c>
      <c r="D39" s="11">
        <f>C39+'Cash Flow'!C22/(10-C3)</f>
        <v>-350000</v>
      </c>
      <c r="E39" s="11">
        <f>D39+'Cash Flow'!D22/(10-D3)</f>
        <v>-350000</v>
      </c>
      <c r="F39" s="11">
        <f>E39+'Cash Flow'!E22/(10-E3)</f>
        <v>-350000</v>
      </c>
      <c r="G39" s="11">
        <f>F39+'Cash Flow'!F22/(10-F3)</f>
        <v>-350000</v>
      </c>
      <c r="H39" s="11">
        <f>G39+'Cash Flow'!G22/(10-G3)</f>
        <v>-350000</v>
      </c>
      <c r="I39" s="11">
        <f>H39+'Cash Flow'!H22/(10-H3)</f>
        <v>-350000</v>
      </c>
      <c r="J39" s="11">
        <f>I39+'Cash Flow'!I22/(10-I3)</f>
        <v>-350000</v>
      </c>
      <c r="K39" s="11">
        <f>J39+'Cash Flow'!J22/(10-J3)</f>
        <v>-350000</v>
      </c>
      <c r="L39" s="11">
        <f>K39+'Cash Flow'!K22/(10-K3)</f>
        <v>-350000</v>
      </c>
    </row>
    <row r="40" spans="1:12" ht="9.75" customHeight="1" x14ac:dyDescent="0.3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</row>
    <row r="41" spans="1:12" x14ac:dyDescent="0.3">
      <c r="A41" s="29" t="s">
        <v>11</v>
      </c>
      <c r="B41" s="30"/>
      <c r="C41" s="31">
        <f t="shared" ref="C41:L41" si="24">+C37+C39</f>
        <v>789000</v>
      </c>
      <c r="D41" s="31">
        <f t="shared" si="24"/>
        <v>1045487.6899999995</v>
      </c>
      <c r="E41" s="31">
        <f t="shared" si="24"/>
        <v>1314604.3429160025</v>
      </c>
      <c r="F41" s="31">
        <f t="shared" si="24"/>
        <v>1596878.8210753417</v>
      </c>
      <c r="G41" s="31">
        <f t="shared" si="24"/>
        <v>1892860.4119705921</v>
      </c>
      <c r="H41" s="31">
        <f t="shared" si="24"/>
        <v>2203119.5795959402</v>
      </c>
      <c r="I41" s="31">
        <f t="shared" si="24"/>
        <v>2340623.7908997396</v>
      </c>
      <c r="J41" s="31">
        <f t="shared" si="24"/>
        <v>2482280.6293849126</v>
      </c>
      <c r="K41" s="31">
        <f t="shared" si="24"/>
        <v>2628215.5043923371</v>
      </c>
      <c r="L41" s="31">
        <f t="shared" si="24"/>
        <v>2778557.6126249852</v>
      </c>
    </row>
    <row r="42" spans="1:12" ht="9.75" customHeight="1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</row>
    <row r="43" spans="1:12" s="37" customFormat="1" x14ac:dyDescent="0.3">
      <c r="A43" s="38" t="s">
        <v>27</v>
      </c>
      <c r="B43" s="45"/>
      <c r="C43" s="39">
        <v>0.3</v>
      </c>
      <c r="D43" s="39">
        <v>0.3</v>
      </c>
      <c r="E43" s="39">
        <v>0.3</v>
      </c>
      <c r="F43" s="39">
        <v>0.3</v>
      </c>
      <c r="G43" s="39">
        <v>0.3</v>
      </c>
      <c r="H43" s="39">
        <v>0.3</v>
      </c>
      <c r="I43" s="39">
        <v>0.3</v>
      </c>
      <c r="J43" s="39">
        <v>0.3</v>
      </c>
      <c r="K43" s="39">
        <v>0.3</v>
      </c>
      <c r="L43" s="39">
        <v>0.3</v>
      </c>
    </row>
    <row r="44" spans="1:12" x14ac:dyDescent="0.3">
      <c r="A44" s="4" t="s">
        <v>12</v>
      </c>
      <c r="B44" s="6"/>
      <c r="C44" s="11">
        <f>+IF(C41&gt;0,-C43*C41,0)</f>
        <v>-236700</v>
      </c>
      <c r="D44" s="11">
        <f t="shared" ref="D44:L44" si="25">+IF(D41&gt;0,-D43*D41,0)</f>
        <v>-313646.30699999986</v>
      </c>
      <c r="E44" s="11">
        <f t="shared" si="25"/>
        <v>-394381.30287480075</v>
      </c>
      <c r="F44" s="11">
        <f t="shared" si="25"/>
        <v>-479063.64632260246</v>
      </c>
      <c r="G44" s="11">
        <f t="shared" si="25"/>
        <v>-567858.12359117763</v>
      </c>
      <c r="H44" s="11">
        <f t="shared" si="25"/>
        <v>-660935.87387878203</v>
      </c>
      <c r="I44" s="11">
        <f t="shared" si="25"/>
        <v>-702187.13726992183</v>
      </c>
      <c r="J44" s="11">
        <f t="shared" si="25"/>
        <v>-744684.1888154737</v>
      </c>
      <c r="K44" s="11">
        <f t="shared" si="25"/>
        <v>-788464.65131770109</v>
      </c>
      <c r="L44" s="11">
        <f t="shared" si="25"/>
        <v>-833567.28378749557</v>
      </c>
    </row>
    <row r="45" spans="1:12" ht="9.75" customHeight="1" x14ac:dyDescent="0.3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</row>
    <row r="46" spans="1:12" x14ac:dyDescent="0.3">
      <c r="A46" s="29" t="s">
        <v>13</v>
      </c>
      <c r="B46" s="30"/>
      <c r="C46" s="31">
        <f>+C41+C44</f>
        <v>552300</v>
      </c>
      <c r="D46" s="31">
        <f t="shared" ref="D46:L46" si="26">+D41+D44</f>
        <v>731841.38299999968</v>
      </c>
      <c r="E46" s="31">
        <f t="shared" si="26"/>
        <v>920223.04004120175</v>
      </c>
      <c r="F46" s="31">
        <f t="shared" si="26"/>
        <v>1117815.1747527393</v>
      </c>
      <c r="G46" s="31">
        <f t="shared" si="26"/>
        <v>1325002.2883794145</v>
      </c>
      <c r="H46" s="31">
        <f t="shared" si="26"/>
        <v>1542183.705717158</v>
      </c>
      <c r="I46" s="31">
        <f t="shared" si="26"/>
        <v>1638436.6536298178</v>
      </c>
      <c r="J46" s="31">
        <f t="shared" si="26"/>
        <v>1737596.440569439</v>
      </c>
      <c r="K46" s="31">
        <f t="shared" si="26"/>
        <v>1839750.8530746358</v>
      </c>
      <c r="L46" s="31">
        <f t="shared" si="26"/>
        <v>1944990.3288374897</v>
      </c>
    </row>
  </sheetData>
  <pageMargins left="0.35433070866141736" right="0.11811023622047245" top="0.6692913385826772" bottom="0.74803149606299213" header="0.31496062992125984" footer="0.31496062992125984"/>
  <pageSetup paperSize="9" scale="79" orientation="landscape" verticalDpi="1200" r:id="rId1"/>
  <headerFooter>
    <oddHeader>&amp;LSDA BOCCONI&amp;CPullPill Case - PROFIT &amp; LOSS ANALYSIS</oddHeader>
    <oddFooter>&amp;LM.Poli&amp;C&amp;P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M37"/>
  <sheetViews>
    <sheetView showGridLines="0" tabSelected="1" topLeftCell="A13" workbookViewId="0">
      <selection activeCell="E22" sqref="E22"/>
    </sheetView>
  </sheetViews>
  <sheetFormatPr defaultRowHeight="14.4" x14ac:dyDescent="0.3"/>
  <cols>
    <col min="1" max="1" width="34" bestFit="1" customWidth="1"/>
    <col min="2" max="2" width="14.109375" bestFit="1" customWidth="1"/>
    <col min="3" max="7" width="12.44140625" bestFit="1" customWidth="1"/>
    <col min="8" max="9" width="10.88671875" bestFit="1" customWidth="1"/>
    <col min="10" max="11" width="10.5546875" bestFit="1" customWidth="1"/>
    <col min="12" max="12" width="11.88671875" bestFit="1" customWidth="1"/>
    <col min="13" max="13" width="10.88671875" bestFit="1" customWidth="1"/>
  </cols>
  <sheetData>
    <row r="2" spans="1:13" x14ac:dyDescent="0.3">
      <c r="A2" s="2" t="s">
        <v>26</v>
      </c>
      <c r="B2" s="1"/>
    </row>
    <row r="3" spans="1:13" x14ac:dyDescent="0.3">
      <c r="A3" s="3" t="s">
        <v>28</v>
      </c>
      <c r="B3" s="51">
        <v>0</v>
      </c>
      <c r="C3" s="51">
        <v>1</v>
      </c>
      <c r="D3" s="51">
        <v>2</v>
      </c>
      <c r="E3" s="51">
        <v>3</v>
      </c>
      <c r="F3" s="51">
        <v>4</v>
      </c>
      <c r="G3" s="51">
        <v>5</v>
      </c>
      <c r="H3" s="51">
        <v>6</v>
      </c>
      <c r="I3" s="51">
        <v>7</v>
      </c>
      <c r="J3" s="51">
        <v>8</v>
      </c>
      <c r="K3" s="51">
        <v>9</v>
      </c>
      <c r="L3" s="51">
        <v>10</v>
      </c>
      <c r="M3" s="51">
        <v>11</v>
      </c>
    </row>
    <row r="4" spans="1:13" x14ac:dyDescent="0.3">
      <c r="A4" s="7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3" x14ac:dyDescent="0.3">
      <c r="A5" s="14" t="s">
        <v>11</v>
      </c>
      <c r="B5" s="21">
        <f>'P&amp;L'!B41</f>
        <v>0</v>
      </c>
      <c r="C5" s="21">
        <f>'P&amp;L'!C41</f>
        <v>789000</v>
      </c>
      <c r="D5" s="21">
        <f>'P&amp;L'!D41</f>
        <v>1045487.6899999995</v>
      </c>
      <c r="E5" s="21">
        <f>'P&amp;L'!E41</f>
        <v>1314604.3429160025</v>
      </c>
      <c r="F5" s="21">
        <f>'P&amp;L'!F41</f>
        <v>1596878.8210753417</v>
      </c>
      <c r="G5" s="21">
        <f>'P&amp;L'!G41</f>
        <v>1892860.4119705921</v>
      </c>
      <c r="H5" s="21">
        <f>'P&amp;L'!H41</f>
        <v>2203119.5795959402</v>
      </c>
      <c r="I5" s="21">
        <f>'P&amp;L'!I41</f>
        <v>2340623.7908997396</v>
      </c>
      <c r="J5" s="21">
        <f>'P&amp;L'!J41</f>
        <v>2482280.6293849126</v>
      </c>
      <c r="K5" s="21">
        <f>'P&amp;L'!K41</f>
        <v>2628215.5043923371</v>
      </c>
      <c r="L5" s="21">
        <f>'P&amp;L'!L41</f>
        <v>2778557.6126249852</v>
      </c>
      <c r="M5" s="21"/>
    </row>
    <row r="6" spans="1:13" x14ac:dyDescent="0.3">
      <c r="A6" s="15" t="s">
        <v>43</v>
      </c>
      <c r="B6" s="22">
        <f>-'P&amp;L'!B39</f>
        <v>0</v>
      </c>
      <c r="C6" s="22">
        <f>-'P&amp;L'!C39</f>
        <v>350000</v>
      </c>
      <c r="D6" s="22">
        <f>-'P&amp;L'!D39</f>
        <v>350000</v>
      </c>
      <c r="E6" s="22">
        <f>-'P&amp;L'!E39</f>
        <v>350000</v>
      </c>
      <c r="F6" s="22">
        <f>-'P&amp;L'!F39</f>
        <v>350000</v>
      </c>
      <c r="G6" s="22">
        <f>-'P&amp;L'!G39</f>
        <v>350000</v>
      </c>
      <c r="H6" s="22">
        <f>-'P&amp;L'!H39</f>
        <v>350000</v>
      </c>
      <c r="I6" s="22">
        <f>-'P&amp;L'!I39</f>
        <v>350000</v>
      </c>
      <c r="J6" s="22">
        <f>-'P&amp;L'!J39</f>
        <v>350000</v>
      </c>
      <c r="K6" s="22">
        <f>-'P&amp;L'!K39</f>
        <v>350000</v>
      </c>
      <c r="L6" s="22">
        <f>-'P&amp;L'!L39</f>
        <v>350000</v>
      </c>
      <c r="M6" s="22"/>
    </row>
    <row r="7" spans="1:13" x14ac:dyDescent="0.3">
      <c r="A7" s="15" t="s">
        <v>44</v>
      </c>
      <c r="B7" s="22">
        <f>+'P&amp;L'!B44</f>
        <v>0</v>
      </c>
      <c r="C7" s="22">
        <f>+'P&amp;L'!C44</f>
        <v>-236700</v>
      </c>
      <c r="D7" s="22">
        <f>+'P&amp;L'!D44</f>
        <v>-313646.30699999986</v>
      </c>
      <c r="E7" s="22">
        <f>+'P&amp;L'!E44</f>
        <v>-394381.30287480075</v>
      </c>
      <c r="F7" s="22">
        <f>+'P&amp;L'!F44</f>
        <v>-479063.64632260246</v>
      </c>
      <c r="G7" s="22">
        <f>+'P&amp;L'!G44</f>
        <v>-567858.12359117763</v>
      </c>
      <c r="H7" s="22">
        <f>+'P&amp;L'!H44</f>
        <v>-660935.87387878203</v>
      </c>
      <c r="I7" s="22">
        <f>+'P&amp;L'!I44</f>
        <v>-702187.13726992183</v>
      </c>
      <c r="J7" s="22">
        <f>+'P&amp;L'!J44</f>
        <v>-744684.1888154737</v>
      </c>
      <c r="K7" s="22">
        <f>+'P&amp;L'!K44</f>
        <v>-788464.65131770109</v>
      </c>
      <c r="L7" s="22">
        <f>+'P&amp;L'!L44</f>
        <v>-833567.28378749557</v>
      </c>
      <c r="M7" s="22">
        <f>+PV(B33,2,E22/10*'P&amp;L'!L43,,1)</f>
        <v>0</v>
      </c>
    </row>
    <row r="8" spans="1:13" x14ac:dyDescent="0.3">
      <c r="A8" s="26" t="s">
        <v>29</v>
      </c>
      <c r="B8" s="27">
        <f>SUM(B5:B7)</f>
        <v>0</v>
      </c>
      <c r="C8" s="27">
        <f t="shared" ref="C8:L8" si="0">SUM(C5:C7)</f>
        <v>902300</v>
      </c>
      <c r="D8" s="27">
        <f t="shared" si="0"/>
        <v>1081841.3829999997</v>
      </c>
      <c r="E8" s="27">
        <f t="shared" si="0"/>
        <v>1270223.0400412017</v>
      </c>
      <c r="F8" s="27">
        <f t="shared" si="0"/>
        <v>1467815.1747527393</v>
      </c>
      <c r="G8" s="27">
        <f t="shared" si="0"/>
        <v>1675002.2883794145</v>
      </c>
      <c r="H8" s="27">
        <f t="shared" si="0"/>
        <v>1892183.705717158</v>
      </c>
      <c r="I8" s="27">
        <f t="shared" si="0"/>
        <v>1988436.6536298178</v>
      </c>
      <c r="J8" s="27">
        <f t="shared" si="0"/>
        <v>2087596.440569439</v>
      </c>
      <c r="K8" s="27">
        <f t="shared" si="0"/>
        <v>2189750.8530746358</v>
      </c>
      <c r="L8" s="27">
        <f t="shared" si="0"/>
        <v>2294990.3288374897</v>
      </c>
      <c r="M8" s="27">
        <f>SUM(M5:M7)</f>
        <v>0</v>
      </c>
    </row>
    <row r="9" spans="1:13" x14ac:dyDescent="0.3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s="37" customFormat="1" x14ac:dyDescent="0.3">
      <c r="A10" s="47" t="s">
        <v>45</v>
      </c>
      <c r="B10" s="45"/>
      <c r="C10" s="46">
        <v>60</v>
      </c>
      <c r="D10" s="46">
        <v>60</v>
      </c>
      <c r="E10" s="46">
        <v>60</v>
      </c>
      <c r="F10" s="46">
        <v>60</v>
      </c>
      <c r="G10" s="46">
        <v>60</v>
      </c>
      <c r="H10" s="46">
        <v>60</v>
      </c>
      <c r="I10" s="46">
        <v>60</v>
      </c>
      <c r="J10" s="46">
        <v>60</v>
      </c>
      <c r="K10" s="46">
        <v>60</v>
      </c>
      <c r="L10" s="46">
        <v>60</v>
      </c>
      <c r="M10" s="46"/>
    </row>
    <row r="11" spans="1:13" s="37" customFormat="1" x14ac:dyDescent="0.3">
      <c r="A11" s="48" t="s">
        <v>46</v>
      </c>
      <c r="B11" s="45"/>
      <c r="C11" s="46">
        <v>90</v>
      </c>
      <c r="D11" s="46">
        <v>90</v>
      </c>
      <c r="E11" s="46">
        <v>90</v>
      </c>
      <c r="F11" s="46">
        <v>90</v>
      </c>
      <c r="G11" s="46">
        <v>90</v>
      </c>
      <c r="H11" s="46">
        <v>90</v>
      </c>
      <c r="I11" s="46">
        <v>90</v>
      </c>
      <c r="J11" s="46">
        <v>90</v>
      </c>
      <c r="K11" s="46">
        <v>90</v>
      </c>
      <c r="L11" s="46">
        <v>0</v>
      </c>
      <c r="M11" s="46"/>
    </row>
    <row r="12" spans="1:13" s="37" customFormat="1" x14ac:dyDescent="0.3">
      <c r="A12" s="48" t="s">
        <v>47</v>
      </c>
      <c r="B12" s="45"/>
      <c r="C12" s="46">
        <v>75</v>
      </c>
      <c r="D12" s="46">
        <v>75</v>
      </c>
      <c r="E12" s="46">
        <v>75</v>
      </c>
      <c r="F12" s="46">
        <v>75</v>
      </c>
      <c r="G12" s="46">
        <v>75</v>
      </c>
      <c r="H12" s="46">
        <v>75</v>
      </c>
      <c r="I12" s="46">
        <v>75</v>
      </c>
      <c r="J12" s="46">
        <v>75</v>
      </c>
      <c r="K12" s="46">
        <v>75</v>
      </c>
      <c r="L12" s="46">
        <v>75</v>
      </c>
      <c r="M12" s="46"/>
    </row>
    <row r="13" spans="1:13" x14ac:dyDescent="0.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x14ac:dyDescent="0.3">
      <c r="A14" s="15" t="s">
        <v>30</v>
      </c>
      <c r="B14" s="8"/>
      <c r="C14" s="22">
        <f>+C10/365*'P&amp;L'!C22</f>
        <v>1116000</v>
      </c>
      <c r="D14" s="22">
        <f>+D10/365*'P&amp;L'!D22</f>
        <v>1207188.3600000001</v>
      </c>
      <c r="E14" s="22">
        <f>+E10/365*'P&amp;L'!E22</f>
        <v>1302866.6603040004</v>
      </c>
      <c r="F14" s="22">
        <f>+F10/365*'P&amp;L'!F22</f>
        <v>1403222.9258745078</v>
      </c>
      <c r="G14" s="22">
        <f>+G10/365*'P&amp;L'!G22</f>
        <v>1508452.4433766101</v>
      </c>
      <c r="H14" s="22">
        <f>+H10/365*'P&amp;L'!H22</f>
        <v>1618758.0282985249</v>
      </c>
      <c r="I14" s="22">
        <f>+I10/365*'P&amp;L'!I22</f>
        <v>1667644.5207531406</v>
      </c>
      <c r="J14" s="22">
        <f>+J10/365*'P&amp;L'!J22</f>
        <v>1718007.3852798857</v>
      </c>
      <c r="K14" s="22">
        <f>+K10/365*'P&amp;L'!K22</f>
        <v>1769891.208315338</v>
      </c>
      <c r="L14" s="22">
        <f>+L10/365*'P&amp;L'!L22</f>
        <v>1823341.9228064613</v>
      </c>
      <c r="M14" s="22"/>
    </row>
    <row r="15" spans="1:13" x14ac:dyDescent="0.3">
      <c r="A15" s="15" t="s">
        <v>31</v>
      </c>
      <c r="B15" s="8"/>
      <c r="C15" s="22">
        <f>-C11/365*'P&amp;L'!C27</f>
        <v>540000</v>
      </c>
      <c r="D15" s="22">
        <f>-D11/365*'P&amp;L'!D27</f>
        <v>584123.4</v>
      </c>
      <c r="E15" s="22">
        <f>-E11/365*'P&amp;L'!E27</f>
        <v>630419.35175999999</v>
      </c>
      <c r="F15" s="22">
        <f>-F11/365*'P&amp;L'!F27</f>
        <v>678978.83510056802</v>
      </c>
      <c r="G15" s="22">
        <f>-G11/365*'P&amp;L'!G27</f>
        <v>729896.34356932726</v>
      </c>
      <c r="H15" s="22">
        <f>-H11/365*'P&amp;L'!H27</f>
        <v>783270.01369283453</v>
      </c>
      <c r="I15" s="22">
        <f>-I11/365*'P&amp;L'!I27</f>
        <v>806924.76810635801</v>
      </c>
      <c r="J15" s="22">
        <f>-J11/365*'P&amp;L'!J27</f>
        <v>831293.89610317012</v>
      </c>
      <c r="K15" s="22">
        <f>-K11/365*'P&amp;L'!K27</f>
        <v>856398.97176548583</v>
      </c>
      <c r="L15" s="22">
        <f>-L11/365*'P&amp;L'!L27</f>
        <v>0</v>
      </c>
      <c r="M15" s="22"/>
    </row>
    <row r="16" spans="1:13" x14ac:dyDescent="0.3">
      <c r="A16" s="15" t="s">
        <v>32</v>
      </c>
      <c r="B16" s="8"/>
      <c r="C16" s="22">
        <f>+C12/365*('P&amp;L'!C28+'P&amp;L'!C33)</f>
        <v>-710958.90410958906</v>
      </c>
      <c r="D16" s="22">
        <f>+D12/365*('P&amp;L'!D28+'P&amp;L'!D33)</f>
        <v>-735471.90410958906</v>
      </c>
      <c r="E16" s="22">
        <f>+E12/365*('P&amp;L'!E28+'P&amp;L'!E33)</f>
        <v>-761191.87730958918</v>
      </c>
      <c r="F16" s="22">
        <f>+F12/365*('P&amp;L'!F28+'P&amp;L'!F33)</f>
        <v>-788169.36805434909</v>
      </c>
      <c r="G16" s="22">
        <f>+G12/365*('P&amp;L'!G28+'P&amp;L'!G33)</f>
        <v>-816456.87275921542</v>
      </c>
      <c r="H16" s="22">
        <f>+H12/365*('P&amp;L'!H28+'P&amp;L'!H33)</f>
        <v>-846108.91171671951</v>
      </c>
      <c r="I16" s="22">
        <f>+I12/365*('P&amp;L'!I28+'P&amp;L'!I33)</f>
        <v>-859250.44194645481</v>
      </c>
      <c r="J16" s="22">
        <f>+J12/365*('P&amp;L'!J28+'P&amp;L'!J33)</f>
        <v>-872788.84638912836</v>
      </c>
      <c r="K16" s="22">
        <f>+K12/365*('P&amp;L'!K28+'P&amp;L'!K33)</f>
        <v>-886736.11064597033</v>
      </c>
      <c r="L16" s="22">
        <f>+L12/365*('P&amp;L'!L28+'P&amp;L'!L33)</f>
        <v>-901104.5822833688</v>
      </c>
      <c r="M16" s="22"/>
    </row>
    <row r="17" spans="1:13" x14ac:dyDescent="0.3">
      <c r="A17" s="16" t="s">
        <v>33</v>
      </c>
      <c r="B17" s="17">
        <f t="shared" ref="B17:M17" si="1">SUM(B14:B16)</f>
        <v>0</v>
      </c>
      <c r="C17" s="23">
        <f t="shared" si="1"/>
        <v>945041.09589041094</v>
      </c>
      <c r="D17" s="23">
        <f t="shared" si="1"/>
        <v>1055839.8558904112</v>
      </c>
      <c r="E17" s="23">
        <f t="shared" si="1"/>
        <v>1172094.1347544112</v>
      </c>
      <c r="F17" s="23">
        <f t="shared" si="1"/>
        <v>1294032.3929207269</v>
      </c>
      <c r="G17" s="23">
        <f t="shared" si="1"/>
        <v>1421891.9141867217</v>
      </c>
      <c r="H17" s="23">
        <f t="shared" si="1"/>
        <v>1555919.1302746399</v>
      </c>
      <c r="I17" s="23">
        <f t="shared" si="1"/>
        <v>1615318.8469130439</v>
      </c>
      <c r="J17" s="23">
        <f t="shared" si="1"/>
        <v>1676512.4349939274</v>
      </c>
      <c r="K17" s="23">
        <f t="shared" si="1"/>
        <v>1739554.0694348533</v>
      </c>
      <c r="L17" s="23">
        <f t="shared" si="1"/>
        <v>922237.34052309254</v>
      </c>
      <c r="M17" s="23">
        <f t="shared" si="1"/>
        <v>0</v>
      </c>
    </row>
    <row r="18" spans="1:13" x14ac:dyDescent="0.3">
      <c r="A18" s="26" t="s">
        <v>34</v>
      </c>
      <c r="B18" s="28">
        <f>+B17</f>
        <v>0</v>
      </c>
      <c r="C18" s="27">
        <f>+C17-B17</f>
        <v>945041.09589041094</v>
      </c>
      <c r="D18" s="27">
        <f t="shared" ref="D18:M18" si="2">+D17-C17</f>
        <v>110798.76000000024</v>
      </c>
      <c r="E18" s="27">
        <f t="shared" si="2"/>
        <v>116254.27886399999</v>
      </c>
      <c r="F18" s="27">
        <f t="shared" si="2"/>
        <v>121938.25816631573</v>
      </c>
      <c r="G18" s="27">
        <f t="shared" si="2"/>
        <v>127859.52126599476</v>
      </c>
      <c r="H18" s="27">
        <f t="shared" si="2"/>
        <v>134027.21608791826</v>
      </c>
      <c r="I18" s="27">
        <f t="shared" si="2"/>
        <v>59399.716638403945</v>
      </c>
      <c r="J18" s="27">
        <f t="shared" si="2"/>
        <v>61193.588080883492</v>
      </c>
      <c r="K18" s="27">
        <f t="shared" si="2"/>
        <v>63041.634440925904</v>
      </c>
      <c r="L18" s="27">
        <f t="shared" si="2"/>
        <v>-817316.72891176073</v>
      </c>
      <c r="M18" s="27">
        <f t="shared" si="2"/>
        <v>-922237.34052309254</v>
      </c>
    </row>
    <row r="19" spans="1:13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x14ac:dyDescent="0.3">
      <c r="A20" s="26" t="s">
        <v>35</v>
      </c>
      <c r="B20" s="27">
        <f t="shared" ref="B20:L20" si="3">+B8-B18</f>
        <v>0</v>
      </c>
      <c r="C20" s="27">
        <f t="shared" si="3"/>
        <v>-42741.095890410943</v>
      </c>
      <c r="D20" s="27">
        <f t="shared" si="3"/>
        <v>971042.62299999944</v>
      </c>
      <c r="E20" s="27">
        <f t="shared" si="3"/>
        <v>1153968.7611772018</v>
      </c>
      <c r="F20" s="27">
        <f t="shared" si="3"/>
        <v>1345876.9165864235</v>
      </c>
      <c r="G20" s="27">
        <f t="shared" si="3"/>
        <v>1547142.7671134197</v>
      </c>
      <c r="H20" s="27">
        <f t="shared" si="3"/>
        <v>1758156.4896292398</v>
      </c>
      <c r="I20" s="27">
        <f t="shared" si="3"/>
        <v>1929036.9369914138</v>
      </c>
      <c r="J20" s="27">
        <f t="shared" si="3"/>
        <v>2026402.8524885555</v>
      </c>
      <c r="K20" s="27">
        <f t="shared" si="3"/>
        <v>2126709.2186337099</v>
      </c>
      <c r="L20" s="27">
        <f t="shared" si="3"/>
        <v>3112307.0577492504</v>
      </c>
      <c r="M20" s="27">
        <f t="shared" ref="M20" si="4">+M8-M18</f>
        <v>922237.34052309254</v>
      </c>
    </row>
    <row r="21" spans="1:13" x14ac:dyDescent="0.3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x14ac:dyDescent="0.3">
      <c r="A22" s="4" t="s">
        <v>36</v>
      </c>
      <c r="B22" s="22">
        <v>-3500000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</row>
    <row r="23" spans="1:13" x14ac:dyDescent="0.3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x14ac:dyDescent="0.3">
      <c r="A24" s="26" t="s">
        <v>37</v>
      </c>
      <c r="B24" s="27">
        <f>+B20+B22</f>
        <v>-3500000</v>
      </c>
      <c r="C24" s="27">
        <f>+C20+C22</f>
        <v>-42741.095890410943</v>
      </c>
      <c r="D24" s="27">
        <f t="shared" ref="D24:M24" si="5">+D20+D22</f>
        <v>971042.62299999944</v>
      </c>
      <c r="E24" s="27">
        <f t="shared" si="5"/>
        <v>1153968.7611772018</v>
      </c>
      <c r="F24" s="27">
        <f t="shared" si="5"/>
        <v>1345876.9165864235</v>
      </c>
      <c r="G24" s="27">
        <f t="shared" si="5"/>
        <v>1547142.7671134197</v>
      </c>
      <c r="H24" s="27">
        <f t="shared" si="5"/>
        <v>1758156.4896292398</v>
      </c>
      <c r="I24" s="27">
        <f t="shared" si="5"/>
        <v>1929036.9369914138</v>
      </c>
      <c r="J24" s="27">
        <f t="shared" si="5"/>
        <v>2026402.8524885555</v>
      </c>
      <c r="K24" s="27">
        <f t="shared" si="5"/>
        <v>2126709.2186337099</v>
      </c>
      <c r="L24" s="27">
        <f t="shared" si="5"/>
        <v>3112307.0577492504</v>
      </c>
      <c r="M24" s="27">
        <f t="shared" si="5"/>
        <v>922237.34052309254</v>
      </c>
    </row>
    <row r="25" spans="1:13" x14ac:dyDescent="0.3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</row>
    <row r="26" spans="1:13" x14ac:dyDescent="0.3">
      <c r="A26" s="7" t="s">
        <v>38</v>
      </c>
      <c r="B26" s="11">
        <f t="shared" ref="B26:L26" si="6">+B24/(1+$B$33)^B3</f>
        <v>-3500000</v>
      </c>
      <c r="C26" s="11">
        <f t="shared" si="6"/>
        <v>-39575.088787417539</v>
      </c>
      <c r="D26" s="11">
        <f t="shared" si="6"/>
        <v>832512.53686556872</v>
      </c>
      <c r="E26" s="11">
        <f t="shared" si="6"/>
        <v>916057.60775256692</v>
      </c>
      <c r="F26" s="11">
        <f t="shared" si="6"/>
        <v>989259.71188066329</v>
      </c>
      <c r="G26" s="11">
        <f t="shared" si="6"/>
        <v>1052959.3707096984</v>
      </c>
      <c r="H26" s="11">
        <f t="shared" si="6"/>
        <v>1107936.8190717669</v>
      </c>
      <c r="I26" s="11">
        <f t="shared" si="6"/>
        <v>1125574.5248403761</v>
      </c>
      <c r="J26" s="11">
        <f t="shared" si="6"/>
        <v>1094802.4086656137</v>
      </c>
      <c r="K26" s="11">
        <f t="shared" si="6"/>
        <v>1063884.0900104656</v>
      </c>
      <c r="L26" s="11">
        <f t="shared" si="6"/>
        <v>1441600.3620694561</v>
      </c>
      <c r="M26" s="11">
        <f t="shared" ref="M26" si="7">+M24/(1+$B$33)^M3</f>
        <v>395531.78759151296</v>
      </c>
    </row>
    <row r="27" spans="1:13" x14ac:dyDescent="0.3">
      <c r="A27" s="7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 x14ac:dyDescent="0.3">
      <c r="A28" s="26" t="s">
        <v>39</v>
      </c>
      <c r="B28" s="27">
        <f>+B26</f>
        <v>-3500000</v>
      </c>
      <c r="C28" s="27">
        <f>+B28+C26</f>
        <v>-3539575.0887874174</v>
      </c>
      <c r="D28" s="27">
        <f t="shared" ref="D28:M28" si="8">+C28+D26</f>
        <v>-2707062.5519218487</v>
      </c>
      <c r="E28" s="27">
        <f t="shared" si="8"/>
        <v>-1791004.9441692817</v>
      </c>
      <c r="F28" s="27">
        <f t="shared" si="8"/>
        <v>-801745.23228861846</v>
      </c>
      <c r="G28" s="27">
        <f t="shared" si="8"/>
        <v>251214.13842107996</v>
      </c>
      <c r="H28" s="27">
        <f t="shared" si="8"/>
        <v>1359150.957492847</v>
      </c>
      <c r="I28" s="27">
        <f t="shared" si="8"/>
        <v>2484725.4823332233</v>
      </c>
      <c r="J28" s="27">
        <f t="shared" si="8"/>
        <v>3579527.8909988371</v>
      </c>
      <c r="K28" s="27">
        <f t="shared" si="8"/>
        <v>4643411.9810093027</v>
      </c>
      <c r="L28" s="27">
        <f t="shared" si="8"/>
        <v>6085012.3430787586</v>
      </c>
      <c r="M28" s="27">
        <f t="shared" si="8"/>
        <v>6480544.1306702718</v>
      </c>
    </row>
    <row r="29" spans="1:13" hidden="1" x14ac:dyDescent="0.3">
      <c r="A29" s="7"/>
      <c r="B29" s="18">
        <f>+B3</f>
        <v>0</v>
      </c>
      <c r="C29" s="18">
        <f t="shared" ref="C29:L29" si="9">+C3</f>
        <v>1</v>
      </c>
      <c r="D29" s="18">
        <f t="shared" si="9"/>
        <v>2</v>
      </c>
      <c r="E29" s="18">
        <f t="shared" si="9"/>
        <v>3</v>
      </c>
      <c r="F29" s="18">
        <f t="shared" si="9"/>
        <v>4</v>
      </c>
      <c r="G29" s="18">
        <f t="shared" si="9"/>
        <v>5</v>
      </c>
      <c r="H29" s="18">
        <f t="shared" si="9"/>
        <v>6</v>
      </c>
      <c r="I29" s="18">
        <f t="shared" si="9"/>
        <v>7</v>
      </c>
      <c r="J29" s="18">
        <f t="shared" si="9"/>
        <v>8</v>
      </c>
      <c r="K29" s="18">
        <f t="shared" si="9"/>
        <v>9</v>
      </c>
      <c r="L29" s="18">
        <f t="shared" si="9"/>
        <v>10</v>
      </c>
    </row>
    <row r="30" spans="1:13" x14ac:dyDescent="0.3">
      <c r="A30" s="7"/>
      <c r="B30" s="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</row>
    <row r="31" spans="1:13" x14ac:dyDescent="0.3">
      <c r="A31" s="26" t="s">
        <v>40</v>
      </c>
      <c r="B31" s="52">
        <f>+HLOOKUP(0,B28:L29,2,TRUE)+1</f>
        <v>5</v>
      </c>
    </row>
    <row r="32" spans="1:13" x14ac:dyDescent="0.3">
      <c r="A32" s="7"/>
      <c r="B32" s="7"/>
    </row>
    <row r="33" spans="1:2" x14ac:dyDescent="0.3">
      <c r="A33" s="19" t="s">
        <v>41</v>
      </c>
      <c r="B33" s="20">
        <v>0.08</v>
      </c>
    </row>
    <row r="34" spans="1:2" x14ac:dyDescent="0.3">
      <c r="A34" s="7"/>
      <c r="B34" s="7"/>
    </row>
    <row r="35" spans="1:2" x14ac:dyDescent="0.3">
      <c r="A35" s="26" t="s">
        <v>42</v>
      </c>
      <c r="B35" s="49">
        <f>+B24+NPV(B33,C24:L24)</f>
        <v>6085012.3430787586</v>
      </c>
    </row>
    <row r="37" spans="1:2" x14ac:dyDescent="0.3">
      <c r="A37" s="26" t="s">
        <v>48</v>
      </c>
      <c r="B37" s="50">
        <f>+IRR(B24:M24)</f>
        <v>0.28945814416366678</v>
      </c>
    </row>
  </sheetData>
  <pageMargins left="0.15748031496062992" right="0.15748031496062992" top="0.74803149606299213" bottom="0.74803149606299213" header="0.31496062992125984" footer="0.31496062992125984"/>
  <pageSetup paperSize="9" scale="83" orientation="landscape" verticalDpi="1200" r:id="rId1"/>
  <headerFooter>
    <oddHeader>&amp;LSDA BOCCONI&amp;CPullPill Case - CASH FLOW ANALYSIS</oddHeader>
    <oddFooter>&amp;LM.Poli&amp;C&amp;P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</vt:lpstr>
      <vt:lpstr>Cash Flow</vt:lpstr>
    </vt:vector>
  </TitlesOfParts>
  <Company>Universita' Luigi Bocconi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Default</dc:creator>
  <cp:lastModifiedBy>Maurizio Poli</cp:lastModifiedBy>
  <cp:lastPrinted>2012-01-16T14:32:17Z</cp:lastPrinted>
  <dcterms:created xsi:type="dcterms:W3CDTF">2011-11-21T16:21:45Z</dcterms:created>
  <dcterms:modified xsi:type="dcterms:W3CDTF">2025-02-16T16:31:19Z</dcterms:modified>
</cp:coreProperties>
</file>