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always" codeName="EstaPasta_de_trabalho"/>
  <mc:AlternateContent xmlns:mc="http://schemas.openxmlformats.org/markup-compatibility/2006">
    <mc:Choice Requires="x15">
      <x15ac:absPath xmlns:x15ac="http://schemas.microsoft.com/office/spreadsheetml/2010/11/ac" url="C:\Users\Dell\Desktop\Solaire\Projetos\15 - João Batista\Solicitação de acesso\Documentos usados\"/>
    </mc:Choice>
  </mc:AlternateContent>
  <bookViews>
    <workbookView xWindow="0" yWindow="0" windowWidth="20490" windowHeight="7455" tabRatio="870" activeTab="1"/>
  </bookViews>
  <sheets>
    <sheet name="Input" sheetId="8" r:id="rId1"/>
    <sheet name="Ordem de Serviço" sheetId="21" r:id="rId2"/>
    <sheet name="Lista de materiais" sheetId="22" r:id="rId3"/>
    <sheet name="AN. F (NOVO)" sheetId="19" r:id="rId4"/>
    <sheet name="Valid.Dados" sheetId="7" r:id="rId5"/>
    <sheet name="BD Inv" sheetId="12" r:id="rId6"/>
    <sheet name="BD Mod" sheetId="10" r:id="rId7"/>
  </sheets>
  <definedNames>
    <definedName name="_xlnm._FilterDatabase" localSheetId="5" hidden="1">'BD Inv'!$A$3:$P$39</definedName>
    <definedName name="_xlnm._FilterDatabase" localSheetId="6" hidden="1">'BD Mod'!$B$2:$R$13</definedName>
    <definedName name="a" localSheetId="2">#REF!</definedName>
    <definedName name="a" localSheetId="1">#REF!</definedName>
    <definedName name="a">#REF!</definedName>
    <definedName name="_xlnm.Print_Area" localSheetId="3">'AN. F (NOVO)'!$A$1:$P$123</definedName>
    <definedName name="_xlnm.Print_Area" localSheetId="6">'BD Mod'!$B:$R</definedName>
    <definedName name="_xlnm.Print_Area" localSheetId="2">'Lista de materiais'!$A$1:$T$45</definedName>
    <definedName name="_xlnm.Print_Area" localSheetId="1">'Ordem de Serviço'!$A$1:$T$39</definedName>
    <definedName name="PotInv">Input!$I$36</definedName>
    <definedName name="PotMod">Input!$C$39</definedName>
    <definedName name="TelFixo">Input!$C$9</definedName>
    <definedName name="TelMovel">Input!$C$10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9" i="10" l="1"/>
  <c r="P28" i="10" l="1"/>
  <c r="P27" i="10" l="1"/>
  <c r="P26" i="10" l="1"/>
  <c r="P25" i="10" l="1"/>
  <c r="P24" i="10" l="1"/>
  <c r="P23" i="10" l="1"/>
  <c r="P22" i="10" l="1"/>
  <c r="P21" i="10" l="1"/>
  <c r="P20" i="10" l="1"/>
  <c r="P19" i="10" l="1"/>
  <c r="P18" i="10" l="1"/>
  <c r="P10" i="10" l="1"/>
  <c r="P16" i="10" l="1"/>
  <c r="P12" i="10" l="1"/>
  <c r="P7" i="10" l="1"/>
  <c r="P17" i="10"/>
  <c r="P15" i="10" l="1"/>
  <c r="P14" i="10"/>
  <c r="P13" i="10"/>
  <c r="P11" i="10"/>
  <c r="P9" i="10"/>
  <c r="P8" i="10"/>
  <c r="P6" i="10"/>
  <c r="P5" i="10"/>
  <c r="P4" i="10"/>
  <c r="P3" i="10"/>
  <c r="C22" i="12"/>
  <c r="C21" i="12"/>
  <c r="C20" i="12"/>
  <c r="C19" i="12"/>
  <c r="C18" i="12"/>
  <c r="AN9" i="7"/>
  <c r="AH9" i="7"/>
  <c r="AN8" i="7"/>
  <c r="AH8" i="7"/>
  <c r="AN7" i="7"/>
  <c r="AH7" i="7"/>
  <c r="AN6" i="7"/>
  <c r="AH6" i="7"/>
  <c r="AN5" i="7"/>
  <c r="AH5" i="7"/>
  <c r="AN4" i="7"/>
  <c r="AH4" i="7"/>
  <c r="AN3" i="7"/>
  <c r="AH3" i="7"/>
  <c r="K56" i="19"/>
  <c r="K55" i="19"/>
  <c r="K54" i="19"/>
  <c r="K52" i="19"/>
  <c r="K51" i="19"/>
  <c r="K50" i="19"/>
  <c r="H18" i="19"/>
  <c r="H17" i="19"/>
  <c r="H16" i="19"/>
  <c r="H15" i="19"/>
  <c r="H14" i="19"/>
  <c r="H13" i="19"/>
  <c r="H12" i="19"/>
  <c r="H11" i="19"/>
  <c r="H10" i="19"/>
  <c r="H9" i="19"/>
  <c r="N9" i="22"/>
  <c r="C43" i="22" s="1"/>
  <c r="E9" i="22"/>
  <c r="N8" i="22"/>
  <c r="E8" i="22"/>
  <c r="E7" i="22"/>
  <c r="I16" i="21"/>
  <c r="M15" i="21"/>
  <c r="E15" i="21"/>
  <c r="M13" i="21"/>
  <c r="E13" i="21"/>
  <c r="E10" i="21"/>
  <c r="N9" i="21"/>
  <c r="E9" i="21"/>
  <c r="N8" i="21"/>
  <c r="E8" i="21"/>
  <c r="E7" i="21"/>
  <c r="G61" i="8"/>
  <c r="F61" i="8"/>
  <c r="E61" i="8"/>
  <c r="G60" i="8"/>
  <c r="F60" i="8"/>
  <c r="E60" i="8"/>
  <c r="G59" i="8"/>
  <c r="F59" i="8"/>
  <c r="E59" i="8"/>
  <c r="G58" i="8"/>
  <c r="F58" i="8"/>
  <c r="E58" i="8"/>
  <c r="G57" i="8"/>
  <c r="F57" i="8"/>
  <c r="E57" i="8"/>
  <c r="G56" i="8"/>
  <c r="F56" i="8"/>
  <c r="E56" i="8"/>
  <c r="G55" i="8"/>
  <c r="H55" i="8" s="1"/>
  <c r="M48" i="8"/>
  <c r="M49" i="8" s="1"/>
  <c r="K48" i="8"/>
  <c r="K49" i="8" s="1"/>
  <c r="I48" i="8"/>
  <c r="AR6" i="7" s="1"/>
  <c r="F48" i="8"/>
  <c r="M47" i="8"/>
  <c r="K47" i="8"/>
  <c r="F47" i="8"/>
  <c r="C44" i="8"/>
  <c r="C40" i="8" s="1"/>
  <c r="K53" i="19" s="1"/>
  <c r="C43" i="8"/>
  <c r="C42" i="8"/>
  <c r="C41" i="8"/>
  <c r="I36" i="8"/>
  <c r="K58" i="19" s="1"/>
  <c r="G35" i="8"/>
  <c r="I35" i="8" s="1"/>
  <c r="G34" i="8"/>
  <c r="I34" i="8" s="1"/>
  <c r="G33" i="8"/>
  <c r="G32" i="8"/>
  <c r="I32" i="8" s="1"/>
  <c r="C31" i="8"/>
  <c r="C30" i="8"/>
  <c r="I29" i="8"/>
  <c r="C29" i="8"/>
  <c r="C28" i="8"/>
  <c r="C27" i="8"/>
  <c r="F26" i="8"/>
  <c r="C26" i="8"/>
  <c r="F25" i="8"/>
  <c r="F24" i="8"/>
  <c r="C14" i="8"/>
  <c r="C13" i="8"/>
  <c r="C12" i="8"/>
  <c r="F11" i="8"/>
  <c r="L6" i="8"/>
  <c r="K6" i="8"/>
  <c r="H5" i="8"/>
  <c r="G5" i="8"/>
  <c r="AO12" i="7" l="1"/>
  <c r="AR5" i="7"/>
  <c r="AP6" i="7" s="1"/>
  <c r="R15" i="21"/>
  <c r="C39" i="8"/>
  <c r="AR4" i="7"/>
  <c r="AR8" i="7"/>
  <c r="AP9" i="7" s="1"/>
  <c r="AR3" i="7"/>
  <c r="AP3" i="7" s="1"/>
  <c r="AQ12" i="7" s="1"/>
  <c r="I49" i="8" s="1"/>
  <c r="AR7" i="7"/>
  <c r="AP7" i="7" s="1"/>
  <c r="F49" i="8"/>
  <c r="AL4" i="7" s="1"/>
  <c r="AP8" i="7" l="1"/>
  <c r="AP4" i="7"/>
  <c r="AP5" i="7"/>
  <c r="AL5" i="7"/>
  <c r="AJ5" i="7" s="1"/>
  <c r="AL6" i="7"/>
  <c r="AL7" i="7"/>
  <c r="AL8" i="7"/>
  <c r="AL9" i="7"/>
  <c r="AI12" i="7"/>
  <c r="AL3" i="7"/>
  <c r="AJ3" i="7" s="1"/>
  <c r="G25" i="8"/>
  <c r="F16" i="8" s="1"/>
  <c r="H34" i="19" s="1"/>
  <c r="I17" i="21"/>
  <c r="K57" i="19"/>
  <c r="AJ8" i="7" l="1"/>
  <c r="AJ6" i="7"/>
  <c r="AJ9" i="7"/>
  <c r="AJ7" i="7"/>
  <c r="AJ4" i="7"/>
  <c r="H36" i="19"/>
  <c r="H37" i="19" s="1"/>
  <c r="H40" i="19" s="1"/>
  <c r="H33" i="19"/>
  <c r="F37" i="8"/>
  <c r="F38" i="8" s="1"/>
  <c r="H48" i="19"/>
  <c r="H35" i="19"/>
  <c r="H26" i="19"/>
  <c r="H19" i="8"/>
  <c r="H16" i="8"/>
  <c r="F17" i="8"/>
  <c r="H30" i="19"/>
  <c r="H17" i="8"/>
  <c r="H28" i="19"/>
  <c r="H24" i="19"/>
  <c r="F19" i="8"/>
  <c r="H44" i="19"/>
  <c r="H47" i="19"/>
  <c r="H46" i="19"/>
  <c r="H43" i="19"/>
  <c r="H29" i="19"/>
  <c r="H25" i="19"/>
  <c r="F20" i="8"/>
  <c r="H45" i="19"/>
  <c r="H32" i="19"/>
  <c r="H27" i="19"/>
  <c r="H18" i="8"/>
  <c r="F18" i="8"/>
  <c r="AK12" i="7" l="1"/>
  <c r="F50" i="8" s="1"/>
  <c r="F39" i="8"/>
</calcChain>
</file>

<file path=xl/comments1.xml><?xml version="1.0" encoding="utf-8"?>
<comments xmlns="http://schemas.openxmlformats.org/spreadsheetml/2006/main">
  <authors>
    <author>Packeiser</author>
    <author>tc={8498480B-92BD-48F7-B110-93575648461B}</author>
    <author>tc={873E5F03-5D1D-490C-8790-00001DB5EBFB}</author>
    <author>tc={631CF21C-B9FB-4B4F-8362-C05998B6A2C8}</author>
  </authors>
  <commentList>
    <comment ref="B3" authorId="0" shapeId="0">
      <text>
        <r>
          <rPr>
            <b/>
            <sz val="9"/>
            <color indexed="81"/>
            <rFont val="Segoe UI"/>
            <family val="2"/>
          </rPr>
          <t>Escrever da seguinte forma:
12 de dezembro de 2018</t>
        </r>
      </text>
    </comment>
    <comment ref="B7" authorId="0" shapeId="0">
      <text>
        <r>
          <rPr>
            <b/>
            <sz val="9"/>
            <color indexed="81"/>
            <rFont val="Segoe UI"/>
            <family val="2"/>
          </rPr>
          <t>Preencher com o seguinte padrão:
27.272.683/0001-92
ou
614.494.900-34</t>
        </r>
      </text>
    </comment>
    <comment ref="B9" authorId="0" shapeId="0">
      <text>
        <r>
          <rPr>
            <b/>
            <sz val="9"/>
            <color indexed="81"/>
            <rFont val="Segoe UI"/>
            <family val="2"/>
          </rPr>
          <t>Caso não possua, colocar: --
Colocar da seguinte forma: (51) 3333-4654</t>
        </r>
      </text>
    </comment>
    <comment ref="B10" authorId="0" shapeId="0">
      <text>
        <r>
          <rPr>
            <b/>
            <sz val="9"/>
            <color indexed="81"/>
            <rFont val="Segoe UI"/>
            <family val="2"/>
          </rPr>
          <t>Caso não possua, colocar: --
Colocar da seguinte forma: (51) 3333-4654</t>
        </r>
      </text>
    </comment>
    <comment ref="B19" authorId="0" shapeId="0">
      <text>
        <r>
          <rPr>
            <b/>
            <sz val="9"/>
            <color indexed="81"/>
            <rFont val="Segoe UI"/>
            <family val="2"/>
          </rPr>
          <t>Não colocar na frente "Rua" ou "Av."</t>
        </r>
      </text>
    </comment>
    <comment ref="B20" authorId="0" shapeId="0">
      <text>
        <r>
          <rPr>
            <b/>
            <sz val="9"/>
            <color indexed="81"/>
            <rFont val="Segoe UI"/>
            <family val="2"/>
          </rPr>
          <t>Não colocar na frente "Rua" ou "Av."</t>
        </r>
      </text>
    </comment>
    <comment ref="B24" authorId="0" shapeId="0">
      <text>
        <r>
          <rPr>
            <b/>
            <sz val="9"/>
            <color indexed="81"/>
            <rFont val="Segoe UI"/>
            <family val="2"/>
          </rPr>
          <t>Escrever da seguinte forma:
90040-180</t>
        </r>
      </text>
    </comment>
    <comment ref="G24" authorId="1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Potencia do sistema assume valor da menor potencia (comparando modulos e inversores)</t>
        </r>
      </text>
    </comment>
    <comment ref="B26" authorId="0" shapeId="0">
      <text>
        <r>
          <rPr>
            <b/>
            <sz val="9"/>
            <color indexed="81"/>
            <rFont val="Segoe UI"/>
            <family val="2"/>
          </rPr>
          <t>Não colocar na frente "Rua" ou "Av."</t>
        </r>
      </text>
    </comment>
    <comment ref="B27" authorId="0" shapeId="0">
      <text>
        <r>
          <rPr>
            <b/>
            <sz val="9"/>
            <color indexed="81"/>
            <rFont val="Segoe UI"/>
            <family val="2"/>
          </rPr>
          <t>Não colocar na frente "Rua" ou "Av."</t>
        </r>
      </text>
    </comment>
    <comment ref="F28" authorId="0" shapeId="0">
      <text>
        <r>
          <rPr>
            <b/>
            <sz val="9"/>
            <color indexed="81"/>
            <rFont val="Segoe UI"/>
            <family val="2"/>
          </rPr>
          <t>Se houver 2 inversores, colocar aqui o de maior capacidade.</t>
        </r>
      </text>
    </comment>
    <comment ref="B32" authorId="2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Colcoar em decimal, exemplo:
29.817588</t>
        </r>
      </text>
    </comment>
    <comment ref="B33" authorId="3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Colcoar em decimal, exemplo:
51.124284</t>
        </r>
      </text>
    </comment>
    <comment ref="G47" authorId="0" shapeId="0">
      <text>
        <r>
          <rPr>
            <b/>
            <sz val="9"/>
            <color indexed="81"/>
            <rFont val="Segoe UI"/>
            <family val="2"/>
          </rPr>
          <t>Quando há dois inversores diferentes, deve ser feito de forma manual.</t>
        </r>
      </text>
    </comment>
  </commentList>
</comments>
</file>

<file path=xl/sharedStrings.xml><?xml version="1.0" encoding="utf-8"?>
<sst xmlns="http://schemas.openxmlformats.org/spreadsheetml/2006/main" count="1003" uniqueCount="657">
  <si>
    <t>Rua/Av.:</t>
  </si>
  <si>
    <t>N°:</t>
  </si>
  <si>
    <t>Bairro:</t>
  </si>
  <si>
    <t>Cidade:</t>
  </si>
  <si>
    <t>Local</t>
  </si>
  <si>
    <t>Data</t>
  </si>
  <si>
    <t>Grupo B</t>
  </si>
  <si>
    <t>Grupo A</t>
  </si>
  <si>
    <t>Residencial</t>
  </si>
  <si>
    <t>1) Dados da Unidade Consumidora (UC):</t>
  </si>
  <si>
    <t xml:space="preserve">1.4) Grupo (A – alta tensão, ou B – baixa tensão; caso a UC seja Grupo A, mas faturada como B, informar B): </t>
  </si>
  <si>
    <t>Existente</t>
  </si>
  <si>
    <t>Novo</t>
  </si>
  <si>
    <t>C14 (Conforme anexo J - RIC BT)</t>
  </si>
  <si>
    <t xml:space="preserve">2.2) Tipo de Atendimento (aéreo/subterrâneo): </t>
  </si>
  <si>
    <t>Aéreo</t>
  </si>
  <si>
    <t xml:space="preserve">2.3) Número de Fases da Instalação (Monofásico/Bifásico/Trifásico):  </t>
  </si>
  <si>
    <t>Trifásico</t>
  </si>
  <si>
    <t>Acréscimo</t>
  </si>
  <si>
    <t>7.2) Eólica (cinética do vento):</t>
  </si>
  <si>
    <t>7.3) Fóssil (petróleo, carvão mineral, gás natural, outros):</t>
  </si>
  <si>
    <t>7.4) Hídrica (potencial hidráulico)</t>
  </si>
  <si>
    <t>7.5) Nuclear (urânio)</t>
  </si>
  <si>
    <t>7.6) Solar (radiação solar)</t>
  </si>
  <si>
    <t>TIPO DE LIGAÇÃO</t>
  </si>
  <si>
    <t>Comum trifásica  BT</t>
  </si>
  <si>
    <t>TIPO DE OBRA**</t>
  </si>
  <si>
    <t>CARGA INSTALADA</t>
  </si>
  <si>
    <t>kW</t>
  </si>
  <si>
    <t>TIPO DE ATIVIDADE ***</t>
  </si>
  <si>
    <t>BAIRRO</t>
  </si>
  <si>
    <t>CEP</t>
  </si>
  <si>
    <t>CPF/CNPJ</t>
  </si>
  <si>
    <t>TIPO DE LIGAÇÃO*</t>
  </si>
  <si>
    <t xml:space="preserve">Alta tensão   </t>
  </si>
  <si>
    <t>Alta tensão subterrânea</t>
  </si>
  <si>
    <t>Trifásica Subterrânea  BT</t>
  </si>
  <si>
    <t>Industrial</t>
  </si>
  <si>
    <t>Poder Público</t>
  </si>
  <si>
    <t>MUNICIPIO</t>
  </si>
  <si>
    <t>EMAIL</t>
  </si>
  <si>
    <t>SUBGRUPO</t>
  </si>
  <si>
    <t>CLASSE</t>
  </si>
  <si>
    <t>COMPARTILHAMENTO DE CRÉDITOS</t>
  </si>
  <si>
    <t>TENSÃO DE CONEXÃO</t>
  </si>
  <si>
    <t>QTD DE Ucs QUE RECEBEM CRÉDITOS</t>
  </si>
  <si>
    <t>CLASSIFICAÇÃO USINA</t>
  </si>
  <si>
    <t>CPF DO RESPONSÁVEL</t>
  </si>
  <si>
    <t>NOME DO RESPONSÁVEL</t>
  </si>
  <si>
    <t>MÓDULOS</t>
  </si>
  <si>
    <t>QUANTIDADE</t>
  </si>
  <si>
    <t>FABRICANTE</t>
  </si>
  <si>
    <t>MODELO</t>
  </si>
  <si>
    <t>POTÊNCIA TOTAL (kW)</t>
  </si>
  <si>
    <t>ÁREA TOTAL (m²)</t>
  </si>
  <si>
    <t>EIXO DO ROTOR</t>
  </si>
  <si>
    <t>POTÊNCIA</t>
  </si>
  <si>
    <t>FONTE</t>
  </si>
  <si>
    <t>MÁQUINA MOTRIZ</t>
  </si>
  <si>
    <t>CICLO TERMODINÂMICO</t>
  </si>
  <si>
    <t>Sem compartilhamento</t>
  </si>
  <si>
    <t>A1 - Tensão de fornecimento igual ou superior a 230 kV</t>
  </si>
  <si>
    <t>CGH - Central Geradora Hidrelétrica</t>
  </si>
  <si>
    <t>Vertical</t>
  </si>
  <si>
    <t>UTE - Biomassa - Bagaço de Cana-de-Açucar</t>
  </si>
  <si>
    <t>Motor</t>
  </si>
  <si>
    <t>Aberto</t>
  </si>
  <si>
    <t>Autoconsumo Remoto</t>
  </si>
  <si>
    <t>A2 - Tensão de fornecimento de 88 kV a 138 kV</t>
  </si>
  <si>
    <t>Comercial</t>
  </si>
  <si>
    <t>EOL - Usina Eólica</t>
  </si>
  <si>
    <t>Horizontal</t>
  </si>
  <si>
    <t>UTE - Biomassa - Biogás - Floresta</t>
  </si>
  <si>
    <t>Turbina</t>
  </si>
  <si>
    <t>Fechado</t>
  </si>
  <si>
    <t>Geração Compartilhada</t>
  </si>
  <si>
    <t>A3 - Tensão de fornecimento de 69 kV</t>
  </si>
  <si>
    <t>Rural</t>
  </si>
  <si>
    <t>UFV - Usina Fotovoltáica</t>
  </si>
  <si>
    <t>UTE - Biomassa - Biogás - RA</t>
  </si>
  <si>
    <t>Condomínio</t>
  </si>
  <si>
    <t>A3a - Tensão de fornecimento de 30 kV a 44 kV</t>
  </si>
  <si>
    <t>UTE - Usina Termelétrica</t>
  </si>
  <si>
    <t>UTE - Biomassa - Biogás - RU</t>
  </si>
  <si>
    <t>A4 - Tensão de fornecimento de 2,3 kV a 25 kV</t>
  </si>
  <si>
    <t>UTE - Biomassa - Biogás - RAGR</t>
  </si>
  <si>
    <t>AS - Tensão de fornecimento inferior a 2,3 kV, a partir de sistema subterrâneo de distribuição</t>
  </si>
  <si>
    <t>Serviço Público</t>
  </si>
  <si>
    <t>UTE - Biomassa - Capim Elefante</t>
  </si>
  <si>
    <t>B1 - Residencial</t>
  </si>
  <si>
    <t>UTE - Biomassa - Carvão - RU</t>
  </si>
  <si>
    <t>B2 - Rural</t>
  </si>
  <si>
    <t>UTE - Biomassa - Carvão Vegetal</t>
  </si>
  <si>
    <t>B3 - Demais classes</t>
  </si>
  <si>
    <t>UTE - Biomassa - Casca de Arroz</t>
  </si>
  <si>
    <t>B4 - Iluminação Pública</t>
  </si>
  <si>
    <t>UTE - Biomassa - Etanol</t>
  </si>
  <si>
    <t>UTE - Gás de Alto Forno - Biomassa</t>
  </si>
  <si>
    <t>UTE - Biomassa - Lenha</t>
  </si>
  <si>
    <t>UTE - Biomassa - Licor Negro</t>
  </si>
  <si>
    <t>UTE - Biomassa - Óleo Vegetal</t>
  </si>
  <si>
    <t>UTE - Biomassa - Resíduos Vegetais</t>
  </si>
  <si>
    <t>UTE - Fóssil - Calor de Processo - CM</t>
  </si>
  <si>
    <t>UTE - Fóssil - Calor de Processo - GN</t>
  </si>
  <si>
    <t>UTE - Fóssil - Calor de Processo - OF</t>
  </si>
  <si>
    <t>UTE - Fóssil - Carvão Mineral</t>
  </si>
  <si>
    <t>UTE - Fóssil - Gás de Alto Forno - CM</t>
  </si>
  <si>
    <t>UTE - Fóssil - Gás de Alto Forno - PE</t>
  </si>
  <si>
    <t>UTE - Fóssil - Gás de Refinaria</t>
  </si>
  <si>
    <t>UTE - Fóssil - Gás Natural</t>
  </si>
  <si>
    <t>UTE - Fóssil - Óleo Díesel</t>
  </si>
  <si>
    <t>UTE - Fóssil - Outros Energéticos de Petróleo</t>
  </si>
  <si>
    <t>UTE - Fóssil - Turfa</t>
  </si>
  <si>
    <t>UTE - Fóssil - Xisto</t>
  </si>
  <si>
    <t>Subterrâneo</t>
  </si>
  <si>
    <t>Bifásico</t>
  </si>
  <si>
    <t>Monofásico</t>
  </si>
  <si>
    <t xml:space="preserve"> kWp limitado em  kW</t>
  </si>
  <si>
    <t xml:space="preserve">Compartilhamento Crédito </t>
  </si>
  <si>
    <t>kVA</t>
  </si>
  <si>
    <t>NÚMERO</t>
  </si>
  <si>
    <t>NOME CLIENTE / REQUERENTE</t>
  </si>
  <si>
    <t>TEL. FIXO (CLIENTE / REQUERENTE)</t>
  </si>
  <si>
    <t>TEL. CEL (CLIENTE / REQUERENTE)</t>
  </si>
  <si>
    <t>Se for um CNPJ:</t>
  </si>
  <si>
    <t>Dados Requerente é igual ao da Obra?</t>
  </si>
  <si>
    <t>Sim</t>
  </si>
  <si>
    <t>Não</t>
  </si>
  <si>
    <t>OBRA</t>
  </si>
  <si>
    <t>REQUERENTE</t>
  </si>
  <si>
    <t>GRUPO</t>
  </si>
  <si>
    <t>Se A, medido em B, =&gt; B</t>
  </si>
  <si>
    <t>Tipo de Atendimento</t>
  </si>
  <si>
    <t>Número de Fases da Instalação</t>
  </si>
  <si>
    <t xml:space="preserve">Disjuntor (A):      </t>
  </si>
  <si>
    <t>LATITUDE</t>
  </si>
  <si>
    <t>LONGITUDE</t>
  </si>
  <si>
    <t>D-10</t>
  </si>
  <si>
    <t>T-10</t>
  </si>
  <si>
    <t>Q-10</t>
  </si>
  <si>
    <t>Q-16</t>
  </si>
  <si>
    <t>Q-25</t>
  </si>
  <si>
    <t>Q-35</t>
  </si>
  <si>
    <t>Analisar Subterrâneo</t>
  </si>
  <si>
    <t>ANEXO J - DIMENSIONAMENTO DE ENTRADA DE SERVIÇO - RIC BT</t>
  </si>
  <si>
    <t>A1 (Conforme anexo J - RIC BT)</t>
  </si>
  <si>
    <t>B1 (Conforme anexo J - RIC BT)</t>
  </si>
  <si>
    <t>C1 (Conforme anexo J - RIC BT)</t>
  </si>
  <si>
    <t>C2 (Conforme anexo J - RIC BT)</t>
  </si>
  <si>
    <t>C3 (Conforme anexo J - RIC BT)</t>
  </si>
  <si>
    <t>C4 (Conforme anexo J - RIC BT)</t>
  </si>
  <si>
    <t>C5 (Conforme anexo J - RIC BT)</t>
  </si>
  <si>
    <t>C6 (Conforme anexo J - RIC BT)</t>
  </si>
  <si>
    <t>C7 (Conforme anexo J - RIC BT)</t>
  </si>
  <si>
    <t>C8 (Conforme anexo J - RIC BT)</t>
  </si>
  <si>
    <t>C9 (Conforme anexo J - RIC BT)</t>
  </si>
  <si>
    <t>A2 (Conforme anexo J - RIC BT)</t>
  </si>
  <si>
    <t>B2 (Conforme anexo J - RIC BT)</t>
  </si>
  <si>
    <t>C13 (Conforme anexo J - RIC BT)</t>
  </si>
  <si>
    <t>C15 (Conforme anexo J - RIC BT)</t>
  </si>
  <si>
    <t>C16 (Conforme anexo J - RIC BT)</t>
  </si>
  <si>
    <t>C17 (Conforme anexo J - RIC BT)</t>
  </si>
  <si>
    <t>C18 (Conforme anexo J - RIC BT)</t>
  </si>
  <si>
    <t>A3 (Conforme anexo J - RIC BT)</t>
  </si>
  <si>
    <t>CAIXA</t>
  </si>
  <si>
    <t>Madeira</t>
  </si>
  <si>
    <t>Chapa de Aço</t>
  </si>
  <si>
    <t>Alumínio</t>
  </si>
  <si>
    <t>Resina de Poliéster</t>
  </si>
  <si>
    <t>Policarbonato</t>
  </si>
  <si>
    <t>Polietileno</t>
  </si>
  <si>
    <t>1A</t>
  </si>
  <si>
    <t>2A</t>
  </si>
  <si>
    <t>TAMANHO</t>
  </si>
  <si>
    <t>CI</t>
  </si>
  <si>
    <t>CE</t>
  </si>
  <si>
    <t>CLI</t>
  </si>
  <si>
    <t>CLE</t>
  </si>
  <si>
    <t>Largura</t>
  </si>
  <si>
    <t>área</t>
  </si>
  <si>
    <t>Eficiência</t>
  </si>
  <si>
    <t>Tipo</t>
  </si>
  <si>
    <t>N.Celulas</t>
  </si>
  <si>
    <t>Modelo</t>
  </si>
  <si>
    <t>Fornecedor</t>
  </si>
  <si>
    <t>Canadian</t>
  </si>
  <si>
    <t>Faixa de operação SPMP – MPPT (V)</t>
  </si>
  <si>
    <t>Corrente CC máxima (A)</t>
  </si>
  <si>
    <t>Número de strings em paralelo</t>
  </si>
  <si>
    <t>Potência CA nominal (W)</t>
  </si>
  <si>
    <t>Corrente CA máxima (A)</t>
  </si>
  <si>
    <t>Saída nominal CA 60 Hz;</t>
  </si>
  <si>
    <t>IP65</t>
  </si>
  <si>
    <t>Potência nominal máxima (W)</t>
  </si>
  <si>
    <t>Tensão máxima de voltagem – Vmp (V)</t>
  </si>
  <si>
    <t>Tensão de circuito aberto – Voc (V)</t>
  </si>
  <si>
    <t>Máxima de fusível em série (A)</t>
  </si>
  <si>
    <t>Temperatura de Operação</t>
  </si>
  <si>
    <t>Tensão Máxima do Sistema</t>
  </si>
  <si>
    <t>Tolerância de Energia</t>
  </si>
  <si>
    <t xml:space="preserve">Tensão de entrada máx. </t>
  </si>
  <si>
    <t>Máxima Potência CA</t>
  </si>
  <si>
    <t>Grau de Proteção</t>
  </si>
  <si>
    <t>Material</t>
  </si>
  <si>
    <t>Tamanho</t>
  </si>
  <si>
    <t>-40⁰C ~ +85⁰C</t>
  </si>
  <si>
    <t>0 ~ + 5 W</t>
  </si>
  <si>
    <t>Faixa de Tensão de Entrada Mínima</t>
  </si>
  <si>
    <t>Faixa de Tensão de Entrada Máxima</t>
  </si>
  <si>
    <t>1000 V</t>
  </si>
  <si>
    <t>Registro Inmetro</t>
  </si>
  <si>
    <t>CERTIFICADO INMETRO</t>
  </si>
  <si>
    <t>TIPO DE CÉLULA</t>
  </si>
  <si>
    <t>Monocristalino</t>
  </si>
  <si>
    <t>NÚMERO DE CÉLULAS</t>
  </si>
  <si>
    <t>ÁREA MÓDULO (m2)</t>
  </si>
  <si>
    <t>Compr</t>
  </si>
  <si>
    <t>POTÊNCIA TOTAL (CC)</t>
  </si>
  <si>
    <t>POTÊNCIA NOMINAL UNITÁRIO</t>
  </si>
  <si>
    <t>TOTAIS</t>
  </si>
  <si>
    <t>--</t>
  </si>
  <si>
    <t>CABEAMENTO CC</t>
  </si>
  <si>
    <t>Comprimento Máximo (m)</t>
  </si>
  <si>
    <t>Corrente de Curto Circuito Máximo</t>
  </si>
  <si>
    <t>Máxima Tensão das Séries</t>
  </si>
  <si>
    <t>Comprimento máximo (Inversor até QG)</t>
  </si>
  <si>
    <t>Corrente máxima na saída do inversor</t>
  </si>
  <si>
    <t>Diferença de tensão de operação</t>
  </si>
  <si>
    <r>
      <t>Resistividade Cond. de Cobre</t>
    </r>
    <r>
      <rPr>
        <sz val="8"/>
        <color theme="3" tint="-0.249977111117893"/>
        <rFont val="Verdana"/>
        <family val="2"/>
      </rPr>
      <t xml:space="preserve"> (Ωmm²/m)</t>
    </r>
  </si>
  <si>
    <t>CABEAMENTO CA</t>
  </si>
  <si>
    <t>Seção Adotada (mm2)</t>
  </si>
  <si>
    <t>AUTOCONSUMO</t>
  </si>
  <si>
    <t xml:space="preserve">Dem.Disponib. (se MT) ou Carga Instalada (se BT): </t>
  </si>
  <si>
    <t>1500 V</t>
  </si>
  <si>
    <t>Corrente de curto circuito
Isc</t>
  </si>
  <si>
    <t>Maximum Reverse Current</t>
  </si>
  <si>
    <t>Módulos</t>
  </si>
  <si>
    <t>BYD</t>
  </si>
  <si>
    <t>Inversor</t>
  </si>
  <si>
    <t>Fronius</t>
  </si>
  <si>
    <t>ABB</t>
  </si>
  <si>
    <t>TIPO CLIENTE</t>
  </si>
  <si>
    <t>CNPJ</t>
  </si>
  <si>
    <t>CPF</t>
  </si>
  <si>
    <t>Queda de Tesão Máxima</t>
  </si>
  <si>
    <t>Queda de Tensão Máxima</t>
  </si>
  <si>
    <t>NÚMERO DE MÓDULOS POR STRING</t>
  </si>
  <si>
    <t>não</t>
  </si>
  <si>
    <t>DIMENSIONAMENTO</t>
  </si>
  <si>
    <t>Fibra</t>
  </si>
  <si>
    <t>CAIXA DE MEDIÇÃO</t>
  </si>
  <si>
    <t>INVERSOR MODELO #1</t>
  </si>
  <si>
    <t>INVERSOR MODELO #2</t>
  </si>
  <si>
    <t>Tipo de ligação do transformador (se mini)</t>
  </si>
  <si>
    <t>Impedância percentual do transf. (se mini)</t>
  </si>
  <si>
    <t>NÚMERO  UNIDADE CONSUMIDORA</t>
  </si>
  <si>
    <t>FUNÇÃO/CARGO DO RESPONSÁVEL</t>
  </si>
  <si>
    <t>RUA / AVENIDA / ESTRADA</t>
  </si>
  <si>
    <t>LOGRADOURO</t>
  </si>
  <si>
    <t>Tipo de Cabos</t>
  </si>
  <si>
    <t>Cobre</t>
  </si>
  <si>
    <t xml:space="preserve">Ainda refinar como incluir esses dados </t>
  </si>
  <si>
    <t>no memorial</t>
  </si>
  <si>
    <t>Rua</t>
  </si>
  <si>
    <t>Av.</t>
  </si>
  <si>
    <t>Estrada</t>
  </si>
  <si>
    <t>200 ~ 1000</t>
  </si>
  <si>
    <t>Impedância percentual do transformador:</t>
  </si>
  <si>
    <t>TENSÃO DE ATENDIMENTO (se média tensão)</t>
  </si>
  <si>
    <t>Tipo de Sistema Fotovoltaico</t>
  </si>
  <si>
    <t>Microgeração</t>
  </si>
  <si>
    <t>Minigeração</t>
  </si>
  <si>
    <t>TENSÃO DE ATENDIMENTO</t>
  </si>
  <si>
    <t>Tipo de ligação do transformador</t>
  </si>
  <si>
    <t>POTÊNCIA NOMINAL TOTAL</t>
  </si>
  <si>
    <t>N° TRT</t>
  </si>
  <si>
    <t>--------</t>
  </si>
  <si>
    <t>A1 (Conforme Tabela 1A - GED 13)</t>
  </si>
  <si>
    <t>A2 (Conforme Tabela 1A - GED 13)</t>
  </si>
  <si>
    <t>B1 (Conforme Tabela 1A - GED 13)</t>
  </si>
  <si>
    <t>B2 (Conforme Tabela 1A - GED 13)</t>
  </si>
  <si>
    <t>C1 (Conforme Tabela 1A - GED 13)</t>
  </si>
  <si>
    <t>C2 (Conforme Tabela 1A - GED 13)</t>
  </si>
  <si>
    <t>C3 (Conforme Tabela 1A - GED 13)</t>
  </si>
  <si>
    <t>C4 (Conforme Tabela 1A - GED 13)</t>
  </si>
  <si>
    <t>C5 (Conforme Tabela 1A - GED 13)</t>
  </si>
  <si>
    <t>C6 (Conforme Tabela 1A - GED 13)</t>
  </si>
  <si>
    <t>TENSÃO 220V</t>
  </si>
  <si>
    <t>A3 (Conforme Tabela 1B - GED 13)</t>
  </si>
  <si>
    <t>A4 (Conforme Tabela 1B - GED 13)</t>
  </si>
  <si>
    <t>B3 (Conforme Tabela 1B - GED 13)</t>
  </si>
  <si>
    <t>C7 (Conforme Tabela 1B - GED 13)</t>
  </si>
  <si>
    <t>C8 (Conforme Tabela 1B - GED 13)</t>
  </si>
  <si>
    <t>C9 (Conforme Tabela 1B - GED 13)</t>
  </si>
  <si>
    <t>C10 (Conforme Tabela 1B - GED 13)</t>
  </si>
  <si>
    <t>C11 (Conforme Tabela 1B - GED 13)</t>
  </si>
  <si>
    <t xml:space="preserve">Padrão de Entrada  (categoria RIC BT ou GED-13): </t>
  </si>
  <si>
    <t xml:space="preserve">Cabos (seção transversal em mm²):     </t>
  </si>
  <si>
    <t>Risen</t>
  </si>
  <si>
    <t>solarweb</t>
  </si>
  <si>
    <t>SOLAR.WEB</t>
  </si>
  <si>
    <t>WWW.SOLARWEB.COM</t>
  </si>
  <si>
    <t>sicessolar</t>
  </si>
  <si>
    <t>SICES SOLAR</t>
  </si>
  <si>
    <t>WWW.MONITORAMENTO.SICESSOLAR.COM.BR</t>
  </si>
  <si>
    <t>CSI cloud</t>
  </si>
  <si>
    <t>CSI CLOUD</t>
  </si>
  <si>
    <t>WWW.WEBMONITOR.CANADIANSOLAR.COM</t>
  </si>
  <si>
    <t>ABB aurora</t>
  </si>
  <si>
    <t>ENERGY VIEWER</t>
  </si>
  <si>
    <t>WWW.AURORAVISION.NET</t>
  </si>
  <si>
    <t>RENOVIEW</t>
  </si>
  <si>
    <t>WWW.RENOVIGIPORTAL.COM</t>
  </si>
  <si>
    <t>phb solar</t>
  </si>
  <si>
    <t>PHB MONITOR</t>
  </si>
  <si>
    <t>WWW.PHBSOLAR.COM.BR</t>
  </si>
  <si>
    <t>Monitoramento</t>
  </si>
  <si>
    <t>PHB</t>
  </si>
  <si>
    <t>Jinko</t>
  </si>
  <si>
    <t>90 ~ 520</t>
  </si>
  <si>
    <t>Padrão Multi 100</t>
  </si>
  <si>
    <t>Padrão Multi 200</t>
  </si>
  <si>
    <t>ANEXO F – Dados para Registro de Micro e Minigeradores Distribuídos Participantes do Sistema de Compensação de Energia Elétrica</t>
  </si>
  <si>
    <t>Na ocasião da Solicitação de Acesso, as informações pedidas para este Anexo F são mandatórias e serão remetidas pela CPFL à ANEEL, conforme por esta própria determinado, após a liberação da conexão. O acessante deverá estar ciente de que a citada liberação também depende do correto preenchimento do que aqui se solicita. Este refere-se a cada unidade consumidora que tiver aprovada central de micro ou minigeração distribuída aderente ao sistema de compensação de energia elétrica e deverá ser preenchida pelo acessante (deixar em branco o que não se aplicar).</t>
  </si>
  <si>
    <t>Na ocasião da Consulta de Acesso é incentivado que o acessante envie este anexo preenchido, em especial os itens marcados com asterisco. Somente com as informações destes itens será possível avaliar a viabilidade e estimar as obras em virtude da conexão de minigeradores. Sem eles, a Informação de Acesso da CPFL conterá apenas os dados elétricos da região em que pretende-se conexão.</t>
  </si>
  <si>
    <t>1.1) Nome do titular: *</t>
  </si>
  <si>
    <t>1.2) CNPJ ou CPF (titular): *</t>
  </si>
  <si>
    <t>1.3) Número da UC (se existente) *</t>
  </si>
  <si>
    <t>2a) Dados Técnicos da Unidade Consumidora (se Microgeração)</t>
  </si>
  <si>
    <t>2.1) Padrão de Entrada (categoria - GED 13/RIC BT):</t>
  </si>
  <si>
    <t>2.2) Tipo de Atendimento (aéreo/subterrâneo):</t>
  </si>
  <si>
    <t>2.3) Número de Fases da Instalação (Monofásico/Bifásico/Trifásico):</t>
  </si>
  <si>
    <t>2.4) Cabos (seção transversal):</t>
  </si>
  <si>
    <t>2.5) Caixa de Medição (tipo, segundo GED 14945):</t>
  </si>
  <si>
    <t>2.6) Demanda Disponibilizada (se MT) ou                                  Carga Instalada (se BT):</t>
  </si>
  <si>
    <t>2.7) Disjuntor (A):</t>
  </si>
  <si>
    <t>2b) Dados Técnicos da Unidade Consumidora (se Minigeração)</t>
  </si>
  <si>
    <t xml:space="preserve">Acréscimo </t>
  </si>
  <si>
    <t>Total</t>
  </si>
  <si>
    <t>2.1) Carga instalada (kW): *</t>
  </si>
  <si>
    <t>2.2) Demanda contratada (kW): *</t>
  </si>
  <si>
    <t>2.3) Quantidade de motores com potência acima de 75 CV: *¹</t>
  </si>
  <si>
    <t>2.4) Quantidade de motores com potência menor ou               igual a 75 CV: *</t>
  </si>
  <si>
    <t>2.5) Potência instalada de geração (kVA): *</t>
  </si>
  <si>
    <t>2.6) Potência exportada de geração (kW): *</t>
  </si>
  <si>
    <t>2.7) Nome do responsável técnico: *</t>
  </si>
  <si>
    <t>2.8) Número do registro (CREA) do responsável técnico: *</t>
  </si>
  <si>
    <t>2.9) Número do telefone do responsável técnico:</t>
  </si>
  <si>
    <t>2.10) Data pretendida para entrada em operação (dd/mm/aaaa):</t>
  </si>
  <si>
    <t>2c) Dados dos transformadores de acoplamento (se Minigeração)</t>
  </si>
  <si>
    <t>T1</t>
  </si>
  <si>
    <t>T2</t>
  </si>
  <si>
    <t>T3</t>
  </si>
  <si>
    <t>T4</t>
  </si>
  <si>
    <t>2.1) Potência Nominal (kVA): *</t>
  </si>
  <si>
    <t>2.2) Tensão Primária (kV): *</t>
  </si>
  <si>
    <t>2.3) Tensão Secundária (V): *</t>
  </si>
  <si>
    <t>2.4) Impedância de curto-circuito (Z%): *</t>
  </si>
  <si>
    <t>2.5) Configuração de ligação: *</t>
  </si>
  <si>
    <t>2.6) Tensão de geração/Saída do inversor (Vca): *</t>
  </si>
  <si>
    <t xml:space="preserve">3) Dados Unidades Geradoras Fotovoltaicas Solares (UFV): </t>
  </si>
  <si>
    <t xml:space="preserve">Existente </t>
  </si>
  <si>
    <t>3.1) Quantidade total de módulos:</t>
  </si>
  <si>
    <t>3.2) Listar fabricantes dos módulos:</t>
  </si>
  <si>
    <t>3.3) Listar modelos dos módulos:</t>
  </si>
  <si>
    <t>3.4) Área total ocupada pelos arranjos (m2):</t>
  </si>
  <si>
    <t>3.5) Quantidade total de inversores:</t>
  </si>
  <si>
    <t>3.6) Listar fabricantes dos inversores:</t>
  </si>
  <si>
    <t>3.7) Listar modelos dos inversores:</t>
  </si>
  <si>
    <t>3.8) Potência de pico dos módulos (soma das potências dos módulos, kWp): *</t>
  </si>
  <si>
    <t>3.9) Potência de pico dos inversores (soma das potências dos inversores, kWp): *</t>
  </si>
  <si>
    <t>3.10) Data pretendida para entrada em operação (dd/mm/aaaa):</t>
  </si>
  <si>
    <t>4) Dados das Unidades Geradoras Eólicas (EOL)</t>
  </si>
  <si>
    <t>4.1) Fabricante do aerogerador:</t>
  </si>
  <si>
    <t>4.2) Modelo do aerogerador:</t>
  </si>
  <si>
    <t>4.3) Eixo rotor (horizontal ou vertical):</t>
  </si>
  <si>
    <t>4.4) Altura máxima da pá ou atingida pela estrutura (m):</t>
  </si>
  <si>
    <t>4.5) Potência dos inversores (soma das potências dos inversores, kW): *</t>
  </si>
  <si>
    <t>4.6) Potência dos aerogeradores (soma potências dos aerogeradores, kW): *</t>
  </si>
  <si>
    <t>4.7) Data pretendida para entrada em operação (dd/mm/aaaa):</t>
  </si>
  <si>
    <t>5) Dados das Unidades Geradoras Hidráulicas</t>
  </si>
  <si>
    <t>5.1) Rio onde se localiza a central geradora:</t>
  </si>
  <si>
    <t>5.2) Bacia onde se localiza o rio:</t>
  </si>
  <si>
    <t>5.3) Sub-bacia onde se localiza o rio:</t>
  </si>
  <si>
    <t>5.4) Tipo de turbina: *</t>
  </si>
  <si>
    <t>5.5) Potência turbina (soma potências nominais das turbinas, kVA): *</t>
  </si>
  <si>
    <t>5.6) Potência gerador (soma potências nominais dos geradores, kVA): *</t>
  </si>
  <si>
    <t>5.7) Fator de potência do gerador (entre 0 e 1): *</t>
  </si>
  <si>
    <t>5.8) Potência ativa do gerador (kW): *</t>
  </si>
  <si>
    <t>5.9) Data pretendida para entrada em operação (dd/mm/aaaa):</t>
  </si>
  <si>
    <t>6) Dados das Unidades Geradoras Biomassa, Solar Térmica ou Cogeração</t>
  </si>
  <si>
    <t>6.1) Fabricante e modelo:</t>
  </si>
  <si>
    <t>6.2) Potência (soma das potências nominais dos geradores, kVA): *</t>
  </si>
  <si>
    <t>6.3) Fator de potência (entre 0 e 1): *</t>
  </si>
  <si>
    <t>6.4) Potência ativa (kW): *</t>
  </si>
  <si>
    <t>6.5) Fonte (indicar segundo lista do Item 7 a seguir, conforme aplicável): *</t>
  </si>
  <si>
    <t>6.6) Data da conexão à rede de distribuição (dd/mm/aaaa):</t>
  </si>
  <si>
    <t>6.7) Ciclo (aberto/fechado): *</t>
  </si>
  <si>
    <t>6.8) Máquina Motriz: *</t>
  </si>
  <si>
    <t>6.9) Número do Despacho de qualificação como cogeradora: *</t>
  </si>
  <si>
    <t>6.10) Data do Despacho: *</t>
  </si>
  <si>
    <t>7) Fontes Primárias de Energia da Central Geradora Elétrica (para preenchimento do item 6.5)</t>
  </si>
  <si>
    <t>7.1) Origem em biomassa (floresta, resíduos sólidos, resíduos animais, biocombustíveis líquidos, agroindustriais):</t>
  </si>
  <si>
    <t>&gt; Biogás (floresta)</t>
  </si>
  <si>
    <t>&gt; Biogás (resíduo sólido urbano, RU)</t>
  </si>
  <si>
    <t>&gt; Biogás (resíduo animal, RA)</t>
  </si>
  <si>
    <t>&gt; Biogás (agroindustrial)</t>
  </si>
  <si>
    <t>&gt; Carvão vegetal</t>
  </si>
  <si>
    <t>&gt; Gás de alto-forno (de biomassa)</t>
  </si>
  <si>
    <t>&gt; Lenha</t>
  </si>
  <si>
    <t>&gt; Licor negro</t>
  </si>
  <si>
    <t>&gt; Resíduos de madeira</t>
  </si>
  <si>
    <t>&gt; Etanol</t>
  </si>
  <si>
    <t>&gt; Óleos vegetais</t>
  </si>
  <si>
    <t>&gt; Bagaço de cana-de-açúcar</t>
  </si>
  <si>
    <t>&gt; Capim elefante</t>
  </si>
  <si>
    <t>&gt; Casca de arroz</t>
  </si>
  <si>
    <t>&gt; Gás de alto-forno (de petróleo)</t>
  </si>
  <si>
    <t>&gt; Gás de refinaria (de petróleo)</t>
  </si>
  <si>
    <t>&gt; Óleo combustível</t>
  </si>
  <si>
    <t>&gt; Óleo diesel</t>
  </si>
  <si>
    <t>&gt; Outros energéticos de petróleo</t>
  </si>
  <si>
    <t>&gt; Carvão mineral</t>
  </si>
  <si>
    <t>&gt; Calor de processo (de Carvão mineral)</t>
  </si>
  <si>
    <t>&gt; Gás de alto-forno (de Carvão mineral)</t>
  </si>
  <si>
    <t>&gt; Gás natural</t>
  </si>
  <si>
    <t>&gt; Calor de processo (de Gás natural)</t>
  </si>
  <si>
    <t>&gt; Calor de processo (de outras fontes fósseis)</t>
  </si>
  <si>
    <t>&gt; Turfa</t>
  </si>
  <si>
    <t>&gt; Xisto</t>
  </si>
  <si>
    <t>7.7) Undi-elétrica (cinética da água)</t>
  </si>
  <si>
    <t>DEMANDA CONTRATADA (kW)</t>
  </si>
  <si>
    <t>Potência Nominal Transformador</t>
  </si>
  <si>
    <t>CPO</t>
  </si>
  <si>
    <t>CPOL</t>
  </si>
  <si>
    <t>CPOM</t>
  </si>
  <si>
    <t>Monofásica</t>
  </si>
  <si>
    <t>Polifásica</t>
  </si>
  <si>
    <t>Policarbonato e poliéster</t>
  </si>
  <si>
    <r>
      <t xml:space="preserve">Qtd (motores Potência </t>
    </r>
    <r>
      <rPr>
        <sz val="11"/>
        <color theme="3" tint="-0.249977111117893"/>
        <rFont val="Calibri"/>
        <family val="2"/>
      </rPr>
      <t>≤</t>
    </r>
    <r>
      <rPr>
        <sz val="11"/>
        <color theme="3" tint="-0.249977111117893"/>
        <rFont val="Calibri"/>
        <family val="2"/>
        <scheme val="minor"/>
      </rPr>
      <t xml:space="preserve"> 75 CV)</t>
    </r>
  </si>
  <si>
    <t>Qtd (motores Potência &gt; 75 CV)</t>
  </si>
  <si>
    <t>POTENCIA DO SISTEMA</t>
  </si>
  <si>
    <t>Renovigi Micro</t>
  </si>
  <si>
    <t>Renovigi String</t>
  </si>
  <si>
    <t>SOLARMAN</t>
  </si>
  <si>
    <t>WWW.SOLARMANPV.COM</t>
  </si>
  <si>
    <t xml:space="preserve">Caixa de Medição (segundo GED 14945): </t>
  </si>
  <si>
    <t>SUNGROW</t>
  </si>
  <si>
    <t>Máxima potência            CC (W)</t>
  </si>
  <si>
    <t>N° de MPPTs</t>
  </si>
  <si>
    <t>Longi</t>
  </si>
  <si>
    <t>SOLIS</t>
  </si>
  <si>
    <t>GROWATT</t>
  </si>
  <si>
    <t>80 ~ 500</t>
  </si>
  <si>
    <t>160 - 285 V</t>
  </si>
  <si>
    <t>100 ~ 500</t>
  </si>
  <si>
    <t>Trina</t>
  </si>
  <si>
    <t>GOODWE</t>
  </si>
  <si>
    <t>ZN Shine</t>
  </si>
  <si>
    <t>Amerisolar</t>
  </si>
  <si>
    <t>CS3W-440MS</t>
  </si>
  <si>
    <t>CS3W-450MS</t>
  </si>
  <si>
    <t>11,48,</t>
  </si>
  <si>
    <t>Corrente máxima de corrente – Imp (A)</t>
  </si>
  <si>
    <t>BelEnergy</t>
  </si>
  <si>
    <t>Ordem de Serviço</t>
  </si>
  <si>
    <t>Celular</t>
  </si>
  <si>
    <t>1 - Informações do Cliente</t>
  </si>
  <si>
    <t>Clinete:</t>
  </si>
  <si>
    <t>Inversor:</t>
  </si>
  <si>
    <t>Modelo:</t>
  </si>
  <si>
    <t>MINI 3000 4G</t>
  </si>
  <si>
    <t>1P4K-4G</t>
  </si>
  <si>
    <t>1P5K-4G</t>
  </si>
  <si>
    <t>1P7K-5G</t>
  </si>
  <si>
    <t>MPPT:</t>
  </si>
  <si>
    <t>Módulos:</t>
  </si>
  <si>
    <t>Potência:</t>
  </si>
  <si>
    <t>Quantidade total de módulos:</t>
  </si>
  <si>
    <t>Strings:</t>
  </si>
  <si>
    <t>2 - Informações do Sistema</t>
  </si>
  <si>
    <t>Estrutura:</t>
  </si>
  <si>
    <t>Posição Solar:</t>
  </si>
  <si>
    <t>Disjuntor:</t>
  </si>
  <si>
    <t>4 mm²</t>
  </si>
  <si>
    <t>DPS:</t>
  </si>
  <si>
    <t>Cabo :</t>
  </si>
  <si>
    <t>Fachada da Residência:</t>
  </si>
  <si>
    <t>Informações sobre a Instalação:</t>
  </si>
  <si>
    <t>Potência do Sistema:</t>
  </si>
  <si>
    <t>3 - Informações Sobre a Instalação</t>
  </si>
  <si>
    <t>String 1:</t>
  </si>
  <si>
    <t>Telhado para Instalação:</t>
  </si>
  <si>
    <t>-</t>
  </si>
  <si>
    <t>Beyondsun</t>
  </si>
  <si>
    <t>TSHM535-144HV</t>
  </si>
  <si>
    <t>1.4) Endereço do titular</t>
  </si>
  <si>
    <t>1.5) CEP do titular</t>
  </si>
  <si>
    <t>1.6) Município do titular</t>
  </si>
  <si>
    <t>1.7) Latitude (SIRGAS 2000)</t>
  </si>
  <si>
    <t>1.8) Longitude (SIRGAS 2000)</t>
  </si>
  <si>
    <t>1.9) Telefone do titular:</t>
  </si>
  <si>
    <t>1.10) E-mail do titular:</t>
  </si>
  <si>
    <t>1.11) Usina foi objeto de Outorga ou Registro?</t>
  </si>
  <si>
    <t>☐Sim  ☒Não        Se sim, preencher os campos abaixo</t>
  </si>
  <si>
    <t>1.12) CEG</t>
  </si>
  <si>
    <t>1.13) Número do Ato de Outorga ou Registro</t>
  </si>
  <si>
    <t>1.14) Ano do Ato de Outorga ou Registro</t>
  </si>
  <si>
    <t>TSM-DE18M</t>
  </si>
  <si>
    <t>S6-GR1P3K-M</t>
  </si>
  <si>
    <t>Fibrocimento</t>
  </si>
  <si>
    <t>Norte</t>
  </si>
  <si>
    <t>1P6K-4G</t>
  </si>
  <si>
    <t>1P7.7K-5G</t>
  </si>
  <si>
    <t>S5-GR1P7K</t>
  </si>
  <si>
    <t>S5-GR1P8K</t>
  </si>
  <si>
    <t>S5-GR1P10K</t>
  </si>
  <si>
    <t>S5-GR1P9K</t>
  </si>
  <si>
    <t>160 ~ 850</t>
  </si>
  <si>
    <t>SOLIS-3P10K-4G</t>
  </si>
  <si>
    <t>SOLIS-3P12K-4G</t>
  </si>
  <si>
    <t>SOLIS-3P15K-4G</t>
  </si>
  <si>
    <t>SOLIS-3P17K-4G</t>
  </si>
  <si>
    <t>SOLIS-3P20K-4G</t>
  </si>
  <si>
    <t>Solis-25K-5G</t>
  </si>
  <si>
    <t>Solis-40K-5G</t>
  </si>
  <si>
    <t>Solis-50K</t>
  </si>
  <si>
    <t>GW5000T-NS</t>
  </si>
  <si>
    <t>80 ~ 550</t>
  </si>
  <si>
    <t>220 - 230 V</t>
  </si>
  <si>
    <t>530 MLK-36</t>
  </si>
  <si>
    <t>DAH</t>
  </si>
  <si>
    <t>Solis-75K-5G</t>
  </si>
  <si>
    <t>180 ~ 1000</t>
  </si>
  <si>
    <t>2 - Checklist de Materiais</t>
  </si>
  <si>
    <t>ITEM</t>
  </si>
  <si>
    <t>DESCRIÇÃO</t>
  </si>
  <si>
    <t>Conector MC4 (macho + fêmea)</t>
  </si>
  <si>
    <t>Proteção</t>
  </si>
  <si>
    <t>Eletrovias / fixação / sinalização</t>
  </si>
  <si>
    <t>Selante PU</t>
  </si>
  <si>
    <t>Manta asfáltica</t>
  </si>
  <si>
    <t>Cinta perfurada</t>
  </si>
  <si>
    <t xml:space="preserve">Placas de advertência </t>
  </si>
  <si>
    <t>Cabos</t>
  </si>
  <si>
    <t>Cabo flexível classe 5 de PVC 4,0mm²</t>
  </si>
  <si>
    <t>Unid.</t>
  </si>
  <si>
    <t>Pç</t>
  </si>
  <si>
    <t>m</t>
  </si>
  <si>
    <t>Checklist de Materiais</t>
  </si>
  <si>
    <t>Observações:</t>
  </si>
  <si>
    <t xml:space="preserve"> </t>
  </si>
  <si>
    <t>Quadro de distribuição de sobr. 4P(   ) ou 8 P(   )</t>
  </si>
  <si>
    <t>Espiral branco 1/2"</t>
  </si>
  <si>
    <t>AE505HM6L-66</t>
  </si>
  <si>
    <t>AE Solar</t>
  </si>
  <si>
    <t>CS3W-455MS</t>
  </si>
  <si>
    <t>CS6W-545Ms</t>
  </si>
  <si>
    <t>0 ~ + 10 W</t>
  </si>
  <si>
    <t>450 MGK-36</t>
  </si>
  <si>
    <t>Cabo flexível classe 5 de PVC 6,0mm²</t>
  </si>
  <si>
    <t xml:space="preserve">Disjuntor CA -16(  ) 20(  ) 25(  ) 32(  ) 40(  ) 50(  ) </t>
  </si>
  <si>
    <t>Técnico Responsável</t>
  </si>
  <si>
    <t>Característica - Qtd.</t>
  </si>
  <si>
    <t>DPS CA, Classe 2, 15 kA</t>
  </si>
  <si>
    <t xml:space="preserve">Eletroduto rígido de PVC S/R BR </t>
  </si>
  <si>
    <t>Luva rígida de PVC  S/R rosca BR</t>
  </si>
  <si>
    <t>Abraçadeira de PVC rígida BR</t>
  </si>
  <si>
    <t>Condulete rígido de PVC BR</t>
  </si>
  <si>
    <t>Adaptador p/ condulete de PVC BR</t>
  </si>
  <si>
    <t>Tampa cega p/ condulete de PVC BR</t>
  </si>
  <si>
    <t>Tampão p/ conduletede de PVC BR</t>
  </si>
  <si>
    <t xml:space="preserve">Eletroduto flexível de PVC  </t>
  </si>
  <si>
    <t>DHM-72X10-550W</t>
  </si>
  <si>
    <t>S5-GR1P15K</t>
  </si>
  <si>
    <t>Estrutura</t>
  </si>
  <si>
    <t>Cerâmico</t>
  </si>
  <si>
    <t>Aluzinco</t>
  </si>
  <si>
    <t>Laje</t>
  </si>
  <si>
    <t xml:space="preserve">Orientação </t>
  </si>
  <si>
    <t xml:space="preserve">Nordeste </t>
  </si>
  <si>
    <t>Noroeste</t>
  </si>
  <si>
    <t>Leste</t>
  </si>
  <si>
    <t>Oeste</t>
  </si>
  <si>
    <t>Leste / Oeste</t>
  </si>
  <si>
    <t>Norte / Leste</t>
  </si>
  <si>
    <t>Norte / Oeste</t>
  </si>
  <si>
    <t>Vendedor responsável</t>
  </si>
  <si>
    <t>Artur Melo</t>
  </si>
  <si>
    <t>Tiago Flores</t>
  </si>
  <si>
    <t>Tobias Flores</t>
  </si>
  <si>
    <t>Jackson Schmitz</t>
  </si>
  <si>
    <t>DHM-60X10-460W</t>
  </si>
  <si>
    <t>DHT-M60X10-460W</t>
  </si>
  <si>
    <t>Distribuidor</t>
  </si>
  <si>
    <t>Mazer</t>
  </si>
  <si>
    <t>Ten Brasil</t>
  </si>
  <si>
    <t>S6-GR1P5K</t>
  </si>
  <si>
    <t>MFVRE-MO-144-550W</t>
  </si>
  <si>
    <t>MFREN-MO-144-455W</t>
  </si>
  <si>
    <t>MFVOS-MO-120-460W</t>
  </si>
  <si>
    <t>S6-GR1P4K</t>
  </si>
  <si>
    <t>2000G3-US-220</t>
  </si>
  <si>
    <t>DEYE</t>
  </si>
  <si>
    <t>20 ~ 55</t>
  </si>
  <si>
    <t>176-242 V</t>
  </si>
  <si>
    <t>TSUN</t>
  </si>
  <si>
    <t>Taoistic</t>
  </si>
  <si>
    <t>TS-M10/144H</t>
  </si>
  <si>
    <t>LR5-72HPH-550M</t>
  </si>
  <si>
    <t>0 ~ + 3 W</t>
  </si>
  <si>
    <t>HY-M10/144</t>
  </si>
  <si>
    <t>Honor</t>
  </si>
  <si>
    <t>Deye</t>
  </si>
  <si>
    <t>LR5-72HPH-560M</t>
  </si>
  <si>
    <t>S5-555-72MDH</t>
  </si>
  <si>
    <t>SUNOVA</t>
  </si>
  <si>
    <t>Sunova</t>
  </si>
  <si>
    <t>S5-GC37.5K</t>
  </si>
  <si>
    <t>230-400 V</t>
  </si>
  <si>
    <t>IP66</t>
  </si>
  <si>
    <t>TPS560</t>
  </si>
  <si>
    <t>TOPSOLA</t>
  </si>
  <si>
    <t>Topsola</t>
  </si>
  <si>
    <t>TS560S8B</t>
  </si>
  <si>
    <t>SUN 72M-H8N 570W</t>
  </si>
  <si>
    <t>Sunergy</t>
  </si>
  <si>
    <t>S5-580-72MDH(T)</t>
  </si>
  <si>
    <t>Responsáveis pela execução da obra</t>
  </si>
  <si>
    <t>Cliente</t>
  </si>
  <si>
    <t>ODA585-36V-MHD</t>
  </si>
  <si>
    <t>OSDA</t>
  </si>
  <si>
    <t>127/220</t>
  </si>
  <si>
    <t xml:space="preserve">2 X Classe II 20kA </t>
  </si>
  <si>
    <t>DMEGC</t>
  </si>
  <si>
    <t>DM585M10T -B72HSW</t>
  </si>
  <si>
    <t>220/380</t>
  </si>
  <si>
    <t>SG3.0RS-L</t>
  </si>
  <si>
    <t>Tiago Vicente Flores</t>
  </si>
  <si>
    <t>12/05/2026</t>
  </si>
  <si>
    <t>3090243410</t>
  </si>
  <si>
    <t>ANA MARIA CARDOZO DOS SANTOS</t>
  </si>
  <si>
    <t>404.289.070-91</t>
  </si>
  <si>
    <t>batistajbs@gmail.com</t>
  </si>
  <si>
    <t>+55 51 98457-2961</t>
  </si>
  <si>
    <t>RIO GRANDE</t>
  </si>
  <si>
    <t>SCHARLAU</t>
  </si>
  <si>
    <t>SÃO LEOPOLDO</t>
  </si>
  <si>
    <t>93135-673</t>
  </si>
  <si>
    <t>-29.717802823738648</t>
  </si>
  <si>
    <t>-51.166825400341295</t>
  </si>
  <si>
    <t>Pulling Energy</t>
  </si>
  <si>
    <t>PU585WNM101</t>
  </si>
  <si>
    <t>Goodwe</t>
  </si>
  <si>
    <t>GW6K-DNS-G40</t>
  </si>
  <si>
    <t>1 X Monofásico 32A</t>
  </si>
  <si>
    <t>String 2: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</si>
</sst>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6" formatCode="0.0%"/>
  </numFmts>
  <fonts count="3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Verdana"/>
      <family val="2"/>
    </font>
    <font>
      <sz val="11"/>
      <color theme="3" tint="-0.249977111117893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sz val="10"/>
      <color theme="3" tint="-0.249977111117893"/>
      <name val="Verdana"/>
      <family val="2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0B0F0"/>
      <name val="Calibri"/>
      <family val="2"/>
      <scheme val="minor"/>
    </font>
    <font>
      <sz val="11"/>
      <color theme="3" tint="-0.249977111117893"/>
      <name val="Calibri"/>
      <family val="2"/>
    </font>
    <font>
      <sz val="11"/>
      <color theme="1"/>
      <name val="Museo Sans 300"/>
      <family val="3"/>
    </font>
    <font>
      <sz val="8"/>
      <color theme="3" tint="-0.249977111117893"/>
      <name val="Verdana"/>
      <family val="2"/>
    </font>
    <font>
      <b/>
      <sz val="9"/>
      <color indexed="81"/>
      <name val="Segoe UI"/>
      <family val="2"/>
    </font>
    <font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theme="3" tint="-0.249977111117893"/>
      <name val="Calibri Light"/>
      <family val="2"/>
    </font>
    <font>
      <sz val="9"/>
      <color theme="3" tint="-0.249977111117893"/>
      <name val="Calibri Light"/>
      <family val="2"/>
    </font>
    <font>
      <sz val="11"/>
      <name val="Museo Sans 300"/>
      <family val="3"/>
    </font>
    <font>
      <u/>
      <sz val="11"/>
      <name val="Museo Sans 300"/>
      <family val="3"/>
    </font>
    <font>
      <u/>
      <sz val="11"/>
      <color theme="1"/>
      <name val="Museo Sans 300"/>
      <family val="3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3466"/>
        <bgColor indexed="64"/>
      </patternFill>
    </fill>
  </fills>
  <borders count="57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/>
      <bottom style="thin">
        <color theme="8" tint="0.59996337778862885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361">
    <xf numFmtId="0" fontId="0" fillId="0" borderId="0" xfId="0"/>
    <xf numFmtId="0" fontId="5" fillId="0" borderId="0" xfId="0" applyFont="1"/>
    <xf numFmtId="0" fontId="5" fillId="0" borderId="6" xfId="0" applyFont="1" applyBorder="1"/>
    <xf numFmtId="0" fontId="5" fillId="0" borderId="13" xfId="0" applyFont="1" applyBorder="1"/>
    <xf numFmtId="0" fontId="5" fillId="0" borderId="15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12" xfId="0" applyFont="1" applyBorder="1"/>
    <xf numFmtId="0" fontId="5" fillId="0" borderId="3" xfId="0" applyFont="1" applyBorder="1"/>
    <xf numFmtId="0" fontId="5" fillId="0" borderId="5" xfId="0" applyFont="1" applyBorder="1"/>
    <xf numFmtId="0" fontId="0" fillId="0" borderId="17" xfId="0" applyBorder="1" applyAlignment="1">
      <alignment vertical="center" wrapText="1"/>
    </xf>
    <xf numFmtId="0" fontId="8" fillId="4" borderId="23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left" vertical="center"/>
    </xf>
    <xf numFmtId="0" fontId="8" fillId="3" borderId="25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5" fillId="2" borderId="0" xfId="0" applyFont="1" applyFill="1"/>
    <xf numFmtId="0" fontId="7" fillId="0" borderId="0" xfId="0" applyFont="1"/>
    <xf numFmtId="0" fontId="0" fillId="0" borderId="0" xfId="0" applyAlignment="1">
      <alignment horizontal="center"/>
    </xf>
    <xf numFmtId="0" fontId="12" fillId="0" borderId="0" xfId="0" applyFont="1"/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9" fillId="5" borderId="29" xfId="0" applyFont="1" applyFill="1" applyBorder="1" applyAlignment="1">
      <alignment horizontal="center" vertical="center" wrapText="1"/>
    </xf>
    <xf numFmtId="0" fontId="9" fillId="5" borderId="30" xfId="0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164" fontId="9" fillId="0" borderId="29" xfId="0" applyNumberFormat="1" applyFont="1" applyBorder="1" applyAlignment="1">
      <alignment horizontal="center" vertical="center"/>
    </xf>
    <xf numFmtId="166" fontId="9" fillId="0" borderId="29" xfId="2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 wrapText="1"/>
    </xf>
    <xf numFmtId="10" fontId="9" fillId="0" borderId="29" xfId="2" applyNumberFormat="1" applyFont="1" applyBorder="1" applyAlignment="1">
      <alignment horizontal="center" vertical="center"/>
    </xf>
    <xf numFmtId="0" fontId="9" fillId="5" borderId="31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6" fontId="15" fillId="0" borderId="29" xfId="2" quotePrefix="1" applyNumberFormat="1" applyFont="1" applyBorder="1" applyAlignment="1">
      <alignment horizontal="center" vertical="center"/>
    </xf>
    <xf numFmtId="1" fontId="9" fillId="0" borderId="29" xfId="0" applyNumberFormat="1" applyFont="1" applyBorder="1" applyAlignment="1" applyProtection="1">
      <alignment horizontal="center" vertical="center"/>
      <protection locked="0"/>
    </xf>
    <xf numFmtId="165" fontId="9" fillId="0" borderId="29" xfId="0" applyNumberFormat="1" applyFont="1" applyBorder="1" applyAlignment="1" applyProtection="1">
      <alignment horizontal="center" vertical="center"/>
      <protection locked="0"/>
    </xf>
    <xf numFmtId="2" fontId="9" fillId="0" borderId="29" xfId="0" applyNumberFormat="1" applyFont="1" applyBorder="1" applyAlignment="1">
      <alignment horizontal="center" vertical="center"/>
    </xf>
    <xf numFmtId="3" fontId="9" fillId="0" borderId="31" xfId="0" applyNumberFormat="1" applyFont="1" applyBorder="1" applyAlignment="1">
      <alignment horizontal="center" vertical="center"/>
    </xf>
    <xf numFmtId="10" fontId="9" fillId="0" borderId="31" xfId="0" applyNumberFormat="1" applyFont="1" applyBorder="1" applyAlignment="1">
      <alignment horizontal="center" vertical="center"/>
    </xf>
    <xf numFmtId="0" fontId="11" fillId="0" borderId="26" xfId="0" applyFont="1" applyBorder="1" applyAlignment="1" applyProtection="1">
      <alignment horizontal="center"/>
      <protection locked="0"/>
    </xf>
    <xf numFmtId="0" fontId="0" fillId="0" borderId="0" xfId="0" quotePrefix="1" applyAlignment="1">
      <alignment horizontal="center"/>
    </xf>
    <xf numFmtId="0" fontId="22" fillId="0" borderId="0" xfId="0" applyFont="1"/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2" fontId="22" fillId="2" borderId="0" xfId="0" applyNumberFormat="1" applyFont="1" applyFill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2" fontId="22" fillId="2" borderId="0" xfId="2" applyNumberFormat="1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8" borderId="0" xfId="0" applyFont="1" applyFill="1" applyAlignment="1">
      <alignment horizontal="center" vertical="center"/>
    </xf>
    <xf numFmtId="2" fontId="22" fillId="0" borderId="0" xfId="2" applyNumberFormat="1" applyFont="1" applyAlignment="1">
      <alignment horizontal="center" vertical="center"/>
    </xf>
    <xf numFmtId="2" fontId="0" fillId="0" borderId="0" xfId="0" applyNumberFormat="1"/>
    <xf numFmtId="164" fontId="9" fillId="0" borderId="31" xfId="0" applyNumberFormat="1" applyFont="1" applyBorder="1" applyAlignment="1">
      <alignment horizontal="center" vertical="center"/>
    </xf>
    <xf numFmtId="0" fontId="1" fillId="0" borderId="0" xfId="0" applyFont="1"/>
    <xf numFmtId="0" fontId="0" fillId="0" borderId="7" xfId="0" applyBorder="1"/>
    <xf numFmtId="0" fontId="0" fillId="0" borderId="0" xfId="0" applyAlignment="1">
      <alignment horizontal="left" vertical="center"/>
    </xf>
    <xf numFmtId="165" fontId="9" fillId="0" borderId="29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164" fontId="9" fillId="0" borderId="0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/>
    </xf>
    <xf numFmtId="0" fontId="25" fillId="0" borderId="0" xfId="1" applyFont="1" applyAlignment="1">
      <alignment horizontal="left"/>
    </xf>
    <xf numFmtId="0" fontId="2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0" fillId="0" borderId="0" xfId="0" applyAlignment="1">
      <alignment horizontal="justify" vertical="top" wrapText="1"/>
    </xf>
    <xf numFmtId="0" fontId="3" fillId="9" borderId="18" xfId="0" applyFont="1" applyFill="1" applyBorder="1" applyAlignment="1">
      <alignment vertical="center"/>
    </xf>
    <xf numFmtId="0" fontId="0" fillId="0" borderId="40" xfId="0" applyBorder="1"/>
    <xf numFmtId="0" fontId="0" fillId="0" borderId="41" xfId="0" applyBorder="1"/>
    <xf numFmtId="0" fontId="0" fillId="0" borderId="21" xfId="0" applyBorder="1"/>
    <xf numFmtId="0" fontId="0" fillId="0" borderId="16" xfId="0" applyBorder="1"/>
    <xf numFmtId="0" fontId="0" fillId="0" borderId="22" xfId="0" applyBorder="1"/>
    <xf numFmtId="0" fontId="9" fillId="0" borderId="0" xfId="0" applyFont="1" applyProtection="1">
      <protection locked="0"/>
    </xf>
    <xf numFmtId="0" fontId="9" fillId="0" borderId="26" xfId="0" applyFont="1" applyBorder="1" applyProtection="1">
      <protection locked="0"/>
    </xf>
    <xf numFmtId="0" fontId="9" fillId="0" borderId="26" xfId="0" applyFont="1" applyBorder="1" applyAlignment="1" applyProtection="1">
      <alignment horizontal="center"/>
      <protection locked="0"/>
    </xf>
    <xf numFmtId="0" fontId="9" fillId="0" borderId="26" xfId="0" applyFont="1" applyBorder="1" applyAlignment="1" applyProtection="1">
      <alignment wrapText="1"/>
      <protection locked="0"/>
    </xf>
    <xf numFmtId="0" fontId="9" fillId="0" borderId="26" xfId="0" applyFont="1" applyBorder="1" applyAlignment="1" applyProtection="1">
      <alignment horizontal="center" wrapText="1"/>
      <protection locked="0"/>
    </xf>
    <xf numFmtId="0" fontId="0" fillId="0" borderId="0" xfId="0" applyProtection="1">
      <protection locked="0"/>
    </xf>
    <xf numFmtId="0" fontId="13" fillId="0" borderId="0" xfId="0" applyFont="1" applyProtection="1">
      <protection locked="0"/>
    </xf>
    <xf numFmtId="49" fontId="9" fillId="0" borderId="26" xfId="0" applyNumberFormat="1" applyFont="1" applyBorder="1" applyAlignment="1" applyProtection="1">
      <alignment horizontal="center"/>
      <protection locked="0"/>
    </xf>
    <xf numFmtId="0" fontId="19" fillId="0" borderId="0" xfId="0" applyFont="1" applyProtection="1">
      <protection locked="0"/>
    </xf>
    <xf numFmtId="0" fontId="9" fillId="0" borderId="26" xfId="0" applyFont="1" applyBorder="1" applyAlignment="1" applyProtection="1">
      <alignment vertical="center" wrapText="1"/>
      <protection locked="0"/>
    </xf>
    <xf numFmtId="0" fontId="9" fillId="0" borderId="26" xfId="0" applyFont="1" applyBorder="1" applyAlignment="1" applyProtection="1">
      <alignment horizontal="center" vertical="center" wrapText="1"/>
      <protection locked="0"/>
    </xf>
    <xf numFmtId="0" fontId="13" fillId="0" borderId="18" xfId="0" applyFont="1" applyBorder="1" applyAlignment="1" applyProtection="1">
      <alignment horizontal="center"/>
      <protection locked="0"/>
    </xf>
    <xf numFmtId="0" fontId="9" fillId="0" borderId="36" xfId="0" applyFont="1" applyBorder="1" applyAlignment="1" applyProtection="1">
      <alignment wrapText="1"/>
      <protection locked="0"/>
    </xf>
    <xf numFmtId="0" fontId="9" fillId="0" borderId="36" xfId="0" applyFont="1" applyBorder="1" applyAlignment="1" applyProtection="1">
      <alignment horizontal="center" wrapText="1"/>
      <protection locked="0"/>
    </xf>
    <xf numFmtId="0" fontId="9" fillId="0" borderId="0" xfId="0" applyFont="1" applyAlignment="1" applyProtection="1">
      <alignment horizontal="center"/>
      <protection locked="0"/>
    </xf>
    <xf numFmtId="0" fontId="0" fillId="0" borderId="34" xfId="0" applyBorder="1" applyProtection="1">
      <protection locked="0"/>
    </xf>
    <xf numFmtId="0" fontId="9" fillId="0" borderId="27" xfId="0" applyFont="1" applyBorder="1" applyAlignment="1" applyProtection="1">
      <alignment vertical="center"/>
      <protection locked="0"/>
    </xf>
    <xf numFmtId="0" fontId="13" fillId="0" borderId="27" xfId="0" applyFont="1" applyBorder="1" applyAlignment="1" applyProtection="1">
      <alignment vertical="center"/>
      <protection locked="0"/>
    </xf>
    <xf numFmtId="0" fontId="13" fillId="0" borderId="27" xfId="0" applyFont="1" applyBorder="1" applyProtection="1">
      <protection locked="0"/>
    </xf>
    <xf numFmtId="0" fontId="13" fillId="0" borderId="27" xfId="0" applyFont="1" applyBorder="1" applyAlignment="1" applyProtection="1">
      <alignment horizontal="center" vertical="center"/>
      <protection locked="0"/>
    </xf>
    <xf numFmtId="0" fontId="10" fillId="0" borderId="0" xfId="0" applyFont="1" applyProtection="1">
      <protection locked="0"/>
    </xf>
    <xf numFmtId="0" fontId="9" fillId="0" borderId="26" xfId="0" applyFont="1" applyBorder="1" applyAlignment="1" applyProtection="1">
      <alignment horizontal="right"/>
      <protection locked="0"/>
    </xf>
    <xf numFmtId="0" fontId="10" fillId="0" borderId="27" xfId="0" applyFont="1" applyBorder="1" applyProtection="1">
      <protection locked="0"/>
    </xf>
    <xf numFmtId="0" fontId="0" fillId="0" borderId="0" xfId="0" applyFont="1" applyProtection="1">
      <protection locked="0"/>
    </xf>
    <xf numFmtId="0" fontId="9" fillId="0" borderId="37" xfId="0" applyFont="1" applyBorder="1" applyAlignment="1" applyProtection="1">
      <alignment horizontal="right" wrapText="1"/>
      <protection locked="0"/>
    </xf>
    <xf numFmtId="2" fontId="9" fillId="0" borderId="26" xfId="0" applyNumberFormat="1" applyFont="1" applyBorder="1" applyAlignment="1" applyProtection="1">
      <protection locked="0"/>
    </xf>
    <xf numFmtId="2" fontId="9" fillId="0" borderId="26" xfId="0" applyNumberFormat="1" applyFont="1" applyBorder="1" applyAlignment="1" applyProtection="1">
      <alignment horizontal="center"/>
      <protection locked="0"/>
    </xf>
    <xf numFmtId="0" fontId="11" fillId="0" borderId="26" xfId="0" applyFont="1" applyBorder="1" applyAlignment="1" applyProtection="1">
      <alignment horizontal="left"/>
      <protection locked="0"/>
    </xf>
    <xf numFmtId="0" fontId="11" fillId="0" borderId="26" xfId="0" applyFont="1" applyBorder="1" applyProtection="1">
      <protection locked="0"/>
    </xf>
    <xf numFmtId="0" fontId="21" fillId="0" borderId="26" xfId="0" applyFont="1" applyBorder="1" applyAlignment="1" applyProtection="1">
      <alignment wrapText="1"/>
      <protection locked="0"/>
    </xf>
    <xf numFmtId="0" fontId="10" fillId="0" borderId="28" xfId="0" applyFont="1" applyBorder="1" applyProtection="1">
      <protection locked="0"/>
    </xf>
    <xf numFmtId="0" fontId="9" fillId="0" borderId="28" xfId="0" applyFont="1" applyBorder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9" fillId="0" borderId="34" xfId="0" applyFont="1" applyBorder="1" applyAlignment="1" applyProtection="1">
      <alignment horizontal="center"/>
      <protection locked="0"/>
    </xf>
    <xf numFmtId="0" fontId="9" fillId="0" borderId="34" xfId="0" quotePrefix="1" applyFont="1" applyBorder="1" applyAlignment="1" applyProtection="1">
      <alignment horizontal="center"/>
      <protection locked="0"/>
    </xf>
    <xf numFmtId="0" fontId="9" fillId="6" borderId="0" xfId="0" applyFont="1" applyFill="1" applyProtection="1">
      <protection locked="0"/>
    </xf>
    <xf numFmtId="2" fontId="9" fillId="0" borderId="34" xfId="0" applyNumberFormat="1" applyFont="1" applyBorder="1" applyAlignment="1" applyProtection="1">
      <alignment horizontal="center"/>
      <protection locked="0"/>
    </xf>
    <xf numFmtId="164" fontId="9" fillId="0" borderId="34" xfId="0" quotePrefix="1" applyNumberFormat="1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left"/>
      <protection locked="0"/>
    </xf>
    <xf numFmtId="0" fontId="9" fillId="0" borderId="26" xfId="0" applyFont="1" applyBorder="1" applyAlignment="1" applyProtection="1">
      <alignment horizontal="center" vertical="center"/>
      <protection locked="0"/>
    </xf>
    <xf numFmtId="9" fontId="9" fillId="0" borderId="0" xfId="0" applyNumberFormat="1" applyFont="1" applyAlignment="1" applyProtection="1">
      <alignment horizontal="center"/>
      <protection locked="0"/>
    </xf>
    <xf numFmtId="2" fontId="9" fillId="0" borderId="26" xfId="0" applyNumberFormat="1" applyFont="1" applyBorder="1" applyAlignment="1" applyProtection="1">
      <alignment horizontal="center" vertical="center"/>
      <protection locked="0"/>
    </xf>
    <xf numFmtId="2" fontId="21" fillId="0" borderId="26" xfId="0" applyNumberFormat="1" applyFont="1" applyBorder="1" applyAlignment="1" applyProtection="1">
      <alignment horizontal="center" vertical="center" wrapText="1"/>
      <protection locked="0"/>
    </xf>
    <xf numFmtId="9" fontId="9" fillId="0" borderId="26" xfId="2" applyFont="1" applyBorder="1" applyAlignment="1" applyProtection="1">
      <alignment horizontal="center" vertical="center"/>
      <protection locked="0"/>
    </xf>
    <xf numFmtId="0" fontId="21" fillId="0" borderId="26" xfId="0" applyFont="1" applyBorder="1" applyAlignment="1" applyProtection="1">
      <alignment horizontal="center" vertical="center" wrapText="1"/>
      <protection locked="0"/>
    </xf>
    <xf numFmtId="0" fontId="9" fillId="0" borderId="26" xfId="0" applyFont="1" applyBorder="1" applyAlignment="1" applyProtection="1">
      <alignment horizontal="center"/>
    </xf>
    <xf numFmtId="165" fontId="9" fillId="0" borderId="26" xfId="0" applyNumberFormat="1" applyFont="1" applyBorder="1" applyAlignment="1" applyProtection="1">
      <alignment horizontal="center"/>
    </xf>
    <xf numFmtId="2" fontId="9" fillId="0" borderId="26" xfId="0" applyNumberFormat="1" applyFont="1" applyBorder="1" applyAlignment="1" applyProtection="1">
      <alignment horizontal="center"/>
    </xf>
    <xf numFmtId="165" fontId="9" fillId="0" borderId="0" xfId="0" applyNumberFormat="1" applyFont="1" applyAlignment="1" applyProtection="1">
      <alignment horizontal="center"/>
    </xf>
    <xf numFmtId="165" fontId="9" fillId="0" borderId="34" xfId="0" applyNumberFormat="1" applyFont="1" applyBorder="1" applyAlignment="1" applyProtection="1">
      <alignment horizontal="center"/>
    </xf>
    <xf numFmtId="0" fontId="9" fillId="0" borderId="0" xfId="0" applyFont="1" applyAlignment="1" applyProtection="1">
      <protection locked="0"/>
    </xf>
    <xf numFmtId="0" fontId="9" fillId="0" borderId="0" xfId="0" applyFont="1" applyFill="1" applyProtection="1">
      <protection locked="0"/>
    </xf>
    <xf numFmtId="0" fontId="11" fillId="0" borderId="26" xfId="0" applyFont="1" applyBorder="1" applyAlignment="1" applyProtection="1">
      <alignment horizont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3" fontId="9" fillId="0" borderId="0" xfId="0" applyNumberFormat="1" applyFont="1" applyBorder="1" applyAlignment="1">
      <alignment horizontal="center" vertical="center"/>
    </xf>
    <xf numFmtId="166" fontId="9" fillId="0" borderId="31" xfId="2" applyNumberFormat="1" applyFont="1" applyBorder="1" applyAlignment="1">
      <alignment horizontal="center" vertical="center"/>
    </xf>
    <xf numFmtId="10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16" fontId="9" fillId="0" borderId="0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164" fontId="28" fillId="0" borderId="29" xfId="0" applyNumberFormat="1" applyFont="1" applyBorder="1" applyAlignment="1">
      <alignment horizontal="center" vertical="center"/>
    </xf>
    <xf numFmtId="2" fontId="28" fillId="0" borderId="29" xfId="0" applyNumberFormat="1" applyFont="1" applyBorder="1" applyAlignment="1">
      <alignment horizontal="center" vertical="center"/>
    </xf>
    <xf numFmtId="10" fontId="28" fillId="0" borderId="29" xfId="2" applyNumberFormat="1" applyFont="1" applyBorder="1" applyAlignment="1">
      <alignment horizontal="center" vertical="center"/>
    </xf>
    <xf numFmtId="1" fontId="28" fillId="0" borderId="29" xfId="0" applyNumberFormat="1" applyFont="1" applyBorder="1" applyAlignment="1" applyProtection="1">
      <alignment horizontal="center" vertical="center"/>
      <protection locked="0"/>
    </xf>
    <xf numFmtId="165" fontId="28" fillId="0" borderId="29" xfId="0" applyNumberFormat="1" applyFont="1" applyBorder="1" applyAlignment="1" applyProtection="1">
      <alignment horizontal="center" vertical="center"/>
      <protection locked="0"/>
    </xf>
    <xf numFmtId="49" fontId="4" fillId="0" borderId="26" xfId="1" applyNumberFormat="1" applyBorder="1" applyAlignment="1" applyProtection="1">
      <alignment horizontal="center"/>
      <protection locked="0"/>
    </xf>
    <xf numFmtId="0" fontId="9" fillId="0" borderId="26" xfId="0" applyFont="1" applyBorder="1" applyAlignment="1">
      <alignment horizontal="center"/>
    </xf>
    <xf numFmtId="164" fontId="9" fillId="0" borderId="26" xfId="0" applyNumberFormat="1" applyFont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9" fontId="9" fillId="0" borderId="26" xfId="0" applyNumberFormat="1" applyFont="1" applyBorder="1" applyAlignment="1">
      <alignment horizontal="center"/>
    </xf>
    <xf numFmtId="0" fontId="10" fillId="0" borderId="0" xfId="0" applyFont="1" applyBorder="1" applyProtection="1">
      <protection locked="0"/>
    </xf>
    <xf numFmtId="0" fontId="9" fillId="0" borderId="0" xfId="0" applyFont="1" applyBorder="1" applyProtection="1">
      <protection locked="0"/>
    </xf>
    <xf numFmtId="3" fontId="9" fillId="0" borderId="0" xfId="0" applyNumberFormat="1" applyFont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5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/>
    <xf numFmtId="0" fontId="2" fillId="0" borderId="0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2" fillId="0" borderId="12" xfId="0" quotePrefix="1" applyFont="1" applyBorder="1" applyAlignment="1">
      <alignment vertical="top" wrapText="1"/>
    </xf>
    <xf numFmtId="0" fontId="2" fillId="0" borderId="0" xfId="0" quotePrefix="1" applyFont="1" applyBorder="1" applyAlignment="1">
      <alignment vertical="top" wrapText="1"/>
    </xf>
    <xf numFmtId="0" fontId="2" fillId="0" borderId="14" xfId="0" quotePrefix="1" applyFont="1" applyBorder="1" applyAlignment="1">
      <alignment vertical="top" wrapText="1"/>
    </xf>
    <xf numFmtId="0" fontId="2" fillId="0" borderId="6" xfId="0" quotePrefix="1" applyFont="1" applyBorder="1" applyAlignment="1">
      <alignment vertical="top" wrapText="1"/>
    </xf>
    <xf numFmtId="0" fontId="5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left"/>
    </xf>
    <xf numFmtId="0" fontId="2" fillId="0" borderId="3" xfId="0" quotePrefix="1" applyFont="1" applyBorder="1" applyAlignment="1">
      <alignment vertical="top" wrapText="1"/>
    </xf>
    <xf numFmtId="0" fontId="5" fillId="0" borderId="3" xfId="0" applyFont="1" applyBorder="1" applyAlignment="1">
      <alignment horizontal="center" vertical="center"/>
    </xf>
    <xf numFmtId="0" fontId="2" fillId="0" borderId="12" xfId="0" quotePrefix="1" applyFont="1" applyBorder="1" applyAlignment="1">
      <alignment horizontal="left" vertical="top" wrapText="1"/>
    </xf>
    <xf numFmtId="0" fontId="2" fillId="0" borderId="0" xfId="0" quotePrefix="1" applyFont="1" applyBorder="1" applyAlignment="1">
      <alignment horizontal="left" vertical="top" wrapText="1"/>
    </xf>
    <xf numFmtId="0" fontId="1" fillId="0" borderId="0" xfId="0" applyFont="1" applyBorder="1" applyAlignment="1">
      <alignment horizontal="center"/>
    </xf>
    <xf numFmtId="0" fontId="2" fillId="0" borderId="7" xfId="0" quotePrefix="1" applyFont="1" applyBorder="1" applyAlignment="1">
      <alignment vertical="top" wrapText="1"/>
    </xf>
    <xf numFmtId="0" fontId="2" fillId="0" borderId="0" xfId="0" applyFont="1" applyBorder="1" applyAlignment="1"/>
    <xf numFmtId="0" fontId="2" fillId="0" borderId="7" xfId="0" applyFont="1" applyBorder="1" applyAlignment="1"/>
    <xf numFmtId="3" fontId="9" fillId="0" borderId="31" xfId="0" applyNumberFormat="1" applyFont="1" applyFill="1" applyBorder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0" fillId="0" borderId="12" xfId="0" applyFont="1" applyBorder="1" applyAlignment="1" applyProtection="1">
      <alignment vertical="top"/>
      <protection locked="0"/>
    </xf>
    <xf numFmtId="0" fontId="0" fillId="0" borderId="0" xfId="0" applyFont="1" applyBorder="1" applyAlignment="1" applyProtection="1">
      <alignment vertical="top"/>
      <protection locked="0"/>
    </xf>
    <xf numFmtId="0" fontId="0" fillId="0" borderId="0" xfId="0" applyFont="1" applyBorder="1" applyAlignment="1" applyProtection="1">
      <alignment horizontal="center" vertical="top"/>
      <protection locked="0"/>
    </xf>
    <xf numFmtId="0" fontId="9" fillId="0" borderId="29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2" fontId="9" fillId="0" borderId="29" xfId="0" applyNumberFormat="1" applyFont="1" applyFill="1" applyBorder="1" applyAlignment="1">
      <alignment horizontal="center" vertical="center"/>
    </xf>
    <xf numFmtId="10" fontId="9" fillId="0" borderId="29" xfId="2" applyNumberFormat="1" applyFont="1" applyFill="1" applyBorder="1" applyAlignment="1">
      <alignment horizontal="center" vertical="center"/>
    </xf>
    <xf numFmtId="166" fontId="15" fillId="0" borderId="29" xfId="2" quotePrefix="1" applyNumberFormat="1" applyFont="1" applyFill="1" applyBorder="1" applyAlignment="1">
      <alignment horizontal="center" vertical="center"/>
    </xf>
    <xf numFmtId="166" fontId="9" fillId="0" borderId="29" xfId="2" applyNumberFormat="1" applyFont="1" applyFill="1" applyBorder="1" applyAlignment="1">
      <alignment horizontal="center" vertical="center"/>
    </xf>
    <xf numFmtId="1" fontId="9" fillId="0" borderId="29" xfId="0" applyNumberFormat="1" applyFont="1" applyFill="1" applyBorder="1" applyAlignment="1" applyProtection="1">
      <alignment horizontal="center" vertical="center"/>
      <protection locked="0"/>
    </xf>
    <xf numFmtId="165" fontId="9" fillId="0" borderId="29" xfId="0" applyNumberFormat="1" applyFont="1" applyFill="1" applyBorder="1" applyAlignment="1" applyProtection="1">
      <alignment horizontal="center" vertical="center"/>
      <protection locked="0"/>
    </xf>
    <xf numFmtId="0" fontId="28" fillId="0" borderId="29" xfId="0" applyFont="1" applyFill="1" applyBorder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10" fontId="9" fillId="0" borderId="0" xfId="0" applyNumberFormat="1" applyFont="1" applyFill="1" applyAlignment="1">
      <alignment horizontal="center" vertical="center"/>
    </xf>
    <xf numFmtId="0" fontId="9" fillId="0" borderId="0" xfId="0" applyFont="1" applyFill="1" applyAlignment="1">
      <alignment horizontal="left" vertical="center"/>
    </xf>
    <xf numFmtId="10" fontId="9" fillId="0" borderId="29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0" fillId="0" borderId="14" xfId="0" applyBorder="1"/>
    <xf numFmtId="0" fontId="0" fillId="0" borderId="5" xfId="0" applyBorder="1"/>
    <xf numFmtId="0" fontId="29" fillId="0" borderId="2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0" fillId="0" borderId="12" xfId="0" applyBorder="1"/>
    <xf numFmtId="0" fontId="0" fillId="0" borderId="0" xfId="0" applyBorder="1"/>
    <xf numFmtId="0" fontId="0" fillId="0" borderId="46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Font="1" applyFill="1" applyBorder="1" applyAlignment="1">
      <alignment horizontal="center" vertical="center"/>
    </xf>
    <xf numFmtId="0" fontId="1" fillId="0" borderId="46" xfId="0" quotePrefix="1" applyFont="1" applyBorder="1" applyAlignment="1">
      <alignment horizontal="center" vertical="top"/>
    </xf>
    <xf numFmtId="0" fontId="1" fillId="0" borderId="45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2" fillId="0" borderId="51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1" xfId="0" applyFont="1" applyFill="1" applyBorder="1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54" xfId="0" applyFont="1" applyFill="1" applyBorder="1" applyAlignment="1">
      <alignment horizontal="center" vertical="center"/>
    </xf>
    <xf numFmtId="0" fontId="1" fillId="0" borderId="51" xfId="0" quotePrefix="1" applyFont="1" applyBorder="1" applyAlignment="1">
      <alignment horizontal="center" vertical="top"/>
    </xf>
    <xf numFmtId="0" fontId="1" fillId="0" borderId="53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9" fillId="0" borderId="0" xfId="0" applyFont="1" applyFill="1" applyBorder="1" applyAlignment="1">
      <alignment horizontal="center" vertical="center"/>
    </xf>
    <xf numFmtId="10" fontId="9" fillId="0" borderId="0" xfId="0" applyNumberFormat="1" applyFont="1" applyFill="1" applyBorder="1" applyAlignment="1">
      <alignment horizontal="center" vertical="center"/>
    </xf>
    <xf numFmtId="0" fontId="0" fillId="0" borderId="18" xfId="0" applyBorder="1"/>
    <xf numFmtId="2" fontId="0" fillId="0" borderId="18" xfId="0" applyNumberFormat="1" applyBorder="1"/>
    <xf numFmtId="9" fontId="9" fillId="0" borderId="0" xfId="2" applyFont="1" applyAlignment="1">
      <alignment horizontal="center" vertical="center"/>
    </xf>
    <xf numFmtId="0" fontId="1" fillId="10" borderId="12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5" fillId="10" borderId="7" xfId="0" applyFont="1" applyFill="1" applyBorder="1" applyAlignment="1">
      <alignment horizontal="center" vertical="center"/>
    </xf>
    <xf numFmtId="0" fontId="5" fillId="10" borderId="0" xfId="0" applyFont="1" applyFill="1"/>
    <xf numFmtId="0" fontId="5" fillId="10" borderId="7" xfId="0" applyFont="1" applyFill="1" applyBorder="1"/>
    <xf numFmtId="0" fontId="5" fillId="10" borderId="6" xfId="0" applyFont="1" applyFill="1" applyBorder="1"/>
    <xf numFmtId="0" fontId="5" fillId="10" borderId="8" xfId="0" applyFont="1" applyFill="1" applyBorder="1"/>
    <xf numFmtId="0" fontId="1" fillId="0" borderId="54" xfId="0" quotePrefix="1" applyFont="1" applyBorder="1" applyAlignment="1">
      <alignment horizontal="center" vertical="top"/>
    </xf>
    <xf numFmtId="0" fontId="4" fillId="0" borderId="0" xfId="1"/>
    <xf numFmtId="0" fontId="9" fillId="0" borderId="33" xfId="0" applyFont="1" applyBorder="1" applyAlignment="1" applyProtection="1">
      <alignment horizontal="center"/>
      <protection locked="0"/>
    </xf>
    <xf numFmtId="0" fontId="9" fillId="0" borderId="38" xfId="0" applyFont="1" applyBorder="1" applyAlignment="1" applyProtection="1">
      <alignment horizontal="center"/>
      <protection locked="0"/>
    </xf>
    <xf numFmtId="0" fontId="9" fillId="0" borderId="33" xfId="0" applyFont="1" applyBorder="1" applyAlignment="1" applyProtection="1">
      <alignment horizontal="center"/>
    </xf>
    <xf numFmtId="0" fontId="9" fillId="0" borderId="38" xfId="0" applyFont="1" applyBorder="1" applyAlignment="1" applyProtection="1">
      <alignment horizontal="center"/>
    </xf>
    <xf numFmtId="0" fontId="10" fillId="0" borderId="28" xfId="0" applyFont="1" applyBorder="1" applyAlignment="1" applyProtection="1">
      <alignment horizontal="center"/>
      <protection locked="0"/>
    </xf>
    <xf numFmtId="2" fontId="9" fillId="0" borderId="33" xfId="0" applyNumberFormat="1" applyFont="1" applyBorder="1" applyAlignment="1" applyProtection="1">
      <alignment horizontal="center"/>
      <protection locked="0"/>
    </xf>
    <xf numFmtId="2" fontId="9" fillId="0" borderId="38" xfId="0" applyNumberFormat="1" applyFont="1" applyBorder="1" applyAlignment="1" applyProtection="1">
      <alignment horizontal="center"/>
      <protection locked="0"/>
    </xf>
    <xf numFmtId="0" fontId="11" fillId="0" borderId="33" xfId="0" applyFont="1" applyBorder="1" applyAlignment="1" applyProtection="1">
      <alignment horizontal="left"/>
      <protection locked="0"/>
    </xf>
    <xf numFmtId="0" fontId="11" fillId="0" borderId="38" xfId="0" applyFont="1" applyBorder="1" applyAlignment="1" applyProtection="1">
      <alignment horizontal="left"/>
      <protection locked="0"/>
    </xf>
    <xf numFmtId="9" fontId="9" fillId="0" borderId="33" xfId="0" applyNumberFormat="1" applyFont="1" applyBorder="1" applyAlignment="1" applyProtection="1">
      <alignment horizontal="center"/>
    </xf>
    <xf numFmtId="9" fontId="9" fillId="0" borderId="38" xfId="0" applyNumberFormat="1" applyFont="1" applyBorder="1" applyAlignment="1" applyProtection="1">
      <alignment horizontal="center"/>
    </xf>
    <xf numFmtId="164" fontId="9" fillId="0" borderId="33" xfId="0" applyNumberFormat="1" applyFont="1" applyBorder="1" applyAlignment="1" applyProtection="1">
      <alignment horizontal="center"/>
      <protection locked="0"/>
    </xf>
    <xf numFmtId="164" fontId="9" fillId="0" borderId="38" xfId="0" applyNumberFormat="1" applyFont="1" applyBorder="1" applyAlignment="1" applyProtection="1">
      <alignment horizontal="center"/>
      <protection locked="0"/>
    </xf>
    <xf numFmtId="164" fontId="9" fillId="0" borderId="39" xfId="0" applyNumberFormat="1" applyFont="1" applyBorder="1" applyAlignment="1" applyProtection="1">
      <alignment horizontal="center"/>
    </xf>
    <xf numFmtId="164" fontId="9" fillId="0" borderId="42" xfId="0" applyNumberFormat="1" applyFont="1" applyBorder="1" applyAlignment="1" applyProtection="1">
      <alignment horizontal="center"/>
    </xf>
    <xf numFmtId="0" fontId="10" fillId="6" borderId="28" xfId="0" applyFont="1" applyFill="1" applyBorder="1" applyAlignment="1" applyProtection="1">
      <alignment horizontal="center"/>
      <protection locked="0"/>
    </xf>
    <xf numFmtId="0" fontId="11" fillId="6" borderId="33" xfId="0" applyFont="1" applyFill="1" applyBorder="1" applyAlignment="1" applyProtection="1">
      <alignment horizontal="left"/>
      <protection locked="0"/>
    </xf>
    <xf numFmtId="0" fontId="11" fillId="6" borderId="38" xfId="0" applyFont="1" applyFill="1" applyBorder="1" applyAlignment="1" applyProtection="1">
      <alignment horizontal="left"/>
      <protection locked="0"/>
    </xf>
    <xf numFmtId="0" fontId="5" fillId="0" borderId="12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2" fillId="0" borderId="0" xfId="0" applyFont="1" applyBorder="1" applyAlignment="1" applyProtection="1">
      <alignment horizontal="left"/>
      <protection locked="0"/>
    </xf>
    <xf numFmtId="0" fontId="1" fillId="0" borderId="1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5" xfId="0" applyFont="1" applyBorder="1" applyAlignment="1" applyProtection="1">
      <alignment horizontal="left"/>
      <protection locked="0"/>
    </xf>
    <xf numFmtId="0" fontId="2" fillId="0" borderId="15" xfId="0" applyFont="1" applyBorder="1" applyAlignment="1" applyProtection="1">
      <alignment horizontal="left"/>
      <protection locked="0"/>
    </xf>
    <xf numFmtId="0" fontId="30" fillId="10" borderId="2" xfId="0" applyFont="1" applyFill="1" applyBorder="1" applyAlignment="1">
      <alignment horizontal="center" vertical="center" wrapText="1"/>
    </xf>
    <xf numFmtId="0" fontId="30" fillId="10" borderId="3" xfId="0" applyFont="1" applyFill="1" applyBorder="1" applyAlignment="1">
      <alignment horizontal="center" vertical="center" wrapText="1"/>
    </xf>
    <xf numFmtId="0" fontId="30" fillId="10" borderId="4" xfId="0" applyFont="1" applyFill="1" applyBorder="1" applyAlignment="1">
      <alignment horizontal="center" vertical="center" wrapText="1"/>
    </xf>
    <xf numFmtId="0" fontId="31" fillId="10" borderId="2" xfId="0" applyFont="1" applyFill="1" applyBorder="1" applyAlignment="1">
      <alignment horizontal="center"/>
    </xf>
    <xf numFmtId="0" fontId="31" fillId="10" borderId="3" xfId="0" applyFont="1" applyFill="1" applyBorder="1" applyAlignment="1">
      <alignment horizontal="center"/>
    </xf>
    <xf numFmtId="0" fontId="31" fillId="10" borderId="4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6" xfId="0" applyFont="1" applyBorder="1" applyAlignment="1">
      <alignment horizontal="center"/>
    </xf>
    <xf numFmtId="0" fontId="5" fillId="0" borderId="6" xfId="0" applyFont="1" applyBorder="1" applyAlignment="1" applyProtection="1">
      <alignment horizontal="center"/>
      <protection locked="0"/>
    </xf>
    <xf numFmtId="49" fontId="2" fillId="0" borderId="6" xfId="0" applyNumberFormat="1" applyFont="1" applyBorder="1" applyAlignment="1" applyProtection="1">
      <alignment horizontal="left"/>
      <protection locked="0"/>
    </xf>
    <xf numFmtId="0" fontId="6" fillId="10" borderId="12" xfId="0" applyFont="1" applyFill="1" applyBorder="1" applyAlignment="1" applyProtection="1">
      <alignment horizontal="center"/>
      <protection locked="0"/>
    </xf>
    <xf numFmtId="0" fontId="6" fillId="10" borderId="0" xfId="0" applyFont="1" applyFill="1" applyAlignment="1" applyProtection="1">
      <alignment horizontal="center"/>
      <protection locked="0"/>
    </xf>
    <xf numFmtId="49" fontId="1" fillId="10" borderId="0" xfId="0" applyNumberFormat="1" applyFont="1" applyFill="1" applyAlignment="1" applyProtection="1">
      <alignment horizontal="left"/>
      <protection locked="0"/>
    </xf>
    <xf numFmtId="0" fontId="5" fillId="10" borderId="0" xfId="0" applyFont="1" applyFill="1" applyAlignment="1" applyProtection="1">
      <alignment horizontal="left"/>
      <protection locked="0"/>
    </xf>
    <xf numFmtId="0" fontId="2" fillId="10" borderId="0" xfId="0" applyFont="1" applyFill="1" applyAlignment="1" applyProtection="1">
      <alignment horizontal="center"/>
      <protection locked="0"/>
    </xf>
    <xf numFmtId="0" fontId="5" fillId="10" borderId="0" xfId="0" applyFont="1" applyFill="1" applyAlignment="1" applyProtection="1">
      <alignment horizontal="center"/>
      <protection locked="0"/>
    </xf>
    <xf numFmtId="0" fontId="5" fillId="10" borderId="7" xfId="0" applyFont="1" applyFill="1" applyBorder="1" applyAlignment="1" applyProtection="1">
      <alignment horizontal="center"/>
      <protection locked="0"/>
    </xf>
    <xf numFmtId="0" fontId="31" fillId="10" borderId="0" xfId="0" applyFont="1" applyFill="1" applyAlignment="1">
      <alignment horizontal="center"/>
    </xf>
    <xf numFmtId="0" fontId="1" fillId="0" borderId="6" xfId="0" applyFont="1" applyBorder="1" applyAlignment="1">
      <alignment horizontal="right"/>
    </xf>
    <xf numFmtId="0" fontId="2" fillId="0" borderId="5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2" fillId="0" borderId="6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2" fillId="0" borderId="5" xfId="0" applyFont="1" applyBorder="1" applyAlignment="1"/>
    <xf numFmtId="0" fontId="2" fillId="0" borderId="15" xfId="0" applyFont="1" applyBorder="1" applyAlignment="1"/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1" fillId="10" borderId="12" xfId="0" applyFont="1" applyFill="1" applyBorder="1" applyAlignment="1">
      <alignment horizontal="center"/>
    </xf>
    <xf numFmtId="0" fontId="31" fillId="10" borderId="0" xfId="0" applyFont="1" applyFill="1" applyBorder="1" applyAlignment="1">
      <alignment horizontal="center"/>
    </xf>
    <xf numFmtId="0" fontId="2" fillId="0" borderId="12" xfId="0" quotePrefix="1" applyFont="1" applyBorder="1" applyAlignment="1">
      <alignment horizontal="left" vertical="top" wrapText="1"/>
    </xf>
    <xf numFmtId="0" fontId="2" fillId="0" borderId="0" xfId="0" quotePrefix="1" applyFont="1" applyBorder="1" applyAlignment="1">
      <alignment horizontal="left" vertical="top" wrapText="1"/>
    </xf>
    <xf numFmtId="0" fontId="2" fillId="0" borderId="12" xfId="0" quotePrefix="1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 wrapText="1"/>
    </xf>
    <xf numFmtId="0" fontId="2" fillId="0" borderId="7" xfId="0" quotePrefix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quotePrefix="1" applyFont="1" applyBorder="1" applyAlignment="1">
      <alignment horizontal="left" vertical="top"/>
    </xf>
    <xf numFmtId="0" fontId="0" fillId="0" borderId="55" xfId="0" quotePrefix="1" applyFont="1" applyBorder="1" applyAlignment="1">
      <alignment horizontal="left" vertical="top"/>
    </xf>
    <xf numFmtId="0" fontId="0" fillId="0" borderId="18" xfId="0" applyBorder="1" applyAlignment="1">
      <alignment horizontal="left"/>
    </xf>
    <xf numFmtId="0" fontId="0" fillId="0" borderId="55" xfId="0" applyBorder="1" applyAlignment="1">
      <alignment horizontal="left"/>
    </xf>
    <xf numFmtId="0" fontId="0" fillId="0" borderId="18" xfId="0" applyFont="1" applyBorder="1" applyAlignment="1">
      <alignment horizontal="left"/>
    </xf>
    <xf numFmtId="0" fontId="0" fillId="0" borderId="18" xfId="0" applyFont="1" applyBorder="1" applyAlignment="1">
      <alignment horizontal="left" vertical="center"/>
    </xf>
    <xf numFmtId="0" fontId="0" fillId="0" borderId="52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2" fillId="0" borderId="6" xfId="0" applyFont="1" applyBorder="1" applyAlignment="1" applyProtection="1">
      <alignment horizontal="left"/>
      <protection locked="0"/>
    </xf>
    <xf numFmtId="0" fontId="2" fillId="0" borderId="8" xfId="0" applyFont="1" applyBorder="1" applyAlignment="1" applyProtection="1">
      <alignment horizontal="left"/>
      <protection locked="0"/>
    </xf>
    <xf numFmtId="0" fontId="0" fillId="0" borderId="47" xfId="0" quotePrefix="1" applyFont="1" applyBorder="1" applyAlignment="1">
      <alignment horizontal="left" vertical="top"/>
    </xf>
    <xf numFmtId="0" fontId="2" fillId="0" borderId="52" xfId="0" applyFont="1" applyBorder="1" applyAlignment="1">
      <alignment horizontal="center"/>
    </xf>
    <xf numFmtId="0" fontId="0" fillId="0" borderId="52" xfId="0" quotePrefix="1" applyFont="1" applyBorder="1" applyAlignment="1">
      <alignment horizontal="left" vertical="top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31" fillId="10" borderId="2" xfId="0" quotePrefix="1" applyFont="1" applyFill="1" applyBorder="1" applyAlignment="1">
      <alignment horizontal="center" vertical="top" wrapText="1"/>
    </xf>
    <xf numFmtId="0" fontId="31" fillId="10" borderId="3" xfId="0" quotePrefix="1" applyFont="1" applyFill="1" applyBorder="1" applyAlignment="1">
      <alignment horizontal="center" vertical="top" wrapText="1"/>
    </xf>
    <xf numFmtId="0" fontId="31" fillId="10" borderId="4" xfId="0" quotePrefix="1" applyFont="1" applyFill="1" applyBorder="1" applyAlignment="1">
      <alignment horizontal="center" vertical="top" wrapText="1"/>
    </xf>
    <xf numFmtId="0" fontId="31" fillId="10" borderId="18" xfId="0" applyFont="1" applyFill="1" applyBorder="1" applyAlignment="1" applyProtection="1">
      <alignment horizontal="center" vertical="center"/>
      <protection locked="0"/>
    </xf>
    <xf numFmtId="0" fontId="0" fillId="0" borderId="16" xfId="0" applyFont="1" applyBorder="1" applyAlignment="1" applyProtection="1">
      <alignment horizontal="center" vertical="top"/>
      <protection locked="0"/>
    </xf>
    <xf numFmtId="0" fontId="0" fillId="0" borderId="0" xfId="0" applyFont="1" applyBorder="1" applyAlignment="1" applyProtection="1">
      <alignment horizontal="center" vertical="top"/>
      <protection locked="0"/>
    </xf>
    <xf numFmtId="0" fontId="0" fillId="0" borderId="18" xfId="0" applyBorder="1" applyAlignment="1">
      <alignment horizontal="left" vertical="center"/>
    </xf>
    <xf numFmtId="0" fontId="0" fillId="0" borderId="18" xfId="0" applyBorder="1" applyAlignment="1">
      <alignment horizontal="center"/>
    </xf>
    <xf numFmtId="0" fontId="3" fillId="9" borderId="18" xfId="0" applyFont="1" applyFill="1" applyBorder="1" applyAlignment="1">
      <alignment horizontal="left" vertical="center"/>
    </xf>
    <xf numFmtId="0" fontId="0" fillId="0" borderId="19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18" xfId="0" applyBorder="1" applyAlignment="1">
      <alignment horizontal="left" vertical="center" wrapText="1"/>
    </xf>
    <xf numFmtId="0" fontId="3" fillId="9" borderId="18" xfId="0" applyFont="1" applyFill="1" applyBorder="1" applyAlignment="1">
      <alignment horizontal="left" vertical="center" wrapText="1"/>
    </xf>
    <xf numFmtId="0" fontId="3" fillId="9" borderId="1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9" fontId="0" fillId="0" borderId="18" xfId="0" applyNumberForma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3" fillId="9" borderId="43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44" xfId="0" applyFont="1" applyFill="1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49" fontId="0" fillId="0" borderId="43" xfId="0" applyNumberForma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0" fillId="0" borderId="0" xfId="0" applyAlignment="1">
      <alignment horizontal="justify" vertical="top" wrapText="1"/>
    </xf>
    <xf numFmtId="0" fontId="0" fillId="0" borderId="0" xfId="0" applyAlignment="1">
      <alignment horizontal="justify" wrapText="1"/>
    </xf>
  </cellXfs>
  <cellStyles count="3">
    <cellStyle name="Hiperlink" xfId="1" builtinId="8"/>
    <cellStyle name="Normal" xfId="0" builtinId="0"/>
    <cellStyle name="Porcentagem" xfId="2" builtinId="5"/>
  </cellStyles>
  <dxfs count="80"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003466"/>
      <color rgb="FF404040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1165411</xdr:colOff>
      <xdr:row>37</xdr:row>
      <xdr:rowOff>89647</xdr:rowOff>
    </xdr:from>
    <xdr:to>
      <xdr:col>12</xdr:col>
      <xdr:colOff>190500</xdr:colOff>
      <xdr:row>40</xdr:row>
      <xdr:rowOff>134471</xdr:rowOff>
    </xdr:to>
    <xdr:cxnSp macro="">
      <xdr:nvCxnSpPr>
        <xdr:cNvPr id="2" name="Conector de Seta Reta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 flipV="1">
          <a:off x="17977036" y="6176122"/>
          <a:ext cx="206189" cy="6353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142875</xdr:colOff>
      <xdr:row>26</xdr:row>
      <xdr:rowOff>104775</xdr:rowOff>
    </xdr:from>
    <xdr:to>
      <xdr:col>6</xdr:col>
      <xdr:colOff>1704975</xdr:colOff>
      <xdr:row>30</xdr:row>
      <xdr:rowOff>0</xdr:rowOff>
    </xdr:to>
    <xdr:sp macro="" textlink="">
      <xdr:nvSpPr>
        <xdr:cNvPr id="7239" name="Text Box 71" hidden="1">
          <a:extLst>
            <a:ext uri="{FF2B5EF4-FFF2-40B4-BE49-F238E27FC236}">
              <a16:creationId xmlns:a16="http://schemas.microsoft.com/office/drawing/2014/main" id="{00000000-0008-0000-0000-0000471C0000}"/>
            </a:ext>
          </a:extLst>
        </xdr:cNvPr>
        <xdr:cNvSpPr txBox="1">
          <a:spLocks noChangeArrowheads="1"/>
        </xdr:cNvSpPr>
      </xdr:nvSpPr>
      <xdr:spPr bwMode="auto">
        <a:xfrm>
          <a:off x="11525250" y="5191125"/>
          <a:ext cx="156210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36</xdr:row>
      <xdr:rowOff>0</xdr:rowOff>
    </xdr:from>
    <xdr:to>
      <xdr:col>8</xdr:col>
      <xdr:colOff>495300</xdr:colOff>
      <xdr:row>36</xdr:row>
      <xdr:rowOff>0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323850" y="8058150"/>
          <a:ext cx="2047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295275</xdr:colOff>
      <xdr:row>36</xdr:row>
      <xdr:rowOff>0</xdr:rowOff>
    </xdr:from>
    <xdr:to>
      <xdr:col>12</xdr:col>
      <xdr:colOff>142875</xdr:colOff>
      <xdr:row>36</xdr:row>
      <xdr:rowOff>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2562225" y="8058150"/>
          <a:ext cx="8286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47625</xdr:colOff>
      <xdr:row>36</xdr:row>
      <xdr:rowOff>0</xdr:rowOff>
    </xdr:from>
    <xdr:to>
      <xdr:col>18</xdr:col>
      <xdr:colOff>200025</xdr:colOff>
      <xdr:row>36</xdr:row>
      <xdr:rowOff>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CxnSpPr/>
      </xdr:nvCxnSpPr>
      <xdr:spPr>
        <a:xfrm>
          <a:off x="3629025" y="7562850"/>
          <a:ext cx="23145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285750</xdr:colOff>
      <xdr:row>25</xdr:row>
      <xdr:rowOff>9525</xdr:rowOff>
    </xdr:from>
    <xdr:to>
      <xdr:col>18</xdr:col>
      <xdr:colOff>0</xdr:colOff>
      <xdr:row>32</xdr:row>
      <xdr:rowOff>161925</xdr:rowOff>
    </xdr:to>
    <xdr:sp macro="" textlink="">
      <xdr:nvSpPr>
        <xdr:cNvPr id="8" name="Retângulo 7"/>
        <xdr:cNvSpPr/>
      </xdr:nvSpPr>
      <xdr:spPr>
        <a:xfrm>
          <a:off x="3552825" y="5743575"/>
          <a:ext cx="2466975" cy="2466975"/>
        </a:xfrm>
        <a:prstGeom prst="rect">
          <a:avLst/>
        </a:prstGeom>
        <a:solidFill>
          <a:srgbClr val="00346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14</xdr:col>
      <xdr:colOff>84775</xdr:colOff>
      <xdr:row>25</xdr:row>
      <xdr:rowOff>148938</xdr:rowOff>
    </xdr:from>
    <xdr:to>
      <xdr:col>17</xdr:col>
      <xdr:colOff>752475</xdr:colOff>
      <xdr:row>32</xdr:row>
      <xdr:rowOff>0</xdr:rowOff>
    </xdr:to>
    <xdr:pic>
      <xdr:nvPicPr>
        <xdr:cNvPr id="6" name="Imagem 5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70" t="26795" r="41486" b="29174"/>
        <a:stretch/>
      </xdr:blipFill>
      <xdr:spPr>
        <a:xfrm>
          <a:off x="4313875" y="5654388"/>
          <a:ext cx="2382200" cy="2165637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25</xdr:row>
      <xdr:rowOff>0</xdr:rowOff>
    </xdr:from>
    <xdr:to>
      <xdr:col>11</xdr:col>
      <xdr:colOff>0</xdr:colOff>
      <xdr:row>32</xdr:row>
      <xdr:rowOff>152400</xdr:rowOff>
    </xdr:to>
    <xdr:sp macro="" textlink="">
      <xdr:nvSpPr>
        <xdr:cNvPr id="9" name="Retângulo 8"/>
        <xdr:cNvSpPr/>
      </xdr:nvSpPr>
      <xdr:spPr>
        <a:xfrm>
          <a:off x="428625" y="5734050"/>
          <a:ext cx="2466975" cy="2466975"/>
        </a:xfrm>
        <a:prstGeom prst="rect">
          <a:avLst/>
        </a:prstGeom>
        <a:solidFill>
          <a:srgbClr val="00346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3</xdr:col>
      <xdr:colOff>123824</xdr:colOff>
      <xdr:row>27</xdr:row>
      <xdr:rowOff>200026</xdr:rowOff>
    </xdr:from>
    <xdr:to>
      <xdr:col>10</xdr:col>
      <xdr:colOff>215003</xdr:colOff>
      <xdr:row>30</xdr:row>
      <xdr:rowOff>914400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49" y="6162676"/>
          <a:ext cx="2577204" cy="140017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TEUS HENRIQUE MARINS" id="{C54EED2E-3430-46C6-B3F8-15780206199A}" userId="MATEUS HENRIQUE MARINS" providerId="None"/>
  <person displayName="VOLMIR SORTICA PACKEISER" id="{7A743AE0-2500-4E40-A103-F659B4E62202}" userId="VOLMIR SORTICA PACKEISER" providerId="None"/>
</personList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4" dT="2019-06-27T19:00:55.39" personId="{C54EED2E-3430-46C6-B3F8-15780206199A}" id="{8498480B-92BD-48F7-B110-93575648461B}">
    <text>Potencia do sistema assume valor da menor potencia (comparando modulos e inversores)</text>
  </threadedComment>
  <threadedComment ref="B32" dT="2019-01-15T12:38:06.09" personId="{7A743AE0-2500-4E40-A103-F659B4E62202}" id="{873E5F03-5D1D-490C-8790-00001DB5EBFB}">
    <text>Colcoar em decimal, exemplo:
29.817588</text>
  </threadedComment>
  <threadedComment ref="B33" dT="2019-01-15T12:38:35.92" personId="{7A743AE0-2500-4E40-A103-F659B4E62202}" id="{631CF21C-B9FB-4B4F-8362-C05998B6A2C8}">
    <text>Colcoar em decimal, exemplo:
51.124284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atistajbs@gmail.com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solarweb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T61"/>
  <sheetViews>
    <sheetView showGridLines="0" topLeftCell="A16" zoomScaleNormal="100" workbookViewId="0">
      <selection activeCell="F36" sqref="F36"/>
    </sheetView>
  </sheetViews>
  <sheetFormatPr defaultRowHeight="15"/>
  <cols>
    <col min="1" max="1" width="1" style="75" customWidth="1"/>
    <col min="2" max="2" width="37.85546875" style="75" bestFit="1" customWidth="1"/>
    <col min="3" max="3" width="39.28515625" style="75" customWidth="1"/>
    <col min="4" max="4" width="3.7109375" style="75" customWidth="1"/>
    <col min="5" max="5" width="46.5703125" style="75" bestFit="1" customWidth="1"/>
    <col min="6" max="6" width="42.28515625" style="75" customWidth="1"/>
    <col min="7" max="7" width="31.140625" style="75" customWidth="1"/>
    <col min="8" max="8" width="17.7109375" style="75" customWidth="1"/>
    <col min="9" max="9" width="12" style="75" customWidth="1"/>
    <col min="10" max="10" width="13.28515625" style="75" customWidth="1"/>
    <col min="11" max="11" width="7" style="75" bestFit="1" customWidth="1"/>
    <col min="12" max="12" width="17.7109375" style="75" customWidth="1"/>
    <col min="13" max="13" width="13.140625" style="75" customWidth="1"/>
    <col min="14" max="16384" width="9.140625" style="75"/>
  </cols>
  <sheetData>
    <row r="1" spans="2:16" ht="6.75" customHeight="1" thickBot="1"/>
    <row r="2" spans="2:16" ht="15.75" thickBot="1">
      <c r="B2" s="76" t="s">
        <v>275</v>
      </c>
      <c r="C2" s="77"/>
      <c r="E2" s="78" t="s">
        <v>296</v>
      </c>
      <c r="F2" s="79" t="s">
        <v>156</v>
      </c>
      <c r="G2" s="80"/>
      <c r="I2" s="81"/>
      <c r="J2" s="81"/>
      <c r="K2" s="81"/>
      <c r="L2" s="81"/>
      <c r="M2" s="81"/>
      <c r="N2" s="81"/>
      <c r="O2" s="81"/>
      <c r="P2" s="81"/>
    </row>
    <row r="3" spans="2:16" ht="15.75" thickBot="1">
      <c r="B3" s="76" t="s">
        <v>5</v>
      </c>
      <c r="C3" s="82" t="s">
        <v>639</v>
      </c>
      <c r="D3" s="83"/>
      <c r="E3" s="84" t="s">
        <v>259</v>
      </c>
      <c r="F3" s="85" t="s">
        <v>260</v>
      </c>
      <c r="G3" s="80"/>
      <c r="I3" s="81"/>
      <c r="J3" s="81"/>
      <c r="K3" s="81"/>
      <c r="L3" s="81"/>
      <c r="M3" s="81"/>
      <c r="N3" s="81"/>
      <c r="O3" s="81"/>
      <c r="P3" s="81"/>
    </row>
    <row r="4" spans="2:16" ht="15.75" thickBot="1">
      <c r="B4" s="76" t="s">
        <v>255</v>
      </c>
      <c r="C4" s="82" t="s">
        <v>640</v>
      </c>
      <c r="E4" s="78" t="s">
        <v>132</v>
      </c>
      <c r="F4" s="79" t="s">
        <v>15</v>
      </c>
      <c r="G4" s="80"/>
      <c r="I4" s="81"/>
      <c r="J4" s="81"/>
      <c r="K4" s="81"/>
      <c r="L4" s="81"/>
      <c r="M4" s="86"/>
      <c r="N4" s="81"/>
      <c r="O4" s="81"/>
      <c r="P4" s="81"/>
    </row>
    <row r="5" spans="2:16" ht="15.75" thickBot="1">
      <c r="B5" s="76" t="s">
        <v>121</v>
      </c>
      <c r="C5" s="77" t="s">
        <v>641</v>
      </c>
      <c r="E5" s="87" t="s">
        <v>133</v>
      </c>
      <c r="F5" s="88" t="s">
        <v>116</v>
      </c>
      <c r="G5" s="89">
        <f>IF(F5="Trifásico",4,IF(F5="Bifásico",3,IF(F5="Monofásico",2,"")))</f>
        <v>2</v>
      </c>
      <c r="H5" s="75" t="str">
        <f>IF(F3="alumínio","T-","")</f>
        <v/>
      </c>
      <c r="I5" s="81"/>
      <c r="J5" s="81"/>
      <c r="K5" s="81"/>
      <c r="L5" s="81"/>
      <c r="M5" s="81"/>
      <c r="N5" s="81"/>
      <c r="O5" s="81"/>
      <c r="P5" s="81"/>
    </row>
    <row r="6" spans="2:16" ht="15.75" thickBot="1">
      <c r="B6" s="76" t="s">
        <v>241</v>
      </c>
      <c r="C6" s="77" t="s">
        <v>243</v>
      </c>
      <c r="E6" s="84" t="s">
        <v>297</v>
      </c>
      <c r="F6" s="85">
        <v>10</v>
      </c>
      <c r="G6" s="90"/>
      <c r="H6" s="91"/>
      <c r="I6" s="92"/>
      <c r="J6" s="93"/>
      <c r="K6" s="94">
        <f>IF(F2="","",VLOOKUP($F$2,Valid.Dados!$C$23:$H$119,4,FALSE))</f>
        <v>6</v>
      </c>
      <c r="L6" s="94">
        <f>IF(F2="","",VLOOKUP($F$2,Valid.Dados!$C$23:$H$119,5,FALSE))</f>
        <v>10</v>
      </c>
      <c r="M6" s="81"/>
      <c r="N6" s="81"/>
      <c r="O6" s="81"/>
      <c r="P6" s="81"/>
    </row>
    <row r="7" spans="2:16" ht="15.75" thickBot="1">
      <c r="B7" s="76" t="s">
        <v>32</v>
      </c>
      <c r="C7" s="82" t="s">
        <v>642</v>
      </c>
      <c r="E7" s="95" t="s">
        <v>250</v>
      </c>
      <c r="H7" s="80"/>
      <c r="I7" s="81"/>
      <c r="J7" s="81"/>
      <c r="K7" s="81"/>
      <c r="L7" s="81"/>
      <c r="M7" s="81"/>
      <c r="N7" s="81"/>
      <c r="O7" s="81"/>
      <c r="P7" s="81"/>
    </row>
    <row r="8" spans="2:16" ht="15.75" thickBot="1">
      <c r="B8" s="76" t="s">
        <v>40</v>
      </c>
      <c r="C8" s="230" t="s">
        <v>643</v>
      </c>
      <c r="E8" s="96" t="s">
        <v>203</v>
      </c>
      <c r="F8" s="79" t="s">
        <v>169</v>
      </c>
      <c r="H8" s="80"/>
      <c r="I8" s="81"/>
      <c r="J8" s="81"/>
      <c r="K8" s="81"/>
      <c r="L8" s="81"/>
      <c r="M8" s="81"/>
      <c r="N8" s="81"/>
      <c r="O8" s="81"/>
      <c r="P8" s="81"/>
    </row>
    <row r="9" spans="2:16" ht="15.75" thickBot="1">
      <c r="B9" s="76" t="s">
        <v>122</v>
      </c>
      <c r="C9" s="141" t="s">
        <v>644</v>
      </c>
      <c r="E9" s="96" t="s">
        <v>204</v>
      </c>
      <c r="F9" s="79" t="s">
        <v>436</v>
      </c>
      <c r="I9" s="81"/>
      <c r="J9" s="81"/>
      <c r="K9" s="81"/>
      <c r="L9" s="81"/>
      <c r="M9" s="81"/>
      <c r="N9" s="81"/>
      <c r="O9" s="81"/>
      <c r="P9" s="81"/>
    </row>
    <row r="10" spans="2:16" ht="15.75" thickBot="1">
      <c r="B10" s="76" t="s">
        <v>123</v>
      </c>
      <c r="C10" s="141" t="s">
        <v>644</v>
      </c>
      <c r="E10" s="96" t="s">
        <v>181</v>
      </c>
      <c r="F10" s="79" t="s">
        <v>175</v>
      </c>
      <c r="I10" s="81"/>
      <c r="J10" s="81"/>
      <c r="K10" s="81"/>
      <c r="L10" s="81"/>
      <c r="M10" s="81"/>
      <c r="N10" s="81"/>
      <c r="O10" s="81"/>
      <c r="P10" s="81"/>
    </row>
    <row r="11" spans="2:16" ht="30.75" thickBot="1">
      <c r="B11" s="97" t="s">
        <v>124</v>
      </c>
      <c r="C11" s="98"/>
      <c r="E11" s="99" t="s">
        <v>446</v>
      </c>
      <c r="F11" s="79" t="str">
        <f>IF(F8="padrão multi 100",F8,IF(F8="padrão multi 200",F8,IF(F8="","",CONCATENATE(F10," - Tamanho ",F9,", ",F8," (conforme RIC BT)"))))</f>
        <v>CE - Tamanho Monofásica, Policarbonato (conforme RIC BT)</v>
      </c>
      <c r="G11" s="80"/>
      <c r="I11" s="81"/>
      <c r="J11" s="81"/>
      <c r="K11" s="81"/>
      <c r="L11" s="81"/>
      <c r="M11" s="81"/>
      <c r="N11" s="81"/>
      <c r="O11" s="81"/>
      <c r="P11" s="81"/>
    </row>
    <row r="12" spans="2:16" ht="15.75" thickBot="1">
      <c r="B12" s="76" t="s">
        <v>47</v>
      </c>
      <c r="C12" s="77" t="str">
        <f>IF($C$6="CNPJ","?","--")</f>
        <v>--</v>
      </c>
      <c r="I12" s="81"/>
      <c r="J12" s="81"/>
      <c r="K12" s="81"/>
      <c r="L12" s="81"/>
      <c r="M12" s="81"/>
      <c r="N12" s="81"/>
      <c r="O12" s="81"/>
      <c r="P12" s="81"/>
    </row>
    <row r="13" spans="2:16" ht="15.75" thickBot="1">
      <c r="B13" s="76" t="s">
        <v>48</v>
      </c>
      <c r="C13" s="77" t="str">
        <f>IF($C$6="CNPJ","?","--")</f>
        <v>--</v>
      </c>
      <c r="E13" s="76" t="s">
        <v>130</v>
      </c>
      <c r="F13" s="77" t="s">
        <v>6</v>
      </c>
      <c r="G13" s="75" t="s">
        <v>131</v>
      </c>
    </row>
    <row r="14" spans="2:16" ht="15.75" thickBot="1">
      <c r="B14" s="76" t="s">
        <v>256</v>
      </c>
      <c r="C14" s="77" t="str">
        <f>IF($C$6="CNPJ","?","--")</f>
        <v>--</v>
      </c>
      <c r="E14" s="76" t="s">
        <v>41</v>
      </c>
      <c r="F14" s="77" t="s">
        <v>89</v>
      </c>
    </row>
    <row r="15" spans="2:16" ht="15.75" thickBot="1">
      <c r="E15" s="76" t="s">
        <v>42</v>
      </c>
      <c r="F15" s="77" t="s">
        <v>8</v>
      </c>
    </row>
    <row r="16" spans="2:16" ht="15.75" thickBot="1">
      <c r="B16" s="75" t="s">
        <v>125</v>
      </c>
      <c r="C16" s="77" t="s">
        <v>126</v>
      </c>
      <c r="E16" s="76" t="s">
        <v>269</v>
      </c>
      <c r="F16" s="142" t="str">
        <f>IF(G25&gt;75,"minigeração","microgeração")</f>
        <v>microgeração</v>
      </c>
      <c r="G16" s="100" t="s">
        <v>431</v>
      </c>
      <c r="H16" s="101" t="str">
        <f>IF(F16=Valid.Dados!A31,"?","--")</f>
        <v>--</v>
      </c>
    </row>
    <row r="17" spans="2:20" ht="15.75" thickBot="1">
      <c r="B17" s="95" t="s">
        <v>129</v>
      </c>
      <c r="E17" s="76" t="s">
        <v>272</v>
      </c>
      <c r="F17" s="101" t="str">
        <f>IF(F16=Valid.Dados!A31,"?","--")</f>
        <v>--</v>
      </c>
      <c r="G17" s="100" t="s">
        <v>432</v>
      </c>
      <c r="H17" s="101" t="str">
        <f>IF(F16=Valid.Dados!A31,"?","--")</f>
        <v>--</v>
      </c>
    </row>
    <row r="18" spans="2:20" ht="15.75" thickBot="1">
      <c r="E18" s="76" t="s">
        <v>273</v>
      </c>
      <c r="F18" s="101" t="str">
        <f>IF(F16=Valid.Dados!A31,"?","--")</f>
        <v>--</v>
      </c>
      <c r="G18" s="100" t="s">
        <v>439</v>
      </c>
      <c r="H18" s="101" t="str">
        <f>IF(F16=Valid.Dados!A31,"?","--")</f>
        <v>--</v>
      </c>
    </row>
    <row r="19" spans="2:20" ht="15.75" thickBot="1">
      <c r="B19" s="76" t="s">
        <v>257</v>
      </c>
      <c r="C19" s="77" t="s">
        <v>263</v>
      </c>
      <c r="E19" s="76" t="s">
        <v>267</v>
      </c>
      <c r="F19" s="101" t="str">
        <f>IF(F16=Valid.Dados!A31,"?","--")</f>
        <v>--</v>
      </c>
      <c r="G19" s="100" t="s">
        <v>440</v>
      </c>
      <c r="H19" s="101" t="str">
        <f>IF(F16=Valid.Dados!A31,"?","--")</f>
        <v>--</v>
      </c>
    </row>
    <row r="20" spans="2:20" ht="15.75" thickBot="1">
      <c r="B20" s="76" t="s">
        <v>258</v>
      </c>
      <c r="C20" s="77" t="s">
        <v>645</v>
      </c>
      <c r="E20" s="76" t="s">
        <v>268</v>
      </c>
      <c r="F20" s="101" t="str">
        <f>IF(F16=Valid.Dados!A31,"?","--")</f>
        <v>--</v>
      </c>
      <c r="Q20" s="80"/>
      <c r="S20" s="80"/>
      <c r="T20" s="80"/>
    </row>
    <row r="21" spans="2:20" ht="15.75" thickBot="1">
      <c r="B21" s="76" t="s">
        <v>120</v>
      </c>
      <c r="C21" s="77">
        <v>12</v>
      </c>
      <c r="E21" s="76" t="s">
        <v>44</v>
      </c>
      <c r="F21" s="77" t="s">
        <v>636</v>
      </c>
      <c r="O21" s="80"/>
      <c r="P21" s="80"/>
      <c r="Q21" s="80"/>
      <c r="R21" s="80"/>
      <c r="S21" s="80"/>
      <c r="T21" s="80"/>
    </row>
    <row r="22" spans="2:20" ht="15.75" thickBot="1">
      <c r="B22" s="76" t="s">
        <v>30</v>
      </c>
      <c r="C22" s="77" t="s">
        <v>646</v>
      </c>
      <c r="E22" s="102" t="s">
        <v>24</v>
      </c>
      <c r="F22" s="41" t="s">
        <v>25</v>
      </c>
      <c r="G22" s="75" t="s">
        <v>119</v>
      </c>
      <c r="O22" s="80"/>
      <c r="P22" s="80"/>
      <c r="Q22" s="80"/>
      <c r="R22" s="80"/>
    </row>
    <row r="23" spans="2:20" ht="15.75" thickBot="1">
      <c r="B23" s="76" t="s">
        <v>39</v>
      </c>
      <c r="C23" s="77" t="s">
        <v>647</v>
      </c>
      <c r="E23" s="103" t="s">
        <v>29</v>
      </c>
      <c r="F23" s="41" t="s">
        <v>8</v>
      </c>
      <c r="G23" s="75" t="s">
        <v>28</v>
      </c>
      <c r="O23" s="80"/>
      <c r="P23" s="80"/>
    </row>
    <row r="24" spans="2:20" ht="15.75" thickBot="1">
      <c r="B24" s="76" t="s">
        <v>31</v>
      </c>
      <c r="C24" s="77" t="s">
        <v>648</v>
      </c>
      <c r="E24" s="104" t="s">
        <v>232</v>
      </c>
      <c r="F24" s="77">
        <f>IF($F$2="","",VLOOKUP($F$2,Valid.Dados!$C$23:$E643,2,FALSE))</f>
        <v>15</v>
      </c>
      <c r="G24" s="120" t="s">
        <v>441</v>
      </c>
      <c r="H24" s="125"/>
      <c r="I24" s="125"/>
      <c r="S24" s="80"/>
      <c r="T24" s="80"/>
    </row>
    <row r="25" spans="2:20" ht="15.75" thickBot="1">
      <c r="B25" s="105" t="s">
        <v>128</v>
      </c>
      <c r="C25" s="106"/>
      <c r="E25" s="78" t="s">
        <v>134</v>
      </c>
      <c r="F25" s="77">
        <f>IF($F$2="","",VLOOKUP($F$2,Valid.Dados!$C$23:$E$63,3,FALSE))</f>
        <v>40</v>
      </c>
      <c r="G25" s="120">
        <f>IF(I36="",0,IF(PotMod&gt;PotInv,PotInv,PotMod))</f>
        <v>6</v>
      </c>
      <c r="H25" s="89"/>
      <c r="I25" s="89"/>
      <c r="J25" s="80"/>
      <c r="K25" s="80"/>
      <c r="L25" s="80"/>
      <c r="M25" s="80"/>
      <c r="N25" s="80"/>
      <c r="R25" s="80"/>
      <c r="S25" s="80"/>
      <c r="T25" s="80"/>
    </row>
    <row r="26" spans="2:20" ht="15.75" thickBot="1">
      <c r="B26" s="76" t="s">
        <v>257</v>
      </c>
      <c r="C26" s="77" t="str">
        <f t="shared" ref="C26:C31" si="0">IF($C$16="Sim",C19,"?")</f>
        <v>Rua</v>
      </c>
      <c r="E26" s="103" t="s">
        <v>27</v>
      </c>
      <c r="F26" s="77">
        <f>IF($F$2="","",VLOOKUP($F$2,Valid.Dados!$C$23:$E643,2,FALSE))</f>
        <v>15</v>
      </c>
      <c r="H26" s="80"/>
      <c r="I26" s="80"/>
      <c r="J26" s="80"/>
      <c r="K26" s="80"/>
      <c r="L26" s="80"/>
      <c r="M26" s="80"/>
      <c r="N26" s="80"/>
      <c r="R26" s="80"/>
      <c r="S26" s="80"/>
      <c r="T26" s="80"/>
    </row>
    <row r="27" spans="2:20" ht="15.75" thickBot="1">
      <c r="B27" s="76" t="s">
        <v>258</v>
      </c>
      <c r="C27" s="77" t="str">
        <f t="shared" si="0"/>
        <v>RIO GRANDE</v>
      </c>
      <c r="K27" s="80"/>
      <c r="L27" s="80"/>
      <c r="M27" s="80"/>
      <c r="N27" s="80"/>
      <c r="R27" s="80"/>
      <c r="S27" s="80"/>
      <c r="T27" s="80"/>
    </row>
    <row r="28" spans="2:20" ht="15.75" thickBot="1">
      <c r="B28" s="76" t="s">
        <v>120</v>
      </c>
      <c r="C28" s="77">
        <f t="shared" si="0"/>
        <v>12</v>
      </c>
      <c r="F28" s="107" t="s">
        <v>251</v>
      </c>
      <c r="G28" s="235" t="s">
        <v>252</v>
      </c>
      <c r="H28" s="235"/>
      <c r="I28" s="107" t="s">
        <v>219</v>
      </c>
      <c r="R28" s="80"/>
    </row>
    <row r="29" spans="2:20" ht="15.75" thickBot="1">
      <c r="B29" s="76" t="s">
        <v>30</v>
      </c>
      <c r="C29" s="77" t="str">
        <f t="shared" si="0"/>
        <v>SCHARLAU</v>
      </c>
      <c r="E29" s="76" t="s">
        <v>50</v>
      </c>
      <c r="F29" s="77">
        <v>1</v>
      </c>
      <c r="G29" s="231"/>
      <c r="H29" s="232"/>
      <c r="I29" s="108">
        <f>SUM(F29:H29)</f>
        <v>1</v>
      </c>
    </row>
    <row r="30" spans="2:20" ht="15.75" thickBot="1">
      <c r="B30" s="76" t="s">
        <v>39</v>
      </c>
      <c r="C30" s="77" t="str">
        <f t="shared" si="0"/>
        <v>SÃO LEOPOLDO</v>
      </c>
      <c r="E30" s="76" t="s">
        <v>51</v>
      </c>
      <c r="F30" s="77" t="s">
        <v>653</v>
      </c>
      <c r="G30" s="231"/>
      <c r="H30" s="232"/>
      <c r="I30" s="109" t="s">
        <v>220</v>
      </c>
    </row>
    <row r="31" spans="2:20" ht="15.75" thickBot="1">
      <c r="B31" s="76" t="s">
        <v>31</v>
      </c>
      <c r="C31" s="77" t="str">
        <f t="shared" si="0"/>
        <v>93135-673</v>
      </c>
      <c r="E31" s="76" t="s">
        <v>52</v>
      </c>
      <c r="F31" s="77" t="s">
        <v>654</v>
      </c>
      <c r="G31" s="231"/>
      <c r="H31" s="232"/>
      <c r="I31" s="109" t="s">
        <v>220</v>
      </c>
      <c r="O31" s="126"/>
      <c r="P31" s="126"/>
    </row>
    <row r="32" spans="2:20" ht="15.75" thickBot="1">
      <c r="B32" s="76" t="s">
        <v>135</v>
      </c>
      <c r="C32" s="82" t="s">
        <v>649</v>
      </c>
      <c r="E32" s="76" t="s">
        <v>217</v>
      </c>
      <c r="F32" s="101">
        <v>6</v>
      </c>
      <c r="G32" s="231" t="str">
        <f>IF(G31="","",VLOOKUP(G31,'BD Inv'!$A$3:$AN$624,'BD Inv'!$J$1,FALSE)/1000*G29)</f>
        <v/>
      </c>
      <c r="H32" s="232"/>
      <c r="I32" s="111">
        <f>SUM(F32:H32)</f>
        <v>6</v>
      </c>
      <c r="O32" s="126"/>
      <c r="P32" s="126"/>
    </row>
    <row r="33" spans="2:16" ht="15.75" thickBot="1">
      <c r="B33" s="76" t="s">
        <v>136</v>
      </c>
      <c r="C33" s="82" t="s">
        <v>650</v>
      </c>
      <c r="E33" s="76" t="s">
        <v>211</v>
      </c>
      <c r="F33" s="101">
        <v>0</v>
      </c>
      <c r="G33" s="231" t="str">
        <f>IF(G31="","",VLOOKUP(G31,'BD Inv'!$A$3:$AN$624,'BD Inv'!$P$1,FALSE))</f>
        <v/>
      </c>
      <c r="H33" s="232"/>
      <c r="I33" s="112" t="s">
        <v>220</v>
      </c>
    </row>
    <row r="34" spans="2:16" ht="15.75" thickBot="1">
      <c r="E34" s="76" t="s">
        <v>218</v>
      </c>
      <c r="F34" s="143">
        <v>6</v>
      </c>
      <c r="G34" s="233">
        <f>IF(G31="",0,VLOOKUP(G31,'BD Inv'!$A$3:$AN$624,'BD Inv'!$J$1,FALSE)/1000)</f>
        <v>0</v>
      </c>
      <c r="H34" s="234"/>
      <c r="I34" s="124">
        <f>SUM(F34:H34)</f>
        <v>6</v>
      </c>
    </row>
    <row r="35" spans="2:16" ht="15.75" thickBot="1">
      <c r="B35" s="113" t="s">
        <v>49</v>
      </c>
      <c r="E35" s="76" t="s">
        <v>274</v>
      </c>
      <c r="F35" s="144">
        <v>6</v>
      </c>
      <c r="G35" s="244">
        <f>IF(G29="",0,G34*G29)</f>
        <v>0</v>
      </c>
      <c r="H35" s="245"/>
      <c r="I35" s="124">
        <f>SUM(F35:H35)</f>
        <v>6</v>
      </c>
    </row>
    <row r="36" spans="2:16" ht="15.75" thickBot="1">
      <c r="B36" s="76" t="s">
        <v>50</v>
      </c>
      <c r="C36" s="77">
        <v>12</v>
      </c>
      <c r="I36" s="123">
        <f>IF(F29="","",IF(G29="",F29*F34,F34*F29+G34*G29))</f>
        <v>6</v>
      </c>
      <c r="M36" s="110" t="s">
        <v>261</v>
      </c>
      <c r="N36" s="110"/>
      <c r="O36" s="110"/>
      <c r="P36" s="110"/>
    </row>
    <row r="37" spans="2:16" ht="15.75" thickBot="1">
      <c r="B37" s="76" t="s">
        <v>51</v>
      </c>
      <c r="C37" s="77" t="s">
        <v>651</v>
      </c>
      <c r="E37" s="102" t="s">
        <v>26</v>
      </c>
      <c r="F37" s="127" t="str">
        <f>F16</f>
        <v>microgeração</v>
      </c>
      <c r="G37" s="75" t="s">
        <v>28</v>
      </c>
      <c r="M37" s="110" t="s">
        <v>262</v>
      </c>
      <c r="N37" s="110"/>
      <c r="O37" s="110"/>
      <c r="P37" s="110"/>
    </row>
    <row r="38" spans="2:16" ht="15.75" thickBot="1">
      <c r="B38" s="76" t="s">
        <v>52</v>
      </c>
      <c r="C38" s="77" t="s">
        <v>652</v>
      </c>
      <c r="E38" s="103" t="s">
        <v>253</v>
      </c>
      <c r="F38" s="77" t="str">
        <f>IF($F$37="Minigeração distribuída","","--")</f>
        <v>--</v>
      </c>
    </row>
    <row r="39" spans="2:16" ht="15.75" thickBot="1">
      <c r="B39" s="76" t="s">
        <v>53</v>
      </c>
      <c r="C39" s="121">
        <f>IF($C$38="",0,C36*C41/1000)</f>
        <v>7.02</v>
      </c>
      <c r="E39" s="103" t="s">
        <v>254</v>
      </c>
      <c r="F39" s="77" t="str">
        <f>IF($F$37="Minigeração distribuída","","--")</f>
        <v>--</v>
      </c>
    </row>
    <row r="40" spans="2:16" ht="15.75" thickBot="1">
      <c r="B40" s="76" t="s">
        <v>54</v>
      </c>
      <c r="C40" s="122">
        <f>IF($C$38="","",C36*C44)</f>
        <v>31.752907200000003</v>
      </c>
    </row>
    <row r="41" spans="2:16" ht="15.75" thickBot="1">
      <c r="B41" s="76" t="s">
        <v>56</v>
      </c>
      <c r="C41" s="120">
        <f>IF($C$38="","",VLOOKUP($C$38,'BD Mod'!$B$2:$AG$186,'BD Mod'!$D$1,FALSE))</f>
        <v>585</v>
      </c>
    </row>
    <row r="42" spans="2:16" ht="15.75" thickBot="1">
      <c r="B42" s="76" t="s">
        <v>212</v>
      </c>
      <c r="C42" s="120" t="str">
        <f>IF($C$38="","",VLOOKUP($C$38,'BD Mod'!$B$2:$AG$186,'BD Mod'!$Q$1,FALSE))</f>
        <v>Monocristalino</v>
      </c>
      <c r="E42" s="95" t="s">
        <v>221</v>
      </c>
      <c r="G42" s="95" t="s">
        <v>229</v>
      </c>
      <c r="I42" s="235" t="s">
        <v>251</v>
      </c>
      <c r="J42" s="235"/>
      <c r="K42" s="246" t="s">
        <v>252</v>
      </c>
      <c r="L42" s="246"/>
      <c r="M42" s="246" t="s">
        <v>252</v>
      </c>
      <c r="N42" s="246"/>
    </row>
    <row r="43" spans="2:16" ht="15.75" thickBot="1">
      <c r="B43" s="76" t="s">
        <v>214</v>
      </c>
      <c r="C43" s="120">
        <f>IF($C$38="","",VLOOKUP($C$38,'BD Mod'!$B$2:$AG$186,'BD Mod'!$R$1,FALSE))</f>
        <v>144</v>
      </c>
      <c r="E43" s="103" t="s">
        <v>246</v>
      </c>
      <c r="F43" s="77">
        <v>9</v>
      </c>
      <c r="G43" s="238" t="s">
        <v>225</v>
      </c>
      <c r="H43" s="239"/>
      <c r="I43" s="231">
        <v>20</v>
      </c>
      <c r="J43" s="232"/>
      <c r="K43" s="231"/>
      <c r="L43" s="232"/>
      <c r="M43" s="231"/>
      <c r="N43" s="232"/>
    </row>
    <row r="44" spans="2:16" ht="15.75" thickBot="1">
      <c r="B44" s="76" t="s">
        <v>215</v>
      </c>
      <c r="C44" s="120">
        <f>IF($C$38="","",VLOOKUP($C$38,'BD Mod'!$B$2:$AG$186,'BD Mod'!$P$1,FALSE))</f>
        <v>2.6460756000000001</v>
      </c>
      <c r="E44" s="103" t="s">
        <v>222</v>
      </c>
      <c r="F44" s="77">
        <v>20</v>
      </c>
      <c r="G44" s="238" t="s">
        <v>227</v>
      </c>
      <c r="H44" s="239"/>
      <c r="I44" s="231">
        <v>220</v>
      </c>
      <c r="J44" s="232"/>
      <c r="K44" s="231"/>
      <c r="L44" s="232"/>
      <c r="M44" s="231"/>
      <c r="N44" s="232"/>
    </row>
    <row r="45" spans="2:16" ht="15.75" thickBot="1">
      <c r="E45" s="103" t="s">
        <v>245</v>
      </c>
      <c r="F45" s="145">
        <v>0.02</v>
      </c>
      <c r="G45" s="238" t="s">
        <v>244</v>
      </c>
      <c r="H45" s="239"/>
      <c r="I45" s="240">
        <v>0.02</v>
      </c>
      <c r="J45" s="241"/>
      <c r="K45" s="240">
        <v>0.02</v>
      </c>
      <c r="L45" s="241"/>
      <c r="M45" s="240">
        <v>0.02</v>
      </c>
      <c r="N45" s="241"/>
    </row>
    <row r="46" spans="2:16" ht="15.75" thickBot="1">
      <c r="B46" s="146"/>
      <c r="C46" s="147"/>
      <c r="E46" s="103" t="s">
        <v>228</v>
      </c>
      <c r="F46" s="142">
        <v>1.78E-2</v>
      </c>
      <c r="G46" s="238" t="s">
        <v>228</v>
      </c>
      <c r="H46" s="239"/>
      <c r="I46" s="233">
        <v>1.78E-2</v>
      </c>
      <c r="J46" s="234"/>
      <c r="K46" s="233">
        <v>1.78E-2</v>
      </c>
      <c r="L46" s="234"/>
      <c r="M46" s="233">
        <v>1.78E-2</v>
      </c>
      <c r="N46" s="234"/>
    </row>
    <row r="47" spans="2:16" ht="15.75" thickBot="1">
      <c r="E47" s="103" t="s">
        <v>223</v>
      </c>
      <c r="F47" s="77">
        <f>IF(C38="","",VLOOKUP($C$38,'BD Mod'!$B$3:$S$385,'BD Mod'!$H$1,FALSE))</f>
        <v>0</v>
      </c>
      <c r="G47" s="247" t="s">
        <v>226</v>
      </c>
      <c r="H47" s="248"/>
      <c r="I47" s="242">
        <v>13.5</v>
      </c>
      <c r="J47" s="243"/>
      <c r="K47" s="242" t="str">
        <f>IF(H31="","",VLOOKUP($F$31,'BD Inv'!$A$2:$AC$349,'BD Inv'!$L$1,FALSE))</f>
        <v/>
      </c>
      <c r="L47" s="243"/>
      <c r="M47" s="242" t="str">
        <f>IF(J31="","",VLOOKUP($F$31,'BD Inv'!$A$2:$AC$349,'BD Inv'!$L$1,FALSE))</f>
        <v/>
      </c>
      <c r="N47" s="243"/>
    </row>
    <row r="48" spans="2:16" ht="15.75" thickBot="1">
      <c r="E48" s="103" t="s">
        <v>224</v>
      </c>
      <c r="F48" s="77">
        <f>IF(C38="","",VLOOKUP(C38,'BD Mod'!$B$2:$AG$114,'BD Mod'!E1,FALSE)*F43)</f>
        <v>0</v>
      </c>
      <c r="G48" s="238" t="s">
        <v>248</v>
      </c>
      <c r="H48" s="239"/>
      <c r="I48" s="236">
        <f>IF(I44="","",IF(F34&lt;10000,2*I43*I47*I46/(I45*I44),SQRT(3)*I43*I47*I46/(I45*I44)))</f>
        <v>2.1845454545454546</v>
      </c>
      <c r="J48" s="237"/>
      <c r="K48" s="236" t="str">
        <f>IF(K44="","",IF(H34&lt;10000,2*K43*K47*K46/(K45*K44),SQRT(3)*K43*K47*K46/(K45*K44)))</f>
        <v/>
      </c>
      <c r="L48" s="237"/>
      <c r="M48" s="236" t="str">
        <f>IF(M44="","",IF(J34&lt;10000,2*M43*M47*M46/(M45*M44),SQRT(3)*M43*M47*M46/(M45*M44)))</f>
        <v/>
      </c>
      <c r="N48" s="237"/>
    </row>
    <row r="49" spans="5:14" ht="30" customHeight="1" thickBot="1">
      <c r="E49" s="103" t="s">
        <v>248</v>
      </c>
      <c r="F49" s="101" t="e">
        <f>IF(F48="","",2*F44*F47*F46/(F45*F48))</f>
        <v>#DIV/0!</v>
      </c>
      <c r="G49" s="238" t="s">
        <v>230</v>
      </c>
      <c r="H49" s="239"/>
      <c r="I49" s="236">
        <f>IF(I48="","",Valid.Dados!AQ12)</f>
        <v>2.5</v>
      </c>
      <c r="J49" s="237"/>
      <c r="K49" s="236" t="str">
        <f>IF(K48="","",Valid.Dados!AS12)</f>
        <v/>
      </c>
      <c r="L49" s="237"/>
      <c r="M49" s="236" t="str">
        <f>IF(M48="","",Valid.Dados!AU12)</f>
        <v/>
      </c>
      <c r="N49" s="237"/>
    </row>
    <row r="50" spans="5:14" ht="24.75" customHeight="1" thickBot="1">
      <c r="E50" s="103" t="s">
        <v>230</v>
      </c>
      <c r="F50" s="101" t="e">
        <f>IF(F49="","",Valid.Dados!$AK$12)</f>
        <v>#DIV/0!</v>
      </c>
    </row>
    <row r="51" spans="5:14" ht="24.75" customHeight="1"/>
    <row r="52" spans="5:14" ht="24.75" customHeight="1" thickBot="1">
      <c r="E52" s="95" t="s">
        <v>231</v>
      </c>
    </row>
    <row r="53" spans="5:14" ht="24.75" customHeight="1" thickBot="1">
      <c r="E53" s="76" t="s">
        <v>43</v>
      </c>
      <c r="F53" s="77" t="s">
        <v>60</v>
      </c>
    </row>
    <row r="54" spans="5:14" ht="15.75" thickBot="1">
      <c r="E54" s="76" t="s">
        <v>45</v>
      </c>
      <c r="F54" s="77" t="s">
        <v>220</v>
      </c>
    </row>
    <row r="55" spans="5:14">
      <c r="G55" s="115" t="str">
        <f>IF(F53="Autoconsumo remoto",SUM(G57:G61),"")</f>
        <v/>
      </c>
      <c r="H55" s="89" t="str">
        <f>IF(F53="Autoconsumo Remoto",IF(G55=100%,"OK","ERRO"),"")</f>
        <v/>
      </c>
    </row>
    <row r="56" spans="5:14" ht="15.75" thickBot="1">
      <c r="E56" s="89" t="str">
        <f>IF(F53="Autoconsumo remoto","NUC","")</f>
        <v/>
      </c>
      <c r="F56" s="89" t="str">
        <f>IF(F53="Autoconsumo remoto","ENDEREÇO","")</f>
        <v/>
      </c>
      <c r="G56" s="89" t="str">
        <f>IF(F53="Autoconsumo remoto","PERCENTUAIS","")</f>
        <v/>
      </c>
    </row>
    <row r="57" spans="5:14" ht="15.75" thickBot="1">
      <c r="E57" s="116" t="str">
        <f>IF(F53="Autoconsumo Remoto",C4,"")</f>
        <v/>
      </c>
      <c r="F57" s="117" t="str">
        <f>IF(F53="Autoconsumo Remoto",CONCATENATE("Rua ",Input!C27,", ",Input!C28," bairro ",Input!C29,", cidade ",Input!C30,", CEP ",Input!C31),"")</f>
        <v/>
      </c>
      <c r="G57" s="118" t="str">
        <f>IF(F53="Autoconsumo Remoto","?","")</f>
        <v/>
      </c>
    </row>
    <row r="58" spans="5:14" ht="15.75" thickBot="1">
      <c r="E58" s="114" t="str">
        <f>IF($F$54=1,"?",IF($F$54=2,"?",IF($F$54=3,"?",IF($F$54=4,"?",""))))</f>
        <v/>
      </c>
      <c r="F58" s="119" t="str">
        <f>IF($F$54=1,"?",IF($F$54=2,"?",IF($F$54=3,"?",IF($F$54=4,"?",""))))</f>
        <v/>
      </c>
      <c r="G58" s="118" t="str">
        <f>IF($F$54=1,"?",IF($F$54=2,"?",IF($F$54=3,"?",IF($F$54=4,"?",""))))</f>
        <v/>
      </c>
    </row>
    <row r="59" spans="5:14" ht="15.75" thickBot="1">
      <c r="E59" s="114" t="str">
        <f>IF($F$54=2,"?",IF($F$54=3,"?",IF($F$54=4,"?","")))</f>
        <v/>
      </c>
      <c r="F59" s="119" t="str">
        <f>IF($F$54=2,"?",IF($F$54=3,"?",IF($F$54=4,"?","")))</f>
        <v/>
      </c>
      <c r="G59" s="118" t="str">
        <f>IF($F$54=2,"?",IF($F$54=3,"?",IF($F$54=4,"?","")))</f>
        <v/>
      </c>
    </row>
    <row r="60" spans="5:14" ht="15.75" thickBot="1">
      <c r="E60" s="114" t="str">
        <f>IF($F$54=3,"?",IF($F$54=4,"?",""))</f>
        <v/>
      </c>
      <c r="F60" s="119" t="str">
        <f>IF($F$54=3,"?",IF($F$54=4,"?",""))</f>
        <v/>
      </c>
      <c r="G60" s="118" t="str">
        <f>IF($F$54=3,"?",IF($F$54=4,"?",""))</f>
        <v/>
      </c>
    </row>
    <row r="61" spans="5:14" ht="15.75" thickBot="1">
      <c r="E61" s="114" t="str">
        <f>IF($F$54=4,"?","")</f>
        <v/>
      </c>
      <c r="F61" s="119" t="str">
        <f>IF($F$54=4,"?","")</f>
        <v/>
      </c>
      <c r="G61" s="118" t="str">
        <f>IF($F$54=4,"?","")</f>
        <v/>
      </c>
    </row>
  </sheetData>
  <mergeCells count="39">
    <mergeCell ref="G35:H35"/>
    <mergeCell ref="K47:L47"/>
    <mergeCell ref="M47:N47"/>
    <mergeCell ref="K48:L48"/>
    <mergeCell ref="M48:N48"/>
    <mergeCell ref="I42:J42"/>
    <mergeCell ref="K42:L42"/>
    <mergeCell ref="M42:N42"/>
    <mergeCell ref="K43:L43"/>
    <mergeCell ref="M43:N43"/>
    <mergeCell ref="G43:H43"/>
    <mergeCell ref="G45:H45"/>
    <mergeCell ref="G47:H47"/>
    <mergeCell ref="G46:H46"/>
    <mergeCell ref="G44:H44"/>
    <mergeCell ref="K49:L49"/>
    <mergeCell ref="M49:N49"/>
    <mergeCell ref="K44:L44"/>
    <mergeCell ref="M44:N44"/>
    <mergeCell ref="K45:L45"/>
    <mergeCell ref="M45:N45"/>
    <mergeCell ref="K46:L46"/>
    <mergeCell ref="M46:N46"/>
    <mergeCell ref="G33:H33"/>
    <mergeCell ref="G34:H34"/>
    <mergeCell ref="G28:H28"/>
    <mergeCell ref="I49:J49"/>
    <mergeCell ref="G48:H48"/>
    <mergeCell ref="G29:H29"/>
    <mergeCell ref="G30:H30"/>
    <mergeCell ref="G31:H31"/>
    <mergeCell ref="G32:H32"/>
    <mergeCell ref="I48:J48"/>
    <mergeCell ref="G49:H49"/>
    <mergeCell ref="I43:J43"/>
    <mergeCell ref="I45:J45"/>
    <mergeCell ref="I47:J47"/>
    <mergeCell ref="I46:J46"/>
    <mergeCell ref="I44:J44"/>
  </mergeCells>
  <conditionalFormatting sqref="C2:C4">
    <cfRule type="containsBlanks" dxfId="79" priority="165">
      <formula>LEN(TRIM(C2))=0</formula>
    </cfRule>
  </conditionalFormatting>
  <conditionalFormatting sqref="C28:C31">
    <cfRule type="cellIs" dxfId="78" priority="84" operator="equal">
      <formula>"?"</formula>
    </cfRule>
    <cfRule type="containsBlanks" dxfId="77" priority="156">
      <formula>LEN(TRIM(C28))=0</formula>
    </cfRule>
  </conditionalFormatting>
  <conditionalFormatting sqref="C16">
    <cfRule type="containsBlanks" dxfId="76" priority="154">
      <formula>LEN(TRIM(C16))=0</formula>
    </cfRule>
  </conditionalFormatting>
  <conditionalFormatting sqref="C16">
    <cfRule type="containsBlanks" dxfId="75" priority="155">
      <formula>LEN(TRIM(C16))=0</formula>
    </cfRule>
  </conditionalFormatting>
  <conditionalFormatting sqref="F38:F39">
    <cfRule type="containsBlanks" dxfId="74" priority="146">
      <formula>LEN(TRIM(F38))=0</formula>
    </cfRule>
  </conditionalFormatting>
  <conditionalFormatting sqref="C20:C22 C24">
    <cfRule type="containsBlanks" dxfId="73" priority="113">
      <formula>LEN(TRIM(C20))=0</formula>
    </cfRule>
  </conditionalFormatting>
  <conditionalFormatting sqref="F53:F54">
    <cfRule type="containsBlanks" dxfId="72" priority="112">
      <formula>LEN(TRIM(F53))=0</formula>
    </cfRule>
  </conditionalFormatting>
  <conditionalFormatting sqref="G57">
    <cfRule type="cellIs" dxfId="71" priority="85" operator="equal">
      <formula>"?"</formula>
    </cfRule>
    <cfRule type="containsBlanks" dxfId="70" priority="166">
      <formula>LEN(TRIM(G57))=0</formula>
    </cfRule>
  </conditionalFormatting>
  <conditionalFormatting sqref="E58:G61 G16:H16">
    <cfRule type="cellIs" dxfId="69" priority="101" operator="equal">
      <formula>"?"</formula>
    </cfRule>
  </conditionalFormatting>
  <conditionalFormatting sqref="E57">
    <cfRule type="cellIs" dxfId="68" priority="99" operator="equal">
      <formula>"?"</formula>
    </cfRule>
  </conditionalFormatting>
  <conditionalFormatting sqref="C12">
    <cfRule type="containsBlanks" dxfId="67" priority="79">
      <formula>LEN(TRIM(C12))=0</formula>
    </cfRule>
  </conditionalFormatting>
  <conditionalFormatting sqref="C12">
    <cfRule type="cellIs" dxfId="66" priority="78" operator="equal">
      <formula>"?"</formula>
    </cfRule>
  </conditionalFormatting>
  <conditionalFormatting sqref="C13">
    <cfRule type="containsBlanks" dxfId="65" priority="77">
      <formula>LEN(TRIM(C13))=0</formula>
    </cfRule>
  </conditionalFormatting>
  <conditionalFormatting sqref="C13">
    <cfRule type="cellIs" dxfId="64" priority="76" operator="equal">
      <formula>"?"</formula>
    </cfRule>
  </conditionalFormatting>
  <conditionalFormatting sqref="C14">
    <cfRule type="containsBlanks" dxfId="63" priority="75">
      <formula>LEN(TRIM(C14))=0</formula>
    </cfRule>
  </conditionalFormatting>
  <conditionalFormatting sqref="C14">
    <cfRule type="cellIs" dxfId="62" priority="74" operator="equal">
      <formula>"?"</formula>
    </cfRule>
  </conditionalFormatting>
  <conditionalFormatting sqref="C19">
    <cfRule type="containsBlanks" dxfId="61" priority="73">
      <formula>LEN(TRIM(C19))=0</formula>
    </cfRule>
  </conditionalFormatting>
  <conditionalFormatting sqref="C26:C27">
    <cfRule type="cellIs" dxfId="60" priority="71" operator="equal">
      <formula>"?"</formula>
    </cfRule>
    <cfRule type="containsBlanks" dxfId="59" priority="72">
      <formula>LEN(TRIM(C26))=0</formula>
    </cfRule>
  </conditionalFormatting>
  <conditionalFormatting sqref="I46">
    <cfRule type="containsBlanks" dxfId="58" priority="58">
      <formula>LEN(TRIM(I46))=0</formula>
    </cfRule>
  </conditionalFormatting>
  <conditionalFormatting sqref="I45">
    <cfRule type="containsBlanks" dxfId="57" priority="57">
      <formula>LEN(TRIM(I45))=0</formula>
    </cfRule>
  </conditionalFormatting>
  <conditionalFormatting sqref="K43:K44">
    <cfRule type="containsBlanks" dxfId="56" priority="55">
      <formula>LEN(TRIM(K43))=0</formula>
    </cfRule>
  </conditionalFormatting>
  <conditionalFormatting sqref="K46">
    <cfRule type="containsBlanks" dxfId="55" priority="54">
      <formula>LEN(TRIM(K46))=0</formula>
    </cfRule>
  </conditionalFormatting>
  <conditionalFormatting sqref="K45">
    <cfRule type="containsBlanks" dxfId="54" priority="53">
      <formula>LEN(TRIM(K45))=0</formula>
    </cfRule>
  </conditionalFormatting>
  <conditionalFormatting sqref="M43:M44">
    <cfRule type="containsBlanks" dxfId="53" priority="52">
      <formula>LEN(TRIM(M43))=0</formula>
    </cfRule>
  </conditionalFormatting>
  <conditionalFormatting sqref="M46">
    <cfRule type="containsBlanks" dxfId="52" priority="51">
      <formula>LEN(TRIM(M46))=0</formula>
    </cfRule>
  </conditionalFormatting>
  <conditionalFormatting sqref="M45">
    <cfRule type="containsBlanks" dxfId="51" priority="50">
      <formula>LEN(TRIM(M45))=0</formula>
    </cfRule>
  </conditionalFormatting>
  <conditionalFormatting sqref="I43:I44">
    <cfRule type="containsBlanks" dxfId="50" priority="59">
      <formula>LEN(TRIM(I43))=0</formula>
    </cfRule>
  </conditionalFormatting>
  <conditionalFormatting sqref="G17:H17">
    <cfRule type="cellIs" dxfId="49" priority="40" operator="equal">
      <formula>"?"</formula>
    </cfRule>
  </conditionalFormatting>
  <conditionalFormatting sqref="G18:H18">
    <cfRule type="cellIs" dxfId="48" priority="39" operator="equal">
      <formula>"?"</formula>
    </cfRule>
  </conditionalFormatting>
  <conditionalFormatting sqref="H19">
    <cfRule type="cellIs" dxfId="47" priority="38" operator="equal">
      <formula>"?"</formula>
    </cfRule>
  </conditionalFormatting>
  <conditionalFormatting sqref="G19">
    <cfRule type="cellIs" dxfId="46" priority="37" operator="equal">
      <formula>"?"</formula>
    </cfRule>
  </conditionalFormatting>
  <conditionalFormatting sqref="C5:C7 C9:C10">
    <cfRule type="containsBlanks" dxfId="45" priority="35">
      <formula>LEN(TRIM(C5))=0</formula>
    </cfRule>
  </conditionalFormatting>
  <conditionalFormatting sqref="C23">
    <cfRule type="cellIs" dxfId="44" priority="33" operator="equal">
      <formula>"?"</formula>
    </cfRule>
    <cfRule type="containsBlanks" dxfId="43" priority="34">
      <formula>LEN(TRIM(C23))=0</formula>
    </cfRule>
  </conditionalFormatting>
  <conditionalFormatting sqref="C32">
    <cfRule type="containsBlanks" dxfId="42" priority="32">
      <formula>LEN(TRIM(C32))=0</formula>
    </cfRule>
  </conditionalFormatting>
  <conditionalFormatting sqref="C33">
    <cfRule type="containsBlanks" dxfId="41" priority="31">
      <formula>LEN(TRIM(C33))=0</formula>
    </cfRule>
  </conditionalFormatting>
  <conditionalFormatting sqref="C36:C38">
    <cfRule type="cellIs" dxfId="40" priority="29" operator="equal">
      <formula>0</formula>
    </cfRule>
    <cfRule type="containsBlanks" dxfId="39" priority="30">
      <formula>LEN(TRIM(C36))=0</formula>
    </cfRule>
  </conditionalFormatting>
  <conditionalFormatting sqref="F2 F4:F6">
    <cfRule type="containsBlanks" dxfId="38" priority="18">
      <formula>LEN(TRIM(F2))=0</formula>
    </cfRule>
  </conditionalFormatting>
  <conditionalFormatting sqref="F2 F4:F6">
    <cfRule type="cellIs" dxfId="37" priority="17" operator="equal">
      <formula>0</formula>
    </cfRule>
  </conditionalFormatting>
  <conditionalFormatting sqref="F3">
    <cfRule type="containsBlanks" dxfId="36" priority="16">
      <formula>LEN(TRIM(F3))=0</formula>
    </cfRule>
  </conditionalFormatting>
  <conditionalFormatting sqref="F3">
    <cfRule type="cellIs" dxfId="35" priority="15" operator="equal">
      <formula>0</formula>
    </cfRule>
  </conditionalFormatting>
  <conditionalFormatting sqref="F8:F10">
    <cfRule type="containsBlanks" dxfId="34" priority="14">
      <formula>LEN(TRIM(F8))=0</formula>
    </cfRule>
  </conditionalFormatting>
  <conditionalFormatting sqref="F8:F10">
    <cfRule type="cellIs" dxfId="33" priority="13" operator="equal">
      <formula>0</formula>
    </cfRule>
  </conditionalFormatting>
  <conditionalFormatting sqref="F21 F15">
    <cfRule type="containsBlanks" dxfId="32" priority="12">
      <formula>LEN(TRIM(F15))=0</formula>
    </cfRule>
  </conditionalFormatting>
  <conditionalFormatting sqref="F22:F23">
    <cfRule type="containsBlanks" dxfId="31" priority="11">
      <formula>LEN(TRIM(F22))=0</formula>
    </cfRule>
  </conditionalFormatting>
  <conditionalFormatting sqref="F13">
    <cfRule type="containsBlanks" dxfId="30" priority="10">
      <formula>LEN(TRIM(F13))=0</formula>
    </cfRule>
  </conditionalFormatting>
  <conditionalFormatting sqref="F14">
    <cfRule type="containsBlanks" dxfId="29" priority="9">
      <formula>LEN(TRIM(F14))=0</formula>
    </cfRule>
  </conditionalFormatting>
  <conditionalFormatting sqref="F16">
    <cfRule type="containsBlanks" dxfId="28" priority="8">
      <formula>LEN(TRIM(F16))=0</formula>
    </cfRule>
  </conditionalFormatting>
  <conditionalFormatting sqref="F17:F19">
    <cfRule type="cellIs" dxfId="27" priority="7" operator="equal">
      <formula>"?"</formula>
    </cfRule>
  </conditionalFormatting>
  <conditionalFormatting sqref="F20">
    <cfRule type="cellIs" dxfId="26" priority="6" operator="equal">
      <formula>"?"</formula>
    </cfRule>
  </conditionalFormatting>
  <conditionalFormatting sqref="F29:F31">
    <cfRule type="containsBlanks" dxfId="25" priority="5">
      <formula>LEN(TRIM(F29))=0</formula>
    </cfRule>
  </conditionalFormatting>
  <conditionalFormatting sqref="F44">
    <cfRule type="containsBlanks" dxfId="24" priority="4">
      <formula>LEN(TRIM(F44))=0</formula>
    </cfRule>
  </conditionalFormatting>
  <conditionalFormatting sqref="F45">
    <cfRule type="containsBlanks" dxfId="23" priority="3">
      <formula>LEN(TRIM(F45))=0</formula>
    </cfRule>
  </conditionalFormatting>
  <conditionalFormatting sqref="F46">
    <cfRule type="containsBlanks" dxfId="22" priority="2">
      <formula>LEN(TRIM(F46))=0</formula>
    </cfRule>
  </conditionalFormatting>
  <conditionalFormatting sqref="F43">
    <cfRule type="containsBlanks" dxfId="21" priority="1">
      <formula>LEN(TRIM(F43))=0</formula>
    </cfRule>
  </conditionalFormatting>
  <hyperlinks>
    <hyperlink ref="C8" r:id="rId1" display="mailto:batistajbs@gmail.com"/>
  </hyperlinks>
  <pageMargins left="0.11811023622047245" right="0.11811023622047245" top="0.78740157480314965" bottom="0.78740157480314965" header="0.31496062992125984" footer="0.31496062992125984"/>
  <pageSetup paperSize="9" scale="47" orientation="landscape" r:id="rId2"/>
  <drawing r:id="rId3"/>
  <legacyDrawing r:id="rId4"/>
  <extLst>
    <ext xmlns:x14="http://schemas.microsoft.com/office/spreadsheetml/2009/9/main" uri="{CCE6A557-97BC-4b89-ADB6-D9C93CAAB3DF}">
      <x14:dataValidations xmlns:xm="http://schemas.microsoft.com/office/excel/2006/main" count="24">
        <x14:dataValidation type="list" allowBlank="1" showInputMessage="1" showErrorMessage="1">
          <x14:formula1>
            <xm:f>Valid.Dados!$A$2:$A$5</xm:f>
          </x14:formula1>
          <xm:sqref>F53</xm:sqref>
        </x14:dataValidation>
        <x14:dataValidation type="list" allowBlank="1" showInputMessage="1" showErrorMessage="1">
          <x14:formula1>
            <xm:f>Valid.Dados!$Z$2:$Z$9</xm:f>
          </x14:formula1>
          <xm:sqref>F54</xm:sqref>
        </x14:dataValidation>
        <x14:dataValidation type="list" allowBlank="1" showInputMessage="1" showErrorMessage="1">
          <x14:formula1>
            <xm:f>Valid.Dados!$A$20:$A$22</xm:f>
          </x14:formula1>
          <xm:sqref>C16</xm:sqref>
        </x14:dataValidation>
        <x14:dataValidation type="list" allowBlank="1" showInputMessage="1" showErrorMessage="1">
          <x14:formula1>
            <xm:f>Valid.Dados!$AF$2:$AF$5</xm:f>
          </x14:formula1>
          <xm:sqref>G30:H30</xm:sqref>
        </x14:dataValidation>
        <x14:dataValidation type="list" allowBlank="1" showInputMessage="1" showErrorMessage="1">
          <x14:formula1>
            <xm:f>Valid.Dados!$R$10:$R$12</xm:f>
          </x14:formula1>
          <xm:sqref>C19</xm:sqref>
        </x14:dataValidation>
        <x14:dataValidation type="list" allowBlank="1" showInputMessage="1" showErrorMessage="1">
          <x14:formula1>
            <xm:f>Valid.Dados!#REF!</xm:f>
          </x14:formula1>
          <xm:sqref>F16</xm:sqref>
        </x14:dataValidation>
        <x14:dataValidation type="list" allowBlank="1" showInputMessage="1" showErrorMessage="1">
          <x14:formula1>
            <xm:f>Valid.Dados!$A$11:$A$14</xm:f>
          </x14:formula1>
          <xm:sqref>F22</xm:sqref>
        </x14:dataValidation>
        <x14:dataValidation type="list" allowBlank="1" showInputMessage="1" showErrorMessage="1">
          <x14:formula1>
            <xm:f>Valid.Dados!$AD$21</xm:f>
          </x14:formula1>
          <xm:sqref>C37</xm:sqref>
        </x14:dataValidation>
        <x14:dataValidation type="list" allowBlank="1" showInputMessage="1" showErrorMessage="1">
          <x14:formula1>
            <xm:f>Valid.Dados!$C$23:$C$63</xm:f>
          </x14:formula1>
          <xm:sqref>F2</xm:sqref>
        </x14:dataValidation>
        <x14:dataValidation type="list" allowBlank="1" showInputMessage="1" showErrorMessage="1">
          <x14:formula1>
            <xm:f>Valid.Dados!$T$2:$T$3</xm:f>
          </x14:formula1>
          <xm:sqref>F4</xm:sqref>
        </x14:dataValidation>
        <x14:dataValidation type="list" allowBlank="1" showInputMessage="1" showErrorMessage="1">
          <x14:formula1>
            <xm:f>Valid.Dados!$V$2:$V$4</xm:f>
          </x14:formula1>
          <xm:sqref>F5</xm:sqref>
        </x14:dataValidation>
        <x14:dataValidation type="list" allowBlank="1" showInputMessage="1" showErrorMessage="1">
          <x14:formula1>
            <xm:f>Valid.Dados!$J$23:$J$32</xm:f>
          </x14:formula1>
          <xm:sqref>F8</xm:sqref>
        </x14:dataValidation>
        <x14:dataValidation type="list" allowBlank="1" showInputMessage="1" showErrorMessage="1">
          <x14:formula1>
            <xm:f>Valid.Dados!$K$23:$K$37</xm:f>
          </x14:formula1>
          <xm:sqref>F9</xm:sqref>
        </x14:dataValidation>
        <x14:dataValidation type="list" allowBlank="1" showInputMessage="1" showErrorMessage="1">
          <x14:formula1>
            <xm:f>Valid.Dados!$L$23:$L$29</xm:f>
          </x14:formula1>
          <xm:sqref>F10</xm:sqref>
        </x14:dataValidation>
        <x14:dataValidation type="list" allowBlank="1" showInputMessage="1" showErrorMessage="1">
          <x14:formula1>
            <xm:f>Valid.Dados!$C$2:$C$11</xm:f>
          </x14:formula1>
          <xm:sqref>F14</xm:sqref>
        </x14:dataValidation>
        <x14:dataValidation type="list" allowBlank="1" showInputMessage="1" showErrorMessage="1">
          <x14:formula1>
            <xm:f>Valid.Dados!$X$2:$X$3</xm:f>
          </x14:formula1>
          <xm:sqref>F13</xm:sqref>
        </x14:dataValidation>
        <x14:dataValidation type="list" allowBlank="1" showInputMessage="1" showErrorMessage="1">
          <x14:formula1>
            <xm:f>Valid.Dados!$E$2:$E$7</xm:f>
          </x14:formula1>
          <xm:sqref>F15 F23</xm:sqref>
        </x14:dataValidation>
        <x14:dataValidation type="list" allowBlank="1" showInputMessage="1" showErrorMessage="1">
          <x14:formula1>
            <xm:f>Valid.Dados!$H$2:$H$5</xm:f>
          </x14:formula1>
          <xm:sqref>F21</xm:sqref>
        </x14:dataValidation>
        <x14:dataValidation type="list" allowBlank="1" showInputMessage="1" showErrorMessage="1">
          <x14:formula1>
            <xm:f>Valid.Dados!$AF$10</xm:f>
          </x14:formula1>
          <xm:sqref>F30</xm:sqref>
        </x14:dataValidation>
        <x14:dataValidation type="list" allowBlank="1" showInputMessage="1" showErrorMessage="1">
          <x14:formula1>
            <xm:f>Valid.Dados!$A$26:$A$27</xm:f>
          </x14:formula1>
          <xm:sqref>C6</xm:sqref>
        </x14:dataValidation>
        <x14:dataValidation type="list" allowBlank="1" showInputMessage="1" showErrorMessage="1">
          <x14:formula1>
            <xm:f>'BD Mod'!$B$29</xm:f>
          </x14:formula1>
          <xm:sqref>C38</xm:sqref>
        </x14:dataValidation>
        <x14:dataValidation type="list" allowBlank="1" showInputMessage="1" showErrorMessage="1">
          <x14:formula1>
            <xm:f>'BD Inv'!$A$32</xm:f>
          </x14:formula1>
          <xm:sqref>F31</xm:sqref>
        </x14:dataValidation>
        <x14:dataValidation type="list" allowBlank="1" showInputMessage="1" showErrorMessage="1">
          <x14:formula1>
            <xm:f>'BD Inv'!$A$4:$A$46</xm:f>
          </x14:formula1>
          <xm:sqref>G31</xm:sqref>
        </x14:dataValidation>
        <x14:dataValidation type="list" allowBlank="1" showInputMessage="1" showErrorMessage="1">
          <x14:formula1>
            <xm:f>Valid.Dados!$AB$2:$AB$3</xm:f>
          </x14:formula1>
          <xm:sqref>F3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048575"/>
  <sheetViews>
    <sheetView tabSelected="1" topLeftCell="A10" zoomScaleNormal="100" zoomScaleSheetLayoutView="100" workbookViewId="0">
      <selection activeCell="C22" sqref="C22:S23"/>
    </sheetView>
  </sheetViews>
  <sheetFormatPr defaultColWidth="0" defaultRowHeight="15.75" customHeight="1" zeroHeight="1"/>
  <cols>
    <col min="1" max="1" width="0.7109375" style="1" customWidth="1"/>
    <col min="2" max="2" width="1" style="1" customWidth="1"/>
    <col min="3" max="3" width="4.7109375" style="1" customWidth="1"/>
    <col min="4" max="6" width="5.28515625" style="1" customWidth="1"/>
    <col min="7" max="7" width="9.7109375" style="1" customWidth="1"/>
    <col min="8" max="8" width="4.140625" style="1" customWidth="1"/>
    <col min="9" max="9" width="4.7109375" style="1" customWidth="1"/>
    <col min="10" max="10" width="2.85546875" style="1" customWidth="1"/>
    <col min="11" max="11" width="4.7109375" style="1" customWidth="1"/>
    <col min="12" max="12" width="5.5703125" style="1" customWidth="1"/>
    <col min="13" max="14" width="4.7109375" style="1" customWidth="1"/>
    <col min="15" max="15" width="11" style="1" customWidth="1"/>
    <col min="16" max="16" width="4.7109375" style="1" customWidth="1"/>
    <col min="17" max="17" width="10" style="1" customWidth="1"/>
    <col min="18" max="18" width="18.28515625" style="1" bestFit="1" customWidth="1"/>
    <col min="19" max="19" width="4.7109375" style="1" customWidth="1"/>
    <col min="20" max="20" width="1" style="1" customWidth="1"/>
    <col min="21" max="21" width="4.7109375" style="1" customWidth="1"/>
    <col min="22" max="16384" width="4.7109375" style="1" hidden="1"/>
  </cols>
  <sheetData>
    <row r="1" spans="1:21" ht="6.75" customHeight="1"/>
    <row r="2" spans="1:21" ht="3.75" customHeight="1" thickBot="1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1" ht="5.25" customHeight="1" thickBot="1">
      <c r="B3" s="3"/>
      <c r="T3" s="4"/>
    </row>
    <row r="4" spans="1:21" ht="52.5" customHeight="1" thickBot="1">
      <c r="A4" s="5"/>
      <c r="C4" s="256" t="s">
        <v>465</v>
      </c>
      <c r="D4" s="257"/>
      <c r="E4" s="257"/>
      <c r="F4" s="257"/>
      <c r="G4" s="257"/>
      <c r="H4" s="257"/>
      <c r="I4" s="257"/>
      <c r="J4" s="257"/>
      <c r="K4" s="257"/>
      <c r="L4" s="257"/>
      <c r="M4" s="257"/>
      <c r="N4" s="257"/>
      <c r="O4" s="257"/>
      <c r="P4" s="257"/>
      <c r="Q4" s="257"/>
      <c r="R4" s="257"/>
      <c r="S4" s="258"/>
      <c r="T4" s="5"/>
    </row>
    <row r="5" spans="1:21" ht="5.25" customHeight="1" thickBot="1">
      <c r="A5" s="5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5"/>
    </row>
    <row r="6" spans="1:21" ht="18" customHeight="1" thickBot="1">
      <c r="A6" s="5"/>
      <c r="B6" s="5"/>
      <c r="C6" s="259" t="s">
        <v>467</v>
      </c>
      <c r="D6" s="260"/>
      <c r="E6" s="260"/>
      <c r="F6" s="260"/>
      <c r="G6" s="260"/>
      <c r="H6" s="260"/>
      <c r="I6" s="260"/>
      <c r="J6" s="260"/>
      <c r="K6" s="260"/>
      <c r="L6" s="260"/>
      <c r="M6" s="260"/>
      <c r="N6" s="260"/>
      <c r="O6" s="260"/>
      <c r="P6" s="260"/>
      <c r="Q6" s="260"/>
      <c r="R6" s="260"/>
      <c r="S6" s="261"/>
      <c r="T6" s="5"/>
    </row>
    <row r="7" spans="1:21" ht="18" customHeight="1">
      <c r="A7" s="5"/>
      <c r="B7" s="150"/>
      <c r="C7" s="252" t="s">
        <v>629</v>
      </c>
      <c r="D7" s="253"/>
      <c r="E7" s="254" t="str">
        <f>+Input!C5</f>
        <v>ANA MARIA CARDOZO DOS SANTOS</v>
      </c>
      <c r="F7" s="254"/>
      <c r="G7" s="254"/>
      <c r="H7" s="254"/>
      <c r="I7" s="254"/>
      <c r="J7" s="254"/>
      <c r="K7" s="254"/>
      <c r="L7" s="254"/>
      <c r="M7" s="254"/>
      <c r="N7" s="254"/>
      <c r="O7" s="254"/>
      <c r="P7" s="254"/>
      <c r="Q7" s="254"/>
      <c r="R7" s="254"/>
      <c r="S7" s="255"/>
      <c r="T7" s="5"/>
    </row>
    <row r="8" spans="1:21" ht="18" customHeight="1">
      <c r="A8" s="5"/>
      <c r="B8" s="150"/>
      <c r="C8" s="249" t="s">
        <v>0</v>
      </c>
      <c r="D8" s="250"/>
      <c r="E8" s="251" t="str">
        <f>+Input!C20</f>
        <v>RIO GRANDE</v>
      </c>
      <c r="F8" s="251"/>
      <c r="G8" s="251"/>
      <c r="H8" s="251"/>
      <c r="I8" s="251"/>
      <c r="J8" s="251"/>
      <c r="K8" s="251"/>
      <c r="L8" s="250" t="s">
        <v>1</v>
      </c>
      <c r="M8" s="250"/>
      <c r="N8" s="262">
        <f>Input!C21</f>
        <v>12</v>
      </c>
      <c r="O8" s="262"/>
      <c r="P8" s="262"/>
      <c r="Q8" s="262"/>
      <c r="R8" s="262"/>
      <c r="S8" s="263"/>
      <c r="T8" s="5"/>
    </row>
    <row r="9" spans="1:21" ht="18" customHeight="1">
      <c r="A9" s="5"/>
      <c r="B9" s="150"/>
      <c r="C9" s="249" t="s">
        <v>2</v>
      </c>
      <c r="D9" s="250"/>
      <c r="E9" s="251" t="str">
        <f>+Input!C22</f>
        <v>SCHARLAU</v>
      </c>
      <c r="F9" s="251"/>
      <c r="G9" s="251"/>
      <c r="H9" s="251"/>
      <c r="I9" s="251"/>
      <c r="J9" s="251"/>
      <c r="K9" s="251"/>
      <c r="L9" s="250" t="s">
        <v>3</v>
      </c>
      <c r="M9" s="250"/>
      <c r="N9" s="251" t="str">
        <f>Input!C23</f>
        <v>SÃO LEOPOLDO</v>
      </c>
      <c r="O9" s="251"/>
      <c r="P9" s="251"/>
      <c r="Q9" s="251"/>
      <c r="R9" s="251"/>
      <c r="S9" s="5"/>
      <c r="T9" s="5"/>
    </row>
    <row r="10" spans="1:21" ht="18" customHeight="1" thickBot="1">
      <c r="A10" s="5"/>
      <c r="B10" s="150"/>
      <c r="C10" s="264" t="s">
        <v>466</v>
      </c>
      <c r="D10" s="265"/>
      <c r="E10" s="268" t="str">
        <f>+Input!C10</f>
        <v>+55 51 98457-2961</v>
      </c>
      <c r="F10" s="268"/>
      <c r="G10" s="268"/>
      <c r="H10" s="268"/>
      <c r="I10" s="268"/>
      <c r="J10" s="268"/>
      <c r="K10" s="268"/>
      <c r="L10" s="266"/>
      <c r="M10" s="266"/>
      <c r="N10" s="267"/>
      <c r="O10" s="267"/>
      <c r="P10" s="267"/>
      <c r="Q10" s="267"/>
      <c r="R10" s="267"/>
      <c r="S10" s="6"/>
      <c r="T10" s="5"/>
    </row>
    <row r="11" spans="1:21" ht="18" customHeight="1" thickBot="1">
      <c r="A11" s="5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5"/>
    </row>
    <row r="12" spans="1:21" ht="18" customHeight="1" thickBot="1">
      <c r="A12" s="5"/>
      <c r="B12" s="5"/>
      <c r="C12" s="259" t="s">
        <v>480</v>
      </c>
      <c r="D12" s="260"/>
      <c r="E12" s="260"/>
      <c r="F12" s="260"/>
      <c r="G12" s="260"/>
      <c r="H12" s="260"/>
      <c r="I12" s="260"/>
      <c r="J12" s="260"/>
      <c r="K12" s="260"/>
      <c r="L12" s="260"/>
      <c r="M12" s="260"/>
      <c r="N12" s="260"/>
      <c r="O12" s="260"/>
      <c r="P12" s="260"/>
      <c r="Q12" s="260"/>
      <c r="R12" s="260"/>
      <c r="S12" s="261"/>
      <c r="T12" s="5"/>
    </row>
    <row r="13" spans="1:21" ht="18" customHeight="1">
      <c r="A13" s="5"/>
      <c r="B13" s="5"/>
      <c r="C13" s="252" t="s">
        <v>469</v>
      </c>
      <c r="D13" s="253"/>
      <c r="E13" s="278" t="str">
        <f>Input!F30</f>
        <v>Goodwe</v>
      </c>
      <c r="F13" s="278"/>
      <c r="G13" s="278"/>
      <c r="H13" s="151"/>
      <c r="I13" s="151"/>
      <c r="J13" s="151"/>
      <c r="K13" s="253" t="s">
        <v>470</v>
      </c>
      <c r="L13" s="253"/>
      <c r="M13" s="278" t="str">
        <f>Input!F31</f>
        <v>GW6K-DNS-G40</v>
      </c>
      <c r="N13" s="278"/>
      <c r="O13" s="278"/>
      <c r="P13" s="151"/>
      <c r="Q13" s="156" t="s">
        <v>475</v>
      </c>
      <c r="R13" s="153">
        <v>2</v>
      </c>
      <c r="S13" s="149"/>
      <c r="T13" s="5"/>
      <c r="U13" s="15"/>
    </row>
    <row r="14" spans="1:21" ht="18" customHeight="1">
      <c r="A14" s="5"/>
      <c r="B14" s="5"/>
      <c r="C14" s="279" t="s">
        <v>483</v>
      </c>
      <c r="D14" s="280"/>
      <c r="E14" s="262" t="s">
        <v>655</v>
      </c>
      <c r="F14" s="262"/>
      <c r="G14" s="262"/>
      <c r="H14" s="151"/>
      <c r="I14" s="151"/>
      <c r="J14" s="151"/>
      <c r="K14" s="280" t="s">
        <v>486</v>
      </c>
      <c r="L14" s="280"/>
      <c r="M14" s="262" t="s">
        <v>484</v>
      </c>
      <c r="N14" s="262"/>
      <c r="O14" s="262"/>
      <c r="P14" s="151"/>
      <c r="Q14" s="156" t="s">
        <v>485</v>
      </c>
      <c r="R14" s="153" t="s">
        <v>633</v>
      </c>
      <c r="S14" s="149"/>
      <c r="T14" s="5"/>
      <c r="U14" s="16" t="s">
        <v>117</v>
      </c>
    </row>
    <row r="15" spans="1:21" ht="18" customHeight="1">
      <c r="A15" s="5"/>
      <c r="B15" s="5"/>
      <c r="C15" s="279" t="s">
        <v>476</v>
      </c>
      <c r="D15" s="280"/>
      <c r="E15" s="262" t="str">
        <f>Input!C37</f>
        <v>Pulling Energy</v>
      </c>
      <c r="F15" s="262"/>
      <c r="G15" s="262"/>
      <c r="H15" s="151"/>
      <c r="I15" s="151"/>
      <c r="J15" s="151"/>
      <c r="K15" s="280" t="s">
        <v>470</v>
      </c>
      <c r="L15" s="280"/>
      <c r="M15" s="262" t="str">
        <f>Input!C38</f>
        <v>PU585WNM101</v>
      </c>
      <c r="N15" s="262"/>
      <c r="O15" s="262"/>
      <c r="P15" s="151"/>
      <c r="Q15" s="156" t="s">
        <v>477</v>
      </c>
      <c r="R15" s="153" t="str">
        <f>CONCATENATE(Input!C41," Wp")</f>
        <v>585 Wp</v>
      </c>
      <c r="S15" s="149"/>
      <c r="T15" s="5"/>
    </row>
    <row r="16" spans="1:21" ht="18" customHeight="1">
      <c r="A16" s="5"/>
      <c r="B16" s="5"/>
      <c r="C16" s="279" t="s">
        <v>478</v>
      </c>
      <c r="D16" s="280"/>
      <c r="E16" s="280"/>
      <c r="F16" s="280"/>
      <c r="G16" s="280"/>
      <c r="H16" s="280"/>
      <c r="I16" s="262">
        <f>Input!C36</f>
        <v>12</v>
      </c>
      <c r="J16" s="262"/>
      <c r="K16" s="280" t="s">
        <v>479</v>
      </c>
      <c r="L16" s="280"/>
      <c r="M16" s="262">
        <v>2</v>
      </c>
      <c r="N16" s="262"/>
      <c r="O16" s="282" t="s">
        <v>491</v>
      </c>
      <c r="P16" s="282"/>
      <c r="Q16" s="282"/>
      <c r="R16" s="153">
        <v>6</v>
      </c>
      <c r="S16" s="149"/>
      <c r="T16" s="5"/>
    </row>
    <row r="17" spans="1:21" ht="18" customHeight="1" thickBot="1">
      <c r="A17" s="5"/>
      <c r="B17" s="5"/>
      <c r="C17" s="264" t="s">
        <v>489</v>
      </c>
      <c r="D17" s="281"/>
      <c r="E17" s="281"/>
      <c r="F17" s="281"/>
      <c r="G17" s="281"/>
      <c r="H17" s="281"/>
      <c r="I17" s="283" t="str">
        <f>CONCATENATE(Input!C39," kWp")</f>
        <v>7,02 kWp</v>
      </c>
      <c r="J17" s="283"/>
      <c r="K17" s="283"/>
      <c r="L17" s="283"/>
      <c r="M17" s="162"/>
      <c r="N17" s="162"/>
      <c r="O17" s="277" t="s">
        <v>656</v>
      </c>
      <c r="P17" s="277"/>
      <c r="Q17" s="277"/>
      <c r="R17" s="162">
        <v>6</v>
      </c>
      <c r="S17" s="155"/>
      <c r="T17" s="5"/>
    </row>
    <row r="18" spans="1:21" ht="18" customHeight="1" thickBot="1">
      <c r="A18" s="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5"/>
    </row>
    <row r="19" spans="1:21" ht="18" customHeight="1" thickBot="1">
      <c r="A19" s="5"/>
      <c r="B19" s="5"/>
      <c r="C19" s="259" t="s">
        <v>490</v>
      </c>
      <c r="D19" s="260"/>
      <c r="E19" s="260"/>
      <c r="F19" s="260"/>
      <c r="G19" s="260"/>
      <c r="H19" s="260"/>
      <c r="I19" s="260"/>
      <c r="J19" s="260"/>
      <c r="K19" s="260"/>
      <c r="L19" s="260"/>
      <c r="M19" s="260"/>
      <c r="N19" s="260"/>
      <c r="O19" s="260"/>
      <c r="P19" s="260"/>
      <c r="Q19" s="260"/>
      <c r="R19" s="260"/>
      <c r="S19" s="261"/>
      <c r="T19" s="5"/>
    </row>
    <row r="20" spans="1:21" ht="18" customHeight="1">
      <c r="A20" s="5"/>
      <c r="B20" s="5"/>
      <c r="C20" s="252" t="s">
        <v>481</v>
      </c>
      <c r="D20" s="253"/>
      <c r="E20" s="253"/>
      <c r="F20" s="278" t="s">
        <v>510</v>
      </c>
      <c r="G20" s="278"/>
      <c r="H20" s="278"/>
      <c r="I20" s="278"/>
      <c r="J20" s="278"/>
      <c r="K20" s="278"/>
      <c r="L20" s="278"/>
      <c r="M20" s="284" t="s">
        <v>482</v>
      </c>
      <c r="N20" s="284"/>
      <c r="O20" s="284"/>
      <c r="P20" s="284"/>
      <c r="Q20" s="285" t="s">
        <v>585</v>
      </c>
      <c r="R20" s="285"/>
      <c r="S20" s="286"/>
      <c r="T20" s="5"/>
      <c r="U20" s="15"/>
    </row>
    <row r="21" spans="1:21" ht="18" customHeight="1">
      <c r="A21" s="5"/>
      <c r="B21" s="5"/>
      <c r="C21" s="279" t="s">
        <v>488</v>
      </c>
      <c r="D21" s="280"/>
      <c r="E21" s="280"/>
      <c r="F21" s="280"/>
      <c r="G21" s="280"/>
      <c r="H21" s="280"/>
      <c r="I21" s="280"/>
      <c r="J21" s="280"/>
      <c r="K21" s="152"/>
      <c r="L21" s="152"/>
      <c r="M21" s="287"/>
      <c r="N21" s="287"/>
      <c r="O21" s="287"/>
      <c r="P21" s="287"/>
      <c r="Q21" s="287"/>
      <c r="R21" s="287"/>
      <c r="S21" s="288"/>
      <c r="T21" s="5"/>
      <c r="U21" s="15"/>
    </row>
    <row r="22" spans="1:21" ht="18" customHeight="1">
      <c r="A22" s="5"/>
      <c r="B22" s="5"/>
      <c r="C22" s="293"/>
      <c r="D22" s="294"/>
      <c r="E22" s="294"/>
      <c r="F22" s="294"/>
      <c r="G22" s="294"/>
      <c r="H22" s="294"/>
      <c r="I22" s="294"/>
      <c r="J22" s="294"/>
      <c r="K22" s="294"/>
      <c r="L22" s="294"/>
      <c r="M22" s="294"/>
      <c r="N22" s="294"/>
      <c r="O22" s="294"/>
      <c r="P22" s="294"/>
      <c r="Q22" s="294"/>
      <c r="R22" s="294"/>
      <c r="S22" s="295"/>
      <c r="T22" s="5"/>
    </row>
    <row r="23" spans="1:21" ht="18" customHeight="1">
      <c r="A23" s="5"/>
      <c r="B23" s="5"/>
      <c r="C23" s="293"/>
      <c r="D23" s="294"/>
      <c r="E23" s="294"/>
      <c r="F23" s="294"/>
      <c r="G23" s="294"/>
      <c r="H23" s="294"/>
      <c r="I23" s="294"/>
      <c r="J23" s="294"/>
      <c r="K23" s="294"/>
      <c r="L23" s="294"/>
      <c r="M23" s="294"/>
      <c r="N23" s="294"/>
      <c r="O23" s="294"/>
      <c r="P23" s="294"/>
      <c r="Q23" s="294"/>
      <c r="R23" s="294"/>
      <c r="S23" s="295"/>
      <c r="T23" s="5"/>
    </row>
    <row r="24" spans="1:21" ht="18" customHeight="1">
      <c r="A24" s="5"/>
      <c r="B24" s="5"/>
      <c r="C24" s="297" t="s">
        <v>487</v>
      </c>
      <c r="D24" s="296"/>
      <c r="E24" s="296"/>
      <c r="F24" s="296"/>
      <c r="G24" s="296"/>
      <c r="H24" s="296"/>
      <c r="I24" s="296"/>
      <c r="J24" s="296"/>
      <c r="K24" s="296"/>
      <c r="L24" s="296"/>
      <c r="M24" s="296"/>
      <c r="N24" s="169"/>
      <c r="O24" s="296" t="s">
        <v>492</v>
      </c>
      <c r="P24" s="296"/>
      <c r="Q24" s="296"/>
      <c r="R24" s="296"/>
      <c r="S24" s="170"/>
      <c r="T24" s="5"/>
    </row>
    <row r="25" spans="1:21" ht="18" customHeight="1">
      <c r="A25" s="5"/>
      <c r="B25" s="5"/>
      <c r="C25" s="157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68"/>
      <c r="T25" s="5"/>
    </row>
    <row r="26" spans="1:21" ht="18" customHeight="1">
      <c r="A26" s="5"/>
      <c r="B26" s="5"/>
      <c r="S26" s="168"/>
      <c r="T26" s="5"/>
    </row>
    <row r="27" spans="1:21" ht="18" customHeight="1">
      <c r="A27" s="5"/>
      <c r="B27" s="5"/>
      <c r="C27" s="157"/>
      <c r="D27" s="158"/>
      <c r="E27" s="158"/>
      <c r="F27" s="158"/>
      <c r="G27" s="158"/>
      <c r="H27" s="158"/>
      <c r="I27" s="158"/>
      <c r="J27" s="158"/>
      <c r="K27" s="158"/>
      <c r="L27" s="167"/>
      <c r="M27" s="167"/>
      <c r="N27" s="167"/>
      <c r="O27" s="167"/>
      <c r="P27" s="167"/>
      <c r="Q27" s="167"/>
      <c r="R27" s="167"/>
      <c r="S27" s="60"/>
      <c r="T27" s="5"/>
    </row>
    <row r="28" spans="1:21" ht="18" customHeight="1">
      <c r="A28" s="5"/>
      <c r="B28" s="5"/>
      <c r="C28" s="291"/>
      <c r="D28" s="292"/>
      <c r="E28" s="292"/>
      <c r="F28" s="292"/>
      <c r="G28" s="292"/>
      <c r="H28" s="292"/>
      <c r="I28" s="292"/>
      <c r="J28" s="292"/>
      <c r="K28" s="292"/>
      <c r="L28" s="167"/>
      <c r="M28" s="167"/>
      <c r="N28" s="167"/>
      <c r="O28" s="167"/>
      <c r="P28" s="167"/>
      <c r="Q28" s="167"/>
      <c r="R28" s="167"/>
      <c r="S28" s="60"/>
      <c r="T28" s="5"/>
    </row>
    <row r="29" spans="1:21" ht="18" customHeight="1">
      <c r="A29" s="5"/>
      <c r="B29" s="5"/>
      <c r="C29" s="165"/>
      <c r="D29" s="166"/>
      <c r="E29" s="166"/>
      <c r="F29" s="166"/>
      <c r="G29" s="166"/>
      <c r="H29" s="166"/>
      <c r="I29" s="166"/>
      <c r="J29" s="166"/>
      <c r="K29" s="166"/>
      <c r="L29" s="167"/>
      <c r="M29" s="167"/>
      <c r="N29" s="167"/>
      <c r="O29" s="167"/>
      <c r="P29" s="167"/>
      <c r="Q29" s="167"/>
      <c r="R29" s="167"/>
      <c r="S29" s="60"/>
      <c r="T29" s="5"/>
    </row>
    <row r="30" spans="1:21" ht="18" customHeight="1">
      <c r="A30" s="5"/>
      <c r="B30" s="5"/>
      <c r="C30" s="165"/>
      <c r="D30" s="166"/>
      <c r="E30" s="166"/>
      <c r="F30" s="166"/>
      <c r="G30" s="166"/>
      <c r="H30" s="166"/>
      <c r="I30" s="166"/>
      <c r="J30" s="166"/>
      <c r="K30" s="166"/>
      <c r="L30" s="167"/>
      <c r="M30" s="167"/>
      <c r="N30" s="167"/>
      <c r="O30" s="167"/>
      <c r="P30" s="167"/>
      <c r="Q30" s="167"/>
      <c r="R30" s="167"/>
      <c r="S30" s="60"/>
      <c r="T30" s="5"/>
    </row>
    <row r="31" spans="1:21" ht="74.25" customHeight="1">
      <c r="A31" s="5"/>
      <c r="B31" s="5"/>
      <c r="C31" s="165"/>
      <c r="D31" s="166"/>
      <c r="E31" s="166"/>
      <c r="F31" s="166"/>
      <c r="G31" s="166"/>
      <c r="H31" s="166"/>
      <c r="I31" s="166"/>
      <c r="J31" s="166"/>
      <c r="K31" s="166"/>
      <c r="L31" s="167"/>
      <c r="M31" s="167"/>
      <c r="N31" s="167"/>
      <c r="O31" s="167"/>
      <c r="P31" s="167"/>
      <c r="Q31" s="167"/>
      <c r="R31" s="167"/>
      <c r="S31" s="60"/>
      <c r="T31" s="5"/>
    </row>
    <row r="32" spans="1:21" ht="18" customHeight="1">
      <c r="A32" s="5"/>
      <c r="B32" s="5"/>
      <c r="C32" s="165"/>
      <c r="D32" s="166"/>
      <c r="E32" s="166"/>
      <c r="F32" s="166"/>
      <c r="G32" s="166"/>
      <c r="H32" s="166"/>
      <c r="I32" s="166"/>
      <c r="J32" s="166"/>
      <c r="K32" s="166"/>
      <c r="L32" s="167"/>
      <c r="M32" s="167"/>
      <c r="N32" s="167"/>
      <c r="O32" s="167"/>
      <c r="P32" s="167"/>
      <c r="Q32" s="167"/>
      <c r="R32" s="167"/>
      <c r="S32" s="60"/>
      <c r="T32" s="5"/>
    </row>
    <row r="33" spans="1:20" ht="18" customHeight="1" thickBot="1">
      <c r="A33" s="5"/>
      <c r="B33" s="5"/>
      <c r="C33" s="159"/>
      <c r="D33" s="160"/>
      <c r="E33" s="160"/>
      <c r="F33" s="160"/>
      <c r="G33" s="160"/>
      <c r="H33" s="160"/>
      <c r="I33" s="160"/>
      <c r="J33" s="160"/>
      <c r="K33" s="160"/>
      <c r="L33" s="154"/>
      <c r="M33" s="154"/>
      <c r="N33" s="154"/>
      <c r="O33" s="154"/>
      <c r="P33" s="154"/>
      <c r="Q33" s="154"/>
      <c r="R33" s="154"/>
      <c r="S33" s="161"/>
      <c r="T33" s="5"/>
    </row>
    <row r="34" spans="1:20" ht="18" customHeight="1" thickBot="1">
      <c r="A34" s="5"/>
      <c r="B34" s="150"/>
      <c r="C34" s="163"/>
      <c r="D34" s="160"/>
      <c r="E34" s="160"/>
      <c r="F34" s="160"/>
      <c r="G34" s="160"/>
      <c r="H34" s="160"/>
      <c r="I34" s="160"/>
      <c r="J34" s="160"/>
      <c r="K34" s="160"/>
      <c r="L34" s="154"/>
      <c r="M34" s="154"/>
      <c r="N34" s="154"/>
      <c r="O34" s="154"/>
      <c r="P34" s="154"/>
      <c r="Q34" s="154"/>
      <c r="R34" s="154"/>
      <c r="S34" s="164"/>
      <c r="T34" s="5"/>
    </row>
    <row r="35" spans="1:20" ht="18" customHeight="1">
      <c r="A35" s="5"/>
      <c r="B35" s="5"/>
      <c r="C35" s="222"/>
      <c r="D35" s="223"/>
      <c r="E35" s="223"/>
      <c r="F35" s="223"/>
      <c r="G35" s="223"/>
      <c r="H35" s="223"/>
      <c r="I35" s="223"/>
      <c r="J35" s="223"/>
      <c r="K35" s="223"/>
      <c r="L35" s="223"/>
      <c r="M35" s="223"/>
      <c r="N35" s="223"/>
      <c r="O35" s="223"/>
      <c r="P35" s="223"/>
      <c r="Q35" s="223"/>
      <c r="R35" s="223"/>
      <c r="S35" s="224"/>
      <c r="T35" s="5"/>
    </row>
    <row r="36" spans="1:20" ht="18" customHeight="1">
      <c r="A36" s="5"/>
      <c r="B36" s="5"/>
      <c r="C36" s="269"/>
      <c r="D36" s="270"/>
      <c r="E36" s="270"/>
      <c r="F36" s="270"/>
      <c r="G36" s="270"/>
      <c r="H36" s="270"/>
      <c r="I36" s="270"/>
      <c r="J36" s="225"/>
      <c r="K36" s="271"/>
      <c r="L36" s="272"/>
      <c r="M36" s="272"/>
      <c r="N36" s="273"/>
      <c r="O36" s="274"/>
      <c r="P36" s="274"/>
      <c r="Q36" s="274"/>
      <c r="R36" s="274"/>
      <c r="S36" s="275"/>
      <c r="T36" s="5"/>
    </row>
    <row r="37" spans="1:20" ht="18" customHeight="1">
      <c r="A37" s="5"/>
      <c r="B37" s="5"/>
      <c r="C37" s="289" t="s">
        <v>4</v>
      </c>
      <c r="D37" s="290"/>
      <c r="E37" s="290"/>
      <c r="F37" s="290"/>
      <c r="G37" s="290"/>
      <c r="H37" s="290"/>
      <c r="I37" s="290"/>
      <c r="J37" s="225"/>
      <c r="K37" s="276" t="s">
        <v>5</v>
      </c>
      <c r="L37" s="276"/>
      <c r="M37" s="225"/>
      <c r="N37" s="276" t="s">
        <v>628</v>
      </c>
      <c r="O37" s="276"/>
      <c r="P37" s="276"/>
      <c r="Q37" s="276"/>
      <c r="R37" s="276"/>
      <c r="S37" s="226"/>
      <c r="T37" s="5"/>
    </row>
    <row r="38" spans="1:20" ht="18" customHeight="1" thickBot="1">
      <c r="A38" s="5"/>
      <c r="B38" s="5"/>
      <c r="C38" s="227"/>
      <c r="D38" s="227"/>
      <c r="E38" s="227"/>
      <c r="F38" s="227"/>
      <c r="G38" s="227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8"/>
      <c r="T38" s="5"/>
    </row>
    <row r="39" spans="1:20" ht="5.25" customHeight="1" thickBot="1">
      <c r="A39" s="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8"/>
      <c r="S39" s="8"/>
      <c r="T39" s="6"/>
    </row>
    <row r="40" spans="1:20" ht="16.5" hidden="1" customHeight="1">
      <c r="S40" s="9"/>
      <c r="T40" s="9"/>
    </row>
    <row r="46" spans="1:20" ht="15.75" customHeight="1"/>
    <row r="47" spans="1:20" ht="15.75" customHeight="1"/>
    <row r="48" spans="1:20" ht="15.75" customHeight="1"/>
    <row r="49" ht="15.75" customHeight="1"/>
    <row r="50" ht="15.75" customHeight="1"/>
    <row r="51" ht="15.75" customHeight="1"/>
    <row r="52" ht="15.75" customHeight="1"/>
    <row r="64" ht="15.75" customHeight="1"/>
    <row r="65" ht="15.75" customHeight="1"/>
    <row r="80" ht="15.75" customHeight="1"/>
    <row r="1048544" ht="15.75" customHeight="1"/>
    <row r="1048560" ht="15.75" customHeight="1"/>
    <row r="1048562" spans="19:20" ht="15.75" customHeight="1"/>
    <row r="1048573" spans="19:20" hidden="1">
      <c r="S1048573" s="9"/>
      <c r="T1048573" s="9"/>
    </row>
    <row r="1048574" spans="19:20" ht="15.75" customHeight="1"/>
    <row r="1048575" spans="19:20" ht="15.75" customHeight="1"/>
  </sheetData>
  <sheetProtection selectLockedCells="1"/>
  <dataConsolidate/>
  <mergeCells count="54">
    <mergeCell ref="C37:I37"/>
    <mergeCell ref="C28:K28"/>
    <mergeCell ref="C22:S23"/>
    <mergeCell ref="O24:R24"/>
    <mergeCell ref="C24:M24"/>
    <mergeCell ref="I17:L17"/>
    <mergeCell ref="E14:G14"/>
    <mergeCell ref="M20:P20"/>
    <mergeCell ref="Q20:S20"/>
    <mergeCell ref="C21:J21"/>
    <mergeCell ref="M21:S21"/>
    <mergeCell ref="C20:E20"/>
    <mergeCell ref="F20:L20"/>
    <mergeCell ref="C13:D13"/>
    <mergeCell ref="C14:D14"/>
    <mergeCell ref="K14:L14"/>
    <mergeCell ref="M14:O14"/>
    <mergeCell ref="M16:N16"/>
    <mergeCell ref="C16:H16"/>
    <mergeCell ref="I16:J16"/>
    <mergeCell ref="K16:L16"/>
    <mergeCell ref="O16:Q16"/>
    <mergeCell ref="C12:S12"/>
    <mergeCell ref="C36:I36"/>
    <mergeCell ref="K36:M36"/>
    <mergeCell ref="N36:S36"/>
    <mergeCell ref="K37:L37"/>
    <mergeCell ref="N37:R37"/>
    <mergeCell ref="C19:S19"/>
    <mergeCell ref="O17:Q17"/>
    <mergeCell ref="E13:G13"/>
    <mergeCell ref="K13:L13"/>
    <mergeCell ref="M13:O13"/>
    <mergeCell ref="C15:D15"/>
    <mergeCell ref="E15:G15"/>
    <mergeCell ref="K15:L15"/>
    <mergeCell ref="M15:O15"/>
    <mergeCell ref="C17:H17"/>
    <mergeCell ref="C10:D10"/>
    <mergeCell ref="L10:M10"/>
    <mergeCell ref="N10:R10"/>
    <mergeCell ref="E10:K10"/>
    <mergeCell ref="C9:D9"/>
    <mergeCell ref="L9:M9"/>
    <mergeCell ref="E9:K9"/>
    <mergeCell ref="N9:R9"/>
    <mergeCell ref="C8:D8"/>
    <mergeCell ref="E8:K8"/>
    <mergeCell ref="C7:D7"/>
    <mergeCell ref="E7:S7"/>
    <mergeCell ref="C4:S4"/>
    <mergeCell ref="C6:S6"/>
    <mergeCell ref="L8:M8"/>
    <mergeCell ref="N8:S8"/>
  </mergeCells>
  <conditionalFormatting sqref="E8:K8 N9 E7 E9:E10">
    <cfRule type="containsBlanks" dxfId="20" priority="6">
      <formula>LEN(TRIM(E7))=0</formula>
    </cfRule>
  </conditionalFormatting>
  <conditionalFormatting sqref="E8:K8 N9 E7 E9:E10">
    <cfRule type="cellIs" dxfId="19" priority="5" operator="equal">
      <formula>0</formula>
    </cfRule>
  </conditionalFormatting>
  <dataValidations count="2">
    <dataValidation type="list" allowBlank="1" showInputMessage="1" showErrorMessage="1" sqref="N36:S36">
      <formula1>"Onda Solar / FAZE"</formula1>
    </dataValidation>
    <dataValidation type="list" allowBlank="1" showInputMessage="1" showErrorMessage="1" sqref="Q20:S20">
      <formula1>"Norte / Leste"</formula1>
    </dataValidation>
  </dataValidations>
  <pageMargins left="0" right="0" top="0" bottom="0" header="0" footer="0"/>
  <pageSetup paperSize="9" scale="92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Valid.Dados!$V$9:$V$12</xm:f>
          </x14:formula1>
          <xm:sqref>F20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048576"/>
  <sheetViews>
    <sheetView topLeftCell="A13" zoomScaleNormal="100" zoomScaleSheetLayoutView="100" workbookViewId="0">
      <selection activeCell="C39" sqref="C39:E40"/>
    </sheetView>
  </sheetViews>
  <sheetFormatPr defaultColWidth="0" defaultRowHeight="0" customHeight="1" zeroHeight="1"/>
  <cols>
    <col min="1" max="1" width="5.28515625" style="1" customWidth="1"/>
    <col min="2" max="2" width="1" style="1" customWidth="1"/>
    <col min="3" max="3" width="5.85546875" style="1" bestFit="1" customWidth="1"/>
    <col min="4" max="6" width="5.28515625" style="1" customWidth="1"/>
    <col min="7" max="7" width="4.7109375" style="1" customWidth="1"/>
    <col min="8" max="8" width="4.140625" style="1" customWidth="1"/>
    <col min="9" max="9" width="4.7109375" style="1" customWidth="1"/>
    <col min="10" max="10" width="2.85546875" style="1" customWidth="1"/>
    <col min="11" max="11" width="4.7109375" style="1" customWidth="1"/>
    <col min="12" max="12" width="5.5703125" style="1" customWidth="1"/>
    <col min="13" max="13" width="5.7109375" style="1" customWidth="1"/>
    <col min="14" max="14" width="6.140625" style="173" customWidth="1"/>
    <col min="15" max="15" width="7.7109375" style="1" customWidth="1"/>
    <col min="16" max="16" width="5.7109375" style="1" customWidth="1"/>
    <col min="17" max="17" width="8" style="1" customWidth="1"/>
    <col min="18" max="18" width="8.42578125" style="1" customWidth="1"/>
    <col min="19" max="19" width="0.85546875" style="1" customWidth="1"/>
    <col min="20" max="20" width="0.42578125" style="1" customWidth="1"/>
    <col min="21" max="21" width="4.7109375" style="1" customWidth="1"/>
    <col min="22" max="16384" width="4.7109375" style="1" hidden="1"/>
  </cols>
  <sheetData>
    <row r="1" spans="1:21" ht="6.75" customHeight="1"/>
    <row r="2" spans="1:21" ht="3.75" customHeight="1" thickBot="1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74"/>
      <c r="O2" s="2"/>
      <c r="P2" s="2"/>
      <c r="Q2" s="2"/>
      <c r="R2" s="2"/>
      <c r="S2" s="2"/>
      <c r="T2" s="2"/>
    </row>
    <row r="3" spans="1:21" ht="5.25" customHeight="1" thickBot="1">
      <c r="B3" s="3"/>
      <c r="T3" s="4"/>
    </row>
    <row r="4" spans="1:21" ht="52.5" customHeight="1" thickBot="1">
      <c r="A4" s="5"/>
      <c r="C4" s="256" t="s">
        <v>549</v>
      </c>
      <c r="D4" s="257"/>
      <c r="E4" s="257"/>
      <c r="F4" s="257"/>
      <c r="G4" s="257"/>
      <c r="H4" s="257"/>
      <c r="I4" s="257"/>
      <c r="J4" s="257"/>
      <c r="K4" s="257"/>
      <c r="L4" s="257"/>
      <c r="M4" s="257"/>
      <c r="N4" s="257"/>
      <c r="O4" s="257"/>
      <c r="P4" s="257"/>
      <c r="Q4" s="257"/>
      <c r="R4" s="258"/>
      <c r="S4"/>
      <c r="T4" s="5"/>
    </row>
    <row r="5" spans="1:21" ht="5.25" customHeight="1" thickBot="1">
      <c r="A5" s="5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174"/>
      <c r="O5" s="2"/>
      <c r="P5" s="2"/>
      <c r="Q5" s="2"/>
      <c r="R5" s="8"/>
      <c r="S5" s="150"/>
      <c r="T5" s="5"/>
    </row>
    <row r="6" spans="1:21" ht="18" customHeight="1" thickBot="1">
      <c r="A6" s="5"/>
      <c r="B6" s="5"/>
      <c r="C6" s="259" t="s">
        <v>467</v>
      </c>
      <c r="D6" s="260"/>
      <c r="E6" s="260"/>
      <c r="F6" s="260"/>
      <c r="G6" s="260"/>
      <c r="H6" s="260"/>
      <c r="I6" s="260"/>
      <c r="J6" s="260"/>
      <c r="K6" s="260"/>
      <c r="L6" s="260"/>
      <c r="M6" s="260"/>
      <c r="N6" s="260"/>
      <c r="O6" s="260"/>
      <c r="P6" s="260"/>
      <c r="Q6" s="260"/>
      <c r="R6" s="261"/>
      <c r="S6" s="198"/>
      <c r="T6" s="5"/>
    </row>
    <row r="7" spans="1:21" ht="18" customHeight="1">
      <c r="A7" s="5"/>
      <c r="B7" s="150"/>
      <c r="C7" s="252" t="s">
        <v>468</v>
      </c>
      <c r="D7" s="253"/>
      <c r="E7" s="254" t="str">
        <f>+Input!C5</f>
        <v>ANA MARIA CARDOZO DOS SANTOS</v>
      </c>
      <c r="F7" s="254"/>
      <c r="G7" s="254"/>
      <c r="H7" s="254"/>
      <c r="I7" s="254"/>
      <c r="J7" s="254"/>
      <c r="K7" s="254"/>
      <c r="L7" s="254"/>
      <c r="M7" s="254"/>
      <c r="N7" s="254"/>
      <c r="O7" s="254"/>
      <c r="P7" s="254"/>
      <c r="Q7" s="254"/>
      <c r="R7" s="255"/>
      <c r="S7"/>
      <c r="T7" s="5"/>
    </row>
    <row r="8" spans="1:21" ht="18" customHeight="1">
      <c r="A8" s="5"/>
      <c r="B8" s="150"/>
      <c r="C8" s="249" t="s">
        <v>0</v>
      </c>
      <c r="D8" s="250"/>
      <c r="E8" s="251" t="str">
        <f>+Input!C20</f>
        <v>RIO GRANDE</v>
      </c>
      <c r="F8" s="251"/>
      <c r="G8" s="251"/>
      <c r="H8" s="251"/>
      <c r="I8" s="251"/>
      <c r="J8" s="251"/>
      <c r="K8" s="251"/>
      <c r="L8" s="250" t="s">
        <v>1</v>
      </c>
      <c r="M8" s="250"/>
      <c r="N8" s="262">
        <f>Input!C21</f>
        <v>12</v>
      </c>
      <c r="O8" s="262"/>
      <c r="P8" s="262"/>
      <c r="Q8" s="262"/>
      <c r="R8" s="263"/>
      <c r="S8"/>
      <c r="T8" s="5"/>
    </row>
    <row r="9" spans="1:21" ht="18" customHeight="1" thickBot="1">
      <c r="A9" s="5"/>
      <c r="B9" s="150"/>
      <c r="C9" s="317" t="s">
        <v>2</v>
      </c>
      <c r="D9" s="265"/>
      <c r="E9" s="318" t="str">
        <f>+Input!C22</f>
        <v>SCHARLAU</v>
      </c>
      <c r="F9" s="318"/>
      <c r="G9" s="318"/>
      <c r="H9" s="318"/>
      <c r="I9" s="318"/>
      <c r="J9" s="318"/>
      <c r="K9" s="318"/>
      <c r="L9" s="265" t="s">
        <v>3</v>
      </c>
      <c r="M9" s="265"/>
      <c r="N9" s="318" t="str">
        <f>Input!C23</f>
        <v>SÃO LEOPOLDO</v>
      </c>
      <c r="O9" s="318"/>
      <c r="P9" s="318"/>
      <c r="Q9" s="318"/>
      <c r="R9" s="319"/>
      <c r="S9"/>
      <c r="T9" s="5"/>
    </row>
    <row r="10" spans="1:21" ht="18" customHeight="1" thickBot="1">
      <c r="A10" s="5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174"/>
      <c r="O10" s="2"/>
      <c r="P10" s="2"/>
      <c r="Q10" s="2"/>
      <c r="R10" s="8"/>
      <c r="S10" s="150"/>
      <c r="T10" s="5"/>
    </row>
    <row r="11" spans="1:21" ht="18" customHeight="1" thickBot="1">
      <c r="A11" s="5"/>
      <c r="B11" s="7"/>
      <c r="C11" s="259" t="s">
        <v>534</v>
      </c>
      <c r="D11" s="260"/>
      <c r="E11" s="260"/>
      <c r="F11" s="260"/>
      <c r="G11" s="260"/>
      <c r="H11" s="260"/>
      <c r="I11" s="260"/>
      <c r="J11" s="260"/>
      <c r="K11" s="260"/>
      <c r="L11" s="260"/>
      <c r="M11" s="260"/>
      <c r="N11" s="260"/>
      <c r="O11" s="260"/>
      <c r="P11" s="260"/>
      <c r="Q11" s="260"/>
      <c r="R11" s="261"/>
      <c r="S11" s="199"/>
      <c r="T11" s="5"/>
    </row>
    <row r="12" spans="1:21" ht="18" customHeight="1">
      <c r="A12" s="5"/>
      <c r="B12" s="150"/>
      <c r="C12" s="207" t="s">
        <v>535</v>
      </c>
      <c r="D12" s="321" t="s">
        <v>536</v>
      </c>
      <c r="E12" s="321"/>
      <c r="F12" s="321"/>
      <c r="G12" s="321"/>
      <c r="H12" s="321"/>
      <c r="I12" s="321"/>
      <c r="J12" s="321"/>
      <c r="K12" s="321"/>
      <c r="L12" s="321"/>
      <c r="M12" s="326" t="s">
        <v>563</v>
      </c>
      <c r="N12" s="327"/>
      <c r="O12" s="327"/>
      <c r="P12" s="327"/>
      <c r="Q12" s="328"/>
      <c r="R12" s="208" t="s">
        <v>546</v>
      </c>
      <c r="S12"/>
      <c r="T12" s="5"/>
      <c r="U12"/>
    </row>
    <row r="13" spans="1:21" ht="18" customHeight="1">
      <c r="A13" s="5"/>
      <c r="B13" s="150"/>
      <c r="C13" s="323" t="s">
        <v>538</v>
      </c>
      <c r="D13" s="324"/>
      <c r="E13" s="324"/>
      <c r="F13" s="324"/>
      <c r="G13" s="324"/>
      <c r="H13" s="324"/>
      <c r="I13" s="324"/>
      <c r="J13" s="324"/>
      <c r="K13" s="324"/>
      <c r="L13" s="324"/>
      <c r="M13" s="324"/>
      <c r="N13" s="324"/>
      <c r="O13" s="324"/>
      <c r="P13" s="324"/>
      <c r="Q13" s="324"/>
      <c r="R13" s="325"/>
      <c r="S13"/>
      <c r="T13" s="5"/>
      <c r="U13"/>
    </row>
    <row r="14" spans="1:21" ht="18" customHeight="1">
      <c r="A14" s="5"/>
      <c r="B14" s="150"/>
      <c r="C14" s="200">
        <v>1</v>
      </c>
      <c r="D14" s="312" t="s">
        <v>552</v>
      </c>
      <c r="E14" s="312"/>
      <c r="F14" s="312"/>
      <c r="G14" s="312"/>
      <c r="H14" s="312"/>
      <c r="I14" s="312"/>
      <c r="J14" s="312"/>
      <c r="K14" s="312"/>
      <c r="L14" s="312"/>
      <c r="M14" s="298"/>
      <c r="N14" s="299"/>
      <c r="O14" s="299"/>
      <c r="P14" s="299"/>
      <c r="Q14" s="300"/>
      <c r="R14" s="201" t="s">
        <v>547</v>
      </c>
      <c r="S14"/>
      <c r="T14" s="5"/>
      <c r="U14"/>
    </row>
    <row r="15" spans="1:21" ht="18" customHeight="1">
      <c r="A15" s="5"/>
      <c r="B15" s="150"/>
      <c r="C15" s="200">
        <v>2</v>
      </c>
      <c r="D15" s="312" t="s">
        <v>561</v>
      </c>
      <c r="E15" s="312"/>
      <c r="F15" s="312"/>
      <c r="G15" s="312"/>
      <c r="H15" s="312"/>
      <c r="I15" s="312"/>
      <c r="J15" s="312"/>
      <c r="K15" s="312"/>
      <c r="L15" s="312"/>
      <c r="M15" s="298"/>
      <c r="N15" s="299"/>
      <c r="O15" s="299"/>
      <c r="P15" s="299"/>
      <c r="Q15" s="300"/>
      <c r="R15" s="201" t="s">
        <v>547</v>
      </c>
      <c r="S15"/>
      <c r="T15" s="5"/>
      <c r="U15"/>
    </row>
    <row r="16" spans="1:21" ht="18" customHeight="1">
      <c r="A16" s="5"/>
      <c r="B16" s="150"/>
      <c r="C16" s="200">
        <v>3</v>
      </c>
      <c r="D16" s="312" t="s">
        <v>564</v>
      </c>
      <c r="E16" s="312"/>
      <c r="F16" s="312"/>
      <c r="G16" s="312"/>
      <c r="H16" s="312"/>
      <c r="I16" s="312"/>
      <c r="J16" s="312"/>
      <c r="K16" s="312"/>
      <c r="L16" s="312"/>
      <c r="M16" s="298"/>
      <c r="N16" s="299"/>
      <c r="O16" s="299"/>
      <c r="P16" s="299"/>
      <c r="Q16" s="300"/>
      <c r="R16" s="201" t="s">
        <v>547</v>
      </c>
      <c r="S16"/>
      <c r="T16" s="5"/>
      <c r="U16"/>
    </row>
    <row r="17" spans="1:21" ht="18" customHeight="1" thickBot="1">
      <c r="A17" s="5"/>
      <c r="B17" s="150"/>
      <c r="C17" s="209">
        <v>4</v>
      </c>
      <c r="D17" s="313" t="s">
        <v>537</v>
      </c>
      <c r="E17" s="313"/>
      <c r="F17" s="313"/>
      <c r="G17" s="313"/>
      <c r="H17" s="313"/>
      <c r="I17" s="313"/>
      <c r="J17" s="313"/>
      <c r="K17" s="313"/>
      <c r="L17" s="313"/>
      <c r="M17" s="304"/>
      <c r="N17" s="305"/>
      <c r="O17" s="305"/>
      <c r="P17" s="305"/>
      <c r="Q17" s="306"/>
      <c r="R17" s="210" t="s">
        <v>547</v>
      </c>
      <c r="S17"/>
      <c r="T17" s="5"/>
      <c r="U17"/>
    </row>
    <row r="18" spans="1:21" ht="18" customHeight="1" thickBot="1">
      <c r="A18" s="5"/>
      <c r="C18" s="259" t="s">
        <v>539</v>
      </c>
      <c r="D18" s="260"/>
      <c r="E18" s="260"/>
      <c r="F18" s="260"/>
      <c r="G18" s="260"/>
      <c r="H18" s="260"/>
      <c r="I18" s="260"/>
      <c r="J18" s="260"/>
      <c r="K18" s="260"/>
      <c r="L18" s="260"/>
      <c r="M18" s="260"/>
      <c r="N18" s="260"/>
      <c r="O18" s="260"/>
      <c r="P18" s="260"/>
      <c r="Q18" s="260"/>
      <c r="R18" s="261"/>
      <c r="S18"/>
      <c r="T18" s="5"/>
      <c r="U18"/>
    </row>
    <row r="19" spans="1:21" ht="18" customHeight="1">
      <c r="A19" s="5"/>
      <c r="B19" s="150"/>
      <c r="C19" s="211">
        <v>1</v>
      </c>
      <c r="D19" s="316" t="s">
        <v>565</v>
      </c>
      <c r="E19" s="316"/>
      <c r="F19" s="316"/>
      <c r="G19" s="316"/>
      <c r="H19" s="316"/>
      <c r="I19" s="316"/>
      <c r="J19" s="316"/>
      <c r="K19" s="316"/>
      <c r="L19" s="316"/>
      <c r="M19" s="307"/>
      <c r="N19" s="308"/>
      <c r="O19" s="308"/>
      <c r="P19" s="308"/>
      <c r="Q19" s="309"/>
      <c r="R19" s="212" t="s">
        <v>547</v>
      </c>
      <c r="S19"/>
      <c r="T19" s="5"/>
      <c r="U19"/>
    </row>
    <row r="20" spans="1:21" ht="18" customHeight="1">
      <c r="A20" s="5"/>
      <c r="B20" s="150"/>
      <c r="C20" s="202">
        <v>2</v>
      </c>
      <c r="D20" s="314" t="s">
        <v>566</v>
      </c>
      <c r="E20" s="314"/>
      <c r="F20" s="314"/>
      <c r="G20" s="314"/>
      <c r="H20" s="314"/>
      <c r="I20" s="314"/>
      <c r="J20" s="314"/>
      <c r="K20" s="314"/>
      <c r="L20" s="314"/>
      <c r="M20" s="298"/>
      <c r="N20" s="299"/>
      <c r="O20" s="299"/>
      <c r="P20" s="299"/>
      <c r="Q20" s="300"/>
      <c r="R20" s="201" t="s">
        <v>547</v>
      </c>
      <c r="S20"/>
      <c r="T20" s="5"/>
      <c r="U20"/>
    </row>
    <row r="21" spans="1:21" ht="18" customHeight="1">
      <c r="A21" s="5"/>
      <c r="B21" s="150"/>
      <c r="C21" s="202">
        <v>3</v>
      </c>
      <c r="D21" s="314" t="s">
        <v>567</v>
      </c>
      <c r="E21" s="314"/>
      <c r="F21" s="314"/>
      <c r="G21" s="314"/>
      <c r="H21" s="314"/>
      <c r="I21" s="314"/>
      <c r="J21" s="314"/>
      <c r="K21" s="314"/>
      <c r="L21" s="314"/>
      <c r="M21" s="298"/>
      <c r="N21" s="299"/>
      <c r="O21" s="299"/>
      <c r="P21" s="299"/>
      <c r="Q21" s="300"/>
      <c r="R21" s="201" t="s">
        <v>547</v>
      </c>
      <c r="S21"/>
      <c r="T21" s="5"/>
      <c r="U21"/>
    </row>
    <row r="22" spans="1:21" ht="18" customHeight="1">
      <c r="A22" s="5"/>
      <c r="B22" s="150"/>
      <c r="C22" s="202">
        <v>4</v>
      </c>
      <c r="D22" s="314" t="s">
        <v>568</v>
      </c>
      <c r="E22" s="314"/>
      <c r="F22" s="314"/>
      <c r="G22" s="314"/>
      <c r="H22" s="314"/>
      <c r="I22" s="314"/>
      <c r="J22" s="314"/>
      <c r="K22" s="314"/>
      <c r="L22" s="314"/>
      <c r="M22" s="298"/>
      <c r="N22" s="299"/>
      <c r="O22" s="299"/>
      <c r="P22" s="299"/>
      <c r="Q22" s="300"/>
      <c r="R22" s="201" t="s">
        <v>547</v>
      </c>
      <c r="S22"/>
      <c r="T22" s="5"/>
      <c r="U22"/>
    </row>
    <row r="23" spans="1:21" ht="18" customHeight="1">
      <c r="A23" s="5"/>
      <c r="B23" s="150"/>
      <c r="C23" s="202">
        <v>5</v>
      </c>
      <c r="D23" s="314" t="s">
        <v>569</v>
      </c>
      <c r="E23" s="314"/>
      <c r="F23" s="314"/>
      <c r="G23" s="314"/>
      <c r="H23" s="314"/>
      <c r="I23" s="314"/>
      <c r="J23" s="314"/>
      <c r="K23" s="314"/>
      <c r="L23" s="314"/>
      <c r="M23" s="298"/>
      <c r="N23" s="299"/>
      <c r="O23" s="299"/>
      <c r="P23" s="299"/>
      <c r="Q23" s="300"/>
      <c r="R23" s="201" t="s">
        <v>547</v>
      </c>
      <c r="S23"/>
      <c r="T23" s="5"/>
      <c r="U23"/>
    </row>
    <row r="24" spans="1:21" ht="18" customHeight="1">
      <c r="A24" s="5"/>
      <c r="B24" s="150"/>
      <c r="C24" s="202">
        <v>6</v>
      </c>
      <c r="D24" s="314" t="s">
        <v>570</v>
      </c>
      <c r="E24" s="314"/>
      <c r="F24" s="314"/>
      <c r="G24" s="314"/>
      <c r="H24" s="314"/>
      <c r="I24" s="314"/>
      <c r="J24" s="314"/>
      <c r="K24" s="314"/>
      <c r="L24" s="314"/>
      <c r="M24" s="298"/>
      <c r="N24" s="299"/>
      <c r="O24" s="299"/>
      <c r="P24" s="299"/>
      <c r="Q24" s="300"/>
      <c r="R24" s="201" t="s">
        <v>547</v>
      </c>
      <c r="S24"/>
      <c r="T24" s="5"/>
      <c r="U24"/>
    </row>
    <row r="25" spans="1:21" ht="18" customHeight="1">
      <c r="A25" s="5"/>
      <c r="B25" s="150"/>
      <c r="C25" s="202">
        <v>7</v>
      </c>
      <c r="D25" s="314" t="s">
        <v>571</v>
      </c>
      <c r="E25" s="314"/>
      <c r="F25" s="314"/>
      <c r="G25" s="314"/>
      <c r="H25" s="314"/>
      <c r="I25" s="314"/>
      <c r="J25" s="314"/>
      <c r="K25" s="314"/>
      <c r="L25" s="314"/>
      <c r="M25" s="298"/>
      <c r="N25" s="299"/>
      <c r="O25" s="299"/>
      <c r="P25" s="299"/>
      <c r="Q25" s="300"/>
      <c r="R25" s="201" t="s">
        <v>547</v>
      </c>
      <c r="S25"/>
      <c r="T25" s="5"/>
      <c r="U25"/>
    </row>
    <row r="26" spans="1:21" ht="18" customHeight="1">
      <c r="A26" s="5"/>
      <c r="B26" s="150"/>
      <c r="C26" s="202">
        <v>8</v>
      </c>
      <c r="D26" s="310" t="s">
        <v>572</v>
      </c>
      <c r="E26" s="310"/>
      <c r="F26" s="310"/>
      <c r="G26" s="310"/>
      <c r="H26" s="310"/>
      <c r="I26" s="310"/>
      <c r="J26" s="310"/>
      <c r="K26" s="310"/>
      <c r="L26" s="310"/>
      <c r="M26" s="298"/>
      <c r="N26" s="299"/>
      <c r="O26" s="299"/>
      <c r="P26" s="299"/>
      <c r="Q26" s="300"/>
      <c r="R26" s="201" t="s">
        <v>547</v>
      </c>
      <c r="S26"/>
      <c r="T26" s="5"/>
      <c r="U26"/>
    </row>
    <row r="27" spans="1:21" ht="18" customHeight="1">
      <c r="A27" s="5"/>
      <c r="B27" s="150"/>
      <c r="C27" s="202">
        <v>9</v>
      </c>
      <c r="D27" s="315" t="s">
        <v>540</v>
      </c>
      <c r="E27" s="315"/>
      <c r="F27" s="315"/>
      <c r="G27" s="315"/>
      <c r="H27" s="315"/>
      <c r="I27" s="315"/>
      <c r="J27" s="315"/>
      <c r="K27" s="315"/>
      <c r="L27" s="315"/>
      <c r="M27" s="298"/>
      <c r="N27" s="299"/>
      <c r="O27" s="299"/>
      <c r="P27" s="299"/>
      <c r="Q27" s="300"/>
      <c r="R27" s="201" t="s">
        <v>547</v>
      </c>
      <c r="S27"/>
      <c r="T27" s="5"/>
      <c r="U27"/>
    </row>
    <row r="28" spans="1:21" ht="18" customHeight="1">
      <c r="A28" s="5"/>
      <c r="B28" s="150"/>
      <c r="C28" s="202">
        <v>10</v>
      </c>
      <c r="D28" s="310" t="s">
        <v>541</v>
      </c>
      <c r="E28" s="310"/>
      <c r="F28" s="310"/>
      <c r="G28" s="310"/>
      <c r="H28" s="310"/>
      <c r="I28" s="310"/>
      <c r="J28" s="310"/>
      <c r="K28" s="310"/>
      <c r="L28" s="310"/>
      <c r="M28" s="298"/>
      <c r="N28" s="299"/>
      <c r="O28" s="299"/>
      <c r="P28" s="299"/>
      <c r="Q28" s="300"/>
      <c r="R28" s="175" t="s">
        <v>548</v>
      </c>
      <c r="S28"/>
      <c r="T28" s="5"/>
      <c r="U28"/>
    </row>
    <row r="29" spans="1:21" ht="18" customHeight="1">
      <c r="A29" s="5"/>
      <c r="B29" s="150"/>
      <c r="C29" s="202">
        <v>11</v>
      </c>
      <c r="D29" s="310" t="s">
        <v>542</v>
      </c>
      <c r="E29" s="310"/>
      <c r="F29" s="310"/>
      <c r="G29" s="310"/>
      <c r="H29" s="310"/>
      <c r="I29" s="310"/>
      <c r="J29" s="310"/>
      <c r="K29" s="310"/>
      <c r="L29" s="310"/>
      <c r="M29" s="298"/>
      <c r="N29" s="299"/>
      <c r="O29" s="299"/>
      <c r="P29" s="299"/>
      <c r="Q29" s="300"/>
      <c r="R29" s="175" t="s">
        <v>548</v>
      </c>
      <c r="S29"/>
      <c r="T29" s="5"/>
      <c r="U29"/>
    </row>
    <row r="30" spans="1:21" ht="18" customHeight="1">
      <c r="A30" s="5"/>
      <c r="B30" s="150"/>
      <c r="C30" s="202">
        <v>12</v>
      </c>
      <c r="D30" s="310" t="s">
        <v>543</v>
      </c>
      <c r="E30" s="310"/>
      <c r="F30" s="310"/>
      <c r="G30" s="310"/>
      <c r="H30" s="310"/>
      <c r="I30" s="310"/>
      <c r="J30" s="310"/>
      <c r="K30" s="310"/>
      <c r="L30" s="310"/>
      <c r="M30" s="298"/>
      <c r="N30" s="299"/>
      <c r="O30" s="299"/>
      <c r="P30" s="299"/>
      <c r="Q30" s="300"/>
      <c r="R30" s="201" t="s">
        <v>547</v>
      </c>
      <c r="S30"/>
      <c r="T30" s="5"/>
      <c r="U30"/>
    </row>
    <row r="31" spans="1:21" ht="18" customHeight="1" thickBot="1">
      <c r="A31" s="5"/>
      <c r="B31" s="150"/>
      <c r="C31" s="213">
        <v>13</v>
      </c>
      <c r="D31" s="311" t="s">
        <v>553</v>
      </c>
      <c r="E31" s="311"/>
      <c r="F31" s="311"/>
      <c r="G31" s="311"/>
      <c r="H31" s="311"/>
      <c r="I31" s="311"/>
      <c r="J31" s="311"/>
      <c r="K31" s="311"/>
      <c r="L31" s="311"/>
      <c r="M31" s="304"/>
      <c r="N31" s="305"/>
      <c r="O31" s="305"/>
      <c r="P31" s="305"/>
      <c r="Q31" s="306"/>
      <c r="R31" s="210" t="s">
        <v>548</v>
      </c>
      <c r="S31"/>
      <c r="T31" s="5"/>
    </row>
    <row r="32" spans="1:21" ht="18" customHeight="1" thickBot="1">
      <c r="A32" s="5"/>
      <c r="B32" s="150"/>
      <c r="C32" s="329" t="s">
        <v>544</v>
      </c>
      <c r="D32" s="330"/>
      <c r="E32" s="330"/>
      <c r="F32" s="330"/>
      <c r="G32" s="330"/>
      <c r="H32" s="330"/>
      <c r="I32" s="330"/>
      <c r="J32" s="330"/>
      <c r="K32" s="330"/>
      <c r="L32" s="330"/>
      <c r="M32" s="330"/>
      <c r="N32" s="330"/>
      <c r="O32" s="330"/>
      <c r="P32" s="330"/>
      <c r="Q32" s="330"/>
      <c r="R32" s="331"/>
      <c r="S32"/>
      <c r="T32" s="5"/>
    </row>
    <row r="33" spans="1:21" ht="15.75">
      <c r="A33" s="5"/>
      <c r="B33" s="150"/>
      <c r="C33" s="214">
        <v>1</v>
      </c>
      <c r="D33" s="322" t="s">
        <v>545</v>
      </c>
      <c r="E33" s="322"/>
      <c r="F33" s="322"/>
      <c r="G33" s="322"/>
      <c r="H33" s="322"/>
      <c r="I33" s="322"/>
      <c r="J33" s="322"/>
      <c r="K33" s="322"/>
      <c r="L33" s="322"/>
      <c r="M33" s="307"/>
      <c r="N33" s="308"/>
      <c r="O33" s="308"/>
      <c r="P33" s="308"/>
      <c r="Q33" s="309"/>
      <c r="R33" s="215" t="s">
        <v>548</v>
      </c>
      <c r="S33"/>
      <c r="T33" s="5"/>
    </row>
    <row r="34" spans="1:21" ht="18" customHeight="1">
      <c r="A34" s="5"/>
      <c r="B34" s="150"/>
      <c r="C34" s="203">
        <v>2</v>
      </c>
      <c r="D34" s="310" t="s">
        <v>545</v>
      </c>
      <c r="E34" s="310"/>
      <c r="F34" s="310"/>
      <c r="G34" s="310"/>
      <c r="H34" s="310"/>
      <c r="I34" s="310"/>
      <c r="J34" s="310"/>
      <c r="K34" s="310"/>
      <c r="L34" s="310"/>
      <c r="M34" s="298"/>
      <c r="N34" s="299"/>
      <c r="O34" s="299"/>
      <c r="P34" s="299"/>
      <c r="Q34" s="300"/>
      <c r="R34" s="204" t="s">
        <v>548</v>
      </c>
      <c r="S34"/>
      <c r="T34" s="5"/>
    </row>
    <row r="35" spans="1:21" ht="18" customHeight="1">
      <c r="A35" s="5"/>
      <c r="B35" s="150"/>
      <c r="C35" s="203">
        <v>3</v>
      </c>
      <c r="D35" s="310" t="s">
        <v>545</v>
      </c>
      <c r="E35" s="310"/>
      <c r="F35" s="310"/>
      <c r="G35" s="310"/>
      <c r="H35" s="310"/>
      <c r="I35" s="310"/>
      <c r="J35" s="310"/>
      <c r="K35" s="310"/>
      <c r="L35" s="310"/>
      <c r="M35" s="298"/>
      <c r="N35" s="299"/>
      <c r="O35" s="299"/>
      <c r="P35" s="299"/>
      <c r="Q35" s="300"/>
      <c r="R35" s="204" t="s">
        <v>548</v>
      </c>
      <c r="S35"/>
      <c r="T35" s="5"/>
    </row>
    <row r="36" spans="1:21" ht="18" customHeight="1">
      <c r="A36" s="5"/>
      <c r="B36" s="150"/>
      <c r="C36" s="203">
        <v>4</v>
      </c>
      <c r="D36" s="310" t="s">
        <v>560</v>
      </c>
      <c r="E36" s="310"/>
      <c r="F36" s="310"/>
      <c r="G36" s="310"/>
      <c r="H36" s="310"/>
      <c r="I36" s="310"/>
      <c r="J36" s="310"/>
      <c r="K36" s="310"/>
      <c r="L36" s="310"/>
      <c r="M36" s="298"/>
      <c r="N36" s="299"/>
      <c r="O36" s="299"/>
      <c r="P36" s="299"/>
      <c r="Q36" s="300"/>
      <c r="R36" s="205" t="s">
        <v>548</v>
      </c>
      <c r="S36"/>
      <c r="T36" s="5"/>
    </row>
    <row r="37" spans="1:21" ht="18" customHeight="1">
      <c r="A37" s="5"/>
      <c r="B37" s="150"/>
      <c r="C37" s="203">
        <v>5</v>
      </c>
      <c r="D37" s="310" t="s">
        <v>560</v>
      </c>
      <c r="E37" s="310"/>
      <c r="F37" s="310"/>
      <c r="G37" s="310"/>
      <c r="H37" s="310"/>
      <c r="I37" s="310"/>
      <c r="J37" s="310"/>
      <c r="K37" s="310"/>
      <c r="L37" s="310"/>
      <c r="M37" s="298"/>
      <c r="N37" s="299"/>
      <c r="O37" s="299"/>
      <c r="P37" s="299"/>
      <c r="Q37" s="300"/>
      <c r="R37" s="205" t="s">
        <v>548</v>
      </c>
      <c r="S37"/>
      <c r="T37" s="5"/>
    </row>
    <row r="38" spans="1:21" ht="18" customHeight="1" thickBot="1">
      <c r="A38" s="5"/>
      <c r="B38" s="150"/>
      <c r="C38" s="229">
        <v>6</v>
      </c>
      <c r="D38" s="311" t="s">
        <v>560</v>
      </c>
      <c r="E38" s="311"/>
      <c r="F38" s="320"/>
      <c r="G38" s="320"/>
      <c r="H38" s="320"/>
      <c r="I38" s="320"/>
      <c r="J38" s="320"/>
      <c r="K38" s="320"/>
      <c r="L38" s="320"/>
      <c r="M38" s="301"/>
      <c r="N38" s="302"/>
      <c r="O38" s="302"/>
      <c r="P38" s="302"/>
      <c r="Q38" s="303"/>
      <c r="R38" s="206" t="s">
        <v>548</v>
      </c>
      <c r="S38"/>
      <c r="T38" s="5"/>
    </row>
    <row r="39" spans="1:21" ht="18" customHeight="1">
      <c r="A39" s="5"/>
      <c r="B39" s="176"/>
      <c r="C39" s="332" t="s">
        <v>550</v>
      </c>
      <c r="D39" s="332"/>
      <c r="E39" s="332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99"/>
      <c r="T39" s="5"/>
    </row>
    <row r="40" spans="1:21" ht="18" customHeight="1">
      <c r="A40" s="5"/>
      <c r="B40" s="176"/>
      <c r="C40" s="332"/>
      <c r="D40" s="332"/>
      <c r="E40" s="332"/>
      <c r="F40" s="177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99"/>
      <c r="T40" s="5"/>
    </row>
    <row r="41" spans="1:21" ht="40.5" customHeight="1">
      <c r="A41" s="5"/>
      <c r="B41" s="176"/>
      <c r="C41" s="177"/>
      <c r="D41" s="177"/>
      <c r="E41" s="177"/>
      <c r="F41" s="177"/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77"/>
      <c r="S41" s="199"/>
      <c r="T41" s="5"/>
    </row>
    <row r="42" spans="1:21" ht="49.5" customHeight="1">
      <c r="A42" s="5"/>
      <c r="B42" s="176"/>
      <c r="C42" s="177"/>
      <c r="D42" s="177"/>
      <c r="E42" s="177"/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77"/>
      <c r="S42"/>
      <c r="T42" s="5"/>
    </row>
    <row r="43" spans="1:21" ht="18" customHeight="1">
      <c r="A43" s="5"/>
      <c r="B43" s="176"/>
      <c r="C43" s="333" t="str">
        <f>N9</f>
        <v>SÃO LEOPOLDO</v>
      </c>
      <c r="D43" s="333"/>
      <c r="E43" s="333"/>
      <c r="F43" s="333"/>
      <c r="G43" s="333"/>
      <c r="H43" s="333"/>
      <c r="I43" s="177"/>
      <c r="J43" s="333"/>
      <c r="K43" s="333"/>
      <c r="L43" s="333"/>
      <c r="M43" s="177"/>
      <c r="N43" s="333"/>
      <c r="O43" s="333"/>
      <c r="P43" s="333"/>
      <c r="Q43" s="333"/>
      <c r="R43" s="333"/>
      <c r="S43" s="199"/>
      <c r="T43" s="5"/>
    </row>
    <row r="44" spans="1:21" ht="15.75">
      <c r="A44" s="5"/>
      <c r="B44" s="176"/>
      <c r="C44" s="334" t="s">
        <v>4</v>
      </c>
      <c r="D44" s="334"/>
      <c r="E44" s="334"/>
      <c r="F44" s="334"/>
      <c r="G44" s="334"/>
      <c r="H44" s="334"/>
      <c r="I44" s="177"/>
      <c r="J44" s="334" t="s">
        <v>5</v>
      </c>
      <c r="K44" s="334"/>
      <c r="L44" s="334"/>
      <c r="M44" s="177"/>
      <c r="N44" s="334" t="s">
        <v>562</v>
      </c>
      <c r="O44" s="334"/>
      <c r="P44" s="334"/>
      <c r="Q44" s="334"/>
      <c r="R44" s="334"/>
      <c r="S44"/>
      <c r="T44" s="5"/>
    </row>
    <row r="45" spans="1:21" ht="16.5" thickBot="1">
      <c r="A45" s="5"/>
      <c r="B45" s="19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193"/>
      <c r="O45" s="197"/>
      <c r="P45" s="197"/>
      <c r="Q45" s="2"/>
      <c r="R45" s="2"/>
      <c r="S45" s="2"/>
      <c r="T45" s="55"/>
    </row>
    <row r="46" spans="1:21" ht="16.5" customHeight="1">
      <c r="A46" s="150"/>
      <c r="B46" s="195"/>
      <c r="C46" s="177" t="s">
        <v>551</v>
      </c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/>
      <c r="T46" s="195"/>
      <c r="U46" s="150"/>
    </row>
    <row r="47" spans="1:21" ht="15.75" customHeight="1">
      <c r="B47" s="150"/>
      <c r="C47" s="177"/>
      <c r="D47" s="177"/>
      <c r="E47" s="177"/>
      <c r="F47" s="177"/>
      <c r="G47" s="177"/>
      <c r="H47" s="177"/>
      <c r="I47" s="177"/>
      <c r="J47" s="177"/>
      <c r="K47" s="177"/>
      <c r="L47" s="177"/>
      <c r="M47" s="177"/>
      <c r="N47" s="178"/>
      <c r="O47" s="177"/>
      <c r="P47" s="177"/>
      <c r="Q47" s="177"/>
      <c r="R47" s="177"/>
      <c r="S47" s="150"/>
      <c r="T47"/>
    </row>
    <row r="48" spans="1:21" ht="15.75" customHeight="1">
      <c r="C48" s="177"/>
      <c r="D48" s="177"/>
      <c r="E48" s="177"/>
      <c r="F48" s="177"/>
      <c r="G48" s="177"/>
      <c r="H48" s="177"/>
      <c r="I48" s="177"/>
      <c r="J48" s="177"/>
      <c r="K48" s="177"/>
      <c r="L48" s="177"/>
      <c r="M48" s="177"/>
      <c r="N48" s="178"/>
      <c r="O48" s="177"/>
      <c r="P48" s="177"/>
      <c r="Q48" s="177"/>
      <c r="R48" s="177"/>
    </row>
    <row r="49" spans="3:18" ht="15.75" customHeight="1">
      <c r="C49" s="177"/>
      <c r="D49" s="177"/>
      <c r="E49" s="177"/>
      <c r="F49" s="177"/>
      <c r="G49" s="177"/>
      <c r="H49" s="177"/>
      <c r="I49" s="177"/>
      <c r="J49" s="177"/>
      <c r="K49" s="177"/>
      <c r="L49" s="177"/>
      <c r="M49" s="177"/>
      <c r="N49" s="178"/>
      <c r="O49" s="177"/>
      <c r="P49" s="177"/>
      <c r="Q49" s="177"/>
      <c r="R49" s="177"/>
    </row>
    <row r="50" spans="3:18" ht="15.75" customHeight="1">
      <c r="C50" s="177"/>
      <c r="D50" s="177"/>
      <c r="E50" s="177"/>
      <c r="F50" s="177"/>
      <c r="G50" s="177"/>
      <c r="H50" s="177"/>
      <c r="I50" s="177"/>
      <c r="J50" s="177"/>
      <c r="K50" s="177"/>
      <c r="L50" s="177"/>
      <c r="M50" s="177"/>
      <c r="N50" s="178"/>
      <c r="O50" s="177"/>
      <c r="P50" s="177"/>
      <c r="Q50" s="177"/>
      <c r="R50" s="177"/>
    </row>
    <row r="51" spans="3:18" ht="15.75"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8"/>
      <c r="O51" s="177"/>
      <c r="P51" s="177"/>
      <c r="Q51" s="177"/>
      <c r="R51" s="177"/>
    </row>
    <row r="52" spans="3:18" ht="15.75" customHeight="1"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8"/>
      <c r="O52" s="177"/>
      <c r="P52" s="177"/>
      <c r="Q52" s="177"/>
      <c r="R52" s="177"/>
    </row>
    <row r="53" spans="3:18" ht="15.75" customHeight="1">
      <c r="C53" s="177"/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8"/>
      <c r="O53" s="177"/>
      <c r="P53" s="177"/>
      <c r="Q53" s="177"/>
      <c r="R53" s="177"/>
    </row>
    <row r="54" spans="3:18" ht="15.75" customHeight="1">
      <c r="C54" s="177"/>
      <c r="D54" s="177"/>
      <c r="E54" s="177"/>
      <c r="F54" s="177"/>
      <c r="G54" s="177"/>
      <c r="H54" s="177"/>
      <c r="I54" s="177"/>
      <c r="J54" s="177"/>
      <c r="K54" s="177"/>
      <c r="L54" s="177"/>
      <c r="M54" s="177"/>
      <c r="N54" s="178"/>
      <c r="O54" s="177"/>
      <c r="P54" s="177"/>
      <c r="Q54" s="177"/>
      <c r="R54" s="177"/>
    </row>
    <row r="55" spans="3:18" ht="15.75" customHeight="1"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8"/>
      <c r="O55" s="177"/>
      <c r="P55" s="177"/>
      <c r="Q55" s="177"/>
      <c r="R55" s="177"/>
    </row>
    <row r="56" spans="3:18" ht="15.75" customHeight="1">
      <c r="C56" s="54"/>
    </row>
    <row r="57" spans="3:18" ht="15.75" customHeight="1"/>
    <row r="58" spans="3:18" ht="15.75" customHeight="1"/>
    <row r="68" ht="15.75" customHeight="1"/>
    <row r="71" ht="15.75" customHeight="1"/>
    <row r="1048564" spans="19:20" ht="15.75" customHeight="1"/>
    <row r="1048565" spans="19:20" ht="15.75" customHeight="1"/>
    <row r="1048576" spans="19:20" ht="15.75" hidden="1">
      <c r="S1048576" s="9"/>
      <c r="T1048576" s="9"/>
    </row>
  </sheetData>
  <sheetProtection selectLockedCells="1"/>
  <dataConsolidate/>
  <mergeCells count="71">
    <mergeCell ref="C39:E40"/>
    <mergeCell ref="N43:R43"/>
    <mergeCell ref="J43:L43"/>
    <mergeCell ref="J44:L44"/>
    <mergeCell ref="N44:R44"/>
    <mergeCell ref="C43:H43"/>
    <mergeCell ref="C44:H44"/>
    <mergeCell ref="D38:L38"/>
    <mergeCell ref="D12:L12"/>
    <mergeCell ref="D33:L33"/>
    <mergeCell ref="D34:L34"/>
    <mergeCell ref="D35:L35"/>
    <mergeCell ref="D36:L36"/>
    <mergeCell ref="C13:R13"/>
    <mergeCell ref="C18:R18"/>
    <mergeCell ref="D14:L14"/>
    <mergeCell ref="D30:L30"/>
    <mergeCell ref="M12:Q12"/>
    <mergeCell ref="C32:R32"/>
    <mergeCell ref="M14:Q14"/>
    <mergeCell ref="M15:Q15"/>
    <mergeCell ref="M16:Q16"/>
    <mergeCell ref="M17:Q17"/>
    <mergeCell ref="C4:R4"/>
    <mergeCell ref="C6:R6"/>
    <mergeCell ref="E7:R7"/>
    <mergeCell ref="N8:R8"/>
    <mergeCell ref="D19:L19"/>
    <mergeCell ref="C11:R11"/>
    <mergeCell ref="C9:D9"/>
    <mergeCell ref="E9:K9"/>
    <mergeCell ref="L9:M9"/>
    <mergeCell ref="N9:R9"/>
    <mergeCell ref="C7:D7"/>
    <mergeCell ref="C8:D8"/>
    <mergeCell ref="E8:K8"/>
    <mergeCell ref="L8:M8"/>
    <mergeCell ref="M19:Q19"/>
    <mergeCell ref="D37:L37"/>
    <mergeCell ref="D29:L29"/>
    <mergeCell ref="D31:L31"/>
    <mergeCell ref="D15:L15"/>
    <mergeCell ref="D16:L16"/>
    <mergeCell ref="D17:L17"/>
    <mergeCell ref="D24:L24"/>
    <mergeCell ref="D25:L25"/>
    <mergeCell ref="D26:L26"/>
    <mergeCell ref="D27:L27"/>
    <mergeCell ref="D20:L20"/>
    <mergeCell ref="D21:L21"/>
    <mergeCell ref="D22:L22"/>
    <mergeCell ref="D23:L23"/>
    <mergeCell ref="D28:L28"/>
    <mergeCell ref="M20:Q20"/>
    <mergeCell ref="M21:Q21"/>
    <mergeCell ref="M22:Q22"/>
    <mergeCell ref="M23:Q23"/>
    <mergeCell ref="M24:Q24"/>
    <mergeCell ref="M25:Q25"/>
    <mergeCell ref="M26:Q26"/>
    <mergeCell ref="M27:Q27"/>
    <mergeCell ref="M28:Q28"/>
    <mergeCell ref="M35:Q35"/>
    <mergeCell ref="M36:Q36"/>
    <mergeCell ref="M37:Q37"/>
    <mergeCell ref="M38:Q38"/>
    <mergeCell ref="M29:Q29"/>
    <mergeCell ref="M30:Q30"/>
    <mergeCell ref="M31:Q31"/>
    <mergeCell ref="M33:Q33"/>
    <mergeCell ref="M34:Q34"/>
  </mergeCells>
  <conditionalFormatting sqref="E8:K8 N9 E7 E9">
    <cfRule type="containsBlanks" dxfId="18" priority="2">
      <formula>LEN(TRIM(E7))=0</formula>
    </cfRule>
  </conditionalFormatting>
  <conditionalFormatting sqref="E8:K8 N9 E7 E9">
    <cfRule type="cellIs" dxfId="17" priority="1" operator="equal">
      <formula>0</formula>
    </cfRule>
  </conditionalFormatting>
  <pageMargins left="0" right="0" top="0" bottom="0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23"/>
  <sheetViews>
    <sheetView view="pageBreakPreview" topLeftCell="A4" zoomScale="85" zoomScaleNormal="100" zoomScaleSheetLayoutView="85" workbookViewId="0">
      <selection activeCell="H39" sqref="H39:J39"/>
    </sheetView>
  </sheetViews>
  <sheetFormatPr defaultRowHeight="15"/>
  <sheetData>
    <row r="2" spans="2:15">
      <c r="B2" s="358" t="s">
        <v>322</v>
      </c>
      <c r="C2" s="358"/>
      <c r="D2" s="358"/>
      <c r="E2" s="358"/>
      <c r="F2" s="358"/>
      <c r="G2" s="358"/>
      <c r="H2" s="358"/>
      <c r="I2" s="358"/>
      <c r="J2" s="358"/>
      <c r="K2" s="358"/>
      <c r="L2" s="358"/>
      <c r="M2" s="358"/>
      <c r="N2" s="358"/>
      <c r="O2" s="358"/>
    </row>
    <row r="3" spans="2:15"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</row>
    <row r="4" spans="2:15" ht="75.75" customHeight="1">
      <c r="B4" s="359" t="s">
        <v>323</v>
      </c>
      <c r="C4" s="359"/>
      <c r="D4" s="359"/>
      <c r="E4" s="359"/>
      <c r="F4" s="359"/>
      <c r="G4" s="359"/>
      <c r="H4" s="359"/>
      <c r="I4" s="359"/>
      <c r="J4" s="359"/>
      <c r="K4" s="359"/>
      <c r="L4" s="359"/>
      <c r="M4" s="359"/>
      <c r="N4" s="359"/>
      <c r="O4" s="359"/>
    </row>
    <row r="5" spans="2:15"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</row>
    <row r="6" spans="2:15" ht="45.75" customHeight="1">
      <c r="B6" s="360" t="s">
        <v>324</v>
      </c>
      <c r="C6" s="360"/>
      <c r="D6" s="360"/>
      <c r="E6" s="360"/>
      <c r="F6" s="360"/>
      <c r="G6" s="360"/>
      <c r="H6" s="360"/>
      <c r="I6" s="360"/>
      <c r="J6" s="360"/>
      <c r="K6" s="360"/>
      <c r="L6" s="360"/>
      <c r="M6" s="360"/>
      <c r="N6" s="360"/>
      <c r="O6" s="360"/>
    </row>
    <row r="8" spans="2:15" ht="18.75">
      <c r="B8" s="337" t="s">
        <v>9</v>
      </c>
      <c r="C8" s="337"/>
      <c r="D8" s="337"/>
      <c r="E8" s="337"/>
      <c r="F8" s="337"/>
      <c r="G8" s="337"/>
      <c r="H8" s="337"/>
      <c r="I8" s="337"/>
      <c r="J8" s="337"/>
      <c r="K8" s="337"/>
      <c r="L8" s="337"/>
      <c r="M8" s="337"/>
      <c r="N8" s="337"/>
      <c r="O8" s="337"/>
    </row>
    <row r="9" spans="2:15">
      <c r="B9" s="335" t="s">
        <v>325</v>
      </c>
      <c r="C9" s="335"/>
      <c r="D9" s="335"/>
      <c r="E9" s="335"/>
      <c r="F9" s="335"/>
      <c r="G9" s="335"/>
      <c r="H9" s="344" t="str">
        <f>+Input!C5</f>
        <v>ANA MARIA CARDOZO DOS SANTOS</v>
      </c>
      <c r="I9" s="344"/>
      <c r="J9" s="344"/>
      <c r="K9" s="344"/>
      <c r="L9" s="344"/>
      <c r="M9" s="344"/>
      <c r="N9" s="344"/>
      <c r="O9" s="344"/>
    </row>
    <row r="10" spans="2:15">
      <c r="B10" s="335" t="s">
        <v>326</v>
      </c>
      <c r="C10" s="335"/>
      <c r="D10" s="335"/>
      <c r="E10" s="335"/>
      <c r="F10" s="335"/>
      <c r="G10" s="335"/>
      <c r="H10" s="353" t="str">
        <f>+Input!C7</f>
        <v>404.289.070-91</v>
      </c>
      <c r="I10" s="344"/>
      <c r="J10" s="344"/>
      <c r="K10" s="344"/>
      <c r="L10" s="344"/>
      <c r="M10" s="344"/>
      <c r="N10" s="344"/>
      <c r="O10" s="344"/>
    </row>
    <row r="11" spans="2:15">
      <c r="B11" s="335" t="s">
        <v>327</v>
      </c>
      <c r="C11" s="335"/>
      <c r="D11" s="335"/>
      <c r="E11" s="335"/>
      <c r="F11" s="335"/>
      <c r="G11" s="335"/>
      <c r="H11" s="353" t="str">
        <f>Input!C4</f>
        <v>3090243410</v>
      </c>
      <c r="I11" s="344"/>
      <c r="J11" s="344"/>
      <c r="K11" s="344"/>
      <c r="L11" s="344"/>
      <c r="M11" s="344"/>
      <c r="N11" s="344"/>
      <c r="O11" s="344"/>
    </row>
    <row r="12" spans="2:15">
      <c r="B12" s="335" t="s">
        <v>496</v>
      </c>
      <c r="C12" s="335"/>
      <c r="D12" s="335"/>
      <c r="E12" s="335"/>
      <c r="F12" s="335"/>
      <c r="G12" s="335"/>
      <c r="H12" s="344" t="str">
        <f>CONCATENATE(Input!C19,", ",Input!C20," ",Input!C21,", ",Input!C22)</f>
        <v>Rua, RIO GRANDE 12, SCHARLAU</v>
      </c>
      <c r="I12" s="344"/>
      <c r="J12" s="344"/>
      <c r="K12" s="344"/>
      <c r="L12" s="344"/>
      <c r="M12" s="344"/>
      <c r="N12" s="344"/>
      <c r="O12" s="344"/>
    </row>
    <row r="13" spans="2:15">
      <c r="B13" s="335" t="s">
        <v>497</v>
      </c>
      <c r="C13" s="335"/>
      <c r="D13" s="335"/>
      <c r="E13" s="335"/>
      <c r="F13" s="335"/>
      <c r="G13" s="335"/>
      <c r="H13" s="344" t="str">
        <f>Input!C24</f>
        <v>93135-673</v>
      </c>
      <c r="I13" s="344"/>
      <c r="J13" s="344"/>
      <c r="K13" s="344"/>
      <c r="L13" s="344"/>
      <c r="M13" s="344"/>
      <c r="N13" s="344"/>
      <c r="O13" s="344"/>
    </row>
    <row r="14" spans="2:15">
      <c r="B14" s="335" t="s">
        <v>498</v>
      </c>
      <c r="C14" s="335"/>
      <c r="D14" s="335"/>
      <c r="E14" s="335"/>
      <c r="F14" s="335"/>
      <c r="G14" s="335"/>
      <c r="H14" s="344" t="str">
        <f>+CONCATENATE(Input!C23," / RS")</f>
        <v>SÃO LEOPOLDO / RS</v>
      </c>
      <c r="I14" s="344"/>
      <c r="J14" s="344"/>
      <c r="K14" s="344"/>
      <c r="L14" s="344"/>
      <c r="M14" s="344"/>
      <c r="N14" s="344"/>
      <c r="O14" s="344"/>
    </row>
    <row r="15" spans="2:15">
      <c r="B15" s="335" t="s">
        <v>499</v>
      </c>
      <c r="C15" s="335"/>
      <c r="D15" s="335"/>
      <c r="E15" s="335"/>
      <c r="F15" s="335"/>
      <c r="G15" s="335"/>
      <c r="H15" s="357" t="str">
        <f>Input!C32</f>
        <v>-29.717802823738648</v>
      </c>
      <c r="I15" s="355"/>
      <c r="J15" s="355"/>
      <c r="K15" s="355"/>
      <c r="L15" s="355"/>
      <c r="M15" s="355"/>
      <c r="N15" s="355"/>
      <c r="O15" s="356"/>
    </row>
    <row r="16" spans="2:15">
      <c r="B16" s="335" t="s">
        <v>500</v>
      </c>
      <c r="C16" s="335"/>
      <c r="D16" s="335"/>
      <c r="E16" s="335"/>
      <c r="F16" s="335"/>
      <c r="G16" s="335"/>
      <c r="H16" s="357" t="str">
        <f>Input!C33</f>
        <v>-51.166825400341295</v>
      </c>
      <c r="I16" s="355"/>
      <c r="J16" s="355"/>
      <c r="K16" s="355"/>
      <c r="L16" s="355"/>
      <c r="M16" s="355"/>
      <c r="N16" s="355"/>
      <c r="O16" s="356"/>
    </row>
    <row r="17" spans="2:15">
      <c r="B17" s="335" t="s">
        <v>501</v>
      </c>
      <c r="C17" s="335"/>
      <c r="D17" s="335"/>
      <c r="E17" s="335"/>
      <c r="F17" s="335"/>
      <c r="G17" s="335"/>
      <c r="H17" s="344" t="str">
        <f>IF(TelFixo="--",TelMovel,IF(TelMovel="--",TelFixo,CONCATENATE(TelFixo," / ",TelMovel)))</f>
        <v>+55 51 98457-2961 / +55 51 98457-2961</v>
      </c>
      <c r="I17" s="344"/>
      <c r="J17" s="344"/>
      <c r="K17" s="344"/>
      <c r="L17" s="344"/>
      <c r="M17" s="344"/>
      <c r="N17" s="344"/>
      <c r="O17" s="344"/>
    </row>
    <row r="18" spans="2:15">
      <c r="B18" s="335" t="s">
        <v>502</v>
      </c>
      <c r="C18" s="335"/>
      <c r="D18" s="335"/>
      <c r="E18" s="335"/>
      <c r="F18" s="335"/>
      <c r="G18" s="335"/>
      <c r="H18" s="353" t="str">
        <f>Input!C8</f>
        <v>batistajbs@gmail.com</v>
      </c>
      <c r="I18" s="344"/>
      <c r="J18" s="344"/>
      <c r="K18" s="344"/>
      <c r="L18" s="344"/>
      <c r="M18" s="344"/>
      <c r="N18" s="344"/>
      <c r="O18" s="344"/>
    </row>
    <row r="19" spans="2:15">
      <c r="B19" s="341" t="s">
        <v>503</v>
      </c>
      <c r="C19" s="341"/>
      <c r="D19" s="341"/>
      <c r="E19" s="341"/>
      <c r="F19" s="341"/>
      <c r="G19" s="341"/>
      <c r="H19" s="344" t="s">
        <v>504</v>
      </c>
      <c r="I19" s="344"/>
      <c r="J19" s="344"/>
      <c r="K19" s="344"/>
      <c r="L19" s="344"/>
      <c r="M19" s="344"/>
      <c r="N19" s="344"/>
      <c r="O19" s="344"/>
    </row>
    <row r="20" spans="2:15">
      <c r="B20" s="341" t="s">
        <v>505</v>
      </c>
      <c r="C20" s="341"/>
      <c r="D20" s="341"/>
      <c r="E20" s="341"/>
      <c r="F20" s="341"/>
      <c r="G20" s="341"/>
      <c r="H20" s="354" t="s">
        <v>493</v>
      </c>
      <c r="I20" s="355"/>
      <c r="J20" s="355"/>
      <c r="K20" s="355"/>
      <c r="L20" s="355"/>
      <c r="M20" s="355"/>
      <c r="N20" s="355"/>
      <c r="O20" s="356"/>
    </row>
    <row r="21" spans="2:15" ht="15" customHeight="1">
      <c r="B21" s="341" t="s">
        <v>506</v>
      </c>
      <c r="C21" s="341"/>
      <c r="D21" s="341"/>
      <c r="E21" s="341"/>
      <c r="F21" s="341"/>
      <c r="G21" s="341"/>
      <c r="H21" s="354" t="s">
        <v>493</v>
      </c>
      <c r="I21" s="355"/>
      <c r="J21" s="355"/>
      <c r="K21" s="355"/>
      <c r="L21" s="355"/>
      <c r="M21" s="355"/>
      <c r="N21" s="355"/>
      <c r="O21" s="356"/>
    </row>
    <row r="22" spans="2:15" ht="15" customHeight="1">
      <c r="B22" s="341" t="s">
        <v>507</v>
      </c>
      <c r="C22" s="341"/>
      <c r="D22" s="341"/>
      <c r="E22" s="341"/>
      <c r="F22" s="341"/>
      <c r="G22" s="341"/>
      <c r="H22" s="344" t="s">
        <v>493</v>
      </c>
      <c r="I22" s="344"/>
      <c r="J22" s="344"/>
      <c r="K22" s="344"/>
      <c r="L22" s="344"/>
      <c r="M22" s="344"/>
      <c r="N22" s="344"/>
      <c r="O22" s="344"/>
    </row>
    <row r="23" spans="2:15" ht="39.75" customHeight="1">
      <c r="B23" s="342" t="s">
        <v>328</v>
      </c>
      <c r="C23" s="342"/>
      <c r="D23" s="342"/>
      <c r="E23" s="342"/>
      <c r="F23" s="342"/>
      <c r="G23" s="342"/>
      <c r="H23" s="350" t="s">
        <v>11</v>
      </c>
      <c r="I23" s="351"/>
      <c r="J23" s="351"/>
      <c r="K23" s="352"/>
      <c r="L23" s="350" t="s">
        <v>12</v>
      </c>
      <c r="M23" s="351"/>
      <c r="N23" s="351"/>
      <c r="O23" s="352"/>
    </row>
    <row r="24" spans="2:15">
      <c r="B24" s="335" t="s">
        <v>329</v>
      </c>
      <c r="C24" s="335"/>
      <c r="D24" s="335"/>
      <c r="E24" s="335"/>
      <c r="F24" s="335"/>
      <c r="G24" s="335"/>
      <c r="H24" s="344" t="str">
        <f>IF(Input!$F$16="minigeração","--",+Input!F2)</f>
        <v>A2 (Conforme anexo J - RIC BT)</v>
      </c>
      <c r="I24" s="344"/>
      <c r="J24" s="344"/>
      <c r="K24" s="344"/>
      <c r="L24" s="344"/>
      <c r="M24" s="344"/>
      <c r="N24" s="344"/>
      <c r="O24" s="344"/>
    </row>
    <row r="25" spans="2:15">
      <c r="B25" s="335" t="s">
        <v>330</v>
      </c>
      <c r="C25" s="335"/>
      <c r="D25" s="335"/>
      <c r="E25" s="335"/>
      <c r="F25" s="335"/>
      <c r="G25" s="335"/>
      <c r="H25" s="344" t="str">
        <f>IF(Input!$F$16="minigeração","--",Input!F4)</f>
        <v>Aéreo</v>
      </c>
      <c r="I25" s="344"/>
      <c r="J25" s="344"/>
      <c r="K25" s="344"/>
      <c r="L25" s="344"/>
      <c r="M25" s="344"/>
      <c r="N25" s="344"/>
      <c r="O25" s="344"/>
    </row>
    <row r="26" spans="2:15" ht="30.75" customHeight="1">
      <c r="B26" s="341" t="s">
        <v>331</v>
      </c>
      <c r="C26" s="341"/>
      <c r="D26" s="341"/>
      <c r="E26" s="341"/>
      <c r="F26" s="341"/>
      <c r="G26" s="341"/>
      <c r="H26" s="344" t="str">
        <f>IF(Input!$F$16="minigeração","--",Input!F5)</f>
        <v>Monofásico</v>
      </c>
      <c r="I26" s="344"/>
      <c r="J26" s="344"/>
      <c r="K26" s="344"/>
      <c r="L26" s="344"/>
      <c r="M26" s="344"/>
      <c r="N26" s="344"/>
      <c r="O26" s="344"/>
    </row>
    <row r="27" spans="2:15">
      <c r="B27" s="335" t="s">
        <v>332</v>
      </c>
      <c r="C27" s="335"/>
      <c r="D27" s="335"/>
      <c r="E27" s="335"/>
      <c r="F27" s="335"/>
      <c r="G27" s="335"/>
      <c r="H27" s="344">
        <f>IF(Input!$F$16="minigeração","--",Input!F6)</f>
        <v>10</v>
      </c>
      <c r="I27" s="344"/>
      <c r="J27" s="344"/>
      <c r="K27" s="344"/>
      <c r="L27" s="344"/>
      <c r="M27" s="344"/>
      <c r="N27" s="344"/>
      <c r="O27" s="344"/>
    </row>
    <row r="28" spans="2:15">
      <c r="B28" s="335" t="s">
        <v>333</v>
      </c>
      <c r="C28" s="335"/>
      <c r="D28" s="335"/>
      <c r="E28" s="335"/>
      <c r="F28" s="335"/>
      <c r="G28" s="335"/>
      <c r="H28" s="344" t="str">
        <f>IF(Input!$F$16="minigeração","--",Input!F11)</f>
        <v>CE - Tamanho Monofásica, Policarbonato (conforme RIC BT)</v>
      </c>
      <c r="I28" s="344"/>
      <c r="J28" s="344"/>
      <c r="K28" s="344"/>
      <c r="L28" s="344"/>
      <c r="M28" s="344"/>
      <c r="N28" s="344"/>
      <c r="O28" s="344"/>
    </row>
    <row r="29" spans="2:15" ht="30.75" customHeight="1">
      <c r="B29" s="341" t="s">
        <v>334</v>
      </c>
      <c r="C29" s="341"/>
      <c r="D29" s="341"/>
      <c r="E29" s="341"/>
      <c r="F29" s="341"/>
      <c r="G29" s="341"/>
      <c r="H29" s="344">
        <f>IF(Input!$F$16="minigeração","--",Input!F24)</f>
        <v>15</v>
      </c>
      <c r="I29" s="344"/>
      <c r="J29" s="344"/>
      <c r="K29" s="344"/>
      <c r="L29" s="344"/>
      <c r="M29" s="344"/>
      <c r="N29" s="344"/>
      <c r="O29" s="344"/>
    </row>
    <row r="30" spans="2:15">
      <c r="B30" s="335" t="s">
        <v>335</v>
      </c>
      <c r="C30" s="335"/>
      <c r="D30" s="335"/>
      <c r="E30" s="335"/>
      <c r="F30" s="335"/>
      <c r="G30" s="335"/>
      <c r="H30" s="344">
        <f>IF(Input!$F$16="minigeração","--",Input!F25)</f>
        <v>40</v>
      </c>
      <c r="I30" s="344"/>
      <c r="J30" s="344"/>
      <c r="K30" s="344"/>
      <c r="L30" s="344"/>
      <c r="M30" s="344"/>
      <c r="N30" s="344"/>
      <c r="O30" s="344"/>
    </row>
    <row r="31" spans="2:15" ht="39.75" customHeight="1">
      <c r="B31" s="342" t="s">
        <v>336</v>
      </c>
      <c r="C31" s="342"/>
      <c r="D31" s="342"/>
      <c r="E31" s="342"/>
      <c r="F31" s="342"/>
      <c r="G31" s="342"/>
      <c r="H31" s="343" t="s">
        <v>11</v>
      </c>
      <c r="I31" s="343"/>
      <c r="J31" s="343"/>
      <c r="K31" s="343" t="s">
        <v>337</v>
      </c>
      <c r="L31" s="343"/>
      <c r="M31" s="343"/>
      <c r="N31" s="343" t="s">
        <v>338</v>
      </c>
      <c r="O31" s="343"/>
    </row>
    <row r="32" spans="2:15">
      <c r="B32" s="341" t="s">
        <v>339</v>
      </c>
      <c r="C32" s="341"/>
      <c r="D32" s="341"/>
      <c r="E32" s="341"/>
      <c r="F32" s="341"/>
      <c r="G32" s="341"/>
      <c r="H32" s="344" t="str">
        <f>IF(Input!$F$16&lt;&gt;"minigeração","--",Input!F26)</f>
        <v>--</v>
      </c>
      <c r="I32" s="344"/>
      <c r="J32" s="344"/>
      <c r="K32" s="344"/>
      <c r="L32" s="344"/>
      <c r="M32" s="344"/>
      <c r="N32" s="344"/>
      <c r="O32" s="344"/>
    </row>
    <row r="33" spans="2:15">
      <c r="B33" s="341" t="s">
        <v>340</v>
      </c>
      <c r="C33" s="341"/>
      <c r="D33" s="341"/>
      <c r="E33" s="341"/>
      <c r="F33" s="341"/>
      <c r="G33" s="341"/>
      <c r="H33" s="346" t="str">
        <f>IF(Input!$F$16&lt;&gt;"minigeração","--",Input!H16)</f>
        <v>--</v>
      </c>
      <c r="I33" s="344"/>
      <c r="J33" s="344"/>
      <c r="K33" s="344"/>
      <c r="L33" s="344"/>
      <c r="M33" s="344"/>
      <c r="N33" s="344"/>
      <c r="O33" s="344"/>
    </row>
    <row r="34" spans="2:15">
      <c r="B34" s="341" t="s">
        <v>341</v>
      </c>
      <c r="C34" s="341"/>
      <c r="D34" s="341"/>
      <c r="E34" s="341"/>
      <c r="F34" s="341"/>
      <c r="G34" s="341"/>
      <c r="H34" s="346" t="str">
        <f>IF(Input!$F$16&lt;&gt;"minigeração","--",Input!H19)</f>
        <v>--</v>
      </c>
      <c r="I34" s="344"/>
      <c r="J34" s="344"/>
      <c r="K34" s="344"/>
      <c r="L34" s="344"/>
      <c r="M34" s="344"/>
      <c r="N34" s="344"/>
      <c r="O34" s="344"/>
    </row>
    <row r="35" spans="2:15" ht="32.25" customHeight="1">
      <c r="B35" s="341" t="s">
        <v>342</v>
      </c>
      <c r="C35" s="341"/>
      <c r="D35" s="341"/>
      <c r="E35" s="341"/>
      <c r="F35" s="341"/>
      <c r="G35" s="341"/>
      <c r="H35" s="346" t="str">
        <f>IF(Input!$F$16&lt;&gt;"minigeração","--",Input!H18)</f>
        <v>--</v>
      </c>
      <c r="I35" s="344"/>
      <c r="J35" s="344"/>
      <c r="K35" s="344"/>
      <c r="L35" s="344"/>
      <c r="M35" s="344"/>
      <c r="N35" s="344"/>
      <c r="O35" s="344"/>
    </row>
    <row r="36" spans="2:15">
      <c r="B36" s="341" t="s">
        <v>343</v>
      </c>
      <c r="C36" s="341"/>
      <c r="D36" s="341"/>
      <c r="E36" s="341"/>
      <c r="F36" s="341"/>
      <c r="G36" s="341"/>
      <c r="H36" s="346" t="str">
        <f>IF(Input!$F$16="minigeração",Input!C39,"--")</f>
        <v>--</v>
      </c>
      <c r="I36" s="346"/>
      <c r="J36" s="346"/>
      <c r="K36" s="344"/>
      <c r="L36" s="344"/>
      <c r="M36" s="344"/>
      <c r="N36" s="344"/>
      <c r="O36" s="344"/>
    </row>
    <row r="37" spans="2:15">
      <c r="B37" s="341" t="s">
        <v>344</v>
      </c>
      <c r="C37" s="341"/>
      <c r="D37" s="341"/>
      <c r="E37" s="341"/>
      <c r="F37" s="341"/>
      <c r="G37" s="341"/>
      <c r="H37" s="346" t="str">
        <f>H36</f>
        <v>--</v>
      </c>
      <c r="I37" s="346"/>
      <c r="J37" s="346"/>
      <c r="K37" s="344"/>
      <c r="L37" s="344"/>
      <c r="M37" s="344"/>
      <c r="N37" s="344"/>
      <c r="O37" s="344"/>
    </row>
    <row r="38" spans="2:15">
      <c r="B38" s="341" t="s">
        <v>345</v>
      </c>
      <c r="C38" s="341"/>
      <c r="D38" s="341"/>
      <c r="E38" s="341"/>
      <c r="F38" s="341"/>
      <c r="G38" s="341"/>
      <c r="H38" s="344" t="s">
        <v>638</v>
      </c>
      <c r="I38" s="344"/>
      <c r="J38" s="344"/>
      <c r="K38" s="344"/>
      <c r="L38" s="344"/>
      <c r="M38" s="344"/>
      <c r="N38" s="344"/>
      <c r="O38" s="344"/>
    </row>
    <row r="39" spans="2:15">
      <c r="B39" s="341" t="s">
        <v>346</v>
      </c>
      <c r="C39" s="341"/>
      <c r="D39" s="341"/>
      <c r="E39" s="341"/>
      <c r="F39" s="341"/>
      <c r="G39" s="341"/>
      <c r="H39" s="344">
        <v>83678794068</v>
      </c>
      <c r="I39" s="344"/>
      <c r="J39" s="344"/>
      <c r="K39" s="344"/>
      <c r="L39" s="344"/>
      <c r="M39" s="344"/>
      <c r="N39" s="344"/>
      <c r="O39" s="344"/>
    </row>
    <row r="40" spans="2:15">
      <c r="B40" s="341" t="s">
        <v>347</v>
      </c>
      <c r="C40" s="341"/>
      <c r="D40" s="341"/>
      <c r="E40" s="341"/>
      <c r="F40" s="341"/>
      <c r="G40" s="341"/>
      <c r="H40" s="348" t="str">
        <f>H37</f>
        <v>--</v>
      </c>
      <c r="I40" s="349"/>
      <c r="J40" s="349"/>
      <c r="K40" s="344"/>
      <c r="L40" s="344"/>
      <c r="M40" s="344"/>
      <c r="N40" s="344"/>
      <c r="O40" s="344"/>
    </row>
    <row r="41" spans="2:15" ht="32.25" customHeight="1">
      <c r="B41" s="341" t="s">
        <v>348</v>
      </c>
      <c r="C41" s="341"/>
      <c r="D41" s="341"/>
      <c r="E41" s="341"/>
      <c r="F41" s="341"/>
      <c r="G41" s="341"/>
      <c r="H41" s="344"/>
      <c r="I41" s="344"/>
      <c r="J41" s="344"/>
      <c r="K41" s="344"/>
      <c r="L41" s="344"/>
      <c r="M41" s="344"/>
      <c r="N41" s="344"/>
      <c r="O41" s="344"/>
    </row>
    <row r="42" spans="2:15" ht="41.25" customHeight="1">
      <c r="B42" s="342" t="s">
        <v>349</v>
      </c>
      <c r="C42" s="342"/>
      <c r="D42" s="342"/>
      <c r="E42" s="342"/>
      <c r="F42" s="342"/>
      <c r="G42" s="342"/>
      <c r="H42" s="343" t="s">
        <v>350</v>
      </c>
      <c r="I42" s="343"/>
      <c r="J42" s="343" t="s">
        <v>351</v>
      </c>
      <c r="K42" s="343"/>
      <c r="L42" s="343" t="s">
        <v>352</v>
      </c>
      <c r="M42" s="343"/>
      <c r="N42" s="343" t="s">
        <v>353</v>
      </c>
      <c r="O42" s="343"/>
    </row>
    <row r="43" spans="2:15">
      <c r="B43" s="335" t="s">
        <v>354</v>
      </c>
      <c r="C43" s="335"/>
      <c r="D43" s="335"/>
      <c r="E43" s="335"/>
      <c r="F43" s="335"/>
      <c r="G43" s="335"/>
      <c r="H43" s="346" t="str">
        <f>IF(Input!$F$16&lt;&gt;"minigeração","--",Input!H17)</f>
        <v>--</v>
      </c>
      <c r="I43" s="344"/>
      <c r="J43" s="344"/>
      <c r="K43" s="344"/>
      <c r="L43" s="344"/>
      <c r="M43" s="344"/>
      <c r="N43" s="344"/>
      <c r="O43" s="344"/>
    </row>
    <row r="44" spans="2:15">
      <c r="B44" s="335" t="s">
        <v>355</v>
      </c>
      <c r="C44" s="335"/>
      <c r="D44" s="335"/>
      <c r="E44" s="335"/>
      <c r="F44" s="335"/>
      <c r="G44" s="335"/>
      <c r="H44" s="344" t="str">
        <f>IF(Input!$F$16&lt;&gt;"minigeração","--",Input!F20)</f>
        <v>--</v>
      </c>
      <c r="I44" s="344"/>
      <c r="J44" s="344"/>
      <c r="K44" s="344"/>
      <c r="L44" s="344"/>
      <c r="M44" s="344"/>
      <c r="N44" s="344"/>
      <c r="O44" s="344"/>
    </row>
    <row r="45" spans="2:15">
      <c r="B45" s="335" t="s">
        <v>356</v>
      </c>
      <c r="C45" s="335"/>
      <c r="D45" s="335"/>
      <c r="E45" s="335"/>
      <c r="F45" s="335"/>
      <c r="G45" s="335"/>
      <c r="H45" s="344" t="str">
        <f>IF(Input!$F$16&lt;&gt;"minigeração","--",Input!F21)</f>
        <v>--</v>
      </c>
      <c r="I45" s="344"/>
      <c r="J45" s="344"/>
      <c r="K45" s="344"/>
      <c r="L45" s="344"/>
      <c r="M45" s="344"/>
      <c r="N45" s="344"/>
      <c r="O45" s="344"/>
    </row>
    <row r="46" spans="2:15">
      <c r="B46" s="335" t="s">
        <v>357</v>
      </c>
      <c r="C46" s="335"/>
      <c r="D46" s="335"/>
      <c r="E46" s="335"/>
      <c r="F46" s="335"/>
      <c r="G46" s="335"/>
      <c r="H46" s="347" t="str">
        <f>IF(Input!$F$16&lt;&gt;"minigeração","--",#REF!)</f>
        <v>--</v>
      </c>
      <c r="I46" s="344"/>
      <c r="J46" s="344"/>
      <c r="K46" s="344"/>
      <c r="L46" s="344"/>
      <c r="M46" s="344"/>
      <c r="N46" s="344"/>
      <c r="O46" s="344"/>
    </row>
    <row r="47" spans="2:15">
      <c r="B47" s="335" t="s">
        <v>358</v>
      </c>
      <c r="C47" s="335"/>
      <c r="D47" s="335"/>
      <c r="E47" s="335"/>
      <c r="F47" s="335"/>
      <c r="G47" s="335"/>
      <c r="H47" s="346" t="str">
        <f>IF(Input!$F$16&lt;&gt;"minigeração","--",#REF!)</f>
        <v>--</v>
      </c>
      <c r="I47" s="344"/>
      <c r="J47" s="344"/>
      <c r="K47" s="344"/>
      <c r="L47" s="344"/>
      <c r="M47" s="344"/>
      <c r="N47" s="344"/>
      <c r="O47" s="344"/>
    </row>
    <row r="48" spans="2:15">
      <c r="B48" s="335" t="s">
        <v>359</v>
      </c>
      <c r="C48" s="335"/>
      <c r="D48" s="335"/>
      <c r="E48" s="335"/>
      <c r="F48" s="335"/>
      <c r="G48" s="335"/>
      <c r="H48" s="344" t="str">
        <f>IF(Input!$F$16&lt;&gt;"minigeração","--",Input!F21)</f>
        <v>--</v>
      </c>
      <c r="I48" s="344"/>
      <c r="J48" s="344"/>
      <c r="K48" s="344"/>
      <c r="L48" s="344"/>
      <c r="M48" s="344"/>
      <c r="N48" s="344"/>
      <c r="O48" s="344"/>
    </row>
    <row r="49" spans="2:15" ht="39.75" customHeight="1">
      <c r="B49" s="342" t="s">
        <v>360</v>
      </c>
      <c r="C49" s="342"/>
      <c r="D49" s="342"/>
      <c r="E49" s="342"/>
      <c r="F49" s="342"/>
      <c r="G49" s="342"/>
      <c r="H49" s="343" t="s">
        <v>361</v>
      </c>
      <c r="I49" s="343"/>
      <c r="J49" s="343"/>
      <c r="K49" s="343" t="s">
        <v>18</v>
      </c>
      <c r="L49" s="343"/>
      <c r="M49" s="343"/>
      <c r="N49" s="343" t="s">
        <v>338</v>
      </c>
      <c r="O49" s="343"/>
    </row>
    <row r="50" spans="2:15">
      <c r="B50" s="341" t="s">
        <v>362</v>
      </c>
      <c r="C50" s="341"/>
      <c r="D50" s="341"/>
      <c r="E50" s="341"/>
      <c r="F50" s="341"/>
      <c r="G50" s="341"/>
      <c r="H50" s="344"/>
      <c r="I50" s="344"/>
      <c r="J50" s="344"/>
      <c r="K50" s="344">
        <f>Input!C36</f>
        <v>12</v>
      </c>
      <c r="L50" s="344"/>
      <c r="M50" s="344"/>
      <c r="N50" s="344"/>
      <c r="O50" s="344"/>
    </row>
    <row r="51" spans="2:15">
      <c r="B51" s="341" t="s">
        <v>363</v>
      </c>
      <c r="C51" s="341"/>
      <c r="D51" s="341"/>
      <c r="E51" s="341"/>
      <c r="F51" s="341"/>
      <c r="G51" s="341"/>
      <c r="H51" s="344"/>
      <c r="I51" s="344"/>
      <c r="J51" s="344"/>
      <c r="K51" s="344" t="str">
        <f>Input!C37</f>
        <v>Pulling Energy</v>
      </c>
      <c r="L51" s="344"/>
      <c r="M51" s="344"/>
      <c r="N51" s="344"/>
      <c r="O51" s="344"/>
    </row>
    <row r="52" spans="2:15">
      <c r="B52" s="341" t="s">
        <v>364</v>
      </c>
      <c r="C52" s="341"/>
      <c r="D52" s="341"/>
      <c r="E52" s="341"/>
      <c r="F52" s="341"/>
      <c r="G52" s="341"/>
      <c r="H52" s="344"/>
      <c r="I52" s="344"/>
      <c r="J52" s="344"/>
      <c r="K52" s="344" t="str">
        <f>Input!C38</f>
        <v>PU585WNM101</v>
      </c>
      <c r="L52" s="344"/>
      <c r="M52" s="344"/>
      <c r="N52" s="344"/>
      <c r="O52" s="344"/>
    </row>
    <row r="53" spans="2:15">
      <c r="B53" s="341" t="s">
        <v>365</v>
      </c>
      <c r="C53" s="341"/>
      <c r="D53" s="341"/>
      <c r="E53" s="341"/>
      <c r="F53" s="341"/>
      <c r="G53" s="341"/>
      <c r="H53" s="344"/>
      <c r="I53" s="344"/>
      <c r="J53" s="344"/>
      <c r="K53" s="346">
        <f>Input!C40</f>
        <v>31.752907200000003</v>
      </c>
      <c r="L53" s="344"/>
      <c r="M53" s="344"/>
      <c r="N53" s="344"/>
      <c r="O53" s="344"/>
    </row>
    <row r="54" spans="2:15">
      <c r="B54" s="341" t="s">
        <v>366</v>
      </c>
      <c r="C54" s="341"/>
      <c r="D54" s="341"/>
      <c r="E54" s="341"/>
      <c r="F54" s="341"/>
      <c r="G54" s="341"/>
      <c r="H54" s="344"/>
      <c r="I54" s="344"/>
      <c r="J54" s="344"/>
      <c r="K54" s="344">
        <f>+Input!F29</f>
        <v>1</v>
      </c>
      <c r="L54" s="344"/>
      <c r="M54" s="344"/>
      <c r="N54" s="344"/>
      <c r="O54" s="344"/>
    </row>
    <row r="55" spans="2:15">
      <c r="B55" s="341" t="s">
        <v>367</v>
      </c>
      <c r="C55" s="341"/>
      <c r="D55" s="341"/>
      <c r="E55" s="341"/>
      <c r="F55" s="341"/>
      <c r="G55" s="341"/>
      <c r="H55" s="344"/>
      <c r="I55" s="344"/>
      <c r="J55" s="344"/>
      <c r="K55" s="344" t="str">
        <f>+Input!F30</f>
        <v>Goodwe</v>
      </c>
      <c r="L55" s="344"/>
      <c r="M55" s="344"/>
      <c r="N55" s="344"/>
      <c r="O55" s="344"/>
    </row>
    <row r="56" spans="2:15">
      <c r="B56" s="341" t="s">
        <v>368</v>
      </c>
      <c r="C56" s="341"/>
      <c r="D56" s="341"/>
      <c r="E56" s="341"/>
      <c r="F56" s="341"/>
      <c r="G56" s="341"/>
      <c r="H56" s="344"/>
      <c r="I56" s="344"/>
      <c r="J56" s="344"/>
      <c r="K56" s="344" t="str">
        <f>IF(Input!G29="",Input!F31,CONCATENATE(Input!F31," /      ",Input!G31))</f>
        <v>GW6K-DNS-G40</v>
      </c>
      <c r="L56" s="344"/>
      <c r="M56" s="344"/>
      <c r="N56" s="344"/>
      <c r="O56" s="344"/>
    </row>
    <row r="57" spans="2:15" ht="36" customHeight="1">
      <c r="B57" s="341" t="s">
        <v>369</v>
      </c>
      <c r="C57" s="341"/>
      <c r="D57" s="341"/>
      <c r="E57" s="341"/>
      <c r="F57" s="341"/>
      <c r="G57" s="341"/>
      <c r="H57" s="344"/>
      <c r="I57" s="344"/>
      <c r="J57" s="344"/>
      <c r="K57" s="344">
        <f>Input!C39</f>
        <v>7.02</v>
      </c>
      <c r="L57" s="344"/>
      <c r="M57" s="344"/>
      <c r="N57" s="344"/>
      <c r="O57" s="344"/>
    </row>
    <row r="58" spans="2:15" ht="28.5" customHeight="1">
      <c r="B58" s="341" t="s">
        <v>370</v>
      </c>
      <c r="C58" s="341"/>
      <c r="D58" s="341"/>
      <c r="E58" s="341"/>
      <c r="F58" s="341"/>
      <c r="G58" s="341"/>
      <c r="H58" s="344"/>
      <c r="I58" s="344"/>
      <c r="J58" s="344"/>
      <c r="K58" s="344">
        <f>Input!I36</f>
        <v>6</v>
      </c>
      <c r="L58" s="344"/>
      <c r="M58" s="344"/>
      <c r="N58" s="344"/>
      <c r="O58" s="344"/>
    </row>
    <row r="59" spans="2:15" ht="33" customHeight="1">
      <c r="B59" s="341" t="s">
        <v>371</v>
      </c>
      <c r="C59" s="341"/>
      <c r="D59" s="341"/>
      <c r="E59" s="341"/>
      <c r="F59" s="341"/>
      <c r="G59" s="341"/>
      <c r="H59" s="344"/>
      <c r="I59" s="344"/>
      <c r="J59" s="344"/>
      <c r="K59" s="345"/>
      <c r="L59" s="345"/>
      <c r="M59" s="345"/>
      <c r="N59" s="344"/>
      <c r="O59" s="344"/>
    </row>
    <row r="60" spans="2:15" ht="18.75">
      <c r="B60" s="69" t="s">
        <v>372</v>
      </c>
      <c r="C60" s="69"/>
      <c r="D60" s="69"/>
      <c r="E60" s="69"/>
      <c r="F60" s="69"/>
      <c r="G60" s="69"/>
      <c r="H60" s="343" t="s">
        <v>361</v>
      </c>
      <c r="I60" s="343"/>
      <c r="J60" s="343"/>
      <c r="K60" s="343" t="s">
        <v>18</v>
      </c>
      <c r="L60" s="343"/>
      <c r="M60" s="343"/>
      <c r="N60" s="343" t="s">
        <v>338</v>
      </c>
      <c r="O60" s="343"/>
    </row>
    <row r="61" spans="2:15">
      <c r="B61" s="335" t="s">
        <v>373</v>
      </c>
      <c r="C61" s="335"/>
      <c r="D61" s="335"/>
      <c r="E61" s="335"/>
      <c r="F61" s="335"/>
      <c r="G61" s="335"/>
      <c r="H61" s="344"/>
      <c r="I61" s="344"/>
      <c r="J61" s="344"/>
      <c r="K61" s="344"/>
      <c r="L61" s="344"/>
      <c r="M61" s="344"/>
      <c r="N61" s="344"/>
      <c r="O61" s="344"/>
    </row>
    <row r="62" spans="2:15">
      <c r="B62" s="335" t="s">
        <v>374</v>
      </c>
      <c r="C62" s="335"/>
      <c r="D62" s="335"/>
      <c r="E62" s="335"/>
      <c r="F62" s="335"/>
      <c r="G62" s="335"/>
      <c r="H62" s="344"/>
      <c r="I62" s="344"/>
      <c r="J62" s="344"/>
      <c r="K62" s="344"/>
      <c r="L62" s="344"/>
      <c r="M62" s="344"/>
      <c r="N62" s="344"/>
      <c r="O62" s="344"/>
    </row>
    <row r="63" spans="2:15">
      <c r="B63" s="335" t="s">
        <v>375</v>
      </c>
      <c r="C63" s="335"/>
      <c r="D63" s="335"/>
      <c r="E63" s="335"/>
      <c r="F63" s="335"/>
      <c r="G63" s="335"/>
      <c r="H63" s="344"/>
      <c r="I63" s="344"/>
      <c r="J63" s="344"/>
      <c r="K63" s="344"/>
      <c r="L63" s="344"/>
      <c r="M63" s="344"/>
      <c r="N63" s="344"/>
      <c r="O63" s="344"/>
    </row>
    <row r="64" spans="2:15">
      <c r="B64" s="335" t="s">
        <v>376</v>
      </c>
      <c r="C64" s="335"/>
      <c r="D64" s="335"/>
      <c r="E64" s="335"/>
      <c r="F64" s="335"/>
      <c r="G64" s="335"/>
      <c r="H64" s="344"/>
      <c r="I64" s="344"/>
      <c r="J64" s="344"/>
      <c r="K64" s="344"/>
      <c r="L64" s="344"/>
      <c r="M64" s="344"/>
      <c r="N64" s="344"/>
      <c r="O64" s="344"/>
    </row>
    <row r="65" spans="2:15" ht="30.75" customHeight="1">
      <c r="B65" s="341" t="s">
        <v>377</v>
      </c>
      <c r="C65" s="341"/>
      <c r="D65" s="341"/>
      <c r="E65" s="341"/>
      <c r="F65" s="341"/>
      <c r="G65" s="341"/>
      <c r="H65" s="344"/>
      <c r="I65" s="344"/>
      <c r="J65" s="344"/>
      <c r="K65" s="344"/>
      <c r="L65" s="344"/>
      <c r="M65" s="344"/>
      <c r="N65" s="344"/>
      <c r="O65" s="344"/>
    </row>
    <row r="66" spans="2:15" ht="31.5" customHeight="1">
      <c r="B66" s="341" t="s">
        <v>378</v>
      </c>
      <c r="C66" s="341"/>
      <c r="D66" s="341"/>
      <c r="E66" s="341"/>
      <c r="F66" s="341"/>
      <c r="G66" s="341"/>
      <c r="H66" s="344"/>
      <c r="I66" s="344"/>
      <c r="J66" s="344"/>
      <c r="K66" s="344"/>
      <c r="L66" s="344"/>
      <c r="M66" s="344"/>
      <c r="N66" s="344"/>
      <c r="O66" s="344"/>
    </row>
    <row r="67" spans="2:15" ht="34.5" customHeight="1">
      <c r="B67" s="341" t="s">
        <v>379</v>
      </c>
      <c r="C67" s="341"/>
      <c r="D67" s="341"/>
      <c r="E67" s="341"/>
      <c r="F67" s="341"/>
      <c r="G67" s="341"/>
      <c r="H67" s="344"/>
      <c r="I67" s="344"/>
      <c r="J67" s="344"/>
      <c r="K67" s="344"/>
      <c r="L67" s="344"/>
      <c r="M67" s="344"/>
      <c r="N67" s="344"/>
      <c r="O67" s="344"/>
    </row>
    <row r="68" spans="2:15" ht="18.75">
      <c r="B68" s="337" t="s">
        <v>380</v>
      </c>
      <c r="C68" s="337"/>
      <c r="D68" s="337"/>
      <c r="E68" s="337"/>
      <c r="F68" s="337"/>
      <c r="G68" s="337"/>
      <c r="H68" s="343" t="s">
        <v>361</v>
      </c>
      <c r="I68" s="343"/>
      <c r="J68" s="343"/>
      <c r="K68" s="343" t="s">
        <v>18</v>
      </c>
      <c r="L68" s="343"/>
      <c r="M68" s="343"/>
      <c r="N68" s="343" t="s">
        <v>338</v>
      </c>
      <c r="O68" s="343"/>
    </row>
    <row r="69" spans="2:15">
      <c r="B69" s="335" t="s">
        <v>381</v>
      </c>
      <c r="C69" s="335"/>
      <c r="D69" s="335"/>
      <c r="E69" s="335"/>
      <c r="F69" s="335"/>
      <c r="G69" s="335"/>
      <c r="H69" s="344"/>
      <c r="I69" s="344"/>
      <c r="J69" s="344"/>
      <c r="K69" s="344"/>
      <c r="L69" s="344"/>
      <c r="M69" s="344"/>
      <c r="N69" s="344"/>
      <c r="O69" s="344"/>
    </row>
    <row r="70" spans="2:15">
      <c r="B70" s="335" t="s">
        <v>382</v>
      </c>
      <c r="C70" s="335"/>
      <c r="D70" s="335"/>
      <c r="E70" s="335"/>
      <c r="F70" s="335"/>
      <c r="G70" s="335"/>
      <c r="H70" s="344"/>
      <c r="I70" s="344"/>
      <c r="J70" s="344"/>
      <c r="K70" s="344"/>
      <c r="L70" s="344"/>
      <c r="M70" s="344"/>
      <c r="N70" s="344"/>
      <c r="O70" s="344"/>
    </row>
    <row r="71" spans="2:15">
      <c r="B71" s="335" t="s">
        <v>383</v>
      </c>
      <c r="C71" s="335"/>
      <c r="D71" s="335"/>
      <c r="E71" s="335"/>
      <c r="F71" s="335"/>
      <c r="G71" s="335"/>
      <c r="H71" s="344"/>
      <c r="I71" s="344"/>
      <c r="J71" s="344"/>
      <c r="K71" s="344"/>
      <c r="L71" s="344"/>
      <c r="M71" s="344"/>
      <c r="N71" s="344"/>
      <c r="O71" s="344"/>
    </row>
    <row r="72" spans="2:15">
      <c r="B72" s="335" t="s">
        <v>384</v>
      </c>
      <c r="C72" s="335"/>
      <c r="D72" s="335"/>
      <c r="E72" s="335"/>
      <c r="F72" s="335"/>
      <c r="G72" s="335"/>
      <c r="H72" s="344"/>
      <c r="I72" s="344"/>
      <c r="J72" s="344"/>
      <c r="K72" s="344"/>
      <c r="L72" s="344"/>
      <c r="M72" s="344"/>
      <c r="N72" s="344"/>
      <c r="O72" s="344"/>
    </row>
    <row r="73" spans="2:15" ht="28.5" customHeight="1">
      <c r="B73" s="341" t="s">
        <v>385</v>
      </c>
      <c r="C73" s="341"/>
      <c r="D73" s="341"/>
      <c r="E73" s="341"/>
      <c r="F73" s="341"/>
      <c r="G73" s="341"/>
      <c r="H73" s="344"/>
      <c r="I73" s="344"/>
      <c r="J73" s="344"/>
      <c r="K73" s="344"/>
      <c r="L73" s="344"/>
      <c r="M73" s="344"/>
      <c r="N73" s="344"/>
      <c r="O73" s="344"/>
    </row>
    <row r="74" spans="2:15" ht="30" customHeight="1">
      <c r="B74" s="341" t="s">
        <v>386</v>
      </c>
      <c r="C74" s="341"/>
      <c r="D74" s="341"/>
      <c r="E74" s="341"/>
      <c r="F74" s="341"/>
      <c r="G74" s="341"/>
      <c r="H74" s="344"/>
      <c r="I74" s="344"/>
      <c r="J74" s="344"/>
      <c r="K74" s="344"/>
      <c r="L74" s="344"/>
      <c r="M74" s="344"/>
      <c r="N74" s="344"/>
      <c r="O74" s="344"/>
    </row>
    <row r="75" spans="2:15">
      <c r="B75" s="335" t="s">
        <v>387</v>
      </c>
      <c r="C75" s="335"/>
      <c r="D75" s="335"/>
      <c r="E75" s="335"/>
      <c r="F75" s="335"/>
      <c r="G75" s="335"/>
      <c r="H75" s="344"/>
      <c r="I75" s="344"/>
      <c r="J75" s="344"/>
      <c r="K75" s="344"/>
      <c r="L75" s="344"/>
      <c r="M75" s="344"/>
      <c r="N75" s="344"/>
      <c r="O75" s="344"/>
    </row>
    <row r="76" spans="2:15">
      <c r="B76" s="335" t="s">
        <v>388</v>
      </c>
      <c r="C76" s="335"/>
      <c r="D76" s="335"/>
      <c r="E76" s="335"/>
      <c r="F76" s="335"/>
      <c r="G76" s="335"/>
      <c r="H76" s="344"/>
      <c r="I76" s="344"/>
      <c r="J76" s="344"/>
      <c r="K76" s="344"/>
      <c r="L76" s="344"/>
      <c r="M76" s="344"/>
      <c r="N76" s="344"/>
      <c r="O76" s="344"/>
    </row>
    <row r="77" spans="2:15" ht="32.25" customHeight="1">
      <c r="B77" s="341" t="s">
        <v>389</v>
      </c>
      <c r="C77" s="341"/>
      <c r="D77" s="341"/>
      <c r="E77" s="341"/>
      <c r="F77" s="341"/>
      <c r="G77" s="341"/>
      <c r="H77" s="344"/>
      <c r="I77" s="344"/>
      <c r="J77" s="344"/>
      <c r="K77" s="344"/>
      <c r="L77" s="344"/>
      <c r="M77" s="344"/>
      <c r="N77" s="344"/>
      <c r="O77" s="344"/>
    </row>
    <row r="78" spans="2:15" ht="40.5" customHeight="1">
      <c r="B78" s="342" t="s">
        <v>390</v>
      </c>
      <c r="C78" s="342"/>
      <c r="D78" s="342"/>
      <c r="E78" s="342"/>
      <c r="F78" s="342"/>
      <c r="G78" s="342"/>
      <c r="H78" s="343" t="s">
        <v>361</v>
      </c>
      <c r="I78" s="343"/>
      <c r="J78" s="343"/>
      <c r="K78" s="343" t="s">
        <v>18</v>
      </c>
      <c r="L78" s="343"/>
      <c r="M78" s="343"/>
      <c r="N78" s="343" t="s">
        <v>338</v>
      </c>
      <c r="O78" s="343"/>
    </row>
    <row r="79" spans="2:15">
      <c r="B79" s="335" t="s">
        <v>391</v>
      </c>
      <c r="C79" s="335"/>
      <c r="D79" s="335"/>
      <c r="E79" s="335"/>
      <c r="F79" s="335"/>
      <c r="G79" s="335"/>
      <c r="H79" s="336"/>
      <c r="I79" s="336"/>
      <c r="J79" s="336"/>
      <c r="K79" s="336"/>
      <c r="L79" s="336"/>
      <c r="M79" s="336"/>
      <c r="N79" s="336"/>
      <c r="O79" s="336"/>
    </row>
    <row r="80" spans="2:15" ht="33" customHeight="1">
      <c r="B80" s="341" t="s">
        <v>392</v>
      </c>
      <c r="C80" s="341"/>
      <c r="D80" s="341"/>
      <c r="E80" s="341"/>
      <c r="F80" s="341"/>
      <c r="G80" s="341"/>
      <c r="H80" s="336"/>
      <c r="I80" s="336"/>
      <c r="J80" s="336"/>
      <c r="K80" s="336"/>
      <c r="L80" s="336"/>
      <c r="M80" s="336"/>
      <c r="N80" s="336"/>
      <c r="O80" s="336"/>
    </row>
    <row r="81" spans="2:15">
      <c r="B81" s="335" t="s">
        <v>393</v>
      </c>
      <c r="C81" s="335"/>
      <c r="D81" s="335"/>
      <c r="E81" s="335"/>
      <c r="F81" s="335"/>
      <c r="G81" s="335"/>
      <c r="H81" s="336"/>
      <c r="I81" s="336"/>
      <c r="J81" s="336"/>
      <c r="K81" s="336"/>
      <c r="L81" s="336"/>
      <c r="M81" s="336"/>
      <c r="N81" s="336"/>
      <c r="O81" s="336"/>
    </row>
    <row r="82" spans="2:15">
      <c r="B82" s="335" t="s">
        <v>394</v>
      </c>
      <c r="C82" s="335"/>
      <c r="D82" s="335"/>
      <c r="E82" s="335"/>
      <c r="F82" s="335"/>
      <c r="G82" s="335"/>
      <c r="H82" s="336"/>
      <c r="I82" s="336"/>
      <c r="J82" s="336"/>
      <c r="K82" s="336"/>
      <c r="L82" s="336"/>
      <c r="M82" s="336"/>
      <c r="N82" s="336"/>
      <c r="O82" s="336"/>
    </row>
    <row r="83" spans="2:15" ht="30.75" customHeight="1">
      <c r="B83" s="341" t="s">
        <v>395</v>
      </c>
      <c r="C83" s="341"/>
      <c r="D83" s="341"/>
      <c r="E83" s="341"/>
      <c r="F83" s="341"/>
      <c r="G83" s="341"/>
      <c r="H83" s="336"/>
      <c r="I83" s="336"/>
      <c r="J83" s="336"/>
      <c r="K83" s="336"/>
      <c r="L83" s="336"/>
      <c r="M83" s="336"/>
      <c r="N83" s="336"/>
      <c r="O83" s="336"/>
    </row>
    <row r="84" spans="2:15">
      <c r="B84" s="335" t="s">
        <v>396</v>
      </c>
      <c r="C84" s="335"/>
      <c r="D84" s="335"/>
      <c r="E84" s="335"/>
      <c r="F84" s="335"/>
      <c r="G84" s="335"/>
      <c r="H84" s="336"/>
      <c r="I84" s="336"/>
      <c r="J84" s="336"/>
      <c r="K84" s="336"/>
      <c r="L84" s="336"/>
      <c r="M84" s="336"/>
      <c r="N84" s="336"/>
      <c r="O84" s="336"/>
    </row>
    <row r="85" spans="2:15">
      <c r="B85" s="335" t="s">
        <v>397</v>
      </c>
      <c r="C85" s="335"/>
      <c r="D85" s="335"/>
      <c r="E85" s="335"/>
      <c r="F85" s="335"/>
      <c r="G85" s="335"/>
      <c r="H85" s="336"/>
      <c r="I85" s="336"/>
      <c r="J85" s="336"/>
      <c r="K85" s="336"/>
      <c r="L85" s="336"/>
      <c r="M85" s="336"/>
      <c r="N85" s="336"/>
      <c r="O85" s="336"/>
    </row>
    <row r="86" spans="2:15">
      <c r="B86" s="335" t="s">
        <v>398</v>
      </c>
      <c r="C86" s="335"/>
      <c r="D86" s="335"/>
      <c r="E86" s="335"/>
      <c r="F86" s="335"/>
      <c r="G86" s="335"/>
      <c r="H86" s="336"/>
      <c r="I86" s="336"/>
      <c r="J86" s="336"/>
      <c r="K86" s="336"/>
      <c r="L86" s="336"/>
      <c r="M86" s="336"/>
      <c r="N86" s="336"/>
      <c r="O86" s="336"/>
    </row>
    <row r="87" spans="2:15">
      <c r="B87" s="335" t="s">
        <v>399</v>
      </c>
      <c r="C87" s="335"/>
      <c r="D87" s="335"/>
      <c r="E87" s="335"/>
      <c r="F87" s="335"/>
      <c r="G87" s="335"/>
      <c r="H87" s="336"/>
      <c r="I87" s="336"/>
      <c r="J87" s="336"/>
      <c r="K87" s="336"/>
      <c r="L87" s="336"/>
      <c r="M87" s="336"/>
      <c r="N87" s="336"/>
      <c r="O87" s="336"/>
    </row>
    <row r="88" spans="2:15">
      <c r="B88" s="335" t="s">
        <v>400</v>
      </c>
      <c r="C88" s="335"/>
      <c r="D88" s="335"/>
      <c r="E88" s="335"/>
      <c r="F88" s="335"/>
      <c r="G88" s="335"/>
      <c r="H88" s="336"/>
      <c r="I88" s="336"/>
      <c r="J88" s="336"/>
      <c r="K88" s="336"/>
      <c r="L88" s="336"/>
      <c r="M88" s="336"/>
      <c r="N88" s="336"/>
      <c r="O88" s="336"/>
    </row>
    <row r="89" spans="2:15" ht="21.75" customHeight="1">
      <c r="B89" s="337" t="s">
        <v>401</v>
      </c>
      <c r="C89" s="337"/>
      <c r="D89" s="337"/>
      <c r="E89" s="337"/>
      <c r="F89" s="337"/>
      <c r="G89" s="337"/>
      <c r="H89" s="337"/>
      <c r="I89" s="337"/>
      <c r="J89" s="337"/>
      <c r="K89" s="337"/>
      <c r="L89" s="337"/>
      <c r="M89" s="337"/>
      <c r="N89" s="337"/>
      <c r="O89" s="337"/>
    </row>
    <row r="90" spans="2:15">
      <c r="B90" s="338" t="s">
        <v>402</v>
      </c>
      <c r="C90" s="339"/>
      <c r="D90" s="339"/>
      <c r="E90" s="339"/>
      <c r="F90" s="339"/>
      <c r="G90" s="339"/>
      <c r="H90" s="339"/>
      <c r="I90" s="339"/>
      <c r="J90" s="339"/>
      <c r="K90" s="339"/>
      <c r="L90" s="339"/>
      <c r="M90" s="339"/>
      <c r="N90" s="339"/>
      <c r="O90" s="340"/>
    </row>
    <row r="91" spans="2:15">
      <c r="B91" s="70"/>
      <c r="C91" t="s">
        <v>403</v>
      </c>
      <c r="O91" s="71"/>
    </row>
    <row r="92" spans="2:15">
      <c r="B92" s="70"/>
      <c r="C92" t="s">
        <v>404</v>
      </c>
      <c r="O92" s="71"/>
    </row>
    <row r="93" spans="2:15">
      <c r="B93" s="70"/>
      <c r="C93" t="s">
        <v>405</v>
      </c>
      <c r="O93" s="71"/>
    </row>
    <row r="94" spans="2:15">
      <c r="B94" s="70"/>
      <c r="C94" t="s">
        <v>406</v>
      </c>
      <c r="O94" s="71"/>
    </row>
    <row r="95" spans="2:15">
      <c r="B95" s="70"/>
      <c r="C95" t="s">
        <v>407</v>
      </c>
      <c r="O95" s="71"/>
    </row>
    <row r="96" spans="2:15">
      <c r="B96" s="70"/>
      <c r="C96" t="s">
        <v>408</v>
      </c>
      <c r="O96" s="71"/>
    </row>
    <row r="97" spans="2:15">
      <c r="B97" s="70"/>
      <c r="C97" t="s">
        <v>409</v>
      </c>
      <c r="O97" s="71"/>
    </row>
    <row r="98" spans="2:15">
      <c r="B98" s="70"/>
      <c r="C98" t="s">
        <v>410</v>
      </c>
      <c r="O98" s="71"/>
    </row>
    <row r="99" spans="2:15">
      <c r="B99" s="70"/>
      <c r="C99" t="s">
        <v>411</v>
      </c>
      <c r="O99" s="71"/>
    </row>
    <row r="100" spans="2:15">
      <c r="B100" s="70"/>
      <c r="C100" t="s">
        <v>412</v>
      </c>
      <c r="O100" s="71"/>
    </row>
    <row r="101" spans="2:15">
      <c r="B101" s="70"/>
      <c r="C101" t="s">
        <v>413</v>
      </c>
      <c r="O101" s="71"/>
    </row>
    <row r="102" spans="2:15">
      <c r="B102" s="70"/>
      <c r="C102" t="s">
        <v>414</v>
      </c>
      <c r="O102" s="71"/>
    </row>
    <row r="103" spans="2:15">
      <c r="B103" s="70"/>
      <c r="C103" t="s">
        <v>415</v>
      </c>
      <c r="O103" s="71"/>
    </row>
    <row r="104" spans="2:15">
      <c r="B104" s="70"/>
      <c r="C104" t="s">
        <v>416</v>
      </c>
      <c r="O104" s="71"/>
    </row>
    <row r="105" spans="2:15">
      <c r="B105" s="70" t="s">
        <v>19</v>
      </c>
      <c r="O105" s="71"/>
    </row>
    <row r="106" spans="2:15">
      <c r="B106" s="70" t="s">
        <v>20</v>
      </c>
      <c r="O106" s="71"/>
    </row>
    <row r="107" spans="2:15">
      <c r="B107" s="70"/>
      <c r="C107" t="s">
        <v>417</v>
      </c>
      <c r="O107" s="71"/>
    </row>
    <row r="108" spans="2:15">
      <c r="B108" s="70"/>
      <c r="C108" t="s">
        <v>418</v>
      </c>
      <c r="O108" s="71"/>
    </row>
    <row r="109" spans="2:15">
      <c r="B109" s="70"/>
      <c r="C109" t="s">
        <v>419</v>
      </c>
      <c r="O109" s="71"/>
    </row>
    <row r="110" spans="2:15">
      <c r="B110" s="70"/>
      <c r="C110" t="s">
        <v>420</v>
      </c>
      <c r="O110" s="71"/>
    </row>
    <row r="111" spans="2:15">
      <c r="B111" s="70"/>
      <c r="C111" t="s">
        <v>421</v>
      </c>
      <c r="O111" s="71"/>
    </row>
    <row r="112" spans="2:15">
      <c r="B112" s="70"/>
      <c r="C112" t="s">
        <v>422</v>
      </c>
      <c r="O112" s="71"/>
    </row>
    <row r="113" spans="2:15">
      <c r="B113" s="70"/>
      <c r="C113" t="s">
        <v>423</v>
      </c>
      <c r="O113" s="71"/>
    </row>
    <row r="114" spans="2:15">
      <c r="B114" s="70"/>
      <c r="C114" t="s">
        <v>424</v>
      </c>
      <c r="O114" s="71"/>
    </row>
    <row r="115" spans="2:15">
      <c r="B115" s="70"/>
      <c r="C115" t="s">
        <v>425</v>
      </c>
      <c r="O115" s="71"/>
    </row>
    <row r="116" spans="2:15">
      <c r="B116" s="70"/>
      <c r="C116" t="s">
        <v>426</v>
      </c>
      <c r="O116" s="71"/>
    </row>
    <row r="117" spans="2:15">
      <c r="B117" s="70"/>
      <c r="C117" t="s">
        <v>427</v>
      </c>
      <c r="O117" s="71"/>
    </row>
    <row r="118" spans="2:15">
      <c r="B118" s="70"/>
      <c r="C118" t="s">
        <v>428</v>
      </c>
      <c r="O118" s="71"/>
    </row>
    <row r="119" spans="2:15">
      <c r="B119" s="70"/>
      <c r="C119" t="s">
        <v>429</v>
      </c>
      <c r="O119" s="71"/>
    </row>
    <row r="120" spans="2:15">
      <c r="B120" s="70" t="s">
        <v>21</v>
      </c>
      <c r="O120" s="71"/>
    </row>
    <row r="121" spans="2:15">
      <c r="B121" s="70" t="s">
        <v>22</v>
      </c>
      <c r="O121" s="71"/>
    </row>
    <row r="122" spans="2:15">
      <c r="B122" s="70" t="s">
        <v>23</v>
      </c>
      <c r="O122" s="71"/>
    </row>
    <row r="123" spans="2:15">
      <c r="B123" s="72" t="s">
        <v>430</v>
      </c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4"/>
    </row>
  </sheetData>
  <mergeCells count="290">
    <mergeCell ref="B2:O2"/>
    <mergeCell ref="B4:O4"/>
    <mergeCell ref="B6:O6"/>
    <mergeCell ref="B8:O8"/>
    <mergeCell ref="B9:G9"/>
    <mergeCell ref="H9:O9"/>
    <mergeCell ref="B13:G13"/>
    <mergeCell ref="H12:O12"/>
    <mergeCell ref="B14:G14"/>
    <mergeCell ref="H13:O13"/>
    <mergeCell ref="B15:G15"/>
    <mergeCell ref="H14:O14"/>
    <mergeCell ref="B10:G10"/>
    <mergeCell ref="H10:O10"/>
    <mergeCell ref="B11:G11"/>
    <mergeCell ref="H11:O11"/>
    <mergeCell ref="B12:G12"/>
    <mergeCell ref="B22:G22"/>
    <mergeCell ref="H22:O22"/>
    <mergeCell ref="B18:G18"/>
    <mergeCell ref="B19:G19"/>
    <mergeCell ref="B20:G20"/>
    <mergeCell ref="H20:O20"/>
    <mergeCell ref="H19:O19"/>
    <mergeCell ref="H15:O15"/>
    <mergeCell ref="H16:O16"/>
    <mergeCell ref="B23:G23"/>
    <mergeCell ref="H23:K23"/>
    <mergeCell ref="L23:O23"/>
    <mergeCell ref="B24:G24"/>
    <mergeCell ref="H24:K24"/>
    <mergeCell ref="L24:O24"/>
    <mergeCell ref="B16:G16"/>
    <mergeCell ref="H17:O17"/>
    <mergeCell ref="B17:G17"/>
    <mergeCell ref="H18:O18"/>
    <mergeCell ref="B21:G21"/>
    <mergeCell ref="H21:O21"/>
    <mergeCell ref="B27:G27"/>
    <mergeCell ref="H27:K27"/>
    <mergeCell ref="L27:O27"/>
    <mergeCell ref="B28:G28"/>
    <mergeCell ref="H28:K28"/>
    <mergeCell ref="L28:O28"/>
    <mergeCell ref="B25:G25"/>
    <mergeCell ref="H25:K25"/>
    <mergeCell ref="L25:O25"/>
    <mergeCell ref="B26:G26"/>
    <mergeCell ref="H26:K26"/>
    <mergeCell ref="L26:O26"/>
    <mergeCell ref="B31:G31"/>
    <mergeCell ref="H31:J31"/>
    <mergeCell ref="K31:M31"/>
    <mergeCell ref="N31:O31"/>
    <mergeCell ref="B32:G32"/>
    <mergeCell ref="H32:J32"/>
    <mergeCell ref="K32:M32"/>
    <mergeCell ref="N32:O32"/>
    <mergeCell ref="B29:G29"/>
    <mergeCell ref="H29:K29"/>
    <mergeCell ref="L29:O29"/>
    <mergeCell ref="B30:G30"/>
    <mergeCell ref="H30:K30"/>
    <mergeCell ref="L30:O30"/>
    <mergeCell ref="B35:G35"/>
    <mergeCell ref="H35:J35"/>
    <mergeCell ref="K35:M35"/>
    <mergeCell ref="N35:O35"/>
    <mergeCell ref="B36:G36"/>
    <mergeCell ref="H36:J36"/>
    <mergeCell ref="K36:M36"/>
    <mergeCell ref="N36:O36"/>
    <mergeCell ref="B33:G33"/>
    <mergeCell ref="H33:J33"/>
    <mergeCell ref="K33:M33"/>
    <mergeCell ref="N33:O33"/>
    <mergeCell ref="B34:G34"/>
    <mergeCell ref="H34:J34"/>
    <mergeCell ref="K34:M34"/>
    <mergeCell ref="N34:O34"/>
    <mergeCell ref="B39:G39"/>
    <mergeCell ref="H39:J39"/>
    <mergeCell ref="K39:M39"/>
    <mergeCell ref="N39:O39"/>
    <mergeCell ref="B40:G40"/>
    <mergeCell ref="H40:J40"/>
    <mergeCell ref="K40:M40"/>
    <mergeCell ref="N40:O40"/>
    <mergeCell ref="B37:G37"/>
    <mergeCell ref="H37:J37"/>
    <mergeCell ref="K37:M37"/>
    <mergeCell ref="N37:O37"/>
    <mergeCell ref="B38:G38"/>
    <mergeCell ref="H38:J38"/>
    <mergeCell ref="K38:M38"/>
    <mergeCell ref="N38:O38"/>
    <mergeCell ref="B41:G41"/>
    <mergeCell ref="H41:J41"/>
    <mergeCell ref="K41:M41"/>
    <mergeCell ref="N41:O41"/>
    <mergeCell ref="B42:G42"/>
    <mergeCell ref="H42:I42"/>
    <mergeCell ref="J42:K42"/>
    <mergeCell ref="L42:M42"/>
    <mergeCell ref="N42:O42"/>
    <mergeCell ref="B43:G43"/>
    <mergeCell ref="H43:I43"/>
    <mergeCell ref="J43:K43"/>
    <mergeCell ref="L43:M43"/>
    <mergeCell ref="N43:O43"/>
    <mergeCell ref="B44:G44"/>
    <mergeCell ref="H44:I44"/>
    <mergeCell ref="J44:K44"/>
    <mergeCell ref="L44:M44"/>
    <mergeCell ref="N44:O44"/>
    <mergeCell ref="B45:G45"/>
    <mergeCell ref="H45:I45"/>
    <mergeCell ref="J45:K45"/>
    <mergeCell ref="L45:M45"/>
    <mergeCell ref="N45:O45"/>
    <mergeCell ref="B46:G46"/>
    <mergeCell ref="H46:I46"/>
    <mergeCell ref="J46:K46"/>
    <mergeCell ref="L46:M46"/>
    <mergeCell ref="N46:O46"/>
    <mergeCell ref="B47:G47"/>
    <mergeCell ref="H47:I47"/>
    <mergeCell ref="J47:K47"/>
    <mergeCell ref="L47:M47"/>
    <mergeCell ref="N47:O47"/>
    <mergeCell ref="B48:G48"/>
    <mergeCell ref="H48:I48"/>
    <mergeCell ref="J48:K48"/>
    <mergeCell ref="L48:M48"/>
    <mergeCell ref="N48:O48"/>
    <mergeCell ref="B51:G51"/>
    <mergeCell ref="H51:J51"/>
    <mergeCell ref="K51:M51"/>
    <mergeCell ref="N51:O51"/>
    <mergeCell ref="B52:G52"/>
    <mergeCell ref="H52:J52"/>
    <mergeCell ref="K52:M52"/>
    <mergeCell ref="N52:O52"/>
    <mergeCell ref="B49:G49"/>
    <mergeCell ref="H49:J49"/>
    <mergeCell ref="K49:M49"/>
    <mergeCell ref="N49:O49"/>
    <mergeCell ref="B50:G50"/>
    <mergeCell ref="H50:J50"/>
    <mergeCell ref="K50:M50"/>
    <mergeCell ref="N50:O50"/>
    <mergeCell ref="B55:G55"/>
    <mergeCell ref="H55:J55"/>
    <mergeCell ref="K55:M55"/>
    <mergeCell ref="N55:O55"/>
    <mergeCell ref="B56:G56"/>
    <mergeCell ref="H56:J56"/>
    <mergeCell ref="K56:M56"/>
    <mergeCell ref="N56:O56"/>
    <mergeCell ref="B53:G53"/>
    <mergeCell ref="H53:J53"/>
    <mergeCell ref="K53:M53"/>
    <mergeCell ref="N53:O53"/>
    <mergeCell ref="B54:G54"/>
    <mergeCell ref="H54:J54"/>
    <mergeCell ref="K54:M54"/>
    <mergeCell ref="N54:O54"/>
    <mergeCell ref="B59:G59"/>
    <mergeCell ref="H59:J59"/>
    <mergeCell ref="K59:M59"/>
    <mergeCell ref="N59:O59"/>
    <mergeCell ref="H60:J60"/>
    <mergeCell ref="K60:M60"/>
    <mergeCell ref="N60:O60"/>
    <mergeCell ref="B57:G57"/>
    <mergeCell ref="H57:J57"/>
    <mergeCell ref="K57:M57"/>
    <mergeCell ref="N57:O57"/>
    <mergeCell ref="B58:G58"/>
    <mergeCell ref="H58:J58"/>
    <mergeCell ref="K58:M58"/>
    <mergeCell ref="N58:O58"/>
    <mergeCell ref="B63:G63"/>
    <mergeCell ref="H63:J63"/>
    <mergeCell ref="K63:M63"/>
    <mergeCell ref="N63:O63"/>
    <mergeCell ref="B64:G64"/>
    <mergeCell ref="H64:J64"/>
    <mergeCell ref="K64:M64"/>
    <mergeCell ref="N64:O64"/>
    <mergeCell ref="B61:G61"/>
    <mergeCell ref="H61:J61"/>
    <mergeCell ref="K61:M61"/>
    <mergeCell ref="N61:O61"/>
    <mergeCell ref="B62:G62"/>
    <mergeCell ref="H62:J62"/>
    <mergeCell ref="K62:M62"/>
    <mergeCell ref="N62:O62"/>
    <mergeCell ref="B67:G67"/>
    <mergeCell ref="H67:J67"/>
    <mergeCell ref="K67:M67"/>
    <mergeCell ref="N67:O67"/>
    <mergeCell ref="B68:G68"/>
    <mergeCell ref="H68:J68"/>
    <mergeCell ref="K68:M68"/>
    <mergeCell ref="N68:O68"/>
    <mergeCell ref="B65:G65"/>
    <mergeCell ref="H65:J65"/>
    <mergeCell ref="K65:M65"/>
    <mergeCell ref="N65:O65"/>
    <mergeCell ref="B66:G66"/>
    <mergeCell ref="H66:J66"/>
    <mergeCell ref="K66:M66"/>
    <mergeCell ref="N66:O66"/>
    <mergeCell ref="B72:G72"/>
    <mergeCell ref="H72:J72"/>
    <mergeCell ref="K72:M72"/>
    <mergeCell ref="N72:O72"/>
    <mergeCell ref="B73:G73"/>
    <mergeCell ref="H73:J73"/>
    <mergeCell ref="K73:M73"/>
    <mergeCell ref="N73:O73"/>
    <mergeCell ref="B69:G69"/>
    <mergeCell ref="H69:O69"/>
    <mergeCell ref="B70:G70"/>
    <mergeCell ref="H70:O70"/>
    <mergeCell ref="B71:G71"/>
    <mergeCell ref="H71:O71"/>
    <mergeCell ref="B76:G76"/>
    <mergeCell ref="H76:J76"/>
    <mergeCell ref="K76:M76"/>
    <mergeCell ref="N76:O76"/>
    <mergeCell ref="B77:G77"/>
    <mergeCell ref="H77:J77"/>
    <mergeCell ref="K77:M77"/>
    <mergeCell ref="N77:O77"/>
    <mergeCell ref="B74:G74"/>
    <mergeCell ref="H74:J74"/>
    <mergeCell ref="K74:M74"/>
    <mergeCell ref="N74:O74"/>
    <mergeCell ref="B75:G75"/>
    <mergeCell ref="H75:J75"/>
    <mergeCell ref="K75:M75"/>
    <mergeCell ref="N75:O75"/>
    <mergeCell ref="B80:G80"/>
    <mergeCell ref="H80:J80"/>
    <mergeCell ref="K80:M80"/>
    <mergeCell ref="N80:O80"/>
    <mergeCell ref="B81:G81"/>
    <mergeCell ref="H81:J81"/>
    <mergeCell ref="K81:M81"/>
    <mergeCell ref="N81:O81"/>
    <mergeCell ref="B78:G78"/>
    <mergeCell ref="H78:J78"/>
    <mergeCell ref="K78:M78"/>
    <mergeCell ref="N78:O78"/>
    <mergeCell ref="B79:G79"/>
    <mergeCell ref="H79:J79"/>
    <mergeCell ref="K79:M79"/>
    <mergeCell ref="N79:O79"/>
    <mergeCell ref="B84:G84"/>
    <mergeCell ref="H84:J84"/>
    <mergeCell ref="K84:M84"/>
    <mergeCell ref="N84:O84"/>
    <mergeCell ref="B85:G85"/>
    <mergeCell ref="H85:J85"/>
    <mergeCell ref="K85:M85"/>
    <mergeCell ref="N85:O85"/>
    <mergeCell ref="B82:G82"/>
    <mergeCell ref="H82:J82"/>
    <mergeCell ref="K82:M82"/>
    <mergeCell ref="N82:O82"/>
    <mergeCell ref="B83:G83"/>
    <mergeCell ref="H83:J83"/>
    <mergeCell ref="K83:M83"/>
    <mergeCell ref="N83:O83"/>
    <mergeCell ref="B88:G88"/>
    <mergeCell ref="H88:J88"/>
    <mergeCell ref="K88:M88"/>
    <mergeCell ref="N88:O88"/>
    <mergeCell ref="B89:O89"/>
    <mergeCell ref="B90:O90"/>
    <mergeCell ref="B86:G86"/>
    <mergeCell ref="H86:J86"/>
    <mergeCell ref="K86:M86"/>
    <mergeCell ref="N86:O86"/>
    <mergeCell ref="B87:G87"/>
    <mergeCell ref="H87:J87"/>
    <mergeCell ref="K87:M87"/>
    <mergeCell ref="N87:O87"/>
  </mergeCells>
  <conditionalFormatting sqref="H24:K30 H43:I48 K50:M58 H32:J40 H9:O14 H17:O18">
    <cfRule type="cellIs" dxfId="16" priority="7" operator="equal">
      <formula>0</formula>
    </cfRule>
    <cfRule type="containsBlanks" dxfId="15" priority="8">
      <formula>LEN(TRIM(H9))=0</formula>
    </cfRule>
  </conditionalFormatting>
  <conditionalFormatting sqref="H19:O19 H22:O22 H20:H21">
    <cfRule type="cellIs" dxfId="14" priority="5" operator="equal">
      <formula>0</formula>
    </cfRule>
    <cfRule type="containsBlanks" dxfId="13" priority="6">
      <formula>LEN(TRIM(H19))=0</formula>
    </cfRule>
  </conditionalFormatting>
  <conditionalFormatting sqref="H16">
    <cfRule type="cellIs" dxfId="12" priority="3" operator="equal">
      <formula>0</formula>
    </cfRule>
    <cfRule type="containsBlanks" dxfId="11" priority="4">
      <formula>LEN(TRIM(H16))=0</formula>
    </cfRule>
  </conditionalFormatting>
  <conditionalFormatting sqref="H15">
    <cfRule type="cellIs" dxfId="10" priority="1" operator="equal">
      <formula>0</formula>
    </cfRule>
    <cfRule type="containsBlanks" dxfId="9" priority="2">
      <formula>LEN(TRIM(H15))=0</formula>
    </cfRule>
  </conditionalFormatting>
  <pageMargins left="0.511811024" right="0.511811024" top="0.78740157499999996" bottom="0.78740157499999996" header="0.31496062000000002" footer="0.31496062000000002"/>
  <pageSetup paperSize="9" scale="6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3"/>
  <sheetViews>
    <sheetView topLeftCell="M2" zoomScale="70" zoomScaleNormal="70" workbookViewId="0">
      <selection activeCell="AF63" sqref="AF63"/>
    </sheetView>
  </sheetViews>
  <sheetFormatPr defaultRowHeight="15"/>
  <cols>
    <col min="1" max="1" width="32.85546875" bestFit="1" customWidth="1"/>
    <col min="3" max="3" width="85.42578125" bestFit="1" customWidth="1"/>
    <col min="5" max="5" width="14.5703125" bestFit="1" customWidth="1"/>
    <col min="6" max="6" width="14.5703125" customWidth="1"/>
    <col min="7" max="7" width="19.85546875" bestFit="1" customWidth="1"/>
    <col min="8" max="8" width="20.42578125" bestFit="1" customWidth="1"/>
    <col min="10" max="10" width="32.85546875" bestFit="1" customWidth="1"/>
    <col min="11" max="11" width="12.28515625" customWidth="1"/>
    <col min="12" max="12" width="15" bestFit="1" customWidth="1"/>
    <col min="14" max="14" width="41" bestFit="1" customWidth="1"/>
    <col min="16" max="16" width="17.5703125" bestFit="1" customWidth="1"/>
    <col min="18" max="18" width="22.7109375" bestFit="1" customWidth="1"/>
    <col min="20" max="20" width="50.5703125" customWidth="1"/>
    <col min="22" max="22" width="51.140625" customWidth="1"/>
    <col min="24" max="24" width="46.85546875" customWidth="1"/>
    <col min="26" max="26" width="25.7109375" style="17" bestFit="1" customWidth="1"/>
    <col min="34" max="34" width="15.28515625" bestFit="1" customWidth="1"/>
    <col min="40" max="40" width="16.28515625" bestFit="1" customWidth="1"/>
  </cols>
  <sheetData>
    <row r="1" spans="1:44" ht="45">
      <c r="A1" t="s">
        <v>43</v>
      </c>
      <c r="C1" t="s">
        <v>41</v>
      </c>
      <c r="E1" t="s">
        <v>42</v>
      </c>
      <c r="H1" t="s">
        <v>44</v>
      </c>
      <c r="J1" t="s">
        <v>46</v>
      </c>
      <c r="L1" t="s">
        <v>55</v>
      </c>
      <c r="N1" t="s">
        <v>57</v>
      </c>
      <c r="P1" t="s">
        <v>58</v>
      </c>
      <c r="R1" t="s">
        <v>59</v>
      </c>
      <c r="T1" s="10" t="s">
        <v>14</v>
      </c>
      <c r="V1" s="10" t="s">
        <v>16</v>
      </c>
      <c r="X1" s="10" t="s">
        <v>10</v>
      </c>
      <c r="Z1" s="17" t="s">
        <v>118</v>
      </c>
      <c r="AD1" t="s">
        <v>236</v>
      </c>
      <c r="AF1" t="s">
        <v>238</v>
      </c>
      <c r="AH1" t="s">
        <v>221</v>
      </c>
      <c r="AN1" t="s">
        <v>229</v>
      </c>
    </row>
    <row r="2" spans="1:44">
      <c r="A2" t="s">
        <v>60</v>
      </c>
      <c r="C2" t="s">
        <v>61</v>
      </c>
      <c r="E2" t="s">
        <v>8</v>
      </c>
      <c r="H2" s="14">
        <v>127</v>
      </c>
      <c r="J2" t="s">
        <v>62</v>
      </c>
      <c r="L2" t="s">
        <v>63</v>
      </c>
      <c r="N2" t="s">
        <v>64</v>
      </c>
      <c r="P2" t="s">
        <v>65</v>
      </c>
      <c r="R2" t="s">
        <v>66</v>
      </c>
      <c r="T2" t="s">
        <v>15</v>
      </c>
      <c r="V2" t="s">
        <v>17</v>
      </c>
      <c r="X2" t="s">
        <v>7</v>
      </c>
      <c r="Z2" s="42" t="s">
        <v>220</v>
      </c>
      <c r="AB2" t="s">
        <v>167</v>
      </c>
      <c r="AD2" t="s">
        <v>458</v>
      </c>
      <c r="AF2" t="s">
        <v>239</v>
      </c>
      <c r="AH2" s="43"/>
      <c r="AI2" s="43"/>
      <c r="AJ2" s="44"/>
      <c r="AK2" s="43"/>
      <c r="AL2" s="45" t="s">
        <v>247</v>
      </c>
      <c r="AN2" s="43"/>
      <c r="AO2" s="43"/>
      <c r="AP2" s="44"/>
      <c r="AQ2" s="43"/>
      <c r="AR2" s="45" t="s">
        <v>247</v>
      </c>
    </row>
    <row r="3" spans="1:44">
      <c r="A3" t="s">
        <v>67</v>
      </c>
      <c r="C3" t="s">
        <v>68</v>
      </c>
      <c r="E3" t="s">
        <v>69</v>
      </c>
      <c r="H3" s="14">
        <v>220</v>
      </c>
      <c r="J3" t="s">
        <v>70</v>
      </c>
      <c r="L3" t="s">
        <v>71</v>
      </c>
      <c r="N3" t="s">
        <v>72</v>
      </c>
      <c r="P3" t="s">
        <v>73</v>
      </c>
      <c r="R3" t="s">
        <v>74</v>
      </c>
      <c r="T3" t="s">
        <v>114</v>
      </c>
      <c r="V3" t="s">
        <v>115</v>
      </c>
      <c r="X3" t="s">
        <v>6</v>
      </c>
      <c r="Z3" s="17">
        <v>1</v>
      </c>
      <c r="AB3" t="s">
        <v>260</v>
      </c>
      <c r="AD3" t="s">
        <v>237</v>
      </c>
      <c r="AF3" t="s">
        <v>240</v>
      </c>
      <c r="AH3" s="45" t="str">
        <f>CONCATENATE("Até ",AI3, "mm2")</f>
        <v>Até 4mm2</v>
      </c>
      <c r="AI3" s="45">
        <v>4</v>
      </c>
      <c r="AJ3" s="45" t="e">
        <f t="shared" ref="AJ3:AJ9" si="0">+IF(AL3="Sim",IF(AL2="Não","Sim","Não"),"Não")</f>
        <v>#DIV/0!</v>
      </c>
      <c r="AK3" s="46">
        <v>6</v>
      </c>
      <c r="AL3" s="47" t="e">
        <f>+IF(Input!$F$49&lt;AI3,"Sim","Não")</f>
        <v>#DIV/0!</v>
      </c>
      <c r="AN3" s="45" t="str">
        <f>CONCATENATE("Até ",AO3, "mm2")</f>
        <v>Até 2,5mm2</v>
      </c>
      <c r="AO3" s="45">
        <v>2.5</v>
      </c>
      <c r="AP3" s="45" t="str">
        <f t="shared" ref="AP3:AP9" si="1">+IF(AR3="Sim",IF(AR2="Não","Sim","Não"),"Não")</f>
        <v>Sim</v>
      </c>
      <c r="AQ3" s="46">
        <v>2.5</v>
      </c>
      <c r="AR3" s="47" t="str">
        <f>+IF(Input!$I$48&lt;AO3,"Sim","Não")</f>
        <v>Sim</v>
      </c>
    </row>
    <row r="4" spans="1:44">
      <c r="A4" t="s">
        <v>75</v>
      </c>
      <c r="C4" t="s">
        <v>76</v>
      </c>
      <c r="E4" t="s">
        <v>77</v>
      </c>
      <c r="H4" s="14" t="s">
        <v>632</v>
      </c>
      <c r="J4" t="s">
        <v>78</v>
      </c>
      <c r="N4" t="s">
        <v>79</v>
      </c>
      <c r="V4" t="s">
        <v>116</v>
      </c>
      <c r="Z4" s="17">
        <v>2</v>
      </c>
      <c r="AD4" t="s">
        <v>185</v>
      </c>
      <c r="AF4" t="s">
        <v>185</v>
      </c>
      <c r="AH4" s="45" t="str">
        <f t="shared" ref="AH4:AH9" si="2">CONCATENATE("De ",AI3," até ",AI4," mm2")</f>
        <v>De 4 até 6 mm2</v>
      </c>
      <c r="AI4" s="45">
        <v>6</v>
      </c>
      <c r="AJ4" s="45" t="e">
        <f t="shared" si="0"/>
        <v>#DIV/0!</v>
      </c>
      <c r="AK4" s="48">
        <v>6</v>
      </c>
      <c r="AL4" s="47" t="e">
        <f>+IF(Input!$F$49&lt;AI4,"Sim","Não")</f>
        <v>#DIV/0!</v>
      </c>
      <c r="AN4" s="45" t="str">
        <f t="shared" ref="AN4:AN9" si="3">CONCATENATE("De ",AO3," até ",AO4," mm2")</f>
        <v>De 2,5 até 4 mm2</v>
      </c>
      <c r="AO4" s="45">
        <v>4</v>
      </c>
      <c r="AP4" s="45" t="str">
        <f t="shared" si="1"/>
        <v>Não</v>
      </c>
      <c r="AQ4" s="48">
        <v>4</v>
      </c>
      <c r="AR4" s="47" t="str">
        <f>+IF(Input!$I$48&lt;AO4,"Sim","Não")</f>
        <v>Sim</v>
      </c>
    </row>
    <row r="5" spans="1:44">
      <c r="A5" t="s">
        <v>80</v>
      </c>
      <c r="C5" t="s">
        <v>81</v>
      </c>
      <c r="E5" t="s">
        <v>37</v>
      </c>
      <c r="H5" s="14" t="s">
        <v>636</v>
      </c>
      <c r="J5" t="s">
        <v>82</v>
      </c>
      <c r="N5" t="s">
        <v>83</v>
      </c>
      <c r="Z5" s="17">
        <v>3</v>
      </c>
      <c r="AD5" s="24" t="s">
        <v>464</v>
      </c>
      <c r="AF5" t="s">
        <v>451</v>
      </c>
      <c r="AH5" s="45" t="str">
        <f t="shared" si="2"/>
        <v>De 6 até 10 mm2</v>
      </c>
      <c r="AI5" s="45">
        <v>10</v>
      </c>
      <c r="AJ5" s="45" t="e">
        <f t="shared" si="0"/>
        <v>#DIV/0!</v>
      </c>
      <c r="AK5" s="48">
        <v>10</v>
      </c>
      <c r="AL5" s="47" t="e">
        <f>+IF(Input!$F$49&lt;AI5,"Sim","Não")</f>
        <v>#DIV/0!</v>
      </c>
      <c r="AN5" s="45" t="str">
        <f t="shared" si="3"/>
        <v>De 4 até 6 mm2</v>
      </c>
      <c r="AO5" s="45">
        <v>6</v>
      </c>
      <c r="AP5" s="45" t="str">
        <f t="shared" si="1"/>
        <v>Não</v>
      </c>
      <c r="AQ5" s="48">
        <v>6</v>
      </c>
      <c r="AR5" s="47" t="str">
        <f>+IF(Input!$I$48&lt;AO5,"Sim","Não")</f>
        <v>Sim</v>
      </c>
    </row>
    <row r="6" spans="1:44">
      <c r="C6" t="s">
        <v>84</v>
      </c>
      <c r="E6" t="s">
        <v>38</v>
      </c>
      <c r="N6" t="s">
        <v>85</v>
      </c>
      <c r="Z6" s="17">
        <v>4</v>
      </c>
      <c r="AD6" s="24" t="s">
        <v>298</v>
      </c>
      <c r="AF6" t="s">
        <v>317</v>
      </c>
      <c r="AH6" s="45" t="str">
        <f t="shared" si="2"/>
        <v>De 10 até 15 mm2</v>
      </c>
      <c r="AI6" s="45">
        <v>15</v>
      </c>
      <c r="AJ6" s="45" t="e">
        <f t="shared" si="0"/>
        <v>#DIV/0!</v>
      </c>
      <c r="AK6" s="48">
        <v>15</v>
      </c>
      <c r="AL6" s="47" t="e">
        <f>+IF(Input!$F$49&lt;AI6,"Sim","Não")</f>
        <v>#DIV/0!</v>
      </c>
      <c r="AN6" s="45" t="str">
        <f t="shared" si="3"/>
        <v>De 6 até 10 mm2</v>
      </c>
      <c r="AO6" s="45">
        <v>10</v>
      </c>
      <c r="AP6" s="45" t="str">
        <f t="shared" si="1"/>
        <v>Não</v>
      </c>
      <c r="AQ6" s="48">
        <v>10</v>
      </c>
      <c r="AR6" s="47" t="str">
        <f>+IF(Input!$I$48&lt;AO6,"Sim","Não")</f>
        <v>Sim</v>
      </c>
    </row>
    <row r="7" spans="1:44">
      <c r="C7" t="s">
        <v>86</v>
      </c>
      <c r="E7" t="s">
        <v>87</v>
      </c>
      <c r="N7" t="s">
        <v>88</v>
      </c>
      <c r="Z7" s="17">
        <v>5</v>
      </c>
      <c r="AD7" s="24" t="s">
        <v>318</v>
      </c>
      <c r="AF7" t="s">
        <v>447</v>
      </c>
      <c r="AH7" s="45" t="str">
        <f t="shared" si="2"/>
        <v>De 15 até 25 mm2</v>
      </c>
      <c r="AI7" s="45">
        <v>25</v>
      </c>
      <c r="AJ7" s="45" t="e">
        <f t="shared" si="0"/>
        <v>#DIV/0!</v>
      </c>
      <c r="AK7" s="48">
        <v>25</v>
      </c>
      <c r="AL7" s="47" t="e">
        <f>+IF(Input!$F$49&lt;AI7,"Sim","Não")</f>
        <v>#DIV/0!</v>
      </c>
      <c r="AN7" s="45" t="str">
        <f t="shared" si="3"/>
        <v>De 10 até 15 mm2</v>
      </c>
      <c r="AO7" s="45">
        <v>15</v>
      </c>
      <c r="AP7" s="45" t="str">
        <f t="shared" si="1"/>
        <v>Não</v>
      </c>
      <c r="AQ7" s="48">
        <v>15</v>
      </c>
      <c r="AR7" s="47" t="str">
        <f>+IF(Input!$I$48&lt;AO7,"Sim","Não")</f>
        <v>Sim</v>
      </c>
    </row>
    <row r="8" spans="1:44">
      <c r="C8" t="s">
        <v>89</v>
      </c>
      <c r="N8" t="s">
        <v>90</v>
      </c>
      <c r="V8" s="216" t="s">
        <v>575</v>
      </c>
      <c r="Z8" s="17">
        <v>6</v>
      </c>
      <c r="AD8" s="24" t="s">
        <v>450</v>
      </c>
      <c r="AF8" t="s">
        <v>452</v>
      </c>
      <c r="AH8" s="45" t="str">
        <f t="shared" si="2"/>
        <v>De 25 até 35 mm2</v>
      </c>
      <c r="AI8" s="45">
        <v>35</v>
      </c>
      <c r="AJ8" s="45" t="e">
        <f t="shared" si="0"/>
        <v>#DIV/0!</v>
      </c>
      <c r="AK8" s="48">
        <v>35</v>
      </c>
      <c r="AL8" s="47" t="e">
        <f>+IF(Input!$F$49&lt;AI8,"Sim","Não")</f>
        <v>#DIV/0!</v>
      </c>
      <c r="AN8" s="45" t="str">
        <f t="shared" si="3"/>
        <v>De 15 até 25 mm2</v>
      </c>
      <c r="AO8" s="45">
        <v>25</v>
      </c>
      <c r="AP8" s="45" t="str">
        <f t="shared" si="1"/>
        <v>Não</v>
      </c>
      <c r="AQ8" s="48">
        <v>25</v>
      </c>
      <c r="AR8" s="47" t="str">
        <f>+IF(Input!$I$48&lt;AO8,"Sim","Não")</f>
        <v>Sim</v>
      </c>
    </row>
    <row r="9" spans="1:44">
      <c r="C9" t="s">
        <v>91</v>
      </c>
      <c r="H9" t="s">
        <v>260</v>
      </c>
      <c r="N9" t="s">
        <v>92</v>
      </c>
      <c r="V9" s="219" t="s">
        <v>510</v>
      </c>
      <c r="Z9" s="42"/>
      <c r="AD9" s="24" t="s">
        <v>456</v>
      </c>
      <c r="AF9" t="s">
        <v>613</v>
      </c>
      <c r="AH9" s="49" t="str">
        <f t="shared" si="2"/>
        <v>De 35 até 50 mm2</v>
      </c>
      <c r="AI9" s="45">
        <v>50</v>
      </c>
      <c r="AJ9" s="45" t="e">
        <f t="shared" si="0"/>
        <v>#DIV/0!</v>
      </c>
      <c r="AK9" s="48">
        <v>50</v>
      </c>
      <c r="AL9" s="50" t="e">
        <f>+IF(Input!$F$49&gt;AI8,"Sim","Não")</f>
        <v>#DIV/0!</v>
      </c>
      <c r="AN9" s="49" t="str">
        <f t="shared" si="3"/>
        <v>De 25 até 35 mm2</v>
      </c>
      <c r="AO9" s="45">
        <v>35</v>
      </c>
      <c r="AP9" s="45" t="str">
        <f t="shared" si="1"/>
        <v>Não</v>
      </c>
      <c r="AQ9" s="48">
        <v>35</v>
      </c>
      <c r="AR9" s="50" t="s">
        <v>126</v>
      </c>
    </row>
    <row r="10" spans="1:44" ht="15.75" thickBot="1">
      <c r="A10" s="11" t="s">
        <v>33</v>
      </c>
      <c r="C10" t="s">
        <v>93</v>
      </c>
      <c r="H10" t="s">
        <v>167</v>
      </c>
      <c r="N10" t="s">
        <v>94</v>
      </c>
      <c r="R10" t="s">
        <v>263</v>
      </c>
      <c r="V10" s="219" t="s">
        <v>576</v>
      </c>
      <c r="AD10" s="24" t="s">
        <v>459</v>
      </c>
      <c r="AF10" t="s">
        <v>653</v>
      </c>
    </row>
    <row r="11" spans="1:44">
      <c r="A11" s="12" t="s">
        <v>34</v>
      </c>
      <c r="C11" t="s">
        <v>95</v>
      </c>
      <c r="N11" t="s">
        <v>96</v>
      </c>
      <c r="R11" t="s">
        <v>264</v>
      </c>
      <c r="V11" s="219" t="s">
        <v>577</v>
      </c>
      <c r="AD11" s="24" t="s">
        <v>494</v>
      </c>
    </row>
    <row r="12" spans="1:44">
      <c r="A12" s="13" t="s">
        <v>35</v>
      </c>
      <c r="N12" t="s">
        <v>97</v>
      </c>
      <c r="R12" t="s">
        <v>265</v>
      </c>
      <c r="V12" s="219" t="s">
        <v>578</v>
      </c>
      <c r="AD12" s="24" t="s">
        <v>531</v>
      </c>
      <c r="AI12" s="52" t="e">
        <f>Input!F49</f>
        <v>#DIV/0!</v>
      </c>
      <c r="AK12" s="51" t="e">
        <f>VLOOKUP("Sim",$AJ$3:$AK$10,2,FALSE)</f>
        <v>#N/A</v>
      </c>
      <c r="AO12" s="52">
        <f>Input!I48</f>
        <v>2.1845454545454546</v>
      </c>
      <c r="AQ12" s="51">
        <f>VLOOKUP("Sim",$AP$3:$AQ$10,2,FALSE)</f>
        <v>2.5</v>
      </c>
    </row>
    <row r="13" spans="1:44">
      <c r="A13" s="13" t="s">
        <v>25</v>
      </c>
      <c r="N13" t="s">
        <v>98</v>
      </c>
      <c r="AD13" s="24" t="s">
        <v>606</v>
      </c>
    </row>
    <row r="14" spans="1:44">
      <c r="A14" s="13" t="s">
        <v>36</v>
      </c>
      <c r="N14" t="s">
        <v>99</v>
      </c>
      <c r="V14" s="216" t="s">
        <v>579</v>
      </c>
      <c r="AD14" s="24" t="s">
        <v>607</v>
      </c>
    </row>
    <row r="15" spans="1:44">
      <c r="N15" t="s">
        <v>100</v>
      </c>
      <c r="V15" s="219" t="s">
        <v>511</v>
      </c>
      <c r="AD15" s="24" t="s">
        <v>612</v>
      </c>
    </row>
    <row r="16" spans="1:44">
      <c r="V16" s="219" t="s">
        <v>585</v>
      </c>
      <c r="AD16" s="24" t="s">
        <v>617</v>
      </c>
    </row>
    <row r="17" spans="1:36">
      <c r="V17" s="219" t="s">
        <v>586</v>
      </c>
      <c r="AD17" s="24" t="s">
        <v>623</v>
      </c>
    </row>
    <row r="18" spans="1:36">
      <c r="N18" t="s">
        <v>101</v>
      </c>
      <c r="V18" s="219" t="s">
        <v>580</v>
      </c>
      <c r="AD18" s="24" t="s">
        <v>626</v>
      </c>
    </row>
    <row r="19" spans="1:36">
      <c r="N19" t="s">
        <v>102</v>
      </c>
      <c r="V19" s="219" t="s">
        <v>581</v>
      </c>
      <c r="AD19" s="24" t="s">
        <v>631</v>
      </c>
    </row>
    <row r="20" spans="1:36">
      <c r="A20" t="s">
        <v>126</v>
      </c>
      <c r="N20" t="s">
        <v>103</v>
      </c>
      <c r="V20" s="219" t="s">
        <v>582</v>
      </c>
      <c r="AD20" s="24" t="s">
        <v>634</v>
      </c>
    </row>
    <row r="21" spans="1:36">
      <c r="V21" s="219" t="s">
        <v>583</v>
      </c>
      <c r="AD21" s="24" t="s">
        <v>651</v>
      </c>
    </row>
    <row r="22" spans="1:36">
      <c r="A22" t="s">
        <v>127</v>
      </c>
      <c r="C22" s="18" t="s">
        <v>144</v>
      </c>
      <c r="J22" s="20" t="s">
        <v>164</v>
      </c>
      <c r="K22" s="20" t="s">
        <v>173</v>
      </c>
      <c r="L22" s="20" t="s">
        <v>52</v>
      </c>
      <c r="N22" t="s">
        <v>104</v>
      </c>
      <c r="R22" s="56" t="s">
        <v>299</v>
      </c>
      <c r="S22" s="62" t="s">
        <v>300</v>
      </c>
      <c r="T22" s="63" t="s">
        <v>301</v>
      </c>
      <c r="V22" s="219" t="s">
        <v>584</v>
      </c>
    </row>
    <row r="23" spans="1:36">
      <c r="C23" s="17" t="s">
        <v>145</v>
      </c>
      <c r="D23" s="17">
        <v>10</v>
      </c>
      <c r="E23" s="17">
        <v>50</v>
      </c>
      <c r="F23" s="17">
        <v>10</v>
      </c>
      <c r="G23" s="17">
        <v>10</v>
      </c>
      <c r="H23" s="17" t="s">
        <v>137</v>
      </c>
      <c r="J23" s="19" t="s">
        <v>167</v>
      </c>
      <c r="K23" s="17">
        <v>1</v>
      </c>
      <c r="L23" s="17" t="s">
        <v>174</v>
      </c>
      <c r="N23" t="s">
        <v>105</v>
      </c>
      <c r="R23" s="56" t="s">
        <v>302</v>
      </c>
      <c r="S23" s="62" t="s">
        <v>303</v>
      </c>
      <c r="T23" s="63" t="s">
        <v>304</v>
      </c>
      <c r="AH23" s="45"/>
      <c r="AI23" s="45"/>
      <c r="AJ23" s="44"/>
    </row>
    <row r="24" spans="1:36">
      <c r="C24" s="17" t="s">
        <v>146</v>
      </c>
      <c r="D24" s="17">
        <v>15</v>
      </c>
      <c r="E24" s="17">
        <v>50</v>
      </c>
      <c r="F24" s="17">
        <v>10</v>
      </c>
      <c r="G24" s="17">
        <v>10</v>
      </c>
      <c r="H24" s="17" t="s">
        <v>138</v>
      </c>
      <c r="J24" s="19" t="s">
        <v>166</v>
      </c>
      <c r="K24" s="17" t="s">
        <v>171</v>
      </c>
      <c r="L24" s="17" t="s">
        <v>175</v>
      </c>
      <c r="N24" t="s">
        <v>106</v>
      </c>
      <c r="R24" s="56" t="s">
        <v>305</v>
      </c>
      <c r="S24" s="62" t="s">
        <v>306</v>
      </c>
      <c r="T24" s="64" t="s">
        <v>307</v>
      </c>
      <c r="V24" s="216" t="s">
        <v>587</v>
      </c>
    </row>
    <row r="25" spans="1:36">
      <c r="C25" s="17" t="s">
        <v>147</v>
      </c>
      <c r="D25" s="17">
        <v>10</v>
      </c>
      <c r="E25" s="17">
        <v>30</v>
      </c>
      <c r="F25" s="17">
        <v>6</v>
      </c>
      <c r="G25" s="17">
        <v>10</v>
      </c>
      <c r="H25" s="17" t="s">
        <v>139</v>
      </c>
      <c r="J25" s="19" t="s">
        <v>165</v>
      </c>
      <c r="K25" s="17">
        <v>2</v>
      </c>
      <c r="L25" s="17" t="s">
        <v>176</v>
      </c>
      <c r="N25" t="s">
        <v>107</v>
      </c>
      <c r="R25" s="56" t="s">
        <v>308</v>
      </c>
      <c r="S25" s="62" t="s">
        <v>309</v>
      </c>
      <c r="T25" s="63" t="s">
        <v>310</v>
      </c>
      <c r="V25" s="219" t="s">
        <v>588</v>
      </c>
    </row>
    <row r="26" spans="1:36">
      <c r="A26" t="s">
        <v>243</v>
      </c>
      <c r="C26" s="17" t="s">
        <v>148</v>
      </c>
      <c r="D26" s="17">
        <v>15</v>
      </c>
      <c r="E26" s="17">
        <v>40</v>
      </c>
      <c r="F26" s="17">
        <v>10</v>
      </c>
      <c r="G26" s="17">
        <v>10</v>
      </c>
      <c r="H26" s="17" t="s">
        <v>139</v>
      </c>
      <c r="J26" s="19" t="s">
        <v>169</v>
      </c>
      <c r="K26" s="17" t="s">
        <v>172</v>
      </c>
      <c r="L26" s="17" t="s">
        <v>177</v>
      </c>
      <c r="N26" t="s">
        <v>108</v>
      </c>
      <c r="R26" s="56" t="s">
        <v>443</v>
      </c>
      <c r="S26" s="62" t="s">
        <v>444</v>
      </c>
      <c r="T26" s="63" t="s">
        <v>445</v>
      </c>
      <c r="V26" s="219" t="s">
        <v>589</v>
      </c>
    </row>
    <row r="27" spans="1:36">
      <c r="A27" t="s">
        <v>242</v>
      </c>
      <c r="C27" s="17" t="s">
        <v>149</v>
      </c>
      <c r="D27" s="17">
        <v>19</v>
      </c>
      <c r="E27" s="17">
        <v>50</v>
      </c>
      <c r="F27" s="17">
        <v>10</v>
      </c>
      <c r="G27" s="17">
        <v>10</v>
      </c>
      <c r="H27" s="17" t="s">
        <v>139</v>
      </c>
      <c r="J27" s="19" t="s">
        <v>170</v>
      </c>
      <c r="K27" s="17">
        <v>3</v>
      </c>
      <c r="L27" s="17" t="s">
        <v>433</v>
      </c>
      <c r="N27" t="s">
        <v>109</v>
      </c>
      <c r="R27" s="56" t="s">
        <v>442</v>
      </c>
      <c r="S27" s="62" t="s">
        <v>311</v>
      </c>
      <c r="T27" s="63" t="s">
        <v>312</v>
      </c>
      <c r="V27" s="219" t="s">
        <v>590</v>
      </c>
    </row>
    <row r="28" spans="1:36">
      <c r="C28" s="17" t="s">
        <v>150</v>
      </c>
      <c r="D28" s="17">
        <v>27</v>
      </c>
      <c r="E28" s="17">
        <v>70</v>
      </c>
      <c r="F28" s="17">
        <v>25</v>
      </c>
      <c r="G28" s="17">
        <v>10</v>
      </c>
      <c r="H28" s="17" t="s">
        <v>140</v>
      </c>
      <c r="J28" s="19" t="s">
        <v>168</v>
      </c>
      <c r="K28" s="17">
        <v>4</v>
      </c>
      <c r="L28" s="17" t="s">
        <v>434</v>
      </c>
      <c r="N28" t="s">
        <v>110</v>
      </c>
      <c r="R28" s="56" t="s">
        <v>313</v>
      </c>
      <c r="S28" s="65" t="s">
        <v>314</v>
      </c>
      <c r="T28" s="66" t="s">
        <v>315</v>
      </c>
      <c r="V28" s="219" t="s">
        <v>591</v>
      </c>
    </row>
    <row r="29" spans="1:36">
      <c r="C29" s="17" t="s">
        <v>151</v>
      </c>
      <c r="D29" s="17">
        <v>38</v>
      </c>
      <c r="E29" s="17">
        <v>100</v>
      </c>
      <c r="F29" s="17">
        <v>35</v>
      </c>
      <c r="G29" s="17">
        <v>16</v>
      </c>
      <c r="H29" s="17" t="s">
        <v>141</v>
      </c>
      <c r="J29" s="19" t="s">
        <v>249</v>
      </c>
      <c r="K29" s="17">
        <v>5</v>
      </c>
      <c r="L29" s="17" t="s">
        <v>435</v>
      </c>
      <c r="N29" t="s">
        <v>111</v>
      </c>
    </row>
    <row r="30" spans="1:36">
      <c r="A30" t="s">
        <v>270</v>
      </c>
      <c r="C30" s="17" t="s">
        <v>152</v>
      </c>
      <c r="D30" s="17">
        <v>47</v>
      </c>
      <c r="E30" s="17">
        <v>125</v>
      </c>
      <c r="F30" s="17">
        <v>50</v>
      </c>
      <c r="G30" s="17">
        <v>25</v>
      </c>
      <c r="H30" s="17" t="s">
        <v>142</v>
      </c>
      <c r="J30" s="19" t="s">
        <v>320</v>
      </c>
      <c r="K30" s="17">
        <v>6</v>
      </c>
      <c r="N30" t="s">
        <v>112</v>
      </c>
      <c r="V30" s="219" t="s">
        <v>594</v>
      </c>
    </row>
    <row r="31" spans="1:36">
      <c r="A31" t="s">
        <v>271</v>
      </c>
      <c r="C31" s="17" t="s">
        <v>153</v>
      </c>
      <c r="D31" s="17">
        <v>57</v>
      </c>
      <c r="E31" s="17">
        <v>150</v>
      </c>
      <c r="F31" s="17">
        <v>70</v>
      </c>
      <c r="G31" s="17" t="s">
        <v>143</v>
      </c>
      <c r="H31" s="17" t="s">
        <v>143</v>
      </c>
      <c r="J31" s="19" t="s">
        <v>321</v>
      </c>
      <c r="K31" s="17">
        <v>7</v>
      </c>
      <c r="N31" t="s">
        <v>113</v>
      </c>
      <c r="V31" s="219" t="s">
        <v>595</v>
      </c>
    </row>
    <row r="32" spans="1:36">
      <c r="C32" s="17" t="s">
        <v>154</v>
      </c>
      <c r="D32" s="17">
        <v>66</v>
      </c>
      <c r="E32" s="17">
        <v>175</v>
      </c>
      <c r="F32" s="17">
        <v>95</v>
      </c>
      <c r="G32" s="17" t="s">
        <v>143</v>
      </c>
      <c r="H32" s="17" t="s">
        <v>143</v>
      </c>
      <c r="J32" s="19" t="s">
        <v>438</v>
      </c>
      <c r="K32" s="17">
        <v>8</v>
      </c>
      <c r="V32" s="220" t="s">
        <v>596</v>
      </c>
    </row>
    <row r="33" spans="3:22">
      <c r="C33" s="17" t="s">
        <v>155</v>
      </c>
      <c r="D33" s="17">
        <v>75</v>
      </c>
      <c r="E33" s="17">
        <v>200</v>
      </c>
      <c r="F33" s="17">
        <v>120</v>
      </c>
      <c r="G33" s="17" t="s">
        <v>143</v>
      </c>
      <c r="H33" s="17" t="s">
        <v>143</v>
      </c>
      <c r="K33" s="17">
        <v>9</v>
      </c>
      <c r="V33" s="219" t="s">
        <v>464</v>
      </c>
    </row>
    <row r="34" spans="3:22">
      <c r="C34" s="17" t="s">
        <v>287</v>
      </c>
      <c r="D34" s="42" t="s">
        <v>220</v>
      </c>
      <c r="E34" s="42" t="s">
        <v>220</v>
      </c>
      <c r="F34" s="42" t="s">
        <v>220</v>
      </c>
      <c r="G34" s="42" t="s">
        <v>220</v>
      </c>
      <c r="H34" s="42" t="s">
        <v>220</v>
      </c>
      <c r="K34" s="17">
        <v>10</v>
      </c>
    </row>
    <row r="35" spans="3:22">
      <c r="C35" s="17" t="s">
        <v>156</v>
      </c>
      <c r="D35" s="17">
        <v>15</v>
      </c>
      <c r="E35" s="17">
        <v>40</v>
      </c>
      <c r="F35" s="17">
        <v>6</v>
      </c>
      <c r="G35" s="17">
        <v>10</v>
      </c>
      <c r="H35" s="17" t="s">
        <v>137</v>
      </c>
      <c r="K35" s="17">
        <v>11</v>
      </c>
    </row>
    <row r="36" spans="3:22">
      <c r="C36" s="17" t="s">
        <v>157</v>
      </c>
      <c r="D36" s="17">
        <v>25</v>
      </c>
      <c r="E36" s="17">
        <v>50</v>
      </c>
      <c r="F36" s="17">
        <v>10</v>
      </c>
      <c r="G36" s="17">
        <v>10</v>
      </c>
      <c r="H36" s="17" t="s">
        <v>138</v>
      </c>
      <c r="K36" t="s">
        <v>436</v>
      </c>
    </row>
    <row r="37" spans="3:22">
      <c r="C37" s="17" t="s">
        <v>158</v>
      </c>
      <c r="D37" s="17">
        <v>19</v>
      </c>
      <c r="E37" s="17">
        <v>30</v>
      </c>
      <c r="F37" s="17">
        <v>6</v>
      </c>
      <c r="G37" s="17">
        <v>10</v>
      </c>
      <c r="H37" s="17" t="s">
        <v>139</v>
      </c>
      <c r="K37" t="s">
        <v>437</v>
      </c>
    </row>
    <row r="38" spans="3:22">
      <c r="C38" s="17" t="s">
        <v>13</v>
      </c>
      <c r="D38" s="17">
        <v>26</v>
      </c>
      <c r="E38" s="17">
        <v>40</v>
      </c>
      <c r="F38" s="17">
        <v>10</v>
      </c>
      <c r="G38" s="17">
        <v>10</v>
      </c>
      <c r="H38" s="17" t="s">
        <v>139</v>
      </c>
    </row>
    <row r="39" spans="3:22">
      <c r="C39" s="17" t="s">
        <v>159</v>
      </c>
      <c r="D39" s="17">
        <v>32</v>
      </c>
      <c r="E39" s="17">
        <v>50</v>
      </c>
      <c r="F39" s="17">
        <v>10</v>
      </c>
      <c r="G39" s="17">
        <v>10</v>
      </c>
      <c r="H39" s="17" t="s">
        <v>139</v>
      </c>
    </row>
    <row r="40" spans="3:22">
      <c r="C40" s="17" t="s">
        <v>160</v>
      </c>
      <c r="D40" s="17">
        <v>46</v>
      </c>
      <c r="E40" s="17">
        <v>70</v>
      </c>
      <c r="F40" s="17">
        <v>25</v>
      </c>
      <c r="G40" s="17">
        <v>10</v>
      </c>
      <c r="H40" s="17" t="s">
        <v>140</v>
      </c>
    </row>
    <row r="41" spans="3:22">
      <c r="C41" s="17" t="s">
        <v>161</v>
      </c>
      <c r="D41" s="17">
        <v>66</v>
      </c>
      <c r="E41" s="17">
        <v>100</v>
      </c>
      <c r="F41" s="17">
        <v>35</v>
      </c>
      <c r="G41" s="17">
        <v>16</v>
      </c>
      <c r="H41" s="17" t="s">
        <v>141</v>
      </c>
    </row>
    <row r="42" spans="3:22">
      <c r="C42" s="17" t="s">
        <v>162</v>
      </c>
      <c r="D42" s="17">
        <v>75</v>
      </c>
      <c r="E42" s="17">
        <v>125</v>
      </c>
      <c r="F42" s="17">
        <v>50</v>
      </c>
      <c r="G42" s="17">
        <v>25</v>
      </c>
      <c r="H42" s="17" t="s">
        <v>142</v>
      </c>
    </row>
    <row r="43" spans="3:22">
      <c r="C43" s="17" t="s">
        <v>163</v>
      </c>
      <c r="D43" s="17">
        <v>11</v>
      </c>
      <c r="E43" s="17">
        <v>50</v>
      </c>
      <c r="F43" s="17">
        <v>10</v>
      </c>
      <c r="G43" s="17">
        <v>10</v>
      </c>
      <c r="H43" s="17" t="s">
        <v>137</v>
      </c>
    </row>
    <row r="44" spans="3:22">
      <c r="C44" s="42" t="s">
        <v>276</v>
      </c>
      <c r="D44" s="42" t="s">
        <v>220</v>
      </c>
      <c r="E44" s="42" t="s">
        <v>220</v>
      </c>
      <c r="F44" s="42" t="s">
        <v>220</v>
      </c>
      <c r="G44" s="42" t="s">
        <v>220</v>
      </c>
      <c r="H44" s="42" t="s">
        <v>220</v>
      </c>
    </row>
    <row r="45" spans="3:22">
      <c r="C45" s="17" t="s">
        <v>277</v>
      </c>
      <c r="D45" s="17">
        <v>6</v>
      </c>
      <c r="E45" s="17">
        <v>32</v>
      </c>
      <c r="F45" s="17">
        <v>6</v>
      </c>
      <c r="G45" s="17">
        <v>6</v>
      </c>
      <c r="H45" s="17">
        <v>6</v>
      </c>
    </row>
    <row r="46" spans="3:22">
      <c r="C46" s="17" t="s">
        <v>278</v>
      </c>
      <c r="D46" s="17">
        <v>12</v>
      </c>
      <c r="E46" s="17">
        <v>63</v>
      </c>
      <c r="F46" s="17">
        <v>16</v>
      </c>
      <c r="G46" s="17">
        <v>16</v>
      </c>
      <c r="H46" s="17">
        <v>16</v>
      </c>
    </row>
    <row r="47" spans="3:22">
      <c r="C47" s="17" t="s">
        <v>279</v>
      </c>
      <c r="D47" s="17">
        <v>18</v>
      </c>
      <c r="E47" s="17">
        <v>63</v>
      </c>
      <c r="F47" s="17">
        <v>16</v>
      </c>
      <c r="G47" s="17">
        <v>16</v>
      </c>
      <c r="H47" s="17">
        <v>16</v>
      </c>
    </row>
    <row r="48" spans="3:22">
      <c r="C48" s="17" t="s">
        <v>280</v>
      </c>
      <c r="D48" s="17">
        <v>25</v>
      </c>
      <c r="E48" s="17">
        <v>80</v>
      </c>
      <c r="F48" s="17">
        <v>25</v>
      </c>
      <c r="G48" s="17">
        <v>25</v>
      </c>
      <c r="H48" s="17">
        <v>25</v>
      </c>
    </row>
    <row r="49" spans="3:8">
      <c r="C49" s="17" t="s">
        <v>281</v>
      </c>
      <c r="D49" s="17">
        <v>23</v>
      </c>
      <c r="E49" s="17">
        <v>63</v>
      </c>
      <c r="F49" s="17">
        <v>16</v>
      </c>
      <c r="G49" s="17">
        <v>16</v>
      </c>
      <c r="H49" s="17">
        <v>16</v>
      </c>
    </row>
    <row r="50" spans="3:8">
      <c r="C50" s="17" t="s">
        <v>282</v>
      </c>
      <c r="D50" s="17">
        <v>30</v>
      </c>
      <c r="E50" s="17">
        <v>80</v>
      </c>
      <c r="F50" s="17">
        <v>25</v>
      </c>
      <c r="G50" s="17">
        <v>25</v>
      </c>
      <c r="H50" s="17">
        <v>25</v>
      </c>
    </row>
    <row r="51" spans="3:8">
      <c r="C51" s="17" t="s">
        <v>283</v>
      </c>
      <c r="D51" s="17">
        <v>38</v>
      </c>
      <c r="E51" s="17">
        <v>100</v>
      </c>
      <c r="F51" s="17">
        <v>35</v>
      </c>
      <c r="G51" s="17">
        <v>35</v>
      </c>
      <c r="H51" s="17">
        <v>35</v>
      </c>
    </row>
    <row r="52" spans="3:8">
      <c r="C52" s="17" t="s">
        <v>284</v>
      </c>
      <c r="D52" s="17">
        <v>47</v>
      </c>
      <c r="E52" s="17">
        <v>125</v>
      </c>
      <c r="F52" s="17">
        <v>50</v>
      </c>
      <c r="G52" s="17">
        <v>50</v>
      </c>
      <c r="H52" s="17">
        <v>50</v>
      </c>
    </row>
    <row r="53" spans="3:8">
      <c r="C53" s="17" t="s">
        <v>285</v>
      </c>
      <c r="D53" s="17">
        <v>57</v>
      </c>
      <c r="E53" s="17">
        <v>150</v>
      </c>
      <c r="F53" s="17">
        <v>70</v>
      </c>
      <c r="G53" s="17">
        <v>70</v>
      </c>
      <c r="H53" s="17">
        <v>70</v>
      </c>
    </row>
    <row r="54" spans="3:8">
      <c r="C54" s="17" t="s">
        <v>286</v>
      </c>
      <c r="D54" s="17">
        <v>76</v>
      </c>
      <c r="E54" s="17">
        <v>200</v>
      </c>
      <c r="F54" s="17">
        <v>95</v>
      </c>
      <c r="G54" s="17">
        <v>95</v>
      </c>
      <c r="H54" s="17">
        <v>95</v>
      </c>
    </row>
    <row r="55" spans="3:8">
      <c r="C55" s="17" t="s">
        <v>287</v>
      </c>
      <c r="D55" s="42" t="s">
        <v>220</v>
      </c>
      <c r="E55" s="42" t="s">
        <v>220</v>
      </c>
      <c r="F55" s="42" t="s">
        <v>220</v>
      </c>
      <c r="G55" s="42" t="s">
        <v>220</v>
      </c>
      <c r="H55" s="42" t="s">
        <v>220</v>
      </c>
    </row>
    <row r="56" spans="3:8">
      <c r="C56" s="17" t="s">
        <v>288</v>
      </c>
      <c r="D56" s="17">
        <v>10</v>
      </c>
      <c r="E56" s="17">
        <v>32</v>
      </c>
      <c r="F56" s="17">
        <v>6</v>
      </c>
      <c r="G56" s="17">
        <v>6</v>
      </c>
      <c r="H56" s="17">
        <v>6</v>
      </c>
    </row>
    <row r="57" spans="3:8">
      <c r="C57" s="17" t="s">
        <v>289</v>
      </c>
      <c r="D57" s="17">
        <v>15</v>
      </c>
      <c r="E57" s="17">
        <v>63</v>
      </c>
      <c r="F57" s="17">
        <v>16</v>
      </c>
      <c r="G57" s="17">
        <v>16</v>
      </c>
      <c r="H57" s="17">
        <v>16</v>
      </c>
    </row>
    <row r="58" spans="3:8">
      <c r="C58" s="17" t="s">
        <v>290</v>
      </c>
      <c r="D58" s="17">
        <v>25</v>
      </c>
      <c r="E58" s="17">
        <v>63</v>
      </c>
      <c r="F58" s="17">
        <v>16</v>
      </c>
      <c r="G58" s="17">
        <v>16</v>
      </c>
      <c r="H58" s="17">
        <v>16</v>
      </c>
    </row>
    <row r="59" spans="3:8">
      <c r="C59" s="17" t="s">
        <v>291</v>
      </c>
      <c r="D59" s="17">
        <v>26</v>
      </c>
      <c r="E59" s="17">
        <v>40</v>
      </c>
      <c r="F59" s="17">
        <v>10</v>
      </c>
      <c r="G59" s="17">
        <v>10</v>
      </c>
      <c r="H59" s="17">
        <v>10</v>
      </c>
    </row>
    <row r="60" spans="3:8">
      <c r="C60" s="17" t="s">
        <v>292</v>
      </c>
      <c r="D60" s="17">
        <v>40</v>
      </c>
      <c r="E60" s="17">
        <v>63</v>
      </c>
      <c r="F60" s="17">
        <v>16</v>
      </c>
      <c r="G60" s="17">
        <v>16</v>
      </c>
      <c r="H60" s="17">
        <v>16</v>
      </c>
    </row>
    <row r="61" spans="3:8">
      <c r="C61" s="17" t="s">
        <v>293</v>
      </c>
      <c r="D61" s="17">
        <v>46</v>
      </c>
      <c r="E61" s="17">
        <v>80</v>
      </c>
      <c r="F61" s="17">
        <v>25</v>
      </c>
      <c r="G61" s="17">
        <v>25</v>
      </c>
      <c r="H61" s="17">
        <v>25</v>
      </c>
    </row>
    <row r="62" spans="3:8">
      <c r="C62" s="17" t="s">
        <v>294</v>
      </c>
      <c r="D62" s="17">
        <v>66</v>
      </c>
      <c r="E62" s="17">
        <v>100</v>
      </c>
      <c r="F62" s="17">
        <v>35</v>
      </c>
      <c r="G62" s="17">
        <v>35</v>
      </c>
      <c r="H62" s="17">
        <v>35</v>
      </c>
    </row>
    <row r="63" spans="3:8">
      <c r="C63" s="17" t="s">
        <v>295</v>
      </c>
      <c r="D63" s="17">
        <v>82</v>
      </c>
      <c r="E63" s="17">
        <v>125</v>
      </c>
      <c r="F63" s="17">
        <v>50</v>
      </c>
      <c r="G63" s="17">
        <v>50</v>
      </c>
      <c r="H63" s="17">
        <v>50</v>
      </c>
    </row>
  </sheetData>
  <sortState ref="J20:J25">
    <sortCondition ref="J20"/>
  </sortState>
  <hyperlinks>
    <hyperlink ref="T22" r:id="rId1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zoomScaleNormal="100" workbookViewId="0">
      <pane ySplit="2" topLeftCell="A4" activePane="bottomLeft" state="frozen"/>
      <selection pane="bottomLeft" activeCell="B32" sqref="B32"/>
    </sheetView>
  </sheetViews>
  <sheetFormatPr defaultColWidth="8.85546875" defaultRowHeight="15"/>
  <cols>
    <col min="1" max="1" width="20" style="24" bestFit="1" customWidth="1"/>
    <col min="2" max="2" width="12.5703125" style="24" bestFit="1" customWidth="1"/>
    <col min="3" max="3" width="9.28515625" style="24" bestFit="1" customWidth="1"/>
    <col min="4" max="4" width="13.140625" style="24" bestFit="1" customWidth="1"/>
    <col min="5" max="5" width="13.5703125" style="24" customWidth="1"/>
    <col min="6" max="6" width="15.5703125" style="24" bestFit="1" customWidth="1"/>
    <col min="7" max="7" width="15.5703125" style="24" customWidth="1"/>
    <col min="8" max="8" width="11.5703125" style="24" bestFit="1" customWidth="1"/>
    <col min="9" max="9" width="10.85546875" style="24" bestFit="1" customWidth="1"/>
    <col min="10" max="10" width="12.28515625" style="24" bestFit="1" customWidth="1"/>
    <col min="11" max="11" width="11.7109375" style="24" bestFit="1" customWidth="1"/>
    <col min="12" max="12" width="11" style="24" bestFit="1" customWidth="1"/>
    <col min="13" max="13" width="11.5703125" style="24" bestFit="1" customWidth="1"/>
    <col min="14" max="14" width="10" style="24" customWidth="1"/>
    <col min="15" max="15" width="9" style="24" customWidth="1"/>
    <col min="16" max="16" width="12.5703125" style="24" bestFit="1" customWidth="1"/>
    <col min="17" max="17" width="15" style="24" bestFit="1" customWidth="1"/>
    <col min="18" max="18" width="6" style="24" customWidth="1"/>
    <col min="19" max="16384" width="8.85546875" style="24"/>
  </cols>
  <sheetData>
    <row r="1" spans="1:18" s="21" customFormat="1" ht="11.25">
      <c r="A1" s="21">
        <v>1</v>
      </c>
      <c r="B1" s="21">
        <v>2</v>
      </c>
      <c r="C1" s="21">
        <v>3</v>
      </c>
      <c r="D1" s="21">
        <v>4</v>
      </c>
      <c r="E1" s="21">
        <v>5</v>
      </c>
      <c r="F1" s="21">
        <v>6</v>
      </c>
      <c r="G1" s="21">
        <v>7</v>
      </c>
      <c r="H1" s="21">
        <v>8</v>
      </c>
      <c r="I1" s="21">
        <v>9</v>
      </c>
      <c r="J1" s="21">
        <v>10</v>
      </c>
      <c r="K1" s="21">
        <v>11</v>
      </c>
      <c r="L1" s="21">
        <v>12</v>
      </c>
      <c r="M1" s="21">
        <v>13</v>
      </c>
      <c r="N1" s="21">
        <v>14</v>
      </c>
      <c r="O1" s="21">
        <v>15</v>
      </c>
      <c r="P1" s="21">
        <v>16</v>
      </c>
      <c r="Q1" s="21">
        <v>17</v>
      </c>
    </row>
    <row r="2" spans="1:18" ht="57.6" customHeight="1">
      <c r="A2"/>
      <c r="B2"/>
      <c r="C2" s="32" t="s">
        <v>448</v>
      </c>
      <c r="D2" s="32" t="s">
        <v>200</v>
      </c>
      <c r="E2" s="32" t="s">
        <v>207</v>
      </c>
      <c r="F2" s="32" t="s">
        <v>208</v>
      </c>
      <c r="G2" s="32" t="s">
        <v>186</v>
      </c>
      <c r="H2" s="32" t="s">
        <v>187</v>
      </c>
      <c r="I2" s="32" t="s">
        <v>188</v>
      </c>
      <c r="J2" s="32" t="s">
        <v>189</v>
      </c>
      <c r="K2" s="32" t="s">
        <v>201</v>
      </c>
      <c r="L2" s="32" t="s">
        <v>190</v>
      </c>
      <c r="M2" s="32" t="s">
        <v>191</v>
      </c>
      <c r="N2" s="32" t="s">
        <v>180</v>
      </c>
      <c r="O2" s="32" t="s">
        <v>202</v>
      </c>
      <c r="P2" s="34" t="s">
        <v>210</v>
      </c>
      <c r="Q2" s="128" t="s">
        <v>316</v>
      </c>
      <c r="R2" s="129" t="s">
        <v>449</v>
      </c>
    </row>
    <row r="3" spans="1:18" ht="19.149999999999999" customHeight="1">
      <c r="A3" s="30" t="s">
        <v>183</v>
      </c>
      <c r="B3" s="30" t="s">
        <v>184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8">
      <c r="A4" s="17" t="s">
        <v>509</v>
      </c>
      <c r="B4" s="24" t="s">
        <v>451</v>
      </c>
      <c r="C4" s="148">
        <v>4500</v>
      </c>
      <c r="D4" s="24">
        <v>600</v>
      </c>
      <c r="E4" s="24">
        <v>80</v>
      </c>
      <c r="F4" s="24">
        <v>520</v>
      </c>
      <c r="G4" s="24" t="s">
        <v>453</v>
      </c>
      <c r="H4" s="24">
        <v>11</v>
      </c>
      <c r="I4" s="24">
        <v>2</v>
      </c>
      <c r="J4" s="148">
        <v>3000</v>
      </c>
      <c r="K4" s="148">
        <v>3300</v>
      </c>
      <c r="L4" s="24">
        <v>15.7</v>
      </c>
      <c r="M4" s="24" t="s">
        <v>454</v>
      </c>
      <c r="O4" s="31" t="s">
        <v>192</v>
      </c>
      <c r="Q4" s="19"/>
    </row>
    <row r="5" spans="1:18">
      <c r="A5" s="17" t="s">
        <v>601</v>
      </c>
      <c r="B5" s="24" t="s">
        <v>451</v>
      </c>
      <c r="C5" s="148">
        <v>6800</v>
      </c>
      <c r="D5" s="24">
        <v>600</v>
      </c>
      <c r="E5" s="24">
        <v>80</v>
      </c>
      <c r="F5" s="24">
        <v>520</v>
      </c>
      <c r="G5" s="24" t="s">
        <v>319</v>
      </c>
      <c r="H5" s="24">
        <v>14</v>
      </c>
      <c r="I5" s="24">
        <v>1</v>
      </c>
      <c r="J5" s="148">
        <v>4000</v>
      </c>
      <c r="K5" s="148">
        <v>4400</v>
      </c>
      <c r="L5" s="24">
        <v>21</v>
      </c>
      <c r="M5" s="24" t="s">
        <v>454</v>
      </c>
      <c r="O5" s="31" t="s">
        <v>192</v>
      </c>
      <c r="Q5" s="19"/>
    </row>
    <row r="6" spans="1:18">
      <c r="A6" s="17" t="s">
        <v>597</v>
      </c>
      <c r="B6" s="24" t="s">
        <v>451</v>
      </c>
      <c r="C6" s="148">
        <v>8500</v>
      </c>
      <c r="D6" s="24">
        <v>600</v>
      </c>
      <c r="E6" s="24">
        <v>120</v>
      </c>
      <c r="F6" s="24">
        <v>600</v>
      </c>
      <c r="G6" s="24" t="s">
        <v>319</v>
      </c>
      <c r="H6" s="24">
        <v>14</v>
      </c>
      <c r="I6" s="24">
        <v>1</v>
      </c>
      <c r="J6" s="148">
        <v>5000</v>
      </c>
      <c r="K6" s="148">
        <v>5000</v>
      </c>
      <c r="L6" s="24">
        <v>25</v>
      </c>
      <c r="M6" s="24" t="s">
        <v>454</v>
      </c>
      <c r="O6" s="31" t="s">
        <v>192</v>
      </c>
      <c r="Q6" s="19"/>
    </row>
    <row r="7" spans="1:18">
      <c r="A7" s="17" t="s">
        <v>471</v>
      </c>
      <c r="B7" s="24" t="s">
        <v>451</v>
      </c>
      <c r="C7" s="148">
        <v>4500</v>
      </c>
      <c r="D7" s="24">
        <v>600</v>
      </c>
      <c r="E7" s="24">
        <v>90</v>
      </c>
      <c r="F7" s="24">
        <v>520</v>
      </c>
      <c r="G7" s="24" t="s">
        <v>453</v>
      </c>
      <c r="H7" s="24">
        <v>11</v>
      </c>
      <c r="I7" s="24">
        <v>2</v>
      </c>
      <c r="J7" s="148">
        <v>3000</v>
      </c>
      <c r="K7" s="148">
        <v>3300</v>
      </c>
      <c r="L7" s="24">
        <v>15.7</v>
      </c>
      <c r="M7" s="24" t="s">
        <v>454</v>
      </c>
      <c r="O7" s="31" t="s">
        <v>192</v>
      </c>
      <c r="Q7" s="19"/>
    </row>
    <row r="8" spans="1:18">
      <c r="A8" s="17" t="s">
        <v>472</v>
      </c>
      <c r="B8" s="24" t="s">
        <v>451</v>
      </c>
      <c r="C8" s="148">
        <v>6000</v>
      </c>
      <c r="D8" s="24">
        <v>600</v>
      </c>
      <c r="E8" s="24">
        <v>120</v>
      </c>
      <c r="F8" s="24">
        <v>520</v>
      </c>
      <c r="G8" s="24" t="s">
        <v>453</v>
      </c>
      <c r="H8" s="24">
        <v>11</v>
      </c>
      <c r="I8" s="24">
        <v>2</v>
      </c>
      <c r="J8" s="148">
        <v>4000</v>
      </c>
      <c r="K8" s="148">
        <v>4400</v>
      </c>
      <c r="L8" s="24">
        <v>21</v>
      </c>
      <c r="M8" s="24" t="s">
        <v>454</v>
      </c>
      <c r="O8" s="31" t="s">
        <v>192</v>
      </c>
      <c r="Q8" s="19"/>
    </row>
    <row r="9" spans="1:18">
      <c r="A9" s="17" t="s">
        <v>473</v>
      </c>
      <c r="B9" s="24" t="s">
        <v>451</v>
      </c>
      <c r="C9" s="148">
        <v>7500</v>
      </c>
      <c r="D9" s="24">
        <v>600</v>
      </c>
      <c r="E9" s="24">
        <v>120</v>
      </c>
      <c r="F9" s="24">
        <v>520</v>
      </c>
      <c r="G9" s="24" t="s">
        <v>319</v>
      </c>
      <c r="H9" s="24">
        <v>11</v>
      </c>
      <c r="I9" s="24">
        <v>2</v>
      </c>
      <c r="J9" s="148">
        <v>5000</v>
      </c>
      <c r="K9" s="148">
        <v>5000</v>
      </c>
      <c r="L9" s="24">
        <v>25</v>
      </c>
      <c r="M9" s="24" t="s">
        <v>454</v>
      </c>
      <c r="O9" s="31" t="s">
        <v>192</v>
      </c>
      <c r="Q9" s="19"/>
    </row>
    <row r="10" spans="1:18">
      <c r="A10" s="17" t="s">
        <v>512</v>
      </c>
      <c r="B10" s="24" t="s">
        <v>451</v>
      </c>
      <c r="C10" s="148">
        <v>9000</v>
      </c>
      <c r="D10" s="24">
        <v>600</v>
      </c>
      <c r="E10" s="24">
        <v>120</v>
      </c>
      <c r="F10" s="24">
        <v>520</v>
      </c>
      <c r="G10" s="24" t="s">
        <v>319</v>
      </c>
      <c r="H10" s="24">
        <v>11</v>
      </c>
      <c r="I10" s="24">
        <v>2</v>
      </c>
      <c r="J10" s="148">
        <v>6000</v>
      </c>
      <c r="K10" s="148">
        <v>6000</v>
      </c>
      <c r="L10" s="24">
        <v>27.3</v>
      </c>
      <c r="M10" s="24" t="s">
        <v>454</v>
      </c>
      <c r="O10" s="31" t="s">
        <v>192</v>
      </c>
      <c r="Q10" s="19"/>
    </row>
    <row r="11" spans="1:18">
      <c r="A11" s="17" t="s">
        <v>474</v>
      </c>
      <c r="B11" s="24" t="s">
        <v>451</v>
      </c>
      <c r="C11" s="148">
        <v>10500</v>
      </c>
      <c r="D11" s="24">
        <v>600</v>
      </c>
      <c r="E11" s="24">
        <v>120</v>
      </c>
      <c r="F11" s="24">
        <v>520</v>
      </c>
      <c r="G11" s="24" t="s">
        <v>319</v>
      </c>
      <c r="H11" s="24">
        <v>11</v>
      </c>
      <c r="I11" s="24">
        <v>3</v>
      </c>
      <c r="J11" s="148">
        <v>7000</v>
      </c>
      <c r="K11" s="148">
        <v>7700</v>
      </c>
      <c r="L11" s="24">
        <v>35</v>
      </c>
      <c r="M11" s="24" t="s">
        <v>454</v>
      </c>
      <c r="O11" s="31" t="s">
        <v>192</v>
      </c>
      <c r="Q11" s="19"/>
    </row>
    <row r="12" spans="1:18">
      <c r="A12" s="17" t="s">
        <v>513</v>
      </c>
      <c r="B12" s="24" t="s">
        <v>451</v>
      </c>
      <c r="C12" s="148">
        <v>11550</v>
      </c>
      <c r="D12" s="24">
        <v>600</v>
      </c>
      <c r="E12" s="24">
        <v>120</v>
      </c>
      <c r="F12" s="24">
        <v>520</v>
      </c>
      <c r="G12" s="24" t="s">
        <v>319</v>
      </c>
      <c r="H12" s="24">
        <v>12.5</v>
      </c>
      <c r="I12" s="24">
        <v>3</v>
      </c>
      <c r="J12" s="148">
        <v>7700</v>
      </c>
      <c r="K12" s="148">
        <v>7700</v>
      </c>
      <c r="L12" s="24">
        <v>35</v>
      </c>
      <c r="M12" s="24" t="s">
        <v>454</v>
      </c>
      <c r="O12" s="31" t="s">
        <v>192</v>
      </c>
      <c r="Q12" s="19"/>
    </row>
    <row r="13" spans="1:18">
      <c r="A13" s="17" t="s">
        <v>514</v>
      </c>
      <c r="B13" s="24" t="s">
        <v>451</v>
      </c>
      <c r="C13" s="148">
        <v>11900</v>
      </c>
      <c r="D13" s="24">
        <v>600</v>
      </c>
      <c r="E13" s="24">
        <v>120</v>
      </c>
      <c r="F13" s="24">
        <v>500</v>
      </c>
      <c r="G13" s="24" t="s">
        <v>455</v>
      </c>
      <c r="H13" s="24">
        <v>14</v>
      </c>
      <c r="I13" s="24">
        <v>3</v>
      </c>
      <c r="J13" s="148">
        <v>7000</v>
      </c>
      <c r="K13" s="148">
        <v>7700</v>
      </c>
      <c r="L13" s="24">
        <v>33.700000000000003</v>
      </c>
      <c r="M13" s="24" t="s">
        <v>454</v>
      </c>
      <c r="O13" s="31" t="s">
        <v>192</v>
      </c>
      <c r="Q13" s="19"/>
    </row>
    <row r="14" spans="1:18">
      <c r="A14" s="17" t="s">
        <v>515</v>
      </c>
      <c r="B14" s="24" t="s">
        <v>451</v>
      </c>
      <c r="C14" s="148">
        <v>13600</v>
      </c>
      <c r="D14" s="24">
        <v>600</v>
      </c>
      <c r="E14" s="24">
        <v>120</v>
      </c>
      <c r="F14" s="24">
        <v>500</v>
      </c>
      <c r="G14" s="24" t="s">
        <v>455</v>
      </c>
      <c r="H14" s="24">
        <v>14</v>
      </c>
      <c r="I14" s="24">
        <v>3</v>
      </c>
      <c r="J14" s="148">
        <v>8000</v>
      </c>
      <c r="K14" s="148">
        <v>8800</v>
      </c>
      <c r="L14" s="24">
        <v>33.6</v>
      </c>
      <c r="M14" s="24" t="s">
        <v>454</v>
      </c>
      <c r="O14" s="31" t="s">
        <v>192</v>
      </c>
      <c r="Q14" s="19"/>
    </row>
    <row r="15" spans="1:18">
      <c r="A15" s="17" t="s">
        <v>517</v>
      </c>
      <c r="B15" s="24" t="s">
        <v>451</v>
      </c>
      <c r="C15" s="148">
        <v>15300</v>
      </c>
      <c r="D15" s="24">
        <v>600</v>
      </c>
      <c r="E15" s="24">
        <v>120</v>
      </c>
      <c r="F15" s="24">
        <v>500</v>
      </c>
      <c r="G15" s="24" t="s">
        <v>455</v>
      </c>
      <c r="H15" s="24">
        <v>14</v>
      </c>
      <c r="I15" s="24">
        <v>3</v>
      </c>
      <c r="J15" s="148">
        <v>9000</v>
      </c>
      <c r="K15" s="148">
        <v>9900</v>
      </c>
      <c r="L15" s="24">
        <v>41.3</v>
      </c>
      <c r="M15" s="24" t="s">
        <v>454</v>
      </c>
      <c r="O15" s="31" t="s">
        <v>192</v>
      </c>
      <c r="Q15" s="19"/>
    </row>
    <row r="16" spans="1:18">
      <c r="A16" s="17" t="s">
        <v>516</v>
      </c>
      <c r="B16" s="24" t="s">
        <v>451</v>
      </c>
      <c r="C16" s="148">
        <v>17000</v>
      </c>
      <c r="D16" s="24">
        <v>600</v>
      </c>
      <c r="E16" s="24">
        <v>120</v>
      </c>
      <c r="F16" s="24">
        <v>500</v>
      </c>
      <c r="G16" s="24" t="s">
        <v>455</v>
      </c>
      <c r="H16" s="24">
        <v>14</v>
      </c>
      <c r="I16" s="24">
        <v>3</v>
      </c>
      <c r="J16" s="148">
        <v>10000</v>
      </c>
      <c r="K16" s="148">
        <v>10000</v>
      </c>
      <c r="L16" s="24">
        <v>45.9</v>
      </c>
      <c r="M16" s="24" t="s">
        <v>454</v>
      </c>
      <c r="O16" s="31" t="s">
        <v>192</v>
      </c>
      <c r="Q16" s="19"/>
    </row>
    <row r="17" spans="1:18">
      <c r="A17" s="17" t="s">
        <v>574</v>
      </c>
      <c r="B17" s="24" t="s">
        <v>451</v>
      </c>
      <c r="C17" s="148">
        <v>22500</v>
      </c>
      <c r="D17" s="24">
        <v>600</v>
      </c>
      <c r="E17" s="24">
        <v>180</v>
      </c>
      <c r="F17" s="24">
        <v>600</v>
      </c>
      <c r="G17" s="24" t="s">
        <v>533</v>
      </c>
      <c r="H17" s="24">
        <v>32</v>
      </c>
      <c r="I17" s="24">
        <v>4</v>
      </c>
      <c r="J17" s="148">
        <v>15000</v>
      </c>
      <c r="K17" s="148">
        <v>16500</v>
      </c>
      <c r="L17" s="24">
        <v>23.8</v>
      </c>
      <c r="M17" s="24" t="s">
        <v>454</v>
      </c>
      <c r="O17" s="31" t="s">
        <v>192</v>
      </c>
      <c r="Q17" s="19"/>
    </row>
    <row r="18" spans="1:18" s="19" customFormat="1">
      <c r="A18" s="17" t="s">
        <v>519</v>
      </c>
      <c r="B18" s="24" t="s">
        <v>451</v>
      </c>
      <c r="C18" s="148">
        <f>10000*1.5</f>
        <v>15000</v>
      </c>
      <c r="D18" s="24">
        <v>600</v>
      </c>
      <c r="E18" s="24">
        <v>180</v>
      </c>
      <c r="F18" s="24">
        <v>600</v>
      </c>
      <c r="G18" s="24" t="s">
        <v>518</v>
      </c>
      <c r="H18" s="24">
        <v>11</v>
      </c>
      <c r="I18" s="24">
        <v>3</v>
      </c>
      <c r="J18" s="148">
        <v>10000</v>
      </c>
      <c r="K18" s="148">
        <v>11000</v>
      </c>
      <c r="L18" s="24">
        <v>15.9</v>
      </c>
      <c r="M18" s="24" t="s">
        <v>454</v>
      </c>
      <c r="N18" s="24"/>
      <c r="O18" s="31" t="s">
        <v>192</v>
      </c>
      <c r="P18" s="135"/>
    </row>
    <row r="19" spans="1:18">
      <c r="A19" s="17" t="s">
        <v>520</v>
      </c>
      <c r="B19" s="24" t="s">
        <v>451</v>
      </c>
      <c r="C19" s="148">
        <f>12000*1.5</f>
        <v>18000</v>
      </c>
      <c r="D19" s="24">
        <v>600</v>
      </c>
      <c r="E19" s="24">
        <v>180</v>
      </c>
      <c r="F19" s="24">
        <v>600</v>
      </c>
      <c r="G19" s="24" t="s">
        <v>518</v>
      </c>
      <c r="H19" s="24">
        <v>22</v>
      </c>
      <c r="I19" s="24">
        <v>4</v>
      </c>
      <c r="J19" s="148">
        <v>12000</v>
      </c>
      <c r="K19" s="148">
        <v>13200</v>
      </c>
      <c r="L19" s="24">
        <v>19.100000000000001</v>
      </c>
      <c r="M19" s="24" t="s">
        <v>454</v>
      </c>
      <c r="O19" s="31" t="s">
        <v>192</v>
      </c>
      <c r="Q19" s="19"/>
    </row>
    <row r="20" spans="1:18">
      <c r="A20" s="17" t="s">
        <v>521</v>
      </c>
      <c r="B20" s="24" t="s">
        <v>451</v>
      </c>
      <c r="C20" s="148">
        <f>15000*1.5</f>
        <v>22500</v>
      </c>
      <c r="D20" s="24">
        <v>600</v>
      </c>
      <c r="E20" s="24">
        <v>180</v>
      </c>
      <c r="F20" s="24">
        <v>600</v>
      </c>
      <c r="G20" s="24" t="s">
        <v>518</v>
      </c>
      <c r="H20" s="24">
        <v>22</v>
      </c>
      <c r="I20" s="24">
        <v>4</v>
      </c>
      <c r="J20" s="148">
        <v>15000</v>
      </c>
      <c r="K20" s="148">
        <v>16500</v>
      </c>
      <c r="L20" s="24">
        <v>23.8</v>
      </c>
      <c r="M20" s="24" t="s">
        <v>454</v>
      </c>
      <c r="O20" s="31" t="s">
        <v>192</v>
      </c>
      <c r="Q20" s="19"/>
    </row>
    <row r="21" spans="1:18">
      <c r="A21" s="17" t="s">
        <v>522</v>
      </c>
      <c r="B21" s="24" t="s">
        <v>451</v>
      </c>
      <c r="C21" s="148">
        <f>17000*1.5</f>
        <v>25500</v>
      </c>
      <c r="D21" s="24">
        <v>600</v>
      </c>
      <c r="E21" s="24">
        <v>180</v>
      </c>
      <c r="F21" s="24">
        <v>600</v>
      </c>
      <c r="G21" s="24" t="s">
        <v>518</v>
      </c>
      <c r="H21" s="24">
        <v>22</v>
      </c>
      <c r="I21" s="24">
        <v>4</v>
      </c>
      <c r="J21" s="148">
        <v>17000</v>
      </c>
      <c r="K21" s="148">
        <v>18700</v>
      </c>
      <c r="L21" s="24">
        <v>27</v>
      </c>
      <c r="M21" s="24" t="s">
        <v>454</v>
      </c>
      <c r="O21" s="31" t="s">
        <v>192</v>
      </c>
      <c r="Q21" s="19"/>
    </row>
    <row r="22" spans="1:18">
      <c r="A22" s="17" t="s">
        <v>523</v>
      </c>
      <c r="B22" s="24" t="s">
        <v>451</v>
      </c>
      <c r="C22" s="148">
        <f>20000*1.5</f>
        <v>30000</v>
      </c>
      <c r="D22" s="24">
        <v>600</v>
      </c>
      <c r="E22" s="24">
        <v>180</v>
      </c>
      <c r="F22" s="24">
        <v>600</v>
      </c>
      <c r="G22" s="24" t="s">
        <v>518</v>
      </c>
      <c r="H22" s="24">
        <v>22</v>
      </c>
      <c r="I22" s="24">
        <v>4</v>
      </c>
      <c r="J22" s="148">
        <v>20000</v>
      </c>
      <c r="K22" s="148">
        <v>22000</v>
      </c>
      <c r="L22" s="24">
        <v>31.8</v>
      </c>
      <c r="M22" s="24" t="s">
        <v>454</v>
      </c>
      <c r="O22" s="31" t="s">
        <v>192</v>
      </c>
    </row>
    <row r="23" spans="1:18">
      <c r="A23" s="17" t="s">
        <v>524</v>
      </c>
      <c r="B23" s="24" t="s">
        <v>451</v>
      </c>
      <c r="C23" s="148">
        <v>37500</v>
      </c>
      <c r="D23" s="24">
        <v>600</v>
      </c>
      <c r="E23" s="24">
        <v>180</v>
      </c>
      <c r="F23" s="24">
        <v>600</v>
      </c>
      <c r="G23" s="24" t="s">
        <v>266</v>
      </c>
      <c r="H23" s="24">
        <v>26</v>
      </c>
      <c r="I23" s="24">
        <v>3</v>
      </c>
      <c r="J23" s="148">
        <v>25000</v>
      </c>
      <c r="K23" s="148">
        <v>27500</v>
      </c>
      <c r="L23" s="24">
        <v>41.8</v>
      </c>
      <c r="M23" s="24" t="s">
        <v>454</v>
      </c>
      <c r="O23" s="31" t="s">
        <v>192</v>
      </c>
    </row>
    <row r="24" spans="1:18">
      <c r="A24" s="17" t="s">
        <v>525</v>
      </c>
      <c r="B24" s="24" t="s">
        <v>451</v>
      </c>
      <c r="C24" s="148">
        <v>60000</v>
      </c>
      <c r="D24" s="24">
        <v>600</v>
      </c>
      <c r="E24" s="24">
        <v>180</v>
      </c>
      <c r="F24" s="24">
        <v>600</v>
      </c>
      <c r="G24" s="24" t="s">
        <v>266</v>
      </c>
      <c r="H24" s="24">
        <v>26</v>
      </c>
      <c r="I24" s="24">
        <v>2</v>
      </c>
      <c r="J24" s="148">
        <v>40000</v>
      </c>
      <c r="K24" s="148">
        <v>44000</v>
      </c>
      <c r="L24" s="24">
        <v>66.900000000000006</v>
      </c>
      <c r="M24" s="24" t="s">
        <v>454</v>
      </c>
      <c r="O24" s="31" t="s">
        <v>192</v>
      </c>
    </row>
    <row r="25" spans="1:18">
      <c r="A25" s="17" t="s">
        <v>526</v>
      </c>
      <c r="B25" s="24" t="s">
        <v>451</v>
      </c>
      <c r="C25" s="148">
        <v>75000</v>
      </c>
      <c r="D25" s="24">
        <v>600</v>
      </c>
      <c r="E25" s="24">
        <v>200</v>
      </c>
      <c r="F25" s="24">
        <v>600</v>
      </c>
      <c r="G25" s="24" t="s">
        <v>266</v>
      </c>
      <c r="H25" s="172">
        <v>28.5</v>
      </c>
      <c r="I25" s="24">
        <v>4</v>
      </c>
      <c r="J25" s="148">
        <v>50000</v>
      </c>
      <c r="K25" s="148">
        <v>55000</v>
      </c>
      <c r="L25" s="24">
        <v>83.3</v>
      </c>
      <c r="M25" s="24" t="s">
        <v>454</v>
      </c>
      <c r="O25" s="31" t="s">
        <v>192</v>
      </c>
    </row>
    <row r="26" spans="1:18">
      <c r="A26" s="17" t="s">
        <v>532</v>
      </c>
      <c r="B26" s="24" t="s">
        <v>451</v>
      </c>
      <c r="C26" s="148">
        <v>126000</v>
      </c>
      <c r="D26" s="24">
        <v>600</v>
      </c>
      <c r="E26" s="24">
        <v>195</v>
      </c>
      <c r="F26" s="24">
        <v>600</v>
      </c>
      <c r="G26" s="24" t="s">
        <v>533</v>
      </c>
      <c r="H26" s="172">
        <v>26</v>
      </c>
      <c r="I26" s="24">
        <v>2</v>
      </c>
      <c r="J26" s="148">
        <v>75000</v>
      </c>
      <c r="K26" s="148">
        <v>75000</v>
      </c>
      <c r="L26" s="24">
        <v>114</v>
      </c>
      <c r="M26" s="24" t="s">
        <v>454</v>
      </c>
      <c r="O26" s="31" t="s">
        <v>192</v>
      </c>
    </row>
    <row r="27" spans="1:18">
      <c r="A27" s="17" t="s">
        <v>527</v>
      </c>
      <c r="B27" s="24" t="s">
        <v>457</v>
      </c>
      <c r="C27" s="148">
        <v>6500</v>
      </c>
      <c r="D27" s="24">
        <v>600</v>
      </c>
      <c r="E27" s="24">
        <v>80</v>
      </c>
      <c r="F27" s="24">
        <v>600</v>
      </c>
      <c r="G27" s="24" t="s">
        <v>528</v>
      </c>
      <c r="H27" s="172">
        <v>11</v>
      </c>
      <c r="I27" s="24">
        <v>1</v>
      </c>
      <c r="J27" s="148">
        <v>6000</v>
      </c>
      <c r="K27" s="148">
        <v>6000</v>
      </c>
      <c r="L27" s="24">
        <v>27.3</v>
      </c>
      <c r="M27" s="24" t="s">
        <v>529</v>
      </c>
      <c r="O27" s="31" t="s">
        <v>192</v>
      </c>
      <c r="R27" s="24">
        <v>2</v>
      </c>
    </row>
    <row r="28" spans="1:18">
      <c r="A28" s="24" t="s">
        <v>602</v>
      </c>
      <c r="B28" s="24" t="s">
        <v>603</v>
      </c>
      <c r="C28" s="24">
        <v>2000</v>
      </c>
      <c r="D28" s="24">
        <v>60</v>
      </c>
      <c r="E28" s="24">
        <v>20</v>
      </c>
      <c r="F28" s="24">
        <v>55</v>
      </c>
      <c r="G28" s="172" t="s">
        <v>604</v>
      </c>
      <c r="H28" s="24">
        <v>13</v>
      </c>
      <c r="I28" s="24">
        <v>1</v>
      </c>
      <c r="J28" s="24">
        <v>2000</v>
      </c>
      <c r="K28" s="24">
        <v>2000</v>
      </c>
      <c r="L28" s="24">
        <v>9.1</v>
      </c>
      <c r="M28" s="24" t="s">
        <v>605</v>
      </c>
      <c r="O28" s="31" t="s">
        <v>192</v>
      </c>
    </row>
    <row r="29" spans="1:18">
      <c r="A29" s="24" t="s">
        <v>618</v>
      </c>
      <c r="B29" s="24" t="s">
        <v>451</v>
      </c>
      <c r="C29" s="148">
        <v>63800</v>
      </c>
      <c r="D29" s="24">
        <v>1100</v>
      </c>
      <c r="E29" s="24">
        <v>200</v>
      </c>
      <c r="F29" s="24">
        <v>1000</v>
      </c>
      <c r="G29" s="24" t="s">
        <v>266</v>
      </c>
      <c r="H29" s="24">
        <v>32</v>
      </c>
      <c r="I29" s="24">
        <v>4</v>
      </c>
      <c r="J29" s="148">
        <v>37500</v>
      </c>
      <c r="K29" s="148">
        <v>37500</v>
      </c>
      <c r="L29" s="24">
        <v>57</v>
      </c>
      <c r="M29" s="24" t="s">
        <v>619</v>
      </c>
      <c r="O29" s="31" t="s">
        <v>620</v>
      </c>
      <c r="Q29" s="19"/>
      <c r="R29" s="24">
        <v>4</v>
      </c>
    </row>
    <row r="30" spans="1:18">
      <c r="A30" s="24" t="s">
        <v>509</v>
      </c>
      <c r="B30" s="24" t="s">
        <v>451</v>
      </c>
      <c r="Q30" s="19"/>
    </row>
    <row r="31" spans="1:18">
      <c r="A31" s="24" t="s">
        <v>637</v>
      </c>
      <c r="B31" s="24" t="s">
        <v>447</v>
      </c>
    </row>
    <row r="32" spans="1:18">
      <c r="A32" s="24" t="s">
        <v>654</v>
      </c>
    </row>
    <row r="34" spans="1:17">
      <c r="A34" s="31"/>
      <c r="B34" s="31"/>
      <c r="C34" s="39"/>
      <c r="D34" s="39"/>
      <c r="E34" s="39"/>
      <c r="F34" s="39"/>
      <c r="G34" s="31"/>
      <c r="H34" s="31"/>
      <c r="I34" s="31"/>
      <c r="J34" s="39"/>
      <c r="K34" s="39"/>
      <c r="L34" s="53"/>
      <c r="M34" s="31"/>
      <c r="N34" s="40"/>
      <c r="O34" s="31"/>
    </row>
    <row r="35" spans="1:17">
      <c r="A35" s="31"/>
      <c r="B35" s="31"/>
      <c r="C35" s="39"/>
      <c r="D35" s="39"/>
      <c r="E35" s="39"/>
      <c r="F35" s="39"/>
      <c r="G35" s="31"/>
      <c r="H35" s="31"/>
      <c r="I35" s="31"/>
      <c r="J35" s="39"/>
      <c r="K35" s="39"/>
      <c r="L35" s="53"/>
      <c r="M35" s="31"/>
      <c r="N35" s="40"/>
      <c r="O35" s="31"/>
    </row>
    <row r="36" spans="1:17">
      <c r="A36" s="31"/>
      <c r="B36" s="31"/>
      <c r="C36" s="39"/>
      <c r="D36" s="39"/>
      <c r="E36" s="39"/>
      <c r="F36" s="171"/>
      <c r="G36" s="31"/>
      <c r="H36" s="31"/>
      <c r="I36" s="31"/>
      <c r="J36" s="39"/>
      <c r="K36" s="39"/>
      <c r="L36" s="53"/>
      <c r="M36" s="31"/>
      <c r="N36" s="40"/>
      <c r="O36" s="31"/>
    </row>
    <row r="37" spans="1:17">
      <c r="A37" s="31"/>
      <c r="B37" s="31"/>
      <c r="C37" s="39"/>
      <c r="D37" s="39"/>
      <c r="E37" s="39"/>
      <c r="F37" s="39"/>
      <c r="G37" s="31"/>
      <c r="H37" s="31"/>
      <c r="I37" s="31"/>
      <c r="J37" s="39"/>
      <c r="K37" s="39"/>
      <c r="L37" s="53"/>
      <c r="M37" s="31"/>
      <c r="N37" s="40"/>
      <c r="O37" s="31"/>
    </row>
    <row r="38" spans="1:17">
      <c r="A38" s="31"/>
      <c r="B38" s="31"/>
      <c r="C38" s="39"/>
      <c r="D38" s="39"/>
      <c r="E38" s="39"/>
      <c r="F38" s="39"/>
      <c r="G38" s="31"/>
      <c r="H38" s="31"/>
      <c r="I38" s="31"/>
      <c r="J38" s="39"/>
      <c r="K38" s="39"/>
      <c r="L38" s="53"/>
      <c r="M38" s="31"/>
      <c r="N38" s="40"/>
      <c r="O38" s="31"/>
    </row>
    <row r="39" spans="1:17">
      <c r="A39" s="31"/>
      <c r="B39" s="31"/>
      <c r="C39" s="39"/>
      <c r="D39" s="39"/>
      <c r="E39" s="39"/>
      <c r="F39" s="39"/>
      <c r="G39" s="31"/>
      <c r="H39" s="31"/>
      <c r="I39" s="31"/>
      <c r="J39" s="39"/>
      <c r="K39" s="39"/>
      <c r="L39" s="53"/>
      <c r="M39" s="31"/>
      <c r="N39" s="40"/>
      <c r="O39" s="31"/>
    </row>
    <row r="40" spans="1:17">
      <c r="A40" s="58"/>
      <c r="B40" s="58"/>
      <c r="C40" s="58"/>
      <c r="D40" s="58"/>
      <c r="E40" s="58"/>
      <c r="F40" s="58"/>
      <c r="G40" s="58"/>
      <c r="H40" s="134"/>
      <c r="I40" s="58"/>
      <c r="J40" s="31"/>
      <c r="K40" s="31"/>
      <c r="L40" s="31"/>
      <c r="M40" s="31"/>
      <c r="N40" s="40"/>
      <c r="O40" s="31"/>
    </row>
    <row r="41" spans="1:17">
      <c r="A41" s="133"/>
      <c r="B41" s="58"/>
      <c r="C41" s="58"/>
      <c r="D41" s="58"/>
      <c r="E41" s="58"/>
      <c r="F41" s="58"/>
      <c r="G41" s="58"/>
      <c r="H41" s="31"/>
      <c r="I41" s="58"/>
      <c r="J41" s="39"/>
      <c r="K41" s="39"/>
      <c r="L41" s="31"/>
      <c r="M41" s="31"/>
      <c r="N41" s="40"/>
      <c r="O41" s="31"/>
    </row>
    <row r="42" spans="1:17">
      <c r="A42" s="58"/>
      <c r="B42" s="58"/>
      <c r="C42" s="130"/>
      <c r="D42" s="130"/>
      <c r="E42" s="130"/>
      <c r="F42" s="130"/>
      <c r="G42" s="58"/>
      <c r="H42" s="31"/>
      <c r="I42" s="58"/>
      <c r="J42" s="130"/>
      <c r="K42" s="130"/>
      <c r="L42" s="59"/>
      <c r="M42" s="31"/>
      <c r="N42" s="132"/>
      <c r="O42" s="31"/>
    </row>
    <row r="43" spans="1:17">
      <c r="A43" s="133"/>
      <c r="B43" s="58"/>
      <c r="C43" s="58"/>
      <c r="D43" s="58"/>
      <c r="E43" s="58"/>
      <c r="F43" s="58"/>
      <c r="G43" s="58"/>
      <c r="H43" s="134"/>
      <c r="I43" s="58"/>
      <c r="J43" s="130"/>
      <c r="K43" s="130"/>
      <c r="L43" s="58"/>
      <c r="M43" s="58"/>
      <c r="N43" s="132"/>
      <c r="O43" s="31"/>
    </row>
    <row r="44" spans="1:17">
      <c r="A44" s="58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131"/>
      <c r="O44" s="31"/>
      <c r="Q44" s="19"/>
    </row>
    <row r="45" spans="1:17">
      <c r="J45" s="148"/>
      <c r="K45" s="148"/>
      <c r="O45" s="31"/>
    </row>
  </sheetData>
  <autoFilter ref="A3:P39">
    <sortState ref="A4:P33">
      <sortCondition ref="B3:B28"/>
    </sortState>
  </autoFilter>
  <conditionalFormatting sqref="J43 J45:J46 J34:J39 J7:J26">
    <cfRule type="cellIs" dxfId="8" priority="13" operator="greaterThanOrEqual">
      <formula>10000</formula>
    </cfRule>
  </conditionalFormatting>
  <conditionalFormatting sqref="J41">
    <cfRule type="cellIs" dxfId="7" priority="12" operator="greaterThanOrEqual">
      <formula>10000</formula>
    </cfRule>
  </conditionalFormatting>
  <conditionalFormatting sqref="J40">
    <cfRule type="cellIs" dxfId="6" priority="11" operator="greaterThanOrEqual">
      <formula>10000</formula>
    </cfRule>
  </conditionalFormatting>
  <conditionalFormatting sqref="J42">
    <cfRule type="cellIs" dxfId="5" priority="10" operator="greaterThanOrEqual">
      <formula>10000</formula>
    </cfRule>
  </conditionalFormatting>
  <conditionalFormatting sqref="J44">
    <cfRule type="cellIs" dxfId="4" priority="9" operator="greaterThanOrEqual">
      <formula>10000</formula>
    </cfRule>
  </conditionalFormatting>
  <conditionalFormatting sqref="K7">
    <cfRule type="cellIs" dxfId="3" priority="5" operator="greaterThanOrEqual">
      <formula>10000</formula>
    </cfRule>
  </conditionalFormatting>
  <conditionalFormatting sqref="J4:J5">
    <cfRule type="cellIs" dxfId="2" priority="4" operator="greaterThanOrEqual">
      <formula>10000</formula>
    </cfRule>
  </conditionalFormatting>
  <conditionalFormatting sqref="K4:K5">
    <cfRule type="cellIs" dxfId="1" priority="3" operator="greaterThanOrEqual">
      <formula>10000</formula>
    </cfRule>
  </conditionalFormatting>
  <conditionalFormatting sqref="J6">
    <cfRule type="cellIs" dxfId="0" priority="1" operator="greaterThanOrEqual">
      <formula>10000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U29"/>
  <sheetViews>
    <sheetView zoomScale="70" zoomScaleNormal="70" workbookViewId="0">
      <selection activeCell="Q36" sqref="Q36"/>
    </sheetView>
  </sheetViews>
  <sheetFormatPr defaultColWidth="8.85546875" defaultRowHeight="15"/>
  <cols>
    <col min="1" max="1" width="1.7109375" style="24" customWidth="1"/>
    <col min="2" max="2" width="24.7109375" style="24" bestFit="1" customWidth="1"/>
    <col min="3" max="3" width="13.42578125" style="24" customWidth="1"/>
    <col min="4" max="8" width="10.28515625" style="24" customWidth="1"/>
    <col min="9" max="9" width="9.28515625" style="24" customWidth="1"/>
    <col min="10" max="10" width="15.28515625" style="24" bestFit="1" customWidth="1"/>
    <col min="11" max="11" width="11" style="24" customWidth="1"/>
    <col min="12" max="12" width="10.28515625" style="24" customWidth="1"/>
    <col min="13" max="13" width="11.28515625" style="24" customWidth="1"/>
    <col min="14" max="14" width="11.42578125" style="24" bestFit="1" customWidth="1"/>
    <col min="15" max="15" width="11" style="24" customWidth="1"/>
    <col min="16" max="16" width="10.28515625" style="24" customWidth="1"/>
    <col min="17" max="17" width="14.42578125" style="24" bestFit="1" customWidth="1"/>
    <col min="18" max="18" width="9" style="24" customWidth="1"/>
    <col min="19" max="16384" width="8.85546875" style="24"/>
  </cols>
  <sheetData>
    <row r="1" spans="2:21" s="21" customFormat="1" ht="9.6" customHeight="1">
      <c r="B1" s="21">
        <v>1</v>
      </c>
      <c r="C1" s="21">
        <v>2</v>
      </c>
      <c r="D1" s="21">
        <v>3</v>
      </c>
      <c r="E1" s="21">
        <v>4</v>
      </c>
      <c r="F1" s="21">
        <v>5</v>
      </c>
      <c r="G1" s="21">
        <v>6</v>
      </c>
      <c r="H1" s="21">
        <v>7</v>
      </c>
      <c r="I1" s="21">
        <v>8</v>
      </c>
      <c r="J1" s="21">
        <v>9</v>
      </c>
      <c r="K1" s="21">
        <v>10</v>
      </c>
      <c r="L1" s="21">
        <v>11</v>
      </c>
      <c r="M1" s="21">
        <v>12</v>
      </c>
      <c r="N1" s="21">
        <v>13</v>
      </c>
      <c r="O1" s="21">
        <v>14</v>
      </c>
      <c r="P1" s="21">
        <v>15</v>
      </c>
      <c r="Q1" s="21">
        <v>16</v>
      </c>
      <c r="R1" s="21">
        <v>17</v>
      </c>
      <c r="S1" s="21">
        <v>18</v>
      </c>
    </row>
    <row r="2" spans="2:21" ht="86.45" customHeight="1">
      <c r="B2" s="22"/>
      <c r="C2" s="22"/>
      <c r="D2" s="28" t="s">
        <v>193</v>
      </c>
      <c r="E2" s="28" t="s">
        <v>194</v>
      </c>
      <c r="F2" s="28" t="s">
        <v>463</v>
      </c>
      <c r="G2" s="28" t="s">
        <v>195</v>
      </c>
      <c r="H2" s="28" t="s">
        <v>234</v>
      </c>
      <c r="I2" s="28" t="s">
        <v>180</v>
      </c>
      <c r="J2" s="28" t="s">
        <v>197</v>
      </c>
      <c r="K2" s="28" t="s">
        <v>198</v>
      </c>
      <c r="L2" s="28" t="s">
        <v>196</v>
      </c>
      <c r="M2" s="28" t="s">
        <v>199</v>
      </c>
      <c r="N2" s="22" t="s">
        <v>216</v>
      </c>
      <c r="O2" s="22" t="s">
        <v>178</v>
      </c>
      <c r="P2" s="28" t="s">
        <v>179</v>
      </c>
      <c r="Q2" s="22" t="s">
        <v>181</v>
      </c>
      <c r="R2" s="23" t="s">
        <v>182</v>
      </c>
      <c r="S2" s="34"/>
    </row>
    <row r="3" spans="2:21">
      <c r="B3" s="25" t="s">
        <v>508</v>
      </c>
      <c r="C3" s="25" t="s">
        <v>456</v>
      </c>
      <c r="D3" s="25">
        <v>510</v>
      </c>
      <c r="E3" s="26">
        <v>43.2</v>
      </c>
      <c r="F3" s="38">
        <v>11.81</v>
      </c>
      <c r="G3" s="26">
        <v>52.1</v>
      </c>
      <c r="H3" s="38">
        <v>12.42</v>
      </c>
      <c r="I3" s="29">
        <v>0.21199999999999999</v>
      </c>
      <c r="J3" s="35" t="s">
        <v>205</v>
      </c>
      <c r="K3" s="27" t="s">
        <v>209</v>
      </c>
      <c r="L3" s="25">
        <v>30</v>
      </c>
      <c r="M3" s="27" t="s">
        <v>206</v>
      </c>
      <c r="N3" s="57">
        <v>2.1869999999999998</v>
      </c>
      <c r="O3" s="25">
        <v>1.1020000000000001</v>
      </c>
      <c r="P3" s="57">
        <f>+N3*O3</f>
        <v>2.4100739999999998</v>
      </c>
      <c r="Q3" s="25" t="s">
        <v>213</v>
      </c>
      <c r="R3" s="25">
        <v>150</v>
      </c>
      <c r="S3" s="25"/>
    </row>
    <row r="4" spans="2:21">
      <c r="B4" s="25" t="s">
        <v>460</v>
      </c>
      <c r="C4" s="25" t="s">
        <v>185</v>
      </c>
      <c r="D4" s="25">
        <v>440</v>
      </c>
      <c r="E4" s="26">
        <v>40.700000000000003</v>
      </c>
      <c r="F4" s="38">
        <v>10.82</v>
      </c>
      <c r="G4" s="26">
        <v>40.700000000000003</v>
      </c>
      <c r="H4" s="38" t="s">
        <v>462</v>
      </c>
      <c r="I4" s="29">
        <v>0.1865</v>
      </c>
      <c r="J4" s="35" t="s">
        <v>205</v>
      </c>
      <c r="K4" s="27" t="s">
        <v>209</v>
      </c>
      <c r="L4" s="36">
        <v>30</v>
      </c>
      <c r="M4" s="27" t="s">
        <v>206</v>
      </c>
      <c r="N4" s="37">
        <v>2.1080000000000001</v>
      </c>
      <c r="O4" s="37">
        <v>1.048</v>
      </c>
      <c r="P4" s="37">
        <f t="shared" ref="P4:P27" si="0">+N4*O4</f>
        <v>2.209184</v>
      </c>
      <c r="Q4" s="25" t="s">
        <v>213</v>
      </c>
      <c r="R4" s="25">
        <v>144</v>
      </c>
      <c r="S4" s="25"/>
    </row>
    <row r="5" spans="2:21">
      <c r="B5" s="25" t="s">
        <v>461</v>
      </c>
      <c r="C5" s="25" t="s">
        <v>185</v>
      </c>
      <c r="D5" s="25">
        <v>450</v>
      </c>
      <c r="E5" s="26">
        <v>41.1</v>
      </c>
      <c r="F5" s="38">
        <v>10.96</v>
      </c>
      <c r="G5" s="26">
        <v>49.1</v>
      </c>
      <c r="H5" s="38">
        <v>11.6</v>
      </c>
      <c r="I5" s="29">
        <v>0.20399999999999999</v>
      </c>
      <c r="J5" s="35" t="s">
        <v>205</v>
      </c>
      <c r="K5" s="27" t="s">
        <v>209</v>
      </c>
      <c r="L5" s="36">
        <v>30</v>
      </c>
      <c r="M5" s="27" t="s">
        <v>206</v>
      </c>
      <c r="N5" s="37">
        <v>2.1080000000000001</v>
      </c>
      <c r="O5" s="37">
        <v>1.048</v>
      </c>
      <c r="P5" s="37">
        <f t="shared" si="0"/>
        <v>2.209184</v>
      </c>
      <c r="Q5" s="25" t="s">
        <v>213</v>
      </c>
      <c r="R5" s="25">
        <v>144</v>
      </c>
      <c r="S5" s="25"/>
    </row>
    <row r="6" spans="2:21">
      <c r="B6" s="25" t="s">
        <v>556</v>
      </c>
      <c r="C6" s="25" t="s">
        <v>185</v>
      </c>
      <c r="D6" s="196">
        <v>455</v>
      </c>
      <c r="E6" s="136">
        <v>41.3</v>
      </c>
      <c r="F6" s="137">
        <v>11.02</v>
      </c>
      <c r="G6" s="136">
        <v>41.3</v>
      </c>
      <c r="H6" s="137">
        <v>11.66</v>
      </c>
      <c r="I6" s="138">
        <v>0.19409999999999999</v>
      </c>
      <c r="J6" s="35" t="s">
        <v>205</v>
      </c>
      <c r="K6" s="27" t="s">
        <v>209</v>
      </c>
      <c r="L6" s="139">
        <v>30</v>
      </c>
      <c r="M6" s="27" t="s">
        <v>206</v>
      </c>
      <c r="N6" s="37">
        <v>2.1080000000000001</v>
      </c>
      <c r="O6" s="37">
        <v>1.048</v>
      </c>
      <c r="P6" s="140">
        <f t="shared" si="0"/>
        <v>2.209184</v>
      </c>
      <c r="Q6" s="25" t="s">
        <v>213</v>
      </c>
      <c r="R6" s="25">
        <v>144</v>
      </c>
      <c r="S6" s="25"/>
    </row>
    <row r="7" spans="2:21">
      <c r="B7" s="25" t="s">
        <v>557</v>
      </c>
      <c r="C7" s="25" t="s">
        <v>185</v>
      </c>
      <c r="D7" s="25">
        <v>545</v>
      </c>
      <c r="E7" s="181">
        <v>41.5</v>
      </c>
      <c r="F7" s="182">
        <v>13.14</v>
      </c>
      <c r="G7" s="181">
        <v>49.4</v>
      </c>
      <c r="H7" s="182">
        <v>13.95</v>
      </c>
      <c r="I7" s="183">
        <v>0.21299999999999999</v>
      </c>
      <c r="J7" s="184" t="s">
        <v>205</v>
      </c>
      <c r="K7" s="185" t="s">
        <v>233</v>
      </c>
      <c r="L7" s="186">
        <v>25</v>
      </c>
      <c r="M7" s="185" t="s">
        <v>558</v>
      </c>
      <c r="N7" s="187">
        <v>2.2610000000000001</v>
      </c>
      <c r="O7" s="187">
        <v>1.1339999999999999</v>
      </c>
      <c r="P7" s="187">
        <f t="shared" ref="P7" si="1">+N7*O7</f>
        <v>2.563974</v>
      </c>
      <c r="Q7" s="179" t="s">
        <v>213</v>
      </c>
      <c r="R7" s="179">
        <v>144</v>
      </c>
      <c r="S7" s="25"/>
    </row>
    <row r="8" spans="2:21" s="180" customFormat="1">
      <c r="B8" s="179" t="s">
        <v>495</v>
      </c>
      <c r="C8" s="180" t="s">
        <v>494</v>
      </c>
      <c r="D8" s="179">
        <v>535</v>
      </c>
      <c r="E8" s="181">
        <v>37.200000000000003</v>
      </c>
      <c r="F8" s="182">
        <v>8.8800000000000008</v>
      </c>
      <c r="G8" s="181">
        <v>45.6</v>
      </c>
      <c r="H8" s="182">
        <v>9.4499999999999993</v>
      </c>
      <c r="I8" s="183">
        <v>0.16969999999999999</v>
      </c>
      <c r="J8" s="184" t="s">
        <v>205</v>
      </c>
      <c r="K8" s="185" t="s">
        <v>209</v>
      </c>
      <c r="L8" s="186">
        <v>15</v>
      </c>
      <c r="M8" s="185" t="s">
        <v>206</v>
      </c>
      <c r="N8" s="187">
        <v>2.2279</v>
      </c>
      <c r="O8" s="187">
        <v>1.1339999999999999</v>
      </c>
      <c r="P8" s="187">
        <f t="shared" si="0"/>
        <v>2.5264385999999996</v>
      </c>
      <c r="Q8" s="179" t="s">
        <v>213</v>
      </c>
      <c r="R8" s="179">
        <v>144</v>
      </c>
      <c r="S8" s="179"/>
    </row>
    <row r="9" spans="2:21">
      <c r="B9" s="25" t="s">
        <v>598</v>
      </c>
      <c r="C9" s="25" t="s">
        <v>464</v>
      </c>
      <c r="D9" s="25">
        <v>550</v>
      </c>
      <c r="E9" s="26">
        <v>41.96</v>
      </c>
      <c r="F9" s="38">
        <v>13.11</v>
      </c>
      <c r="G9" s="26">
        <v>49.9</v>
      </c>
      <c r="H9" s="38">
        <v>14</v>
      </c>
      <c r="I9" s="29">
        <v>0.21299999999999999</v>
      </c>
      <c r="J9" s="35" t="s">
        <v>205</v>
      </c>
      <c r="K9" s="27" t="s">
        <v>233</v>
      </c>
      <c r="L9" s="36">
        <v>25</v>
      </c>
      <c r="M9" s="27" t="s">
        <v>206</v>
      </c>
      <c r="N9" s="37">
        <v>2.2789999999999999</v>
      </c>
      <c r="O9" s="37">
        <v>1.1339999999999999</v>
      </c>
      <c r="P9" s="37">
        <f t="shared" si="0"/>
        <v>2.5843859999999999</v>
      </c>
      <c r="Q9" s="25" t="s">
        <v>213</v>
      </c>
      <c r="R9" s="25">
        <v>144</v>
      </c>
      <c r="S9" s="25"/>
    </row>
    <row r="10" spans="2:21">
      <c r="B10" s="25" t="s">
        <v>600</v>
      </c>
      <c r="C10" s="25" t="s">
        <v>464</v>
      </c>
      <c r="D10" s="25">
        <v>460</v>
      </c>
      <c r="E10" s="26">
        <v>35.11</v>
      </c>
      <c r="F10" s="38">
        <v>13.11</v>
      </c>
      <c r="G10" s="26">
        <v>41.8</v>
      </c>
      <c r="H10" s="38">
        <v>13.93</v>
      </c>
      <c r="I10" s="29">
        <v>0.21299999999999999</v>
      </c>
      <c r="J10" s="35" t="s">
        <v>205</v>
      </c>
      <c r="K10" s="27" t="s">
        <v>233</v>
      </c>
      <c r="L10" s="36">
        <v>25</v>
      </c>
      <c r="M10" s="27" t="s">
        <v>206</v>
      </c>
      <c r="N10" s="37">
        <v>1.903</v>
      </c>
      <c r="O10" s="37">
        <v>1.1339999999999999</v>
      </c>
      <c r="P10" s="37">
        <f t="shared" ref="P10" si="2">+N10*O10</f>
        <v>2.1580019999999998</v>
      </c>
      <c r="Q10" s="25" t="s">
        <v>213</v>
      </c>
      <c r="R10" s="25">
        <v>120</v>
      </c>
      <c r="S10" s="25"/>
    </row>
    <row r="11" spans="2:21">
      <c r="B11" s="25" t="s">
        <v>599</v>
      </c>
      <c r="C11" s="25" t="s">
        <v>464</v>
      </c>
      <c r="D11" s="25">
        <v>455</v>
      </c>
      <c r="E11" s="26">
        <v>41.73</v>
      </c>
      <c r="F11" s="38">
        <v>10.93</v>
      </c>
      <c r="G11" s="26">
        <v>49.5</v>
      </c>
      <c r="H11" s="38">
        <v>11.65</v>
      </c>
      <c r="I11" s="29">
        <v>0.20899999999999999</v>
      </c>
      <c r="J11" s="35" t="s">
        <v>205</v>
      </c>
      <c r="K11" s="27" t="s">
        <v>233</v>
      </c>
      <c r="L11" s="36">
        <v>15</v>
      </c>
      <c r="M11" s="27" t="s">
        <v>206</v>
      </c>
      <c r="N11" s="37">
        <v>2.0939999999999999</v>
      </c>
      <c r="O11" s="37">
        <v>1.0389999999999999</v>
      </c>
      <c r="P11" s="37">
        <f>+N11*O11</f>
        <v>2.1756659999999997</v>
      </c>
      <c r="Q11" s="25" t="s">
        <v>213</v>
      </c>
      <c r="R11" s="25">
        <v>144</v>
      </c>
      <c r="S11" s="25"/>
    </row>
    <row r="12" spans="2:21">
      <c r="B12" s="25" t="s">
        <v>559</v>
      </c>
      <c r="C12" s="25" t="s">
        <v>237</v>
      </c>
      <c r="D12" s="25">
        <v>450</v>
      </c>
      <c r="E12" s="26">
        <v>41.58</v>
      </c>
      <c r="F12" s="38">
        <v>10.84</v>
      </c>
      <c r="G12" s="26">
        <v>49.59</v>
      </c>
      <c r="H12" s="38">
        <v>11.64</v>
      </c>
      <c r="I12" s="29">
        <v>0.20669999999999999</v>
      </c>
      <c r="J12" s="35" t="s">
        <v>205</v>
      </c>
      <c r="K12" s="27" t="s">
        <v>233</v>
      </c>
      <c r="L12" s="36">
        <v>20</v>
      </c>
      <c r="M12" s="27" t="s">
        <v>206</v>
      </c>
      <c r="N12" s="37">
        <v>2.0939999999999999</v>
      </c>
      <c r="O12" s="37">
        <v>1.038</v>
      </c>
      <c r="P12" s="37">
        <f>+N12*O12</f>
        <v>2.1735720000000001</v>
      </c>
      <c r="Q12" s="25" t="s">
        <v>213</v>
      </c>
      <c r="R12" s="25">
        <v>144</v>
      </c>
      <c r="S12" s="25"/>
    </row>
    <row r="13" spans="2:21" s="189" customFormat="1">
      <c r="B13" s="179" t="s">
        <v>530</v>
      </c>
      <c r="C13" s="179" t="s">
        <v>237</v>
      </c>
      <c r="D13" s="179">
        <v>530</v>
      </c>
      <c r="E13" s="181">
        <v>41.61</v>
      </c>
      <c r="F13" s="182">
        <v>12.74</v>
      </c>
      <c r="G13" s="181">
        <v>49.12</v>
      </c>
      <c r="H13" s="182">
        <v>13.45</v>
      </c>
      <c r="I13" s="183">
        <v>0.20710000000000001</v>
      </c>
      <c r="J13" s="184" t="s">
        <v>205</v>
      </c>
      <c r="K13" s="185" t="s">
        <v>233</v>
      </c>
      <c r="L13" s="186">
        <v>25</v>
      </c>
      <c r="M13" s="185" t="s">
        <v>206</v>
      </c>
      <c r="N13" s="187">
        <v>2.2559999999999998</v>
      </c>
      <c r="O13" s="187">
        <v>1.133</v>
      </c>
      <c r="P13" s="187">
        <f t="shared" si="0"/>
        <v>2.5560479999999997</v>
      </c>
      <c r="Q13" s="179" t="s">
        <v>213</v>
      </c>
      <c r="R13" s="179">
        <v>144</v>
      </c>
      <c r="S13" s="188"/>
    </row>
    <row r="14" spans="2:21" s="180" customFormat="1">
      <c r="B14" s="180" t="s">
        <v>593</v>
      </c>
      <c r="C14" s="180" t="s">
        <v>531</v>
      </c>
      <c r="D14" s="180">
        <v>460</v>
      </c>
      <c r="E14" s="180">
        <v>52.8</v>
      </c>
      <c r="F14" s="180">
        <v>8.7100000000000009</v>
      </c>
      <c r="G14" s="180">
        <v>62.4</v>
      </c>
      <c r="H14" s="180">
        <v>9.31</v>
      </c>
      <c r="I14" s="190">
        <v>0.21299999999999999</v>
      </c>
      <c r="J14" s="184" t="s">
        <v>205</v>
      </c>
      <c r="K14" s="180" t="s">
        <v>233</v>
      </c>
      <c r="L14" s="180">
        <v>20</v>
      </c>
      <c r="M14" s="185" t="s">
        <v>206</v>
      </c>
      <c r="N14" s="180">
        <v>1.903</v>
      </c>
      <c r="O14" s="180">
        <v>1.1339999999999999</v>
      </c>
      <c r="P14" s="180">
        <f t="shared" si="0"/>
        <v>2.1580019999999998</v>
      </c>
      <c r="Q14" s="180" t="s">
        <v>213</v>
      </c>
      <c r="R14" s="180">
        <v>180</v>
      </c>
      <c r="S14" s="179"/>
      <c r="U14" s="191" t="s">
        <v>235</v>
      </c>
    </row>
    <row r="15" spans="2:21" s="180" customFormat="1">
      <c r="B15" s="180" t="s">
        <v>592</v>
      </c>
      <c r="C15" s="180" t="s">
        <v>531</v>
      </c>
      <c r="D15" s="180">
        <v>460</v>
      </c>
      <c r="E15" s="179">
        <v>35.5</v>
      </c>
      <c r="F15" s="179">
        <v>12.97</v>
      </c>
      <c r="G15" s="179">
        <v>42</v>
      </c>
      <c r="H15" s="179">
        <v>13.78</v>
      </c>
      <c r="I15" s="192">
        <v>0.21240000000000001</v>
      </c>
      <c r="J15" s="184" t="s">
        <v>205</v>
      </c>
      <c r="K15" s="179" t="s">
        <v>233</v>
      </c>
      <c r="L15" s="179">
        <v>25</v>
      </c>
      <c r="M15" s="185" t="s">
        <v>206</v>
      </c>
      <c r="N15" s="179">
        <v>1.91</v>
      </c>
      <c r="O15" s="179">
        <v>1.1339999999999999</v>
      </c>
      <c r="P15" s="179">
        <f t="shared" si="0"/>
        <v>2.1659399999999995</v>
      </c>
      <c r="Q15" s="179" t="s">
        <v>213</v>
      </c>
      <c r="R15" s="179">
        <v>120</v>
      </c>
      <c r="S15" s="179"/>
    </row>
    <row r="16" spans="2:21" s="180" customFormat="1">
      <c r="B16" s="180" t="s">
        <v>573</v>
      </c>
      <c r="C16" s="180" t="s">
        <v>531</v>
      </c>
      <c r="D16" s="180">
        <v>550</v>
      </c>
      <c r="E16" s="217">
        <v>42.4</v>
      </c>
      <c r="F16" s="217">
        <v>12.97</v>
      </c>
      <c r="G16" s="217">
        <v>50.2</v>
      </c>
      <c r="H16" s="217">
        <v>13.78</v>
      </c>
      <c r="I16" s="218">
        <v>0.21279999999999999</v>
      </c>
      <c r="J16" s="184" t="s">
        <v>205</v>
      </c>
      <c r="K16" s="179" t="s">
        <v>233</v>
      </c>
      <c r="L16" s="217">
        <v>25</v>
      </c>
      <c r="M16" s="185" t="s">
        <v>206</v>
      </c>
      <c r="N16" s="217">
        <v>2.2789999999999999</v>
      </c>
      <c r="O16" s="217">
        <v>1.1339999999999999</v>
      </c>
      <c r="P16" s="217">
        <f t="shared" si="0"/>
        <v>2.5843859999999999</v>
      </c>
      <c r="Q16" s="179" t="s">
        <v>213</v>
      </c>
      <c r="R16" s="217">
        <v>144</v>
      </c>
      <c r="S16" s="217"/>
    </row>
    <row r="17" spans="2:18">
      <c r="B17" s="24" t="s">
        <v>554</v>
      </c>
      <c r="C17" s="24" t="s">
        <v>555</v>
      </c>
      <c r="D17" s="24">
        <v>505</v>
      </c>
      <c r="E17" s="24">
        <v>39.270000000000003</v>
      </c>
      <c r="F17" s="24">
        <v>12.86</v>
      </c>
      <c r="G17" s="24">
        <v>46.93</v>
      </c>
      <c r="H17" s="24">
        <v>13.62</v>
      </c>
      <c r="I17" s="61">
        <v>0.21299999999999999</v>
      </c>
      <c r="J17" s="184" t="s">
        <v>205</v>
      </c>
      <c r="K17" s="24" t="s">
        <v>233</v>
      </c>
      <c r="L17" s="24">
        <v>25</v>
      </c>
      <c r="M17" s="185" t="s">
        <v>206</v>
      </c>
      <c r="N17" s="24">
        <v>2.0939999999999999</v>
      </c>
      <c r="O17" s="24">
        <v>1.1339999999999999</v>
      </c>
      <c r="P17" s="24">
        <f t="shared" si="0"/>
        <v>2.3745959999999995</v>
      </c>
      <c r="Q17" s="179" t="s">
        <v>213</v>
      </c>
      <c r="R17" s="24">
        <v>132</v>
      </c>
    </row>
    <row r="18" spans="2:18">
      <c r="B18" s="24" t="s">
        <v>624</v>
      </c>
      <c r="C18" s="24" t="s">
        <v>606</v>
      </c>
      <c r="D18" s="24">
        <v>560</v>
      </c>
      <c r="E18" s="24">
        <v>42.3</v>
      </c>
      <c r="F18" s="24">
        <v>13.25</v>
      </c>
      <c r="G18" s="24">
        <v>50.1</v>
      </c>
      <c r="H18" s="24">
        <v>13.98</v>
      </c>
      <c r="I18" s="61">
        <v>0.217</v>
      </c>
      <c r="J18" s="184" t="s">
        <v>205</v>
      </c>
      <c r="K18" s="24" t="s">
        <v>233</v>
      </c>
      <c r="L18" s="24">
        <v>25</v>
      </c>
      <c r="M18" s="185" t="s">
        <v>206</v>
      </c>
      <c r="N18" s="24">
        <v>2.2610000000000001</v>
      </c>
      <c r="O18" s="24">
        <v>1.1339999999999999</v>
      </c>
      <c r="P18" s="24">
        <f t="shared" si="0"/>
        <v>2.563974</v>
      </c>
      <c r="Q18" s="179" t="s">
        <v>213</v>
      </c>
      <c r="R18" s="24">
        <v>144</v>
      </c>
    </row>
    <row r="19" spans="2:18">
      <c r="B19" s="24" t="s">
        <v>608</v>
      </c>
      <c r="C19" s="24" t="s">
        <v>607</v>
      </c>
      <c r="D19" s="24">
        <v>550</v>
      </c>
      <c r="E19" s="24">
        <v>41.28</v>
      </c>
      <c r="F19" s="24">
        <v>13.32</v>
      </c>
      <c r="G19" s="24">
        <v>49.8</v>
      </c>
      <c r="H19" s="24">
        <v>14.01</v>
      </c>
      <c r="I19" s="61">
        <v>0.21290000000000001</v>
      </c>
      <c r="J19" s="184" t="s">
        <v>205</v>
      </c>
      <c r="K19" s="24" t="s">
        <v>233</v>
      </c>
      <c r="L19" s="24">
        <v>25</v>
      </c>
      <c r="M19" s="185" t="s">
        <v>206</v>
      </c>
      <c r="N19" s="24">
        <v>2.278</v>
      </c>
      <c r="O19" s="148">
        <v>1134</v>
      </c>
      <c r="P19" s="24">
        <f t="shared" si="0"/>
        <v>2583.252</v>
      </c>
      <c r="Q19" s="179" t="s">
        <v>213</v>
      </c>
      <c r="R19" s="24">
        <v>144</v>
      </c>
    </row>
    <row r="20" spans="2:18">
      <c r="B20" s="24" t="s">
        <v>609</v>
      </c>
      <c r="C20" s="24" t="s">
        <v>450</v>
      </c>
      <c r="D20" s="24">
        <v>550</v>
      </c>
      <c r="E20" s="24">
        <v>41.95</v>
      </c>
      <c r="F20" s="24">
        <v>13.12</v>
      </c>
      <c r="G20" s="24">
        <v>49.8</v>
      </c>
      <c r="H20" s="24">
        <v>13.98</v>
      </c>
      <c r="I20" s="61">
        <v>0.21299999999999999</v>
      </c>
      <c r="J20" s="184" t="s">
        <v>205</v>
      </c>
      <c r="K20" s="24" t="s">
        <v>233</v>
      </c>
      <c r="L20" s="24">
        <v>25</v>
      </c>
      <c r="M20" s="185" t="s">
        <v>610</v>
      </c>
      <c r="N20" s="24">
        <v>2.278</v>
      </c>
      <c r="O20" s="24">
        <v>1.1339999999999999</v>
      </c>
      <c r="P20" s="24">
        <f t="shared" si="0"/>
        <v>2.5832519999999999</v>
      </c>
      <c r="Q20" s="179" t="s">
        <v>213</v>
      </c>
      <c r="R20" s="217">
        <v>144</v>
      </c>
    </row>
    <row r="21" spans="2:18">
      <c r="B21" s="24" t="s">
        <v>611</v>
      </c>
      <c r="C21" s="24" t="s">
        <v>612</v>
      </c>
      <c r="D21" s="24">
        <v>550</v>
      </c>
      <c r="E21" s="24">
        <v>41.28</v>
      </c>
      <c r="F21" s="24">
        <v>13.32</v>
      </c>
      <c r="G21" s="24">
        <v>49.8</v>
      </c>
      <c r="H21" s="24">
        <v>14.01</v>
      </c>
      <c r="I21" s="61">
        <v>0.214</v>
      </c>
      <c r="J21" s="184" t="s">
        <v>205</v>
      </c>
      <c r="K21" s="24" t="s">
        <v>233</v>
      </c>
      <c r="L21" s="24">
        <v>25</v>
      </c>
      <c r="M21" s="185" t="s">
        <v>206</v>
      </c>
      <c r="N21" s="24">
        <v>2.278</v>
      </c>
      <c r="O21" s="24">
        <v>1.1339999999999999</v>
      </c>
      <c r="P21" s="24">
        <f t="shared" si="0"/>
        <v>2.5832519999999999</v>
      </c>
      <c r="Q21" s="179" t="s">
        <v>213</v>
      </c>
      <c r="R21" s="217">
        <v>144</v>
      </c>
    </row>
    <row r="22" spans="2:18">
      <c r="B22" s="24" t="s">
        <v>614</v>
      </c>
      <c r="C22" s="24" t="s">
        <v>450</v>
      </c>
      <c r="D22" s="24">
        <v>560</v>
      </c>
      <c r="E22" s="24">
        <v>42.25</v>
      </c>
      <c r="F22" s="24">
        <v>13.26</v>
      </c>
      <c r="G22" s="24">
        <v>50.1</v>
      </c>
      <c r="H22" s="24">
        <v>14.1</v>
      </c>
      <c r="I22" s="61">
        <v>0.217</v>
      </c>
      <c r="J22" s="184" t="s">
        <v>205</v>
      </c>
      <c r="K22" s="24" t="s">
        <v>233</v>
      </c>
      <c r="L22" s="24">
        <v>25</v>
      </c>
      <c r="M22" s="185" t="s">
        <v>610</v>
      </c>
      <c r="N22" s="24">
        <v>2.278</v>
      </c>
      <c r="O22" s="24">
        <v>1.1339999999999999</v>
      </c>
      <c r="P22" s="24">
        <f t="shared" si="0"/>
        <v>2.5832519999999999</v>
      </c>
      <c r="Q22" s="179" t="s">
        <v>213</v>
      </c>
      <c r="R22" s="217">
        <v>144</v>
      </c>
    </row>
    <row r="23" spans="2:18">
      <c r="B23" s="24" t="s">
        <v>615</v>
      </c>
      <c r="C23" s="24" t="s">
        <v>616</v>
      </c>
      <c r="D23" s="24">
        <v>555</v>
      </c>
      <c r="E23" s="24">
        <v>40.89</v>
      </c>
      <c r="F23" s="24">
        <v>13.58</v>
      </c>
      <c r="G23" s="24">
        <v>49.68</v>
      </c>
      <c r="H23" s="24">
        <v>14.13</v>
      </c>
      <c r="I23" s="61">
        <v>0.21299999999999999</v>
      </c>
      <c r="J23" s="184" t="s">
        <v>205</v>
      </c>
      <c r="K23" s="24" t="s">
        <v>233</v>
      </c>
      <c r="L23" s="24">
        <v>25</v>
      </c>
      <c r="M23" s="185" t="s">
        <v>206</v>
      </c>
      <c r="N23" s="24">
        <v>2.278</v>
      </c>
      <c r="O23" s="24">
        <v>1.1339999999999999</v>
      </c>
      <c r="P23" s="24">
        <f t="shared" si="0"/>
        <v>2.5832519999999999</v>
      </c>
      <c r="Q23" s="179" t="s">
        <v>213</v>
      </c>
      <c r="R23" s="217">
        <v>144</v>
      </c>
    </row>
    <row r="24" spans="2:18">
      <c r="B24" s="24" t="s">
        <v>621</v>
      </c>
      <c r="C24" s="24" t="s">
        <v>622</v>
      </c>
      <c r="D24" s="24">
        <v>560</v>
      </c>
      <c r="E24" s="24">
        <v>42.25</v>
      </c>
      <c r="F24" s="24">
        <v>13.26</v>
      </c>
      <c r="G24" s="24">
        <v>50.1</v>
      </c>
      <c r="H24" s="24">
        <v>14.1</v>
      </c>
      <c r="I24" s="61">
        <v>0.217</v>
      </c>
      <c r="J24" s="184" t="s">
        <v>205</v>
      </c>
      <c r="K24" s="24" t="s">
        <v>233</v>
      </c>
      <c r="L24" s="24">
        <v>25</v>
      </c>
      <c r="M24" s="185" t="s">
        <v>610</v>
      </c>
      <c r="N24" s="24">
        <v>2.278</v>
      </c>
      <c r="O24" s="24">
        <v>1.1339999999999999</v>
      </c>
      <c r="P24" s="24">
        <f t="shared" si="0"/>
        <v>2.5832519999999999</v>
      </c>
      <c r="Q24" s="179" t="s">
        <v>213</v>
      </c>
      <c r="R24" s="217">
        <v>144</v>
      </c>
    </row>
    <row r="25" spans="2:18">
      <c r="B25" s="24" t="s">
        <v>625</v>
      </c>
      <c r="C25" s="24" t="s">
        <v>626</v>
      </c>
      <c r="D25" s="24">
        <v>570</v>
      </c>
      <c r="E25" s="24">
        <v>41.92</v>
      </c>
      <c r="F25" s="24">
        <v>13.48</v>
      </c>
      <c r="G25" s="24">
        <v>50.6</v>
      </c>
      <c r="H25" s="24">
        <v>14.23</v>
      </c>
      <c r="I25" s="61">
        <v>0.21870000000000001</v>
      </c>
      <c r="J25" s="184" t="s">
        <v>205</v>
      </c>
      <c r="K25" s="24" t="s">
        <v>233</v>
      </c>
      <c r="L25" s="24">
        <v>25</v>
      </c>
      <c r="M25" s="185" t="s">
        <v>610</v>
      </c>
      <c r="N25" s="24">
        <v>2.278</v>
      </c>
      <c r="O25" s="24">
        <v>1.1339999999999999</v>
      </c>
      <c r="P25" s="24">
        <f t="shared" si="0"/>
        <v>2.5832519999999999</v>
      </c>
      <c r="Q25" s="179" t="s">
        <v>213</v>
      </c>
      <c r="R25" s="217">
        <v>144</v>
      </c>
    </row>
    <row r="26" spans="2:18">
      <c r="B26" s="24" t="s">
        <v>627</v>
      </c>
      <c r="C26" s="24" t="s">
        <v>616</v>
      </c>
      <c r="D26" s="24">
        <v>580</v>
      </c>
      <c r="E26" s="24">
        <v>44.48</v>
      </c>
      <c r="F26" s="24">
        <v>13.04</v>
      </c>
      <c r="G26" s="24">
        <v>51.9</v>
      </c>
      <c r="H26" s="24">
        <v>13.61</v>
      </c>
      <c r="I26" s="221">
        <v>0.22</v>
      </c>
      <c r="J26" s="184" t="s">
        <v>205</v>
      </c>
      <c r="K26" s="24" t="s">
        <v>233</v>
      </c>
      <c r="L26" s="24">
        <v>25</v>
      </c>
      <c r="M26" s="185" t="s">
        <v>610</v>
      </c>
      <c r="N26" s="24">
        <v>2.278</v>
      </c>
      <c r="O26" s="24">
        <v>1.1339999999999999</v>
      </c>
      <c r="P26" s="24">
        <f t="shared" si="0"/>
        <v>2.5832519999999999</v>
      </c>
      <c r="Q26" s="179" t="s">
        <v>213</v>
      </c>
      <c r="R26" s="217">
        <v>144</v>
      </c>
    </row>
    <row r="27" spans="2:18">
      <c r="B27" s="24" t="s">
        <v>630</v>
      </c>
      <c r="C27" s="24" t="s">
        <v>631</v>
      </c>
      <c r="D27" s="24">
        <v>585</v>
      </c>
      <c r="N27" s="24">
        <v>2.278</v>
      </c>
      <c r="O27" s="24">
        <v>1.1339999999999999</v>
      </c>
      <c r="P27" s="24">
        <f t="shared" si="0"/>
        <v>2.5832519999999999</v>
      </c>
      <c r="Q27" s="179" t="s">
        <v>213</v>
      </c>
      <c r="R27" s="217">
        <v>144</v>
      </c>
    </row>
    <row r="28" spans="2:18">
      <c r="B28" s="24" t="s">
        <v>635</v>
      </c>
      <c r="C28" s="24" t="s">
        <v>634</v>
      </c>
      <c r="D28" s="24">
        <v>585</v>
      </c>
      <c r="N28" s="24">
        <v>2.278</v>
      </c>
      <c r="O28" s="24">
        <v>1.1339999999999999</v>
      </c>
      <c r="P28" s="24">
        <f t="shared" ref="P28" si="3">+N28*O28</f>
        <v>2.5832519999999999</v>
      </c>
      <c r="Q28" s="179" t="s">
        <v>213</v>
      </c>
      <c r="R28" s="217">
        <v>144</v>
      </c>
    </row>
    <row r="29" spans="2:18">
      <c r="B29" s="24" t="s">
        <v>652</v>
      </c>
      <c r="C29" s="24" t="s">
        <v>651</v>
      </c>
      <c r="D29" s="24">
        <v>585</v>
      </c>
      <c r="N29" s="24">
        <v>2.3334000000000001</v>
      </c>
      <c r="O29" s="24">
        <v>1.1339999999999999</v>
      </c>
      <c r="P29" s="24">
        <f t="shared" ref="P29" si="4">+N29*O29</f>
        <v>2.6460756000000001</v>
      </c>
      <c r="Q29" s="179" t="s">
        <v>213</v>
      </c>
      <c r="R29" s="217">
        <v>144</v>
      </c>
    </row>
  </sheetData>
  <autoFilter ref="B2:R15">
    <sortState ref="B3:R17">
      <sortCondition ref="C2:C16"/>
    </sortState>
  </autoFilter>
  <sortState ref="B3:U19">
    <sortCondition ref="B19"/>
  </sortState>
  <pageMargins left="0.51181102362204722" right="0.51181102362204722" top="0.78740157480314965" bottom="0.78740157480314965" header="0.31496062992125984" footer="0.31496062992125984"/>
  <pageSetup paperSize="9" scale="55" fitToHeight="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FFD2B01ADFC584D931F318C521378C8" ma:contentTypeVersion="1" ma:contentTypeDescription="Crie um novo documento." ma:contentTypeScope="" ma:versionID="188a821abb3f7437a526e8857f04d3a3">
  <xsd:schema xmlns:xsd="http://www.w3.org/2001/XMLSchema" xmlns:xs="http://www.w3.org/2001/XMLSchema" xmlns:p="http://schemas.microsoft.com/office/2006/metadata/properties" xmlns:ns2="74cd8e6a-4e8f-4978-8e34-7bb71576e141" targetNamespace="http://schemas.microsoft.com/office/2006/metadata/properties" ma:root="true" ma:fieldsID="06a5288968aaf11452eb91fd2be0111d" ns2:_="">
    <xsd:import namespace="74cd8e6a-4e8f-4978-8e34-7bb71576e141"/>
    <xsd:element name="properties">
      <xsd:complexType>
        <xsd:sequence>
          <xsd:element name="documentManagement">
            <xsd:complexType>
              <xsd:all>
                <xsd:element ref="ns2:Ord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cd8e6a-4e8f-4978-8e34-7bb71576e141" elementFormDefault="qualified">
    <xsd:import namespace="http://schemas.microsoft.com/office/2006/documentManagement/types"/>
    <xsd:import namespace="http://schemas.microsoft.com/office/infopath/2007/PartnerControls"/>
    <xsd:element name="Ordem" ma:index="8" nillable="true" ma:displayName="Ordem Textual" ma:description="Ordem que o item aparecerá no site" ma:internalName="Ordem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em xmlns="74cd8e6a-4e8f-4978-8e34-7bb71576e141" xsi:nil="true"/>
  </documentManagement>
</p:properties>
</file>

<file path=customXml/itemProps1.xml><?xml version="1.0" encoding="utf-8"?>
<ds:datastoreItem xmlns:ds="http://schemas.openxmlformats.org/officeDocument/2006/customXml" ds:itemID="{A4732B56-2308-444A-8D02-192F0AB9D4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cd8e6a-4e8f-4978-8e34-7bb71576e1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EDA97B-3ACA-40C5-9B38-6769EEC100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59894F-A6F2-447F-ABAF-327B2240CB7E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  <ds:schemaRef ds:uri="74cd8e6a-4e8f-4978-8e34-7bb71576e14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8</vt:i4>
      </vt:variant>
    </vt:vector>
  </HeadingPairs>
  <TitlesOfParts>
    <vt:vector size="15" baseType="lpstr">
      <vt:lpstr>Input</vt:lpstr>
      <vt:lpstr>Ordem de Serviço</vt:lpstr>
      <vt:lpstr>Lista de materiais</vt:lpstr>
      <vt:lpstr>AN. F (NOVO)</vt:lpstr>
      <vt:lpstr>Valid.Dados</vt:lpstr>
      <vt:lpstr>BD Inv</vt:lpstr>
      <vt:lpstr>BD Mod</vt:lpstr>
      <vt:lpstr>'AN. F (NOVO)'!Area_de_impressao</vt:lpstr>
      <vt:lpstr>'BD Mod'!Area_de_impressao</vt:lpstr>
      <vt:lpstr>'Lista de materiais'!Area_de_impressao</vt:lpstr>
      <vt:lpstr>'Ordem de Serviço'!Area_de_impressao</vt:lpstr>
      <vt:lpstr>PotInv</vt:lpstr>
      <vt:lpstr>PotMod</vt:lpstr>
      <vt:lpstr>TelFixo</vt:lpstr>
      <vt:lpstr>TelMovel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DOTTA RECH</dc:creator>
  <cp:lastModifiedBy>Dell</cp:lastModifiedBy>
  <cp:lastPrinted>2026-05-12T16:13:01Z</cp:lastPrinted>
  <dcterms:created xsi:type="dcterms:W3CDTF">2016-01-28T12:24:16Z</dcterms:created>
  <dcterms:modified xsi:type="dcterms:W3CDTF">2026-05-12T16:13:03Z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0x010100BFFD2B01ADFC584D931F318C521378C8</vt:lpwstr>
  </property>
</Properties>
</file>