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10"/>
  <workbookPr defaultThemeVersion="124226"/>
  <mc:AlternateContent xmlns:mc="http://schemas.openxmlformats.org/markup-compatibility/2006">
    <mc:Choice Requires="x15">
      <x15ac:absPath xmlns:x15ac="http://schemas.microsoft.com/office/spreadsheetml/2010/11/ac" url="C:\Users\madi_h\Documents\Publications\W2W_Biogas quality_PSI+POLITO\Revised\"/>
    </mc:Choice>
  </mc:AlternateContent>
  <xr:revisionPtr revIDLastSave="0" documentId="11_4C5120D8462DC924E4C588C157D15AB640F0D8A7" xr6:coauthVersionLast="47" xr6:coauthVersionMax="47" xr10:uidLastSave="{00000000-0000-0000-0000-000000000000}"/>
  <bookViews>
    <workbookView xWindow="100" yWindow="100" windowWidth="15260" windowHeight="5240" tabRatio="686" xr2:uid="{00000000-000D-0000-FFFF-FFFF00000000}"/>
  </bookViews>
  <sheets>
    <sheet name="References" sheetId="2" r:id="rId1"/>
    <sheet name="Bulk" sheetId="12" r:id="rId2"/>
    <sheet name="Sulfur" sheetId="4" r:id="rId3"/>
    <sheet name="Organosilicons" sheetId="3" r:id="rId4"/>
    <sheet name="Oxygenates" sheetId="10" r:id="rId5"/>
    <sheet name="Paraffins" sheetId="6" r:id="rId6"/>
    <sheet name="Aromatic&amp;Cyclic" sheetId="8" r:id="rId7"/>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19" i="12" l="1"/>
  <c r="O22" i="3"/>
  <c r="N22" i="3"/>
  <c r="AF19" i="12"/>
  <c r="R65" i="6" l="1"/>
  <c r="AQ58" i="8"/>
  <c r="AB22" i="3" l="1"/>
  <c r="BR52" i="4"/>
  <c r="BR53" i="4" s="1"/>
  <c r="BL19" i="12"/>
  <c r="M14" i="4" l="1"/>
  <c r="N14" i="4"/>
  <c r="O14" i="4"/>
  <c r="T14" i="4"/>
  <c r="AD14" i="4"/>
  <c r="AI14" i="4"/>
  <c r="AO14" i="4"/>
  <c r="AP14" i="4"/>
  <c r="AR14" i="4"/>
  <c r="AS14" i="4"/>
  <c r="AU14" i="4"/>
  <c r="AV14" i="4"/>
  <c r="BH14" i="4"/>
  <c r="BJ14" i="4"/>
  <c r="BL14" i="4"/>
  <c r="BN14" i="4"/>
  <c r="BP14" i="4"/>
  <c r="T15" i="4"/>
  <c r="AD15" i="4"/>
  <c r="AI15" i="4"/>
  <c r="BH15" i="4"/>
  <c r="BJ15" i="4"/>
  <c r="BL15" i="4"/>
  <c r="BN15" i="4"/>
  <c r="BP15" i="4"/>
  <c r="BP16" i="4"/>
  <c r="U53" i="4"/>
  <c r="Z53" i="4"/>
  <c r="AE53" i="4"/>
  <c r="AJ53" i="4"/>
  <c r="BJ12" i="4" l="1"/>
  <c r="BJ13" i="4"/>
  <c r="BH16" i="4"/>
  <c r="AD12" i="4"/>
  <c r="AD13" i="4"/>
  <c r="M12" i="4"/>
  <c r="N12" i="4"/>
  <c r="O12" i="4"/>
  <c r="M13" i="4"/>
  <c r="N13" i="4"/>
  <c r="O13" i="4"/>
  <c r="O19" i="12"/>
  <c r="K19" i="12"/>
  <c r="BF19" i="12"/>
  <c r="AD19" i="12"/>
  <c r="AB19" i="12"/>
  <c r="BH19" i="12"/>
  <c r="BJ19" i="12"/>
  <c r="AK58" i="8"/>
  <c r="AM58" i="8"/>
  <c r="AO58" i="8"/>
  <c r="S58" i="8" l="1"/>
  <c r="AD17" i="4"/>
  <c r="AD16" i="4" l="1"/>
  <c r="U58" i="8"/>
  <c r="AI17" i="4"/>
  <c r="AI52" i="4" s="1"/>
  <c r="AI53" i="4" s="1"/>
  <c r="AI16" i="4"/>
  <c r="AV12" i="4"/>
  <c r="AU12" i="4"/>
  <c r="AS12" i="4"/>
  <c r="AR12" i="4"/>
  <c r="AP12" i="4"/>
  <c r="AO12" i="4"/>
  <c r="T12" i="4"/>
  <c r="Y12" i="4"/>
  <c r="BH12" i="4"/>
  <c r="BL12" i="4"/>
  <c r="BN12" i="4"/>
  <c r="BP12" i="4"/>
  <c r="AI12" i="4"/>
  <c r="AI13" i="4"/>
  <c r="BP52" i="4"/>
  <c r="BP53" i="4" s="1"/>
  <c r="BP13" i="4"/>
  <c r="AH52" i="4"/>
  <c r="AH53" i="4" s="1"/>
  <c r="AG52" i="4"/>
  <c r="AG53" i="4" s="1"/>
  <c r="AD52" i="4"/>
  <c r="AD53" i="4" s="1"/>
  <c r="AC52" i="4"/>
  <c r="AC53" i="4" s="1"/>
  <c r="AB52" i="4"/>
  <c r="AB53" i="4" s="1"/>
  <c r="BN52" i="4"/>
  <c r="BN53" i="4" s="1"/>
  <c r="BN13" i="4"/>
  <c r="BL52" i="4"/>
  <c r="BL53" i="4" s="1"/>
  <c r="BL13" i="4"/>
  <c r="BJ52" i="4" l="1"/>
  <c r="BJ53" i="4" s="1"/>
  <c r="BD19" i="12"/>
  <c r="T13" i="4"/>
  <c r="BH13" i="4"/>
  <c r="AE58" i="8"/>
  <c r="V66" i="10"/>
  <c r="BH52" i="4"/>
  <c r="BH53" i="4" s="1"/>
  <c r="BB19" i="12"/>
  <c r="AZ19" i="12"/>
  <c r="AY19" i="12"/>
  <c r="AI44" i="8"/>
  <c r="AI45" i="8"/>
  <c r="AI46" i="8"/>
  <c r="AI49" i="8"/>
  <c r="AI50" i="8"/>
  <c r="AI52" i="8"/>
  <c r="AI43" i="8"/>
  <c r="AI33" i="8"/>
  <c r="AI14" i="8"/>
  <c r="O58" i="8"/>
  <c r="Q58" i="8"/>
  <c r="Y52" i="4"/>
  <c r="Y53" i="4" s="1"/>
  <c r="X52" i="4"/>
  <c r="X53" i="4" s="1"/>
  <c r="W52" i="4"/>
  <c r="W53" i="4" s="1"/>
  <c r="Y19" i="12"/>
  <c r="I19" i="12" l="1"/>
  <c r="G19" i="12"/>
  <c r="F19" i="12"/>
  <c r="T19" i="12"/>
  <c r="AV19" i="12"/>
  <c r="AU19" i="12"/>
  <c r="AT19" i="12"/>
  <c r="AR19" i="12"/>
  <c r="AQ19" i="12"/>
  <c r="AO19" i="12"/>
  <c r="AN19" i="12"/>
  <c r="AL19" i="12"/>
  <c r="AK19" i="12"/>
  <c r="J44" i="10"/>
  <c r="I44" i="10"/>
  <c r="H44" i="10"/>
  <c r="G44" i="10"/>
  <c r="J43" i="10"/>
  <c r="I43" i="10"/>
  <c r="H43" i="10"/>
  <c r="G43" i="10"/>
  <c r="I42" i="10"/>
  <c r="H42" i="10"/>
  <c r="G42" i="10"/>
  <c r="J20" i="10"/>
  <c r="I20" i="10"/>
  <c r="H20" i="10"/>
  <c r="G20" i="10"/>
  <c r="J19" i="10"/>
  <c r="I19" i="10"/>
  <c r="H19" i="10"/>
  <c r="G19" i="10"/>
  <c r="J18" i="10"/>
  <c r="I18" i="10"/>
  <c r="H18" i="10"/>
  <c r="G18" i="10"/>
  <c r="L57" i="8"/>
  <c r="K57" i="8"/>
  <c r="J57" i="8"/>
  <c r="M54" i="8"/>
  <c r="L54" i="8"/>
  <c r="K54" i="8"/>
  <c r="J54" i="8"/>
  <c r="L53" i="8"/>
  <c r="K53" i="8"/>
  <c r="J53" i="8"/>
  <c r="M39" i="8"/>
  <c r="L39" i="8"/>
  <c r="K39" i="8"/>
  <c r="J39" i="8"/>
  <c r="M27" i="8"/>
  <c r="L27" i="8"/>
  <c r="K27" i="8"/>
  <c r="J27" i="8"/>
  <c r="M34" i="8"/>
  <c r="L34" i="8"/>
  <c r="K34" i="8"/>
  <c r="J34" i="8"/>
  <c r="M33" i="8"/>
  <c r="L33" i="8"/>
  <c r="K33" i="8"/>
  <c r="J33" i="8"/>
  <c r="J66" i="10" l="1"/>
  <c r="H66" i="10"/>
  <c r="I66" i="10"/>
  <c r="G66" i="10"/>
  <c r="M22" i="8"/>
  <c r="L22" i="8"/>
  <c r="K22" i="8"/>
  <c r="J22" i="8"/>
  <c r="M32" i="8"/>
  <c r="L32" i="8"/>
  <c r="K32" i="8"/>
  <c r="J32" i="8"/>
  <c r="M23" i="8"/>
  <c r="L23" i="8"/>
  <c r="K23" i="8"/>
  <c r="J23" i="8"/>
  <c r="M20" i="8"/>
  <c r="L20" i="8"/>
  <c r="K20" i="8"/>
  <c r="J20" i="8"/>
  <c r="M15" i="8"/>
  <c r="L15" i="8"/>
  <c r="K15" i="8"/>
  <c r="J15" i="8"/>
  <c r="M17" i="8"/>
  <c r="L17" i="8"/>
  <c r="K17" i="8"/>
  <c r="J17" i="8"/>
  <c r="M16" i="8"/>
  <c r="L16" i="8"/>
  <c r="K16" i="8"/>
  <c r="J16" i="8"/>
  <c r="M14" i="8"/>
  <c r="L14" i="8"/>
  <c r="K14" i="8"/>
  <c r="J14" i="8"/>
  <c r="J12" i="8"/>
  <c r="M12" i="8"/>
  <c r="L12" i="8"/>
  <c r="K12" i="8"/>
  <c r="M58" i="8" l="1"/>
  <c r="J58" i="8"/>
  <c r="L58" i="8"/>
  <c r="K58" i="8"/>
  <c r="M42" i="4"/>
  <c r="N42" i="4"/>
  <c r="O42" i="4"/>
  <c r="O25" i="4"/>
  <c r="N25" i="4"/>
  <c r="M25" i="4"/>
  <c r="P21" i="4"/>
  <c r="O21" i="4"/>
  <c r="N21" i="4"/>
  <c r="M21" i="4"/>
  <c r="O15" i="4" l="1"/>
  <c r="M15" i="4"/>
  <c r="N15" i="4"/>
  <c r="N52" i="4"/>
  <c r="N53" i="4" s="1"/>
  <c r="M52" i="4"/>
  <c r="M53" i="4" s="1"/>
  <c r="O52" i="4"/>
  <c r="O53" i="4" s="1"/>
  <c r="N66" i="10"/>
  <c r="L66" i="10"/>
  <c r="T66" i="10"/>
  <c r="R66" i="10"/>
  <c r="P66" i="10"/>
  <c r="P65" i="6"/>
  <c r="H65" i="6"/>
  <c r="F65" i="6"/>
  <c r="N65" i="6"/>
  <c r="L65" i="6"/>
  <c r="J65" i="6"/>
  <c r="AI58" i="8"/>
  <c r="AH58" i="8"/>
  <c r="AG58" i="8"/>
  <c r="H58" i="8"/>
  <c r="G58" i="8"/>
  <c r="AC17" i="8"/>
  <c r="AC58" i="8" s="1"/>
  <c r="AA17" i="8"/>
  <c r="AA58" i="8" s="1"/>
  <c r="Y17" i="8"/>
  <c r="Y58" i="8" s="1"/>
  <c r="X21" i="3" l="1"/>
  <c r="V21" i="3"/>
  <c r="T21" i="3"/>
  <c r="R21" i="3"/>
  <c r="X14" i="3"/>
  <c r="V14" i="3"/>
  <c r="T14" i="3"/>
  <c r="R14" i="3"/>
  <c r="X13" i="3"/>
  <c r="V13" i="3"/>
  <c r="T13" i="3"/>
  <c r="R13" i="3"/>
  <c r="X12" i="3"/>
  <c r="V12" i="3"/>
  <c r="R12" i="3"/>
  <c r="T12" i="3"/>
  <c r="T18" i="3"/>
  <c r="X16" i="3"/>
  <c r="R16" i="3"/>
  <c r="BE52" i="4"/>
  <c r="BD52" i="4"/>
  <c r="BC52" i="4"/>
  <c r="T52" i="4"/>
  <c r="T53" i="4" s="1"/>
  <c r="S52" i="4"/>
  <c r="S53" i="4" s="1"/>
  <c r="R52" i="4"/>
  <c r="R53" i="4" s="1"/>
  <c r="AZ52" i="4"/>
  <c r="AZ53" i="4" s="1"/>
  <c r="AY52" i="4"/>
  <c r="AY53" i="4" s="1"/>
  <c r="AX52" i="4"/>
  <c r="AX53" i="4" s="1"/>
  <c r="AV13" i="4"/>
  <c r="AU13" i="4"/>
  <c r="AS13" i="4"/>
  <c r="AR13" i="4"/>
  <c r="AP13" i="4"/>
  <c r="AO13" i="4"/>
  <c r="AV50" i="4"/>
  <c r="AU50" i="4"/>
  <c r="AS50" i="4"/>
  <c r="AR50" i="4"/>
  <c r="AP50" i="4"/>
  <c r="AO50" i="4"/>
  <c r="AS25" i="4"/>
  <c r="AR25" i="4"/>
  <c r="AP25" i="4"/>
  <c r="AO25" i="4"/>
  <c r="AV21" i="4"/>
  <c r="AU21" i="4"/>
  <c r="AS21" i="4"/>
  <c r="AR21" i="4"/>
  <c r="AP21" i="4"/>
  <c r="AO21" i="4"/>
  <c r="K52" i="4"/>
  <c r="K53" i="4" s="1"/>
  <c r="I52" i="4"/>
  <c r="I53" i="4" s="1"/>
  <c r="AM52" i="4"/>
  <c r="AM53" i="4" s="1"/>
  <c r="AL52" i="4"/>
  <c r="AL53" i="4" s="1"/>
  <c r="R17" i="3"/>
  <c r="Q17" i="3"/>
  <c r="Q16" i="3"/>
  <c r="I14" i="3"/>
  <c r="H14" i="3"/>
  <c r="Q14" i="3"/>
  <c r="Q13" i="3"/>
  <c r="Q21" i="3"/>
  <c r="L21" i="3"/>
  <c r="K21" i="3"/>
  <c r="I21" i="3"/>
  <c r="H21" i="3"/>
  <c r="Q12" i="3"/>
  <c r="L12" i="3"/>
  <c r="K12" i="3"/>
  <c r="I12" i="3"/>
  <c r="H12" i="3"/>
  <c r="AI19" i="12"/>
  <c r="AH19" i="12"/>
  <c r="G52" i="4"/>
  <c r="G53" i="4" s="1"/>
  <c r="F52" i="4"/>
  <c r="F53" i="4" s="1"/>
  <c r="Z22" i="3"/>
  <c r="AO15" i="4" l="1"/>
  <c r="AU15" i="4"/>
  <c r="AP15" i="4"/>
  <c r="AV15" i="4"/>
  <c r="AR15" i="4"/>
  <c r="AS15" i="4"/>
  <c r="H22" i="3"/>
  <c r="AO52" i="4"/>
  <c r="AO53" i="4" s="1"/>
  <c r="AU52" i="4"/>
  <c r="AU53" i="4" s="1"/>
  <c r="AP52" i="4"/>
  <c r="AP53" i="4" s="1"/>
  <c r="AV52" i="4"/>
  <c r="AV53" i="4" s="1"/>
  <c r="T22" i="3"/>
  <c r="L22" i="3"/>
  <c r="V22" i="3"/>
  <c r="X22" i="3"/>
  <c r="I22" i="3"/>
  <c r="Q22" i="3"/>
  <c r="AS52" i="4"/>
  <c r="AS53" i="4" s="1"/>
  <c r="AR52" i="4"/>
  <c r="AR53" i="4" s="1"/>
  <c r="R22" i="3"/>
  <c r="K22" i="3"/>
</calcChain>
</file>

<file path=xl/sharedStrings.xml><?xml version="1.0" encoding="utf-8"?>
<sst xmlns="http://schemas.openxmlformats.org/spreadsheetml/2006/main" count="1543" uniqueCount="548">
  <si>
    <t xml:space="preserve">Data in this file compiled by H. Madi, A. Calbry-Muzyka, F. Rüsch-Pfund, M. Gandiglio, and S. Biollaz as Supplementary Information for "Biogas composition from agricultural sources and organic fraction of municipal solid waste", 2021. 
Table format in this file adapted from D. Papadias et al. at Argonne National Labs, www.cse.anl.gov/FCs_on_biogas/Impurities%20-%20LFG.xls and www.cse.anl.gov/FCs_on_biogas/Impurities%20-%20WWTP.xls    (see also doi.org/10.1016/j.energy.2012.06.031). </t>
  </si>
  <si>
    <t>References</t>
  </si>
  <si>
    <t>[1]</t>
  </si>
  <si>
    <t>S. Rasi, A. Veijanen and J. Rintala (2007). Trace compounds of biogas from different biogas production plants. Energy 32, 1275-1380.</t>
  </si>
  <si>
    <t>[2]</t>
  </si>
  <si>
    <t xml:space="preserve">S. Rasi, J. Lehtinen and J. Rintala (2011). Determination of organic silicon compounds in biogas from wastewater treatments plants, landfills, and co-digestion plants. Renewable Energy 35, 2666-2673. </t>
  </si>
  <si>
    <t>[3]</t>
  </si>
  <si>
    <t>J.I. Salazar Gomez, H. Lohmann and J. Krassowski (2016). Determination of volatile organic compounds from biowaste and co-fermentation biogas plants by single-sorbent adsorption. Chemosphere 153, 48-57.</t>
  </si>
  <si>
    <t>[4]</t>
  </si>
  <si>
    <t>D. L. Saber and K. M. H. Cruz, "Pipeline Quality Biomethane: North American Guidance Document for Introduction of Dairy Waste Derived Biomethane into Existing Natural Gas Networks: Task 2," GTI, 2009.</t>
  </si>
  <si>
    <t>[5]</t>
  </si>
  <si>
    <t>ACEA site data from 2013-2014, personal communication</t>
  </si>
  <si>
    <t>[6]</t>
  </si>
  <si>
    <t>Site data from several Dutch anaerobic digestion plants in 2016 and 2018.</t>
  </si>
  <si>
    <t>[7]</t>
  </si>
  <si>
    <t>Austrian anaerobic digestion site data from 2014, personal communication</t>
  </si>
  <si>
    <t>[8]</t>
  </si>
  <si>
    <t>Site data from various anaerobic digestion plants in the UK, personal communication</t>
  </si>
  <si>
    <t>[9]</t>
  </si>
  <si>
    <t>Samples of biogas collected as part of a Swiss Federal Office of Energy.personal communication</t>
  </si>
  <si>
    <t>[10]</t>
  </si>
  <si>
    <t>Site data from WWTP in Italy from 2015, personal communication</t>
  </si>
  <si>
    <t>[11]</t>
  </si>
  <si>
    <t>Site data from farm in Lithuania. personal communication</t>
  </si>
  <si>
    <t>Abbreviations</t>
  </si>
  <si>
    <t>Site characteristics/Comment</t>
  </si>
  <si>
    <t>Rasi et al. (2007) [1]</t>
  </si>
  <si>
    <t>Rasi et al. (2011) [2]</t>
  </si>
  <si>
    <t>GTI (2009) [4]</t>
  </si>
  <si>
    <t>Dutch AD site (2018) [6]</t>
  </si>
  <si>
    <t>Dutch AD site (2016) [6]</t>
  </si>
  <si>
    <t>Ag-Cow (2018) [9]</t>
  </si>
  <si>
    <t>Ag-Mix(2018) [9]</t>
  </si>
  <si>
    <t>Ag-Mix [11]</t>
  </si>
  <si>
    <t>Salazar Gomez et al. (2016) [3]</t>
  </si>
  <si>
    <t>ACEA (2013-2014) [5]</t>
  </si>
  <si>
    <t>Austrian AD site (2014) [7]</t>
  </si>
  <si>
    <t>UK AD site (2013) [8]</t>
  </si>
  <si>
    <t>Ag/Waste-A (2018) [9]</t>
  </si>
  <si>
    <t>Ag/Waste-B (2018) [9]</t>
  </si>
  <si>
    <t>Waste-Mix (2018) [9]</t>
  </si>
  <si>
    <t>WWTP-Italy (2015-2016) [10]</t>
  </si>
  <si>
    <t>b.d. = below detection limit</t>
  </si>
  <si>
    <t>Index #</t>
  </si>
  <si>
    <t>Ag01</t>
  </si>
  <si>
    <t>Ag02</t>
  </si>
  <si>
    <t>Ag03</t>
  </si>
  <si>
    <t>Ag04</t>
  </si>
  <si>
    <t>Ag05</t>
  </si>
  <si>
    <t>Ag06</t>
  </si>
  <si>
    <t>Ag07</t>
  </si>
  <si>
    <t>Ag08</t>
  </si>
  <si>
    <t>Ag09</t>
  </si>
  <si>
    <t>Waste01</t>
  </si>
  <si>
    <t>Waste02</t>
  </si>
  <si>
    <t>Waste03</t>
  </si>
  <si>
    <t>Waste04</t>
  </si>
  <si>
    <t>Waste05</t>
  </si>
  <si>
    <t>Waste06</t>
  </si>
  <si>
    <t>Waste07</t>
  </si>
  <si>
    <t>Waste08</t>
  </si>
  <si>
    <t>Waste09</t>
  </si>
  <si>
    <t>Waste10</t>
  </si>
  <si>
    <t>Waste11</t>
  </si>
  <si>
    <t>Waste12</t>
  </si>
  <si>
    <t>Site</t>
  </si>
  <si>
    <t>Farm mesophilic biogas plant in Laukaa, Finland</t>
  </si>
  <si>
    <t xml:space="preserve">Mesophilic (42°C) co-digestion plant in Germany (Kupferzell, B1). </t>
  </si>
  <si>
    <t xml:space="preserve">Mesophilic (40°C) 2500m3 AD plant in Germany (Remlingen, B2). </t>
  </si>
  <si>
    <t xml:space="preserve">Aggregate of 12 dairy manure biogas sites in the United States. </t>
  </si>
  <si>
    <t>Single site in the Netherlands</t>
  </si>
  <si>
    <t>Farm-based mesophilic anaerobic digester in Switzerland ("Ag-Cow")</t>
  </si>
  <si>
    <t>Farm-based mesophilic anaerobic digester in Switzerland ("Ag-Mix")</t>
  </si>
  <si>
    <t xml:space="preserve"> Farm-based anaerobic digester in Lithuania</t>
  </si>
  <si>
    <t xml:space="preserve">Thermophilic co-digestion plant in Finland (Stormossen, Vaasa, B3). </t>
  </si>
  <si>
    <t xml:space="preserve">Mesophilic wet fermentation plant in North Rhine-Westphalia (Germany) (BP1). </t>
  </si>
  <si>
    <t xml:space="preserve">Thermophilic dry fermentation plant in Saxony-Anhalt (Germany) (BP2). </t>
  </si>
  <si>
    <t xml:space="preserve">Mesophilic wet fermentation plant in Bavaria (Germany) (BP3). </t>
  </si>
  <si>
    <t>Anaerobic digestion plant in Italy</t>
  </si>
  <si>
    <t>Austrian AD plant</t>
  </si>
  <si>
    <t>Anaerobic digestion plant in the UK.</t>
  </si>
  <si>
    <t>Mesophilic anaerobic digester in Switzerland (industrial-scale)</t>
  </si>
  <si>
    <t>Biogas sample taken from the combined biogas production of (1) Ag/Waste-A (Waste09); (2) Ag/Waste-B (Waste10); (3) a thermophilic batch-type anaerobic digester.</t>
  </si>
  <si>
    <t>Anaerobic digestion plant in  Italy.</t>
  </si>
  <si>
    <t>Activity</t>
  </si>
  <si>
    <t>All the gas is used for energy production.</t>
  </si>
  <si>
    <t>STD = Standard deviation</t>
  </si>
  <si>
    <t>Refuse - Type</t>
  </si>
  <si>
    <t>Cow manure and confectionary by-products</t>
  </si>
  <si>
    <t>Pig manure, cow manure, waste from sugar factory, grapes, mallas grane, salad and vegetable waste.</t>
  </si>
  <si>
    <t>Grass and maize.</t>
  </si>
  <si>
    <t>Co-Digester, &gt;50% manure, &lt;50% waste of agriculture products and industry</t>
  </si>
  <si>
    <t xml:space="preserve">100% cattle manure, from a dairy farm. </t>
  </si>
  <si>
    <t>Primarily chicken and cattle manure (&gt;80%), and some vegetable and green waste.</t>
  </si>
  <si>
    <t>90% Manure + slaughterhouse, 10% crops</t>
  </si>
  <si>
    <t xml:space="preserve">Sludge from wastewater and biowaste. </t>
  </si>
  <si>
    <t>45% glycerine, ~40% of fatty sludge from biodiesel production, 15% cattle manure.</t>
  </si>
  <si>
    <t xml:space="preserve">87% biowaste from residential areas, 10% green/garden waste, 3% husks. </t>
  </si>
  <si>
    <t>Wastes; "the substrate composition is very broad and the percentages change continuously."</t>
  </si>
  <si>
    <t xml:space="preserve">Anaerobic digestion – organic fraction of municipal solid waste. </t>
  </si>
  <si>
    <t>Biowaste, Food waste, Commercial waste and Sewage sludge</t>
  </si>
  <si>
    <t>100% food waste.</t>
  </si>
  <si>
    <t xml:space="preserve">Maize, food waste, grass, chocolate, chicken litter. </t>
  </si>
  <si>
    <t xml:space="preserve">Mixture of pig and cow manure (~40%) as well as waste from the food, dairy and beverage industry.  </t>
  </si>
  <si>
    <t>Same feedstock as Ag/Waste-A (two parallel digesters).</t>
  </si>
  <si>
    <t>The thermophilic digester processes municipal green waste, horse/chicken/cow manure, garden waste, food waste, and industrial by-products.</t>
  </si>
  <si>
    <t>Sludge from WWTP</t>
  </si>
  <si>
    <t>Refuse - Amount/Volume</t>
  </si>
  <si>
    <t>unknown</t>
  </si>
  <si>
    <t>13'500 t/a</t>
  </si>
  <si>
    <t>various</t>
  </si>
  <si>
    <t>WWTP sludge 15'000 t/a, biowaste 8000 t/a</t>
  </si>
  <si>
    <t>14'000 t/a</t>
  </si>
  <si>
    <t>30'000 t/a</t>
  </si>
  <si>
    <t>8'000 t/a</t>
  </si>
  <si>
    <t>Gas production rate</t>
  </si>
  <si>
    <t>In 2003, 60'000 m3 biogas produced.</t>
  </si>
  <si>
    <t>unknown.</t>
  </si>
  <si>
    <t>Analytical/Sampling</t>
  </si>
  <si>
    <t>Sampled in TECOBAG aluminum gas bags; CH4/CO2/O2 measured with IR gas analyser; N2 with GC.</t>
  </si>
  <si>
    <t>CH4/CO2 measured with IR gas analyser on-site.</t>
  </si>
  <si>
    <t>Sampling in Tedlar bags or stainless steel gas canisters, analysis with GC-TCD (ASTM D1956/1946).</t>
  </si>
  <si>
    <t>10 L Tedlar sampling. Main compounds: DIN 51872-04-A (GC-TCD). H2S: DIN 51855-4/colorimetric. Mercaptans: VDI 3865 Bl.4 (GC-MS)
Trace compounds: GC-MS identification, GC-FID quantification</t>
  </si>
  <si>
    <t>10 L Tedlar sampling. Main compounds: DIN 51872-04-A (GC-TCD). Trace compounds: GC-MS identification, GC-FID quantification</t>
  </si>
  <si>
    <t>Bulk compounds: GC-TCD on dried biogas</t>
  </si>
  <si>
    <t>Bulk compounds: GC-WLD on dried biogas</t>
  </si>
  <si>
    <t>CH4/CO2 measured by IR, O2/H2S by electrochemical sensors, N2 assumed as balance.</t>
  </si>
  <si>
    <t>Sampling: gas bag; Analysis: DIN 51872-04-A</t>
  </si>
  <si>
    <t>Comments</t>
  </si>
  <si>
    <t>Samples taken after condensation.</t>
  </si>
  <si>
    <t>In-digester desulfurization: Air addition (micro-aeration)</t>
  </si>
  <si>
    <t>High nitrogen "is presumably an indication of air intrusion into the digester."</t>
  </si>
  <si>
    <t>In-digester desulfurization: Air addition, O2 addition, and addition of Fe(Cl)2 solution</t>
  </si>
  <si>
    <t xml:space="preserve">In-digester desulfurization: iron hydroxide addition in the thermophilic digester. </t>
  </si>
  <si>
    <t>Class</t>
  </si>
  <si>
    <t>#</t>
  </si>
  <si>
    <t>Formula</t>
  </si>
  <si>
    <t>Chemical Name</t>
  </si>
  <si>
    <t>min (%v)</t>
  </si>
  <si>
    <t>max (%v)</t>
  </si>
  <si>
    <t>Average (%v)</t>
  </si>
  <si>
    <t>min      (%v)</t>
  </si>
  <si>
    <t>max            (%v)</t>
  </si>
  <si>
    <t>STD (%v)</t>
  </si>
  <si>
    <t>Bulk</t>
  </si>
  <si>
    <t xml:space="preserve">CH4 </t>
  </si>
  <si>
    <t xml:space="preserve">Methane </t>
  </si>
  <si>
    <t>CO2</t>
  </si>
  <si>
    <t>Carbon Dioxide</t>
  </si>
  <si>
    <t>n.m.</t>
  </si>
  <si>
    <t>N2</t>
  </si>
  <si>
    <t>Nitrogen</t>
  </si>
  <si>
    <t>&lt;1</t>
  </si>
  <si>
    <t>&lt;2</t>
  </si>
  <si>
    <t>b.d.</t>
  </si>
  <si>
    <t>O2</t>
  </si>
  <si>
    <t>Oxygen</t>
  </si>
  <si>
    <t>CO</t>
  </si>
  <si>
    <t>Carbon Monoxide</t>
  </si>
  <si>
    <t xml:space="preserve">Bulk </t>
  </si>
  <si>
    <t>H2</t>
  </si>
  <si>
    <t>Hydrogen</t>
  </si>
  <si>
    <t>(Trace)</t>
  </si>
  <si>
    <t>NH3</t>
  </si>
  <si>
    <t>Ammonia (ppmv!)</t>
  </si>
  <si>
    <t>30-53</t>
  </si>
  <si>
    <t>Sum (%v)</t>
  </si>
  <si>
    <t xml:space="preserve">Site  </t>
  </si>
  <si>
    <t>Cow manure and confectionary by-products.</t>
  </si>
  <si>
    <t>Co-Digester, &gt; 50% manure, &lt; 50% waste of agriculture products and industry</t>
  </si>
  <si>
    <t>Food waste.</t>
  </si>
  <si>
    <t>Sampled in TECOBAG aluminum gas bags; H2S measured by Dräger and RAE tubes, and IR-electrochemical sensor</t>
  </si>
  <si>
    <t xml:space="preserve">H2S measured by Dräger and RAE tubes, and IR-electrochemical sensor. </t>
  </si>
  <si>
    <t>Sampling in Tedlar bags or inertised stainless steel gas canisters, analysis with GC-FPD/PFPD (ASTM D6228).</t>
  </si>
  <si>
    <t xml:space="preserve">H2S: Colorimetric Dräger tubes. Trace sulfur compounds: liquid quench sampling followed by GC-SCD. </t>
  </si>
  <si>
    <t>H2S by electrochemical sensors, others by Tenax tubes followed by TD with GC-MS.</t>
  </si>
  <si>
    <t>Comments (especially concerning in-digester desulfurization):</t>
  </si>
  <si>
    <t>"The biogas from the farm contained greater amounts of different reduced sulphur compounds than either the landfill or sewage digester gas."</t>
  </si>
  <si>
    <t>NOTE: Only samples where the compound was above the LoD were averaged. E.g., some data only represents 1 plant.</t>
  </si>
  <si>
    <t xml:space="preserve">Iron solutions added to the digester every 3 weeks. </t>
  </si>
  <si>
    <t xml:space="preserve">Iron solutions added to the digester every day. </t>
  </si>
  <si>
    <t>min (ppm-S)</t>
  </si>
  <si>
    <t>max (ppm-S)</t>
  </si>
  <si>
    <t>Average (ppm-S)</t>
  </si>
  <si>
    <t>min      (ppm-S)</t>
  </si>
  <si>
    <t>max            (ppm-S)</t>
  </si>
  <si>
    <t>STD (ppm-S)</t>
  </si>
  <si>
    <t>min      (ppm)</t>
  </si>
  <si>
    <t>max            (ppm)</t>
  </si>
  <si>
    <t>Average (ppm)</t>
  </si>
  <si>
    <t>STD (ppm)</t>
  </si>
  <si>
    <t>Sulfur</t>
  </si>
  <si>
    <t>R-SH</t>
  </si>
  <si>
    <t>Thiols/Mercaptans (sum as a class)</t>
  </si>
  <si>
    <t>detected</t>
  </si>
  <si>
    <t>---</t>
  </si>
  <si>
    <t>Thiophenes (sum as a class)</t>
  </si>
  <si>
    <t>R-S-R</t>
  </si>
  <si>
    <t>Alkyl monosulfides (sum as class)</t>
  </si>
  <si>
    <t>R-SS-R</t>
  </si>
  <si>
    <t>Alkyl disulfides (sum as a class)</t>
  </si>
  <si>
    <t>R-SSS-R</t>
  </si>
  <si>
    <t>Alkyl trisulfides (sum as a class)</t>
  </si>
  <si>
    <r>
      <t>H</t>
    </r>
    <r>
      <rPr>
        <vertAlign val="subscript"/>
        <sz val="10"/>
        <rFont val="Arial"/>
        <family val="2"/>
      </rPr>
      <t>2</t>
    </r>
    <r>
      <rPr>
        <sz val="10"/>
        <rFont val="Arial"/>
        <family val="2"/>
      </rPr>
      <t>S</t>
    </r>
  </si>
  <si>
    <t>Hydrogen Sulfide</t>
  </si>
  <si>
    <r>
      <t>CH</t>
    </r>
    <r>
      <rPr>
        <vertAlign val="subscript"/>
        <sz val="10"/>
        <rFont val="Arial"/>
        <family val="2"/>
      </rPr>
      <t>4</t>
    </r>
    <r>
      <rPr>
        <sz val="10"/>
        <rFont val="Arial"/>
        <family val="2"/>
      </rPr>
      <t>S</t>
    </r>
  </si>
  <si>
    <t>Methanethiol (Methyl Mercaptan)</t>
  </si>
  <si>
    <r>
      <t>SO</t>
    </r>
    <r>
      <rPr>
        <vertAlign val="subscript"/>
        <sz val="10"/>
        <rFont val="Arial"/>
        <family val="2"/>
      </rPr>
      <t>2</t>
    </r>
  </si>
  <si>
    <t>Sulfur Dioxide</t>
  </si>
  <si>
    <t>COS</t>
  </si>
  <si>
    <t>Carbonyl Sulfide</t>
  </si>
  <si>
    <r>
      <t>CS</t>
    </r>
    <r>
      <rPr>
        <vertAlign val="subscript"/>
        <sz val="10"/>
        <rFont val="Arial"/>
        <family val="2"/>
      </rPr>
      <t>2</t>
    </r>
  </si>
  <si>
    <t>Carbon Disulfide</t>
  </si>
  <si>
    <r>
      <t>C</t>
    </r>
    <r>
      <rPr>
        <vertAlign val="subscript"/>
        <sz val="10"/>
        <rFont val="Arial"/>
        <family val="2"/>
      </rPr>
      <t>2</t>
    </r>
    <r>
      <rPr>
        <sz val="10"/>
        <rFont val="Arial"/>
        <family val="2"/>
      </rPr>
      <t>H</t>
    </r>
    <r>
      <rPr>
        <vertAlign val="subscript"/>
        <sz val="10"/>
        <rFont val="Arial"/>
        <family val="2"/>
      </rPr>
      <t>6</t>
    </r>
    <r>
      <rPr>
        <sz val="10"/>
        <rFont val="Arial"/>
        <family val="2"/>
      </rPr>
      <t>S</t>
    </r>
  </si>
  <si>
    <t>Dimethyl Sulfide (DMS)</t>
  </si>
  <si>
    <r>
      <t>C</t>
    </r>
    <r>
      <rPr>
        <vertAlign val="subscript"/>
        <sz val="10"/>
        <rFont val="Arial"/>
        <family val="2"/>
      </rPr>
      <t>2</t>
    </r>
    <r>
      <rPr>
        <sz val="10"/>
        <rFont val="Arial"/>
        <family val="2"/>
      </rPr>
      <t>H</t>
    </r>
    <r>
      <rPr>
        <vertAlign val="subscript"/>
        <sz val="10"/>
        <rFont val="Arial"/>
        <family val="2"/>
      </rPr>
      <t>6</t>
    </r>
    <r>
      <rPr>
        <sz val="10"/>
        <rFont val="Arial"/>
        <family val="2"/>
      </rPr>
      <t>OS</t>
    </r>
  </si>
  <si>
    <t>Dimethyl sulfoxide</t>
  </si>
  <si>
    <t>Ethanethiol (Ethyl mercaptan)</t>
  </si>
  <si>
    <r>
      <t>C</t>
    </r>
    <r>
      <rPr>
        <vertAlign val="subscript"/>
        <sz val="10"/>
        <rFont val="Arial"/>
        <family val="2"/>
      </rPr>
      <t>2</t>
    </r>
    <r>
      <rPr>
        <sz val="10"/>
        <rFont val="Arial"/>
        <family val="2"/>
      </rPr>
      <t>H</t>
    </r>
    <r>
      <rPr>
        <vertAlign val="subscript"/>
        <sz val="10"/>
        <rFont val="Arial"/>
        <family val="2"/>
      </rPr>
      <t>6</t>
    </r>
    <r>
      <rPr>
        <sz val="10"/>
        <rFont val="Arial"/>
        <family val="2"/>
      </rPr>
      <t>S</t>
    </r>
    <r>
      <rPr>
        <vertAlign val="subscript"/>
        <sz val="10"/>
        <rFont val="Arial"/>
        <family val="2"/>
      </rPr>
      <t>2</t>
    </r>
  </si>
  <si>
    <t>Dimethyl Disulfide (DMDS)</t>
  </si>
  <si>
    <r>
      <t>C</t>
    </r>
    <r>
      <rPr>
        <vertAlign val="subscript"/>
        <sz val="10"/>
        <rFont val="Arial"/>
        <family val="2"/>
      </rPr>
      <t>2</t>
    </r>
    <r>
      <rPr>
        <sz val="10"/>
        <rFont val="Arial"/>
        <family val="2"/>
      </rPr>
      <t>H</t>
    </r>
    <r>
      <rPr>
        <vertAlign val="subscript"/>
        <sz val="10"/>
        <rFont val="Arial"/>
        <family val="2"/>
      </rPr>
      <t>6</t>
    </r>
    <r>
      <rPr>
        <sz val="10"/>
        <rFont val="Arial"/>
        <family val="2"/>
      </rPr>
      <t>S3</t>
    </r>
  </si>
  <si>
    <t>Dimethyl trisulfide (DMTS)</t>
  </si>
  <si>
    <t>C3H3NS</t>
  </si>
  <si>
    <t>Thiazole</t>
  </si>
  <si>
    <r>
      <t>C</t>
    </r>
    <r>
      <rPr>
        <vertAlign val="subscript"/>
        <sz val="10"/>
        <rFont val="Arial"/>
        <family val="2"/>
      </rPr>
      <t>3</t>
    </r>
    <r>
      <rPr>
        <sz val="10"/>
        <rFont val="Arial"/>
        <family val="2"/>
      </rPr>
      <t>H</t>
    </r>
    <r>
      <rPr>
        <vertAlign val="subscript"/>
        <sz val="10"/>
        <rFont val="Arial"/>
        <family val="2"/>
      </rPr>
      <t>8</t>
    </r>
    <r>
      <rPr>
        <sz val="10"/>
        <rFont val="Arial"/>
        <family val="2"/>
      </rPr>
      <t>S</t>
    </r>
  </si>
  <si>
    <t>Ethyl Methyl Sulfide</t>
  </si>
  <si>
    <t>1-Propanethiol (n-propyl mercaptan)</t>
  </si>
  <si>
    <t>2-Propanethiol (Isopropyl Mercaptan)</t>
  </si>
  <si>
    <r>
      <t>C</t>
    </r>
    <r>
      <rPr>
        <vertAlign val="subscript"/>
        <sz val="10"/>
        <rFont val="Arial"/>
        <family val="2"/>
      </rPr>
      <t>3</t>
    </r>
    <r>
      <rPr>
        <sz val="10"/>
        <rFont val="Arial"/>
        <family val="2"/>
      </rPr>
      <t>H</t>
    </r>
    <r>
      <rPr>
        <vertAlign val="subscript"/>
        <sz val="10"/>
        <rFont val="Arial"/>
        <family val="2"/>
      </rPr>
      <t>6</t>
    </r>
    <r>
      <rPr>
        <sz val="10"/>
        <rFont val="Arial"/>
        <family val="2"/>
      </rPr>
      <t>OS</t>
    </r>
  </si>
  <si>
    <t>Methyl thiolacetate</t>
  </si>
  <si>
    <t>1,3-Oxathiolane</t>
  </si>
  <si>
    <r>
      <t>C</t>
    </r>
    <r>
      <rPr>
        <vertAlign val="subscript"/>
        <sz val="10"/>
        <rFont val="Arial"/>
        <family val="2"/>
      </rPr>
      <t>4</t>
    </r>
    <r>
      <rPr>
        <sz val="10"/>
        <rFont val="Arial"/>
        <family val="2"/>
      </rPr>
      <t>H</t>
    </r>
    <r>
      <rPr>
        <vertAlign val="subscript"/>
        <sz val="10"/>
        <rFont val="Arial"/>
        <family val="2"/>
      </rPr>
      <t>4</t>
    </r>
    <r>
      <rPr>
        <sz val="10"/>
        <rFont val="Arial"/>
        <family val="2"/>
      </rPr>
      <t>S</t>
    </r>
  </si>
  <si>
    <t>Thiophene</t>
  </si>
  <si>
    <t>C4H8OS</t>
  </si>
  <si>
    <t>Ethyl thiolacetate</t>
  </si>
  <si>
    <r>
      <t>C</t>
    </r>
    <r>
      <rPr>
        <vertAlign val="subscript"/>
        <sz val="10"/>
        <rFont val="Arial"/>
        <family val="2"/>
      </rPr>
      <t>4</t>
    </r>
    <r>
      <rPr>
        <sz val="10"/>
        <rFont val="Arial"/>
        <family val="2"/>
      </rPr>
      <t>H</t>
    </r>
    <r>
      <rPr>
        <vertAlign val="subscript"/>
        <sz val="10"/>
        <rFont val="Arial"/>
        <family val="2"/>
      </rPr>
      <t>10</t>
    </r>
    <r>
      <rPr>
        <sz val="10"/>
        <rFont val="Arial"/>
        <family val="2"/>
      </rPr>
      <t>S</t>
    </r>
  </si>
  <si>
    <t>Diethyl sulfide</t>
  </si>
  <si>
    <t>Isopropyl Methyl Sulfide</t>
  </si>
  <si>
    <t>Methyl Propyl Sulfide</t>
  </si>
  <si>
    <t>2-Methyl-1-propanethiol (Isobutyl mercaptan)</t>
  </si>
  <si>
    <t>2-Methyl-2-propanethiol (tert-Butylmercaptan)</t>
  </si>
  <si>
    <t>1-Butanethiol (Butyl Mercaptan)</t>
  </si>
  <si>
    <t>2-Butanethiol (sec-Butylmercaptan)</t>
  </si>
  <si>
    <r>
      <t>C</t>
    </r>
    <r>
      <rPr>
        <vertAlign val="subscript"/>
        <sz val="10"/>
        <rFont val="Arial"/>
        <family val="2"/>
      </rPr>
      <t>4</t>
    </r>
    <r>
      <rPr>
        <sz val="10"/>
        <rFont val="Arial"/>
        <family val="2"/>
      </rPr>
      <t>H</t>
    </r>
    <r>
      <rPr>
        <vertAlign val="subscript"/>
        <sz val="10"/>
        <rFont val="Arial"/>
        <family val="2"/>
      </rPr>
      <t>10</t>
    </r>
    <r>
      <rPr>
        <sz val="10"/>
        <rFont val="Arial"/>
        <family val="2"/>
      </rPr>
      <t>S</t>
    </r>
    <r>
      <rPr>
        <vertAlign val="subscript"/>
        <sz val="10"/>
        <rFont val="Arial"/>
        <family val="2"/>
      </rPr>
      <t>2</t>
    </r>
  </si>
  <si>
    <t>Diethyl Disulfide</t>
  </si>
  <si>
    <r>
      <t>C</t>
    </r>
    <r>
      <rPr>
        <vertAlign val="subscript"/>
        <sz val="10"/>
        <rFont val="Arial"/>
        <family val="2"/>
      </rPr>
      <t>5</t>
    </r>
    <r>
      <rPr>
        <sz val="10"/>
        <rFont val="Arial"/>
        <family val="2"/>
      </rPr>
      <t>H</t>
    </r>
    <r>
      <rPr>
        <vertAlign val="subscript"/>
        <sz val="10"/>
        <rFont val="Arial"/>
        <family val="2"/>
      </rPr>
      <t>6</t>
    </r>
    <r>
      <rPr>
        <sz val="10"/>
        <rFont val="Arial"/>
        <family val="2"/>
      </rPr>
      <t>S</t>
    </r>
  </si>
  <si>
    <t>3-Methyl Thiophene</t>
  </si>
  <si>
    <t>2-Methyl Thiophene</t>
  </si>
  <si>
    <r>
      <t>C</t>
    </r>
    <r>
      <rPr>
        <vertAlign val="subscript"/>
        <sz val="10"/>
        <rFont val="Arial"/>
        <family val="2"/>
      </rPr>
      <t>5</t>
    </r>
    <r>
      <rPr>
        <sz val="10"/>
        <rFont val="Arial"/>
        <family val="2"/>
      </rPr>
      <t>H</t>
    </r>
    <r>
      <rPr>
        <vertAlign val="subscript"/>
        <sz val="10"/>
        <rFont val="Arial"/>
        <family val="2"/>
      </rPr>
      <t>12</t>
    </r>
    <r>
      <rPr>
        <sz val="10"/>
        <rFont val="Arial"/>
        <family val="2"/>
      </rPr>
      <t>S</t>
    </r>
  </si>
  <si>
    <t>Butyl Methyl Sulfide</t>
  </si>
  <si>
    <t>3-Methyl-1-Butanethiol</t>
  </si>
  <si>
    <r>
      <t>C</t>
    </r>
    <r>
      <rPr>
        <vertAlign val="subscript"/>
        <sz val="10"/>
        <rFont val="Arial"/>
        <family val="2"/>
      </rPr>
      <t>6</t>
    </r>
    <r>
      <rPr>
        <sz val="10"/>
        <rFont val="Arial"/>
        <family val="2"/>
      </rPr>
      <t>H</t>
    </r>
    <r>
      <rPr>
        <vertAlign val="subscript"/>
        <sz val="10"/>
        <rFont val="Arial"/>
        <family val="2"/>
      </rPr>
      <t>8</t>
    </r>
    <r>
      <rPr>
        <sz val="10"/>
        <rFont val="Arial"/>
        <family val="2"/>
      </rPr>
      <t>S</t>
    </r>
  </si>
  <si>
    <t>2,5-Dimethylthiophene</t>
  </si>
  <si>
    <t>2-Ethylthiophene</t>
  </si>
  <si>
    <t>C6H14S</t>
  </si>
  <si>
    <t>Dipropylsulfide</t>
  </si>
  <si>
    <t>b.d</t>
  </si>
  <si>
    <t>C6H14S2</t>
  </si>
  <si>
    <t>Dipropyl Disulfide</t>
  </si>
  <si>
    <r>
      <t>C</t>
    </r>
    <r>
      <rPr>
        <vertAlign val="subscript"/>
        <sz val="10"/>
        <rFont val="Arial"/>
        <family val="2"/>
      </rPr>
      <t>7</t>
    </r>
    <r>
      <rPr>
        <sz val="10"/>
        <rFont val="Arial"/>
        <family val="2"/>
      </rPr>
      <t>H</t>
    </r>
    <r>
      <rPr>
        <vertAlign val="subscript"/>
        <sz val="10"/>
        <rFont val="Arial"/>
        <family val="2"/>
      </rPr>
      <t>10</t>
    </r>
    <r>
      <rPr>
        <sz val="10"/>
        <rFont val="Arial"/>
        <family val="2"/>
      </rPr>
      <t>S</t>
    </r>
  </si>
  <si>
    <t>3-Propylthiophene</t>
  </si>
  <si>
    <t>Total Sulfur Species (ppm-S)</t>
  </si>
  <si>
    <t>Total Non-H2S Sulfur Species (ppm-S)</t>
  </si>
  <si>
    <t>Blank  = no data</t>
  </si>
  <si>
    <t>not specified</t>
  </si>
  <si>
    <t xml:space="preserve">* When total siloxane was given as µg-siloxane/Nm3, it was converted to µg-Si/Nm3 using the factor 36.3% (approx. wt%Si of siloxanes, e.g. L2 is 34.6%wtSi, D5 is 37.9%wtSi).  </t>
  </si>
  <si>
    <t>Sampled in Nalophan bags then adsorbed onto Tenax tubes. Analyzed by thermal desorption with GC-MS.</t>
  </si>
  <si>
    <t>GC-MS</t>
  </si>
  <si>
    <t>Tenax tubes followed by TD with GC-MS.</t>
  </si>
  <si>
    <t>Sample taken after condensation. Numerical values extracted from plots.</t>
  </si>
  <si>
    <r>
      <t>max (</t>
    </r>
    <r>
      <rPr>
        <b/>
        <sz val="10"/>
        <color indexed="9"/>
        <rFont val="Calibri"/>
        <family val="2"/>
      </rPr>
      <t>µ</t>
    </r>
    <r>
      <rPr>
        <b/>
        <sz val="10"/>
        <color indexed="9"/>
        <rFont val="Arial"/>
        <family val="2"/>
      </rPr>
      <t>g-Si/Nm3)</t>
    </r>
  </si>
  <si>
    <t>min (µg-Si/Nm3)</t>
  </si>
  <si>
    <t>max (µg-Si/Nm3)</t>
  </si>
  <si>
    <t>Average (µg-Si/Nm3)</t>
  </si>
  <si>
    <t>Organosilicon</t>
  </si>
  <si>
    <r>
      <t>C</t>
    </r>
    <r>
      <rPr>
        <vertAlign val="subscript"/>
        <sz val="10"/>
        <rFont val="Arial"/>
        <family val="2"/>
      </rPr>
      <t>6</t>
    </r>
    <r>
      <rPr>
        <sz val="10"/>
        <rFont val="Arial"/>
        <family val="2"/>
      </rPr>
      <t>H</t>
    </r>
    <r>
      <rPr>
        <vertAlign val="subscript"/>
        <sz val="10"/>
        <rFont val="Arial"/>
        <family val="2"/>
      </rPr>
      <t>18</t>
    </r>
    <r>
      <rPr>
        <sz val="10"/>
        <rFont val="Arial"/>
        <family val="2"/>
      </rPr>
      <t>O</t>
    </r>
    <r>
      <rPr>
        <vertAlign val="subscript"/>
        <sz val="10"/>
        <rFont val="Arial"/>
        <family val="2"/>
      </rPr>
      <t>3</t>
    </r>
    <r>
      <rPr>
        <sz val="10"/>
        <rFont val="Arial"/>
        <family val="2"/>
      </rPr>
      <t>Si</t>
    </r>
    <r>
      <rPr>
        <vertAlign val="subscript"/>
        <sz val="10"/>
        <rFont val="Arial"/>
        <family val="2"/>
      </rPr>
      <t>3</t>
    </r>
  </si>
  <si>
    <t>(D3) Hexamethylcyclotrisiloxane</t>
  </si>
  <si>
    <t>&lt;100</t>
  </si>
  <si>
    <t xml:space="preserve">b.d. </t>
  </si>
  <si>
    <r>
      <t>C</t>
    </r>
    <r>
      <rPr>
        <vertAlign val="subscript"/>
        <sz val="10"/>
        <rFont val="Arial"/>
        <family val="2"/>
      </rPr>
      <t>8</t>
    </r>
    <r>
      <rPr>
        <sz val="10"/>
        <rFont val="Arial"/>
        <family val="2"/>
      </rPr>
      <t>H</t>
    </r>
    <r>
      <rPr>
        <vertAlign val="subscript"/>
        <sz val="10"/>
        <rFont val="Arial"/>
        <family val="2"/>
      </rPr>
      <t>24</t>
    </r>
    <r>
      <rPr>
        <sz val="10"/>
        <rFont val="Arial"/>
        <family val="2"/>
      </rPr>
      <t>O</t>
    </r>
    <r>
      <rPr>
        <vertAlign val="subscript"/>
        <sz val="10"/>
        <rFont val="Arial"/>
        <family val="2"/>
      </rPr>
      <t>4</t>
    </r>
    <r>
      <rPr>
        <sz val="10"/>
        <rFont val="Arial"/>
        <family val="2"/>
      </rPr>
      <t>Si</t>
    </r>
    <r>
      <rPr>
        <vertAlign val="subscript"/>
        <sz val="10"/>
        <rFont val="Arial"/>
        <family val="2"/>
      </rPr>
      <t>4</t>
    </r>
  </si>
  <si>
    <t>(D4) Octamethylcyclotetrasiloxane</t>
  </si>
  <si>
    <r>
      <t>C</t>
    </r>
    <r>
      <rPr>
        <vertAlign val="subscript"/>
        <sz val="10"/>
        <rFont val="Arial"/>
        <family val="2"/>
      </rPr>
      <t>10</t>
    </r>
    <r>
      <rPr>
        <sz val="10"/>
        <rFont val="Arial"/>
        <family val="2"/>
      </rPr>
      <t>H</t>
    </r>
    <r>
      <rPr>
        <vertAlign val="subscript"/>
        <sz val="10"/>
        <rFont val="Arial"/>
        <family val="2"/>
      </rPr>
      <t>30</t>
    </r>
    <r>
      <rPr>
        <sz val="10"/>
        <rFont val="Arial"/>
        <family val="2"/>
      </rPr>
      <t>O</t>
    </r>
    <r>
      <rPr>
        <vertAlign val="subscript"/>
        <sz val="10"/>
        <rFont val="Arial"/>
        <family val="2"/>
      </rPr>
      <t>5</t>
    </r>
    <r>
      <rPr>
        <sz val="10"/>
        <rFont val="Arial"/>
        <family val="2"/>
      </rPr>
      <t>Si</t>
    </r>
    <r>
      <rPr>
        <vertAlign val="subscript"/>
        <sz val="10"/>
        <rFont val="Arial"/>
        <family val="2"/>
      </rPr>
      <t>5</t>
    </r>
  </si>
  <si>
    <t>(D5) Decamethylcyclopentasiloxane</t>
  </si>
  <si>
    <r>
      <t>C</t>
    </r>
    <r>
      <rPr>
        <vertAlign val="subscript"/>
        <sz val="10"/>
        <rFont val="Arial"/>
        <family val="2"/>
      </rPr>
      <t>12</t>
    </r>
    <r>
      <rPr>
        <sz val="10"/>
        <rFont val="Arial"/>
        <family val="2"/>
      </rPr>
      <t>H</t>
    </r>
    <r>
      <rPr>
        <vertAlign val="subscript"/>
        <sz val="10"/>
        <rFont val="Arial"/>
        <family val="2"/>
      </rPr>
      <t>36</t>
    </r>
    <r>
      <rPr>
        <sz val="10"/>
        <rFont val="Arial"/>
        <family val="2"/>
      </rPr>
      <t>O</t>
    </r>
    <r>
      <rPr>
        <vertAlign val="subscript"/>
        <sz val="10"/>
        <rFont val="Arial"/>
        <family val="2"/>
      </rPr>
      <t>6</t>
    </r>
    <r>
      <rPr>
        <sz val="10"/>
        <rFont val="Arial"/>
        <family val="2"/>
      </rPr>
      <t>Si</t>
    </r>
    <r>
      <rPr>
        <vertAlign val="subscript"/>
        <sz val="10"/>
        <rFont val="Arial"/>
        <family val="2"/>
      </rPr>
      <t>6</t>
    </r>
  </si>
  <si>
    <t>(D6) Dodecamethylcyclohexasiloxane</t>
  </si>
  <si>
    <r>
      <t>C</t>
    </r>
    <r>
      <rPr>
        <vertAlign val="subscript"/>
        <sz val="10"/>
        <rFont val="Arial"/>
        <family val="2"/>
      </rPr>
      <t>6</t>
    </r>
    <r>
      <rPr>
        <sz val="10"/>
        <rFont val="Arial"/>
        <family val="2"/>
      </rPr>
      <t>H</t>
    </r>
    <r>
      <rPr>
        <vertAlign val="subscript"/>
        <sz val="10"/>
        <rFont val="Arial"/>
        <family val="2"/>
      </rPr>
      <t>18</t>
    </r>
    <r>
      <rPr>
        <sz val="10"/>
        <rFont val="Arial"/>
        <family val="2"/>
      </rPr>
      <t>O</t>
    </r>
    <r>
      <rPr>
        <sz val="10"/>
        <rFont val="Arial"/>
        <family val="2"/>
      </rPr>
      <t>Si</t>
    </r>
    <r>
      <rPr>
        <vertAlign val="subscript"/>
        <sz val="10"/>
        <rFont val="Arial"/>
        <family val="2"/>
      </rPr>
      <t>2</t>
    </r>
  </si>
  <si>
    <t>(L2) Hexamethyldisiloxane</t>
  </si>
  <si>
    <r>
      <t>C</t>
    </r>
    <r>
      <rPr>
        <vertAlign val="subscript"/>
        <sz val="10"/>
        <rFont val="Arial"/>
        <family val="2"/>
      </rPr>
      <t>8</t>
    </r>
    <r>
      <rPr>
        <sz val="10"/>
        <rFont val="Arial"/>
        <family val="2"/>
      </rPr>
      <t>H</t>
    </r>
    <r>
      <rPr>
        <vertAlign val="subscript"/>
        <sz val="10"/>
        <rFont val="Arial"/>
        <family val="2"/>
      </rPr>
      <t>24</t>
    </r>
    <r>
      <rPr>
        <sz val="10"/>
        <rFont val="Arial"/>
        <family val="2"/>
      </rPr>
      <t>O</t>
    </r>
    <r>
      <rPr>
        <vertAlign val="subscript"/>
        <sz val="10"/>
        <rFont val="Arial"/>
        <family val="2"/>
      </rPr>
      <t>2</t>
    </r>
    <r>
      <rPr>
        <sz val="10"/>
        <rFont val="Arial"/>
        <family val="2"/>
      </rPr>
      <t>Si</t>
    </r>
    <r>
      <rPr>
        <vertAlign val="subscript"/>
        <sz val="10"/>
        <rFont val="Arial"/>
        <family val="2"/>
      </rPr>
      <t>3</t>
    </r>
  </si>
  <si>
    <t>(L3) Octamethyltrisiloxane</t>
  </si>
  <si>
    <r>
      <t>C</t>
    </r>
    <r>
      <rPr>
        <vertAlign val="subscript"/>
        <sz val="10"/>
        <rFont val="Arial"/>
        <family val="2"/>
      </rPr>
      <t>10</t>
    </r>
    <r>
      <rPr>
        <sz val="10"/>
        <rFont val="Arial"/>
        <family val="2"/>
      </rPr>
      <t>H</t>
    </r>
    <r>
      <rPr>
        <vertAlign val="subscript"/>
        <sz val="10"/>
        <rFont val="Arial"/>
        <family val="2"/>
      </rPr>
      <t>30</t>
    </r>
    <r>
      <rPr>
        <sz val="10"/>
        <rFont val="Arial"/>
        <family val="2"/>
      </rPr>
      <t>O</t>
    </r>
    <r>
      <rPr>
        <vertAlign val="subscript"/>
        <sz val="10"/>
        <rFont val="Arial"/>
        <family val="2"/>
      </rPr>
      <t>3</t>
    </r>
    <r>
      <rPr>
        <sz val="10"/>
        <rFont val="Arial"/>
        <family val="2"/>
      </rPr>
      <t>Si</t>
    </r>
    <r>
      <rPr>
        <vertAlign val="subscript"/>
        <sz val="10"/>
        <rFont val="Arial"/>
        <family val="2"/>
      </rPr>
      <t>4</t>
    </r>
  </si>
  <si>
    <t>(L4) Decamethyltetrasiloxane</t>
  </si>
  <si>
    <r>
      <t>C</t>
    </r>
    <r>
      <rPr>
        <vertAlign val="subscript"/>
        <sz val="10"/>
        <rFont val="Arial"/>
        <family val="2"/>
      </rPr>
      <t>12</t>
    </r>
    <r>
      <rPr>
        <sz val="10"/>
        <rFont val="Arial"/>
        <family val="2"/>
      </rPr>
      <t>H</t>
    </r>
    <r>
      <rPr>
        <vertAlign val="subscript"/>
        <sz val="10"/>
        <rFont val="Arial"/>
        <family val="2"/>
      </rPr>
      <t>36</t>
    </r>
    <r>
      <rPr>
        <sz val="10"/>
        <rFont val="Arial"/>
        <family val="2"/>
      </rPr>
      <t>O</t>
    </r>
    <r>
      <rPr>
        <vertAlign val="subscript"/>
        <sz val="10"/>
        <rFont val="Arial"/>
        <family val="2"/>
      </rPr>
      <t>4</t>
    </r>
    <r>
      <rPr>
        <sz val="10"/>
        <rFont val="Arial"/>
        <family val="2"/>
      </rPr>
      <t>Si</t>
    </r>
    <r>
      <rPr>
        <vertAlign val="subscript"/>
        <sz val="10"/>
        <rFont val="Arial"/>
        <family val="2"/>
      </rPr>
      <t>5</t>
    </r>
  </si>
  <si>
    <t>(L5) Dodecamethylpentasiloxane</t>
  </si>
  <si>
    <r>
      <t>C</t>
    </r>
    <r>
      <rPr>
        <vertAlign val="subscript"/>
        <sz val="10"/>
        <rFont val="Arial"/>
        <family val="2"/>
      </rPr>
      <t>4</t>
    </r>
    <r>
      <rPr>
        <sz val="10"/>
        <rFont val="Arial"/>
        <family val="2"/>
      </rPr>
      <t>H</t>
    </r>
    <r>
      <rPr>
        <vertAlign val="subscript"/>
        <sz val="10"/>
        <rFont val="Arial"/>
        <family val="2"/>
      </rPr>
      <t>12</t>
    </r>
    <r>
      <rPr>
        <sz val="10"/>
        <rFont val="Arial"/>
        <family val="2"/>
      </rPr>
      <t>Si</t>
    </r>
  </si>
  <si>
    <t>(TMS) Tetramethylsilane</t>
  </si>
  <si>
    <r>
      <t>C</t>
    </r>
    <r>
      <rPr>
        <vertAlign val="subscript"/>
        <sz val="10"/>
        <rFont val="Arial"/>
        <family val="2"/>
      </rPr>
      <t>3</t>
    </r>
    <r>
      <rPr>
        <sz val="10"/>
        <rFont val="Arial"/>
        <family val="2"/>
      </rPr>
      <t>H</t>
    </r>
    <r>
      <rPr>
        <vertAlign val="subscript"/>
        <sz val="10"/>
        <rFont val="Arial"/>
        <family val="2"/>
      </rPr>
      <t>10</t>
    </r>
    <r>
      <rPr>
        <sz val="10"/>
        <rFont val="Arial"/>
        <family val="2"/>
      </rPr>
      <t>OSi</t>
    </r>
  </si>
  <si>
    <t>(TMS) Trimethylsilanol</t>
  </si>
  <si>
    <t>Total Organosilicons (µg-Si/Nm3)</t>
  </si>
  <si>
    <t>&lt; 145*</t>
  </si>
  <si>
    <t xml:space="preserve">Aggregate of 10 dairy manure biogas sites in the United States. </t>
  </si>
  <si>
    <t>blank = no data</t>
  </si>
  <si>
    <t xml:space="preserve">Adsorption on XAD-2 resin followed by GC-MS. </t>
  </si>
  <si>
    <t>10 L Tedlar sampling. Trace compounds: GC-MS identification, GC-FID quantification</t>
  </si>
  <si>
    <t>MW (g/mol)</t>
  </si>
  <si>
    <t>min      (mg/Nm3)</t>
  </si>
  <si>
    <t>max            (mg/Nm3)</t>
  </si>
  <si>
    <t>Average (mg/Nm3)</t>
  </si>
  <si>
    <t>STD (mg/Nm3)</t>
  </si>
  <si>
    <t>Alcohol</t>
  </si>
  <si>
    <t>CH4O</t>
  </si>
  <si>
    <t>Methanol</t>
  </si>
  <si>
    <r>
      <t>C</t>
    </r>
    <r>
      <rPr>
        <vertAlign val="subscript"/>
        <sz val="10"/>
        <rFont val="Arial"/>
        <family val="2"/>
      </rPr>
      <t>2</t>
    </r>
    <r>
      <rPr>
        <sz val="10"/>
        <rFont val="Arial"/>
        <family val="2"/>
      </rPr>
      <t>H</t>
    </r>
    <r>
      <rPr>
        <vertAlign val="subscript"/>
        <sz val="10"/>
        <rFont val="Arial"/>
        <family val="2"/>
      </rPr>
      <t>6</t>
    </r>
    <r>
      <rPr>
        <sz val="10"/>
        <rFont val="Arial"/>
        <family val="2"/>
      </rPr>
      <t>O</t>
    </r>
  </si>
  <si>
    <t>Ethanol</t>
  </si>
  <si>
    <r>
      <t>C</t>
    </r>
    <r>
      <rPr>
        <vertAlign val="subscript"/>
        <sz val="10"/>
        <rFont val="Arial"/>
        <family val="2"/>
      </rPr>
      <t>3</t>
    </r>
    <r>
      <rPr>
        <sz val="10"/>
        <rFont val="Arial"/>
        <family val="2"/>
      </rPr>
      <t>H</t>
    </r>
    <r>
      <rPr>
        <vertAlign val="subscript"/>
        <sz val="10"/>
        <rFont val="Arial"/>
        <family val="2"/>
      </rPr>
      <t>8</t>
    </r>
    <r>
      <rPr>
        <sz val="10"/>
        <rFont val="Arial"/>
        <family val="2"/>
      </rPr>
      <t>O</t>
    </r>
  </si>
  <si>
    <t>1-Propanol</t>
  </si>
  <si>
    <t xml:space="preserve">2-Propanol (Isopropyl alcohol) </t>
  </si>
  <si>
    <r>
      <t>C</t>
    </r>
    <r>
      <rPr>
        <vertAlign val="subscript"/>
        <sz val="10"/>
        <rFont val="Arial"/>
        <family val="2"/>
      </rPr>
      <t>4</t>
    </r>
    <r>
      <rPr>
        <sz val="10"/>
        <rFont val="Arial"/>
        <family val="2"/>
      </rPr>
      <t>H</t>
    </r>
    <r>
      <rPr>
        <vertAlign val="subscript"/>
        <sz val="10"/>
        <rFont val="Arial"/>
        <family val="2"/>
      </rPr>
      <t>10</t>
    </r>
    <r>
      <rPr>
        <sz val="10"/>
        <rFont val="Arial"/>
        <family val="2"/>
      </rPr>
      <t>O</t>
    </r>
  </si>
  <si>
    <t>2-butanol</t>
  </si>
  <si>
    <t>C5H12O</t>
  </si>
  <si>
    <t>2-methyl-1-butanol</t>
  </si>
  <si>
    <t>C6H6O</t>
  </si>
  <si>
    <t>Phenol</t>
  </si>
  <si>
    <t>Acohol</t>
  </si>
  <si>
    <t>C7H8O</t>
  </si>
  <si>
    <t>Benzyl Alcohol</t>
  </si>
  <si>
    <t>3,4-Methylphenol (o,p-cresol)</t>
  </si>
  <si>
    <t>Aldehyde</t>
  </si>
  <si>
    <r>
      <t>CH</t>
    </r>
    <r>
      <rPr>
        <vertAlign val="subscript"/>
        <sz val="10"/>
        <rFont val="Arial"/>
        <family val="2"/>
      </rPr>
      <t>2</t>
    </r>
    <r>
      <rPr>
        <sz val="10"/>
        <rFont val="Arial"/>
        <family val="2"/>
      </rPr>
      <t>O</t>
    </r>
  </si>
  <si>
    <t>Formaldehyde</t>
  </si>
  <si>
    <r>
      <t>C</t>
    </r>
    <r>
      <rPr>
        <vertAlign val="subscript"/>
        <sz val="10"/>
        <rFont val="Arial"/>
        <family val="2"/>
      </rPr>
      <t>2</t>
    </r>
    <r>
      <rPr>
        <sz val="10"/>
        <rFont val="Arial"/>
        <family val="2"/>
      </rPr>
      <t>H</t>
    </r>
    <r>
      <rPr>
        <vertAlign val="subscript"/>
        <sz val="10"/>
        <rFont val="Arial"/>
        <family val="2"/>
      </rPr>
      <t>4</t>
    </r>
    <r>
      <rPr>
        <sz val="10"/>
        <rFont val="Arial"/>
        <family val="2"/>
      </rPr>
      <t>O</t>
    </r>
  </si>
  <si>
    <t>Acetaldehyde</t>
  </si>
  <si>
    <t>Acetal</t>
  </si>
  <si>
    <r>
      <t>C</t>
    </r>
    <r>
      <rPr>
        <vertAlign val="subscript"/>
        <sz val="10"/>
        <rFont val="Arial"/>
        <family val="2"/>
      </rPr>
      <t>3</t>
    </r>
    <r>
      <rPr>
        <sz val="10"/>
        <rFont val="Arial"/>
        <family val="2"/>
      </rPr>
      <t>H</t>
    </r>
    <r>
      <rPr>
        <vertAlign val="subscript"/>
        <sz val="10"/>
        <rFont val="Arial"/>
        <family val="2"/>
      </rPr>
      <t>8</t>
    </r>
    <r>
      <rPr>
        <sz val="10"/>
        <rFont val="Arial"/>
        <family val="2"/>
      </rPr>
      <t>O</t>
    </r>
    <r>
      <rPr>
        <vertAlign val="subscript"/>
        <sz val="10"/>
        <rFont val="Arial"/>
        <family val="2"/>
      </rPr>
      <t>2</t>
    </r>
  </si>
  <si>
    <t>Dimethoxy methane (Methylal)</t>
  </si>
  <si>
    <t>Ester</t>
  </si>
  <si>
    <r>
      <t>C</t>
    </r>
    <r>
      <rPr>
        <vertAlign val="subscript"/>
        <sz val="10"/>
        <rFont val="Arial"/>
        <family val="2"/>
      </rPr>
      <t>3</t>
    </r>
    <r>
      <rPr>
        <sz val="10"/>
        <rFont val="Arial"/>
        <family val="2"/>
      </rPr>
      <t>H</t>
    </r>
    <r>
      <rPr>
        <vertAlign val="subscript"/>
        <sz val="10"/>
        <rFont val="Arial"/>
        <family val="2"/>
      </rPr>
      <t>6</t>
    </r>
    <r>
      <rPr>
        <sz val="10"/>
        <rFont val="Arial"/>
        <family val="2"/>
      </rPr>
      <t>O</t>
    </r>
    <r>
      <rPr>
        <vertAlign val="subscript"/>
        <sz val="10"/>
        <rFont val="Arial"/>
        <family val="2"/>
      </rPr>
      <t>2</t>
    </r>
  </si>
  <si>
    <t>Methyl acetate (methyl ester)</t>
  </si>
  <si>
    <r>
      <t>C</t>
    </r>
    <r>
      <rPr>
        <vertAlign val="subscript"/>
        <sz val="10"/>
        <rFont val="Arial"/>
        <family val="2"/>
      </rPr>
      <t>4</t>
    </r>
    <r>
      <rPr>
        <sz val="10"/>
        <rFont val="Arial"/>
        <family val="2"/>
      </rPr>
      <t>H</t>
    </r>
    <r>
      <rPr>
        <vertAlign val="subscript"/>
        <sz val="10"/>
        <rFont val="Arial"/>
        <family val="2"/>
      </rPr>
      <t>6</t>
    </r>
    <r>
      <rPr>
        <sz val="10"/>
        <rFont val="Arial"/>
        <family val="2"/>
      </rPr>
      <t>O</t>
    </r>
    <r>
      <rPr>
        <vertAlign val="subscript"/>
        <sz val="10"/>
        <rFont val="Arial"/>
        <family val="2"/>
      </rPr>
      <t>2</t>
    </r>
  </si>
  <si>
    <t>Vinyl acetate</t>
  </si>
  <si>
    <r>
      <t>C</t>
    </r>
    <r>
      <rPr>
        <vertAlign val="subscript"/>
        <sz val="10"/>
        <rFont val="Arial"/>
        <family val="2"/>
      </rPr>
      <t>4</t>
    </r>
    <r>
      <rPr>
        <sz val="10"/>
        <rFont val="Arial"/>
        <family val="2"/>
      </rPr>
      <t>H</t>
    </r>
    <r>
      <rPr>
        <vertAlign val="subscript"/>
        <sz val="10"/>
        <rFont val="Arial"/>
        <family val="2"/>
      </rPr>
      <t>8</t>
    </r>
    <r>
      <rPr>
        <sz val="10"/>
        <rFont val="Arial"/>
        <family val="2"/>
      </rPr>
      <t>O</t>
    </r>
    <r>
      <rPr>
        <vertAlign val="subscript"/>
        <sz val="10"/>
        <rFont val="Arial"/>
        <family val="2"/>
      </rPr>
      <t>2</t>
    </r>
  </si>
  <si>
    <t>Methyl propanoate</t>
  </si>
  <si>
    <t>Ethyl acetate</t>
  </si>
  <si>
    <r>
      <t>C</t>
    </r>
    <r>
      <rPr>
        <vertAlign val="subscript"/>
        <sz val="10"/>
        <rFont val="Arial"/>
        <family val="2"/>
      </rPr>
      <t>5</t>
    </r>
    <r>
      <rPr>
        <sz val="10"/>
        <rFont val="Arial"/>
        <family val="2"/>
      </rPr>
      <t>H</t>
    </r>
    <r>
      <rPr>
        <vertAlign val="subscript"/>
        <sz val="10"/>
        <rFont val="Arial"/>
        <family val="2"/>
      </rPr>
      <t>10</t>
    </r>
    <r>
      <rPr>
        <sz val="10"/>
        <rFont val="Arial"/>
        <family val="2"/>
      </rPr>
      <t>O</t>
    </r>
    <r>
      <rPr>
        <vertAlign val="subscript"/>
        <sz val="10"/>
        <rFont val="Arial"/>
        <family val="2"/>
      </rPr>
      <t>2</t>
    </r>
  </si>
  <si>
    <t>Methyl Butanoate (Butanoic acid)</t>
  </si>
  <si>
    <t>Methyl isobutanoate</t>
  </si>
  <si>
    <t>Ethyl propanoate (Propanoic acid)</t>
  </si>
  <si>
    <t xml:space="preserve">Isopropyl acetate </t>
  </si>
  <si>
    <r>
      <t>C</t>
    </r>
    <r>
      <rPr>
        <vertAlign val="subscript"/>
        <sz val="10"/>
        <rFont val="Arial"/>
        <family val="2"/>
      </rPr>
      <t>6</t>
    </r>
    <r>
      <rPr>
        <sz val="10"/>
        <rFont val="Arial"/>
        <family val="2"/>
      </rPr>
      <t>H</t>
    </r>
    <r>
      <rPr>
        <vertAlign val="subscript"/>
        <sz val="10"/>
        <rFont val="Arial"/>
        <family val="2"/>
      </rPr>
      <t>12</t>
    </r>
    <r>
      <rPr>
        <sz val="10"/>
        <rFont val="Arial"/>
        <family val="2"/>
      </rPr>
      <t>O</t>
    </r>
    <r>
      <rPr>
        <vertAlign val="subscript"/>
        <sz val="10"/>
        <rFont val="Arial"/>
        <family val="2"/>
      </rPr>
      <t>2</t>
    </r>
  </si>
  <si>
    <t>Butyl acetate</t>
  </si>
  <si>
    <t>Ethyl butanoate (Butanoic acid)</t>
  </si>
  <si>
    <t>Methyl pentanoate</t>
  </si>
  <si>
    <r>
      <t>C</t>
    </r>
    <r>
      <rPr>
        <vertAlign val="subscript"/>
        <sz val="10"/>
        <rFont val="Arial"/>
        <family val="2"/>
      </rPr>
      <t>7</t>
    </r>
    <r>
      <rPr>
        <sz val="10"/>
        <rFont val="Arial"/>
        <family val="2"/>
      </rPr>
      <t>H</t>
    </r>
    <r>
      <rPr>
        <vertAlign val="subscript"/>
        <sz val="10"/>
        <rFont val="Arial"/>
        <family val="2"/>
      </rPr>
      <t>14</t>
    </r>
    <r>
      <rPr>
        <sz val="10"/>
        <rFont val="Arial"/>
        <family val="2"/>
      </rPr>
      <t>O</t>
    </r>
    <r>
      <rPr>
        <vertAlign val="subscript"/>
        <sz val="10"/>
        <rFont val="Arial"/>
        <family val="2"/>
      </rPr>
      <t>2</t>
    </r>
  </si>
  <si>
    <t>Ethyl pentanoate (Pentanoic acid)</t>
  </si>
  <si>
    <t>Methyl hexanoate (Hexanoic acid)</t>
  </si>
  <si>
    <t>Isopropyl butanoate (1-methylethyl ester)</t>
  </si>
  <si>
    <t>Propyl butanoate</t>
  </si>
  <si>
    <t>Butyl Propanoate (Propanoic acid)</t>
  </si>
  <si>
    <r>
      <t>C</t>
    </r>
    <r>
      <rPr>
        <vertAlign val="subscript"/>
        <sz val="10"/>
        <rFont val="Arial"/>
        <family val="2"/>
      </rPr>
      <t>8</t>
    </r>
    <r>
      <rPr>
        <sz val="10"/>
        <rFont val="Arial"/>
        <family val="2"/>
      </rPr>
      <t>H</t>
    </r>
    <r>
      <rPr>
        <vertAlign val="subscript"/>
        <sz val="10"/>
        <rFont val="Arial"/>
        <family val="2"/>
      </rPr>
      <t>16</t>
    </r>
    <r>
      <rPr>
        <sz val="10"/>
        <rFont val="Arial"/>
        <family val="2"/>
      </rPr>
      <t>O</t>
    </r>
    <r>
      <rPr>
        <vertAlign val="subscript"/>
        <sz val="10"/>
        <rFont val="Arial"/>
        <family val="2"/>
      </rPr>
      <t>2</t>
    </r>
  </si>
  <si>
    <t>Ethyl hexanoate (Hexanoic acid)</t>
  </si>
  <si>
    <r>
      <t>C</t>
    </r>
    <r>
      <rPr>
        <vertAlign val="subscript"/>
        <sz val="10"/>
        <rFont val="Arial"/>
        <family val="2"/>
      </rPr>
      <t>12</t>
    </r>
    <r>
      <rPr>
        <sz val="10"/>
        <rFont val="Arial"/>
        <family val="2"/>
      </rPr>
      <t>H</t>
    </r>
    <r>
      <rPr>
        <vertAlign val="subscript"/>
        <sz val="10"/>
        <rFont val="Arial"/>
        <family val="2"/>
      </rPr>
      <t>18</t>
    </r>
    <r>
      <rPr>
        <sz val="10"/>
        <rFont val="Arial"/>
        <family val="2"/>
      </rPr>
      <t>O</t>
    </r>
    <r>
      <rPr>
        <vertAlign val="subscript"/>
        <sz val="10"/>
        <rFont val="Arial"/>
        <family val="2"/>
      </rPr>
      <t>2</t>
    </r>
  </si>
  <si>
    <t>Sabinyl acetate</t>
  </si>
  <si>
    <r>
      <t>C</t>
    </r>
    <r>
      <rPr>
        <vertAlign val="subscript"/>
        <sz val="10"/>
        <rFont val="Arial"/>
        <family val="2"/>
      </rPr>
      <t>12</t>
    </r>
    <r>
      <rPr>
        <sz val="10"/>
        <rFont val="Arial"/>
        <family val="2"/>
      </rPr>
      <t>H</t>
    </r>
    <r>
      <rPr>
        <vertAlign val="subscript"/>
        <sz val="10"/>
        <rFont val="Arial"/>
        <family val="2"/>
      </rPr>
      <t>14</t>
    </r>
    <r>
      <rPr>
        <sz val="10"/>
        <rFont val="Arial"/>
        <family val="2"/>
      </rPr>
      <t>O</t>
    </r>
    <r>
      <rPr>
        <vertAlign val="subscript"/>
        <sz val="10"/>
        <rFont val="Arial"/>
        <family val="2"/>
      </rPr>
      <t>4</t>
    </r>
  </si>
  <si>
    <t>Diethylphthalate</t>
  </si>
  <si>
    <r>
      <t>C</t>
    </r>
    <r>
      <rPr>
        <vertAlign val="subscript"/>
        <sz val="10"/>
        <rFont val="Arial"/>
        <family val="2"/>
      </rPr>
      <t>16</t>
    </r>
    <r>
      <rPr>
        <sz val="10"/>
        <rFont val="Arial"/>
        <family val="2"/>
      </rPr>
      <t>H</t>
    </r>
    <r>
      <rPr>
        <vertAlign val="subscript"/>
        <sz val="10"/>
        <rFont val="Arial"/>
        <family val="2"/>
      </rPr>
      <t>22</t>
    </r>
    <r>
      <rPr>
        <sz val="10"/>
        <rFont val="Arial"/>
        <family val="2"/>
      </rPr>
      <t>O</t>
    </r>
    <r>
      <rPr>
        <vertAlign val="subscript"/>
        <sz val="10"/>
        <rFont val="Arial"/>
        <family val="2"/>
      </rPr>
      <t>4</t>
    </r>
  </si>
  <si>
    <t>Di-n-butylphthalate</t>
  </si>
  <si>
    <r>
      <t>C</t>
    </r>
    <r>
      <rPr>
        <vertAlign val="subscript"/>
        <sz val="10"/>
        <rFont val="Arial"/>
        <family val="2"/>
      </rPr>
      <t>24</t>
    </r>
    <r>
      <rPr>
        <sz val="10"/>
        <rFont val="Arial"/>
        <family val="2"/>
      </rPr>
      <t>H</t>
    </r>
    <r>
      <rPr>
        <vertAlign val="subscript"/>
        <sz val="10"/>
        <rFont val="Arial"/>
        <family val="2"/>
      </rPr>
      <t>38</t>
    </r>
    <r>
      <rPr>
        <sz val="10"/>
        <rFont val="Arial"/>
        <family val="2"/>
      </rPr>
      <t>O</t>
    </r>
    <r>
      <rPr>
        <vertAlign val="subscript"/>
        <sz val="10"/>
        <rFont val="Arial"/>
        <family val="2"/>
      </rPr>
      <t>4</t>
    </r>
  </si>
  <si>
    <t>Bis(2-ethylhexyl)phthalate</t>
  </si>
  <si>
    <t>Ether</t>
  </si>
  <si>
    <t>Dimethyl ether</t>
  </si>
  <si>
    <t>Diethyl ether (Ethoxy ethane)</t>
  </si>
  <si>
    <r>
      <t>C</t>
    </r>
    <r>
      <rPr>
        <vertAlign val="subscript"/>
        <sz val="10"/>
        <rFont val="Arial"/>
        <family val="2"/>
      </rPr>
      <t>5</t>
    </r>
    <r>
      <rPr>
        <sz val="10"/>
        <rFont val="Arial"/>
        <family val="2"/>
      </rPr>
      <t>H</t>
    </r>
    <r>
      <rPr>
        <vertAlign val="subscript"/>
        <sz val="10"/>
        <rFont val="Arial"/>
        <family val="2"/>
      </rPr>
      <t>12</t>
    </r>
    <r>
      <rPr>
        <sz val="10"/>
        <rFont val="Arial"/>
        <family val="2"/>
      </rPr>
      <t>O</t>
    </r>
  </si>
  <si>
    <t xml:space="preserve">2-methoxy-2-methyl-propane (Methyl tert-butyl ether) </t>
  </si>
  <si>
    <t>Ketone</t>
  </si>
  <si>
    <r>
      <t>C</t>
    </r>
    <r>
      <rPr>
        <vertAlign val="subscript"/>
        <sz val="10"/>
        <rFont val="Arial"/>
        <family val="2"/>
      </rPr>
      <t>3</t>
    </r>
    <r>
      <rPr>
        <sz val="10"/>
        <rFont val="Arial"/>
        <family val="2"/>
      </rPr>
      <t>H</t>
    </r>
    <r>
      <rPr>
        <vertAlign val="subscript"/>
        <sz val="10"/>
        <rFont val="Arial"/>
        <family val="2"/>
      </rPr>
      <t>6</t>
    </r>
    <r>
      <rPr>
        <sz val="10"/>
        <rFont val="Arial"/>
        <family val="2"/>
      </rPr>
      <t>O</t>
    </r>
  </si>
  <si>
    <t>Acetone</t>
  </si>
  <si>
    <r>
      <t>C</t>
    </r>
    <r>
      <rPr>
        <vertAlign val="subscript"/>
        <sz val="10"/>
        <rFont val="Arial"/>
        <family val="2"/>
      </rPr>
      <t>4</t>
    </r>
    <r>
      <rPr>
        <sz val="10"/>
        <rFont val="Arial"/>
        <family val="2"/>
      </rPr>
      <t>H</t>
    </r>
    <r>
      <rPr>
        <vertAlign val="subscript"/>
        <sz val="10"/>
        <rFont val="Arial"/>
        <family val="2"/>
      </rPr>
      <t>8</t>
    </r>
    <r>
      <rPr>
        <sz val="10"/>
        <rFont val="Arial"/>
        <family val="2"/>
      </rPr>
      <t>O</t>
    </r>
  </si>
  <si>
    <t xml:space="preserve">2-Butanone (Methyl ethyl ketone) </t>
  </si>
  <si>
    <r>
      <t>C</t>
    </r>
    <r>
      <rPr>
        <vertAlign val="subscript"/>
        <sz val="10"/>
        <rFont val="Arial"/>
        <family val="2"/>
      </rPr>
      <t>5</t>
    </r>
    <r>
      <rPr>
        <sz val="10"/>
        <rFont val="Arial"/>
        <family val="2"/>
      </rPr>
      <t>H</t>
    </r>
    <r>
      <rPr>
        <vertAlign val="subscript"/>
        <sz val="10"/>
        <rFont val="Arial"/>
        <family val="2"/>
      </rPr>
      <t>10</t>
    </r>
    <r>
      <rPr>
        <sz val="10"/>
        <rFont val="Arial"/>
        <family val="2"/>
      </rPr>
      <t>O</t>
    </r>
  </si>
  <si>
    <t>2-Pentanone</t>
  </si>
  <si>
    <t>3-Pentanone</t>
  </si>
  <si>
    <r>
      <t>C</t>
    </r>
    <r>
      <rPr>
        <vertAlign val="subscript"/>
        <sz val="10"/>
        <rFont val="Arial"/>
        <family val="2"/>
      </rPr>
      <t>6</t>
    </r>
    <r>
      <rPr>
        <sz val="10"/>
        <rFont val="Arial"/>
        <family val="2"/>
      </rPr>
      <t>H</t>
    </r>
    <r>
      <rPr>
        <vertAlign val="subscript"/>
        <sz val="10"/>
        <rFont val="Arial"/>
        <family val="2"/>
      </rPr>
      <t>12</t>
    </r>
    <r>
      <rPr>
        <sz val="10"/>
        <rFont val="Arial"/>
        <family val="2"/>
      </rPr>
      <t>O</t>
    </r>
  </si>
  <si>
    <t xml:space="preserve">2-Hexanone (Methyl butyl ketone) </t>
  </si>
  <si>
    <t xml:space="preserve">4-Methyl-2-pentanone (Methylisobutyl ketone) </t>
  </si>
  <si>
    <r>
      <t>C</t>
    </r>
    <r>
      <rPr>
        <vertAlign val="subscript"/>
        <sz val="10"/>
        <rFont val="Arial"/>
        <family val="2"/>
      </rPr>
      <t>10</t>
    </r>
    <r>
      <rPr>
        <sz val="10"/>
        <rFont val="Arial"/>
        <family val="2"/>
      </rPr>
      <t>H</t>
    </r>
    <r>
      <rPr>
        <vertAlign val="subscript"/>
        <sz val="10"/>
        <rFont val="Arial"/>
        <family val="2"/>
      </rPr>
      <t>18</t>
    </r>
    <r>
      <rPr>
        <sz val="10"/>
        <rFont val="Arial"/>
        <family val="2"/>
      </rPr>
      <t>O</t>
    </r>
  </si>
  <si>
    <t>Thujone (alfa, beta)</t>
  </si>
  <si>
    <t>Cyclohexanone (Carvomenthone)</t>
  </si>
  <si>
    <r>
      <t>C</t>
    </r>
    <r>
      <rPr>
        <vertAlign val="subscript"/>
        <sz val="10"/>
        <rFont val="Arial"/>
        <family val="2"/>
      </rPr>
      <t>7</t>
    </r>
    <r>
      <rPr>
        <sz val="10"/>
        <rFont val="Arial"/>
        <family val="2"/>
      </rPr>
      <t>H</t>
    </r>
    <r>
      <rPr>
        <vertAlign val="subscript"/>
        <sz val="10"/>
        <rFont val="Arial"/>
        <family val="2"/>
      </rPr>
      <t>14</t>
    </r>
    <r>
      <rPr>
        <sz val="10"/>
        <rFont val="Arial"/>
        <family val="2"/>
      </rPr>
      <t>O</t>
    </r>
  </si>
  <si>
    <t>2-Heptanone</t>
  </si>
  <si>
    <t>Oxygenate</t>
  </si>
  <si>
    <t>1,3-Dioxolane</t>
  </si>
  <si>
    <r>
      <t>C</t>
    </r>
    <r>
      <rPr>
        <vertAlign val="subscript"/>
        <sz val="10"/>
        <rFont val="Arial"/>
        <family val="2"/>
      </rPr>
      <t>4</t>
    </r>
    <r>
      <rPr>
        <sz val="10"/>
        <rFont val="Arial"/>
        <family val="2"/>
      </rPr>
      <t>H</t>
    </r>
    <r>
      <rPr>
        <vertAlign val="subscript"/>
        <sz val="10"/>
        <rFont val="Arial"/>
        <family val="2"/>
      </rPr>
      <t>4</t>
    </r>
    <r>
      <rPr>
        <sz val="10"/>
        <rFont val="Arial"/>
        <family val="2"/>
      </rPr>
      <t>O</t>
    </r>
  </si>
  <si>
    <t>Furan</t>
  </si>
  <si>
    <t xml:space="preserve">Tetrahydrofuran (Diethylene oxide) </t>
  </si>
  <si>
    <t>1,4-Dioxane</t>
  </si>
  <si>
    <r>
      <t>C</t>
    </r>
    <r>
      <rPr>
        <vertAlign val="subscript"/>
        <sz val="10"/>
        <rFont val="Arial"/>
        <family val="2"/>
      </rPr>
      <t>5</t>
    </r>
    <r>
      <rPr>
        <sz val="10"/>
        <rFont val="Arial"/>
        <family val="2"/>
      </rPr>
      <t>H</t>
    </r>
    <r>
      <rPr>
        <vertAlign val="subscript"/>
        <sz val="10"/>
        <rFont val="Arial"/>
        <family val="2"/>
      </rPr>
      <t>6</t>
    </r>
    <r>
      <rPr>
        <sz val="10"/>
        <rFont val="Arial"/>
        <family val="2"/>
      </rPr>
      <t>O</t>
    </r>
  </si>
  <si>
    <t>3-Methylfuran</t>
  </si>
  <si>
    <t>2-Methylfuran</t>
  </si>
  <si>
    <r>
      <t>C</t>
    </r>
    <r>
      <rPr>
        <vertAlign val="subscript"/>
        <sz val="10"/>
        <rFont val="Arial"/>
        <family val="2"/>
      </rPr>
      <t>6</t>
    </r>
    <r>
      <rPr>
        <sz val="10"/>
        <rFont val="Arial"/>
        <family val="2"/>
      </rPr>
      <t>H</t>
    </r>
    <r>
      <rPr>
        <vertAlign val="subscript"/>
        <sz val="10"/>
        <rFont val="Arial"/>
        <family val="2"/>
      </rPr>
      <t>8</t>
    </r>
    <r>
      <rPr>
        <sz val="10"/>
        <rFont val="Arial"/>
        <family val="2"/>
      </rPr>
      <t>O</t>
    </r>
  </si>
  <si>
    <t>2,5-Dimethylfuran</t>
  </si>
  <si>
    <t>C6H8O</t>
  </si>
  <si>
    <t>2-Ethylfuran</t>
  </si>
  <si>
    <t>C9H14O</t>
  </si>
  <si>
    <t>2-Pentylfuran</t>
  </si>
  <si>
    <t>Total Oxygenates (mg/Nm3)</t>
  </si>
  <si>
    <t>xx</t>
  </si>
  <si>
    <t>Alkanes</t>
  </si>
  <si>
    <r>
      <t>C</t>
    </r>
    <r>
      <rPr>
        <vertAlign val="subscript"/>
        <sz val="10"/>
        <rFont val="Arial"/>
        <family val="2"/>
      </rPr>
      <t>2</t>
    </r>
    <r>
      <rPr>
        <sz val="10"/>
        <rFont val="Arial"/>
        <family val="2"/>
      </rPr>
      <t>H</t>
    </r>
    <r>
      <rPr>
        <vertAlign val="subscript"/>
        <sz val="10"/>
        <rFont val="Arial"/>
        <family val="2"/>
      </rPr>
      <t>6</t>
    </r>
  </si>
  <si>
    <t>Ethane</t>
  </si>
  <si>
    <r>
      <t>C</t>
    </r>
    <r>
      <rPr>
        <vertAlign val="subscript"/>
        <sz val="10"/>
        <rFont val="Arial"/>
        <family val="2"/>
      </rPr>
      <t>3</t>
    </r>
    <r>
      <rPr>
        <sz val="10"/>
        <rFont val="Arial"/>
        <family val="2"/>
      </rPr>
      <t>H</t>
    </r>
    <r>
      <rPr>
        <vertAlign val="subscript"/>
        <sz val="10"/>
        <rFont val="Arial"/>
        <family val="2"/>
      </rPr>
      <t>8</t>
    </r>
  </si>
  <si>
    <t xml:space="preserve">Propane </t>
  </si>
  <si>
    <r>
      <t>C</t>
    </r>
    <r>
      <rPr>
        <vertAlign val="subscript"/>
        <sz val="10"/>
        <rFont val="Arial"/>
        <family val="2"/>
      </rPr>
      <t>4</t>
    </r>
    <r>
      <rPr>
        <sz val="10"/>
        <rFont val="Arial"/>
        <family val="2"/>
      </rPr>
      <t>H</t>
    </r>
    <r>
      <rPr>
        <vertAlign val="subscript"/>
        <sz val="10"/>
        <rFont val="Arial"/>
        <family val="2"/>
      </rPr>
      <t>10</t>
    </r>
  </si>
  <si>
    <t>2-Methylpropane (Isobutane)</t>
  </si>
  <si>
    <t>Butane</t>
  </si>
  <si>
    <r>
      <t>C</t>
    </r>
    <r>
      <rPr>
        <vertAlign val="subscript"/>
        <sz val="10"/>
        <rFont val="Arial"/>
        <family val="2"/>
      </rPr>
      <t>5</t>
    </r>
    <r>
      <rPr>
        <sz val="10"/>
        <rFont val="Arial"/>
        <family val="2"/>
      </rPr>
      <t>H</t>
    </r>
    <r>
      <rPr>
        <vertAlign val="subscript"/>
        <sz val="10"/>
        <rFont val="Arial"/>
        <family val="2"/>
      </rPr>
      <t>12</t>
    </r>
  </si>
  <si>
    <t>2,2-Dimethylpropane</t>
  </si>
  <si>
    <t>2-Methylbutane (Isopentane)</t>
  </si>
  <si>
    <t xml:space="preserve">Pentane </t>
  </si>
  <si>
    <r>
      <t>C</t>
    </r>
    <r>
      <rPr>
        <vertAlign val="subscript"/>
        <sz val="10"/>
        <rFont val="Arial"/>
        <family val="2"/>
      </rPr>
      <t>6</t>
    </r>
    <r>
      <rPr>
        <sz val="10"/>
        <rFont val="Arial"/>
        <family val="2"/>
      </rPr>
      <t>H</t>
    </r>
    <r>
      <rPr>
        <vertAlign val="subscript"/>
        <sz val="10"/>
        <rFont val="Arial"/>
        <family val="2"/>
      </rPr>
      <t>14</t>
    </r>
  </si>
  <si>
    <t>2,2-Dimethylbutane</t>
  </si>
  <si>
    <t>2,3-Dimethylbutane</t>
  </si>
  <si>
    <t xml:space="preserve">2-Methylpentane </t>
  </si>
  <si>
    <t xml:space="preserve">3-Methylpentane </t>
  </si>
  <si>
    <t xml:space="preserve">Hexane </t>
  </si>
  <si>
    <r>
      <t>C</t>
    </r>
    <r>
      <rPr>
        <vertAlign val="subscript"/>
        <sz val="10"/>
        <rFont val="Arial"/>
        <family val="2"/>
      </rPr>
      <t>7</t>
    </r>
    <r>
      <rPr>
        <sz val="10"/>
        <rFont val="Arial"/>
        <family val="2"/>
      </rPr>
      <t>H</t>
    </r>
    <r>
      <rPr>
        <vertAlign val="subscript"/>
        <sz val="10"/>
        <rFont val="Arial"/>
        <family val="2"/>
      </rPr>
      <t>16</t>
    </r>
  </si>
  <si>
    <t>2,2-Dimethylpentane</t>
  </si>
  <si>
    <t>2,3-Dimethylpentane</t>
  </si>
  <si>
    <t>2,4-Dimethylpentane</t>
  </si>
  <si>
    <t>2,2,3-Trimethylbutane</t>
  </si>
  <si>
    <t>2-Methylhexane</t>
  </si>
  <si>
    <t>3-Methylhexane</t>
  </si>
  <si>
    <t>Heptane</t>
  </si>
  <si>
    <r>
      <t>C</t>
    </r>
    <r>
      <rPr>
        <vertAlign val="subscript"/>
        <sz val="10"/>
        <rFont val="Arial"/>
        <family val="2"/>
      </rPr>
      <t>8</t>
    </r>
    <r>
      <rPr>
        <sz val="10"/>
        <rFont val="Arial"/>
        <family val="2"/>
      </rPr>
      <t>H</t>
    </r>
    <r>
      <rPr>
        <vertAlign val="subscript"/>
        <sz val="10"/>
        <rFont val="Arial"/>
        <family val="2"/>
      </rPr>
      <t>18</t>
    </r>
  </si>
  <si>
    <t>2,2,4-Trimethylpentane</t>
  </si>
  <si>
    <t xml:space="preserve">2,3,4-Trimethylpentane </t>
  </si>
  <si>
    <t xml:space="preserve">2,2-Dimethylhexane </t>
  </si>
  <si>
    <t xml:space="preserve">2,4-Dimethylhexane </t>
  </si>
  <si>
    <t xml:space="preserve">2,5-Dimethylhexane </t>
  </si>
  <si>
    <t>2-Methylheptane</t>
  </si>
  <si>
    <t>3-Methylheptane</t>
  </si>
  <si>
    <t>4-Methylheptane</t>
  </si>
  <si>
    <t>Octane</t>
  </si>
  <si>
    <r>
      <t>C</t>
    </r>
    <r>
      <rPr>
        <vertAlign val="subscript"/>
        <sz val="10"/>
        <rFont val="Arial"/>
        <family val="2"/>
      </rPr>
      <t>9</t>
    </r>
    <r>
      <rPr>
        <sz val="10"/>
        <rFont val="Arial"/>
        <family val="2"/>
      </rPr>
      <t>H</t>
    </r>
    <r>
      <rPr>
        <vertAlign val="subscript"/>
        <sz val="10"/>
        <rFont val="Arial"/>
        <family val="2"/>
      </rPr>
      <t>20</t>
    </r>
  </si>
  <si>
    <t>2,2,5-Trimethylhexane</t>
  </si>
  <si>
    <t>2,3-Dimethylheptane</t>
  </si>
  <si>
    <t>2,4-Dimethylheptane</t>
  </si>
  <si>
    <t>2,6-Dimethylheptane</t>
  </si>
  <si>
    <t>3-Methyloctane</t>
  </si>
  <si>
    <t xml:space="preserve">Nonane </t>
  </si>
  <si>
    <r>
      <t>C</t>
    </r>
    <r>
      <rPr>
        <vertAlign val="subscript"/>
        <sz val="10"/>
        <rFont val="Arial"/>
        <family val="2"/>
      </rPr>
      <t>10</t>
    </r>
    <r>
      <rPr>
        <sz val="10"/>
        <rFont val="Arial"/>
        <family val="2"/>
      </rPr>
      <t>H</t>
    </r>
    <r>
      <rPr>
        <vertAlign val="subscript"/>
        <sz val="10"/>
        <rFont val="Arial"/>
        <family val="2"/>
      </rPr>
      <t>22</t>
    </r>
  </si>
  <si>
    <t>2,3-Dimethyloctane</t>
  </si>
  <si>
    <t>2,6-Dimethyloctane</t>
  </si>
  <si>
    <t>3,5-Dimethyloctane</t>
  </si>
  <si>
    <t>3,6-Dimethyloctane</t>
  </si>
  <si>
    <t>2-Methylnonane</t>
  </si>
  <si>
    <t>3-Methylnonane</t>
  </si>
  <si>
    <t>4-Methylnonane</t>
  </si>
  <si>
    <t>Decane</t>
  </si>
  <si>
    <r>
      <t>C</t>
    </r>
    <r>
      <rPr>
        <vertAlign val="subscript"/>
        <sz val="10"/>
        <rFont val="Arial"/>
        <family val="2"/>
      </rPr>
      <t>11</t>
    </r>
    <r>
      <rPr>
        <sz val="10"/>
        <rFont val="Arial"/>
        <family val="2"/>
      </rPr>
      <t>H</t>
    </r>
    <r>
      <rPr>
        <vertAlign val="subscript"/>
        <sz val="10"/>
        <rFont val="Arial"/>
        <family val="2"/>
      </rPr>
      <t>24</t>
    </r>
  </si>
  <si>
    <t>2,6-Dimethylnonane</t>
  </si>
  <si>
    <t>2-Methyldecane</t>
  </si>
  <si>
    <t>3-Methyldecane</t>
  </si>
  <si>
    <t>4-Methyldecane</t>
  </si>
  <si>
    <t>5-Methyldecane</t>
  </si>
  <si>
    <t xml:space="preserve">Undecane </t>
  </si>
  <si>
    <r>
      <t>C</t>
    </r>
    <r>
      <rPr>
        <vertAlign val="subscript"/>
        <sz val="10"/>
        <rFont val="Arial"/>
        <family val="2"/>
      </rPr>
      <t>12</t>
    </r>
    <r>
      <rPr>
        <sz val="10"/>
        <rFont val="Arial"/>
        <family val="2"/>
      </rPr>
      <t>H</t>
    </r>
    <r>
      <rPr>
        <vertAlign val="subscript"/>
        <sz val="10"/>
        <rFont val="Arial"/>
        <family val="2"/>
      </rPr>
      <t>26</t>
    </r>
  </si>
  <si>
    <t>Dodecane</t>
  </si>
  <si>
    <r>
      <t>C</t>
    </r>
    <r>
      <rPr>
        <vertAlign val="subscript"/>
        <sz val="10"/>
        <rFont val="Arial"/>
        <family val="2"/>
      </rPr>
      <t>13</t>
    </r>
    <r>
      <rPr>
        <sz val="10"/>
        <rFont val="Arial"/>
        <family val="2"/>
      </rPr>
      <t>H</t>
    </r>
    <r>
      <rPr>
        <vertAlign val="subscript"/>
        <sz val="10"/>
        <rFont val="Arial"/>
        <family val="2"/>
      </rPr>
      <t>28</t>
    </r>
  </si>
  <si>
    <t>Tridecane</t>
  </si>
  <si>
    <r>
      <t>C</t>
    </r>
    <r>
      <rPr>
        <vertAlign val="subscript"/>
        <sz val="10"/>
        <rFont val="Arial"/>
        <family val="2"/>
      </rPr>
      <t>14</t>
    </r>
    <r>
      <rPr>
        <sz val="10"/>
        <rFont val="Arial"/>
        <family val="2"/>
      </rPr>
      <t>H</t>
    </r>
    <r>
      <rPr>
        <vertAlign val="subscript"/>
        <sz val="10"/>
        <rFont val="Arial"/>
        <family val="2"/>
      </rPr>
      <t>30</t>
    </r>
  </si>
  <si>
    <t>Tetradecane</t>
  </si>
  <si>
    <r>
      <t>C</t>
    </r>
    <r>
      <rPr>
        <vertAlign val="subscript"/>
        <sz val="10"/>
        <rFont val="Arial"/>
        <family val="2"/>
      </rPr>
      <t>14</t>
    </r>
    <r>
      <rPr>
        <sz val="10"/>
        <rFont val="Arial"/>
        <family val="2"/>
      </rPr>
      <t>H</t>
    </r>
    <r>
      <rPr>
        <vertAlign val="subscript"/>
        <sz val="10"/>
        <rFont val="Arial"/>
        <family val="2"/>
      </rPr>
      <t>32</t>
    </r>
  </si>
  <si>
    <t>Pentadecane</t>
  </si>
  <si>
    <r>
      <t>C</t>
    </r>
    <r>
      <rPr>
        <vertAlign val="subscript"/>
        <sz val="10"/>
        <rFont val="Arial"/>
        <family val="2"/>
      </rPr>
      <t>16</t>
    </r>
    <r>
      <rPr>
        <sz val="10"/>
        <rFont val="Arial"/>
        <family val="2"/>
      </rPr>
      <t>H</t>
    </r>
    <r>
      <rPr>
        <vertAlign val="subscript"/>
        <sz val="10"/>
        <rFont val="Arial"/>
        <family val="2"/>
      </rPr>
      <t>34</t>
    </r>
  </si>
  <si>
    <t>Hexadecane</t>
  </si>
  <si>
    <t>Total Alkanes (mg/Nm3)</t>
  </si>
  <si>
    <t>a) - majority of data given as Xylenes</t>
  </si>
  <si>
    <t xml:space="preserve">Trace carbon compounds: liquid quench sampling followed by GC-FID. </t>
  </si>
  <si>
    <t>GC-FID</t>
  </si>
  <si>
    <t>Sampling: gas bag; Analysis: GC-MS</t>
  </si>
  <si>
    <t>min (mg/Nm3)</t>
  </si>
  <si>
    <t>max (mg/Nm3)</t>
  </si>
  <si>
    <t>Aromatics</t>
  </si>
  <si>
    <r>
      <t>C</t>
    </r>
    <r>
      <rPr>
        <vertAlign val="subscript"/>
        <sz val="10"/>
        <rFont val="Arial"/>
        <family val="2"/>
      </rPr>
      <t>6</t>
    </r>
    <r>
      <rPr>
        <sz val="10"/>
        <rFont val="Arial"/>
        <family val="2"/>
      </rPr>
      <t>H</t>
    </r>
    <r>
      <rPr>
        <vertAlign val="subscript"/>
        <sz val="10"/>
        <rFont val="Arial"/>
        <family val="2"/>
      </rPr>
      <t>6</t>
    </r>
  </si>
  <si>
    <t>Benzene</t>
  </si>
  <si>
    <t>Cyclic</t>
  </si>
  <si>
    <t>C6H12</t>
  </si>
  <si>
    <t>Methylcyclopentane</t>
  </si>
  <si>
    <r>
      <t>C</t>
    </r>
    <r>
      <rPr>
        <vertAlign val="subscript"/>
        <sz val="10"/>
        <rFont val="Arial"/>
        <family val="2"/>
      </rPr>
      <t>7</t>
    </r>
    <r>
      <rPr>
        <sz val="10"/>
        <rFont val="Arial"/>
        <family val="2"/>
      </rPr>
      <t>H</t>
    </r>
    <r>
      <rPr>
        <vertAlign val="subscript"/>
        <sz val="10"/>
        <rFont val="Arial"/>
        <family val="2"/>
      </rPr>
      <t>8</t>
    </r>
  </si>
  <si>
    <t>Toluene (Methylbenzene)</t>
  </si>
  <si>
    <r>
      <t>C</t>
    </r>
    <r>
      <rPr>
        <vertAlign val="subscript"/>
        <sz val="10"/>
        <rFont val="Arial"/>
        <family val="2"/>
      </rPr>
      <t>8</t>
    </r>
    <r>
      <rPr>
        <sz val="10"/>
        <rFont val="Arial"/>
        <family val="2"/>
      </rPr>
      <t>H</t>
    </r>
    <r>
      <rPr>
        <vertAlign val="subscript"/>
        <sz val="10"/>
        <rFont val="Arial"/>
        <family val="2"/>
      </rPr>
      <t>8</t>
    </r>
  </si>
  <si>
    <t>Styrene</t>
  </si>
  <si>
    <r>
      <t>C</t>
    </r>
    <r>
      <rPr>
        <vertAlign val="subscript"/>
        <sz val="10"/>
        <rFont val="Arial"/>
        <family val="2"/>
      </rPr>
      <t>8</t>
    </r>
    <r>
      <rPr>
        <sz val="10"/>
        <rFont val="Arial"/>
        <family val="2"/>
      </rPr>
      <t>H</t>
    </r>
    <r>
      <rPr>
        <vertAlign val="subscript"/>
        <sz val="10"/>
        <rFont val="Arial"/>
        <family val="2"/>
      </rPr>
      <t>10</t>
    </r>
  </si>
  <si>
    <t>Ethylbenzene</t>
  </si>
  <si>
    <r>
      <t>Xylenes (o-, m-, p-, mixtures)</t>
    </r>
    <r>
      <rPr>
        <vertAlign val="superscript"/>
        <sz val="10"/>
        <rFont val="Arial"/>
        <family val="2"/>
      </rPr>
      <t>a)</t>
    </r>
  </si>
  <si>
    <r>
      <t>C</t>
    </r>
    <r>
      <rPr>
        <vertAlign val="subscript"/>
        <sz val="10"/>
        <rFont val="Arial"/>
        <family val="2"/>
      </rPr>
      <t>9</t>
    </r>
    <r>
      <rPr>
        <sz val="10"/>
        <rFont val="Arial"/>
        <family val="2"/>
      </rPr>
      <t>H</t>
    </r>
    <r>
      <rPr>
        <vertAlign val="subscript"/>
        <sz val="10"/>
        <rFont val="Arial"/>
        <family val="2"/>
      </rPr>
      <t>10</t>
    </r>
  </si>
  <si>
    <t>Indan (2,3-Dihydroindene)</t>
  </si>
  <si>
    <r>
      <t>C</t>
    </r>
    <r>
      <rPr>
        <vertAlign val="subscript"/>
        <sz val="10"/>
        <rFont val="Arial"/>
        <family val="2"/>
      </rPr>
      <t>9</t>
    </r>
    <r>
      <rPr>
        <sz val="10"/>
        <rFont val="Arial"/>
        <family val="2"/>
      </rPr>
      <t>H</t>
    </r>
    <r>
      <rPr>
        <vertAlign val="subscript"/>
        <sz val="10"/>
        <rFont val="Arial"/>
        <family val="2"/>
      </rPr>
      <t>12</t>
    </r>
  </si>
  <si>
    <t>1-Methylethylbenzene (cumen,isopropylbenzene)</t>
  </si>
  <si>
    <t>Propylbenzene</t>
  </si>
  <si>
    <t>1,2,3-Trimethylbenzene</t>
  </si>
  <si>
    <t>1,2,4-Trimethylbenzene</t>
  </si>
  <si>
    <t>1,3,5-Trimethylbenzene</t>
  </si>
  <si>
    <t>1-Ethyl-2-methylbenzene (o-Ethyltoluene)</t>
  </si>
  <si>
    <t>1-Ethyl-3-methylbenzene (m-Ethyltoluene)</t>
  </si>
  <si>
    <t>1-Ethyl-4-methylbenzene (p-Ethyltoluene)</t>
  </si>
  <si>
    <r>
      <t>C</t>
    </r>
    <r>
      <rPr>
        <vertAlign val="subscript"/>
        <sz val="10"/>
        <rFont val="Arial"/>
        <family val="2"/>
      </rPr>
      <t>10</t>
    </r>
    <r>
      <rPr>
        <sz val="10"/>
        <rFont val="Arial"/>
        <family val="2"/>
      </rPr>
      <t>H</t>
    </r>
    <r>
      <rPr>
        <vertAlign val="subscript"/>
        <sz val="10"/>
        <rFont val="Arial"/>
        <family val="2"/>
      </rPr>
      <t>8</t>
    </r>
  </si>
  <si>
    <t>Naphthalene</t>
  </si>
  <si>
    <r>
      <t>C</t>
    </r>
    <r>
      <rPr>
        <vertAlign val="subscript"/>
        <sz val="10"/>
        <rFont val="Arial"/>
        <family val="2"/>
      </rPr>
      <t>10</t>
    </r>
    <r>
      <rPr>
        <sz val="10"/>
        <rFont val="Arial"/>
        <family val="2"/>
      </rPr>
      <t>H</t>
    </r>
    <r>
      <rPr>
        <vertAlign val="subscript"/>
        <sz val="10"/>
        <rFont val="Arial"/>
        <family val="2"/>
      </rPr>
      <t>14</t>
    </r>
  </si>
  <si>
    <t>1-Methylpropylbenzene (sec-Butylbenzene)</t>
  </si>
  <si>
    <t>2-Methylpropylbenzene</t>
  </si>
  <si>
    <t>1-Methyl-2-propylbenzene</t>
  </si>
  <si>
    <t>1-Methyl-3-propylbenzene</t>
  </si>
  <si>
    <t>tert-Butylbenzene</t>
  </si>
  <si>
    <t>1-Methyl-4-propylbenzene (p-cymene, isopropyltoluene)</t>
  </si>
  <si>
    <t>Butylbenzene (sec-butylbenzene and n-butylbenzene)</t>
  </si>
  <si>
    <t>Isobutylbenzene (2-Methylpropylbenzene)</t>
  </si>
  <si>
    <t>2-Ethyl-1,3-dimethylbenzene</t>
  </si>
  <si>
    <t>1,2-Diethylbenzene (orto)</t>
  </si>
  <si>
    <t>1,3-Diethylbenzene (meta)</t>
  </si>
  <si>
    <t>1,4-Diethylbenzene (para)</t>
  </si>
  <si>
    <r>
      <t>C</t>
    </r>
    <r>
      <rPr>
        <vertAlign val="subscript"/>
        <sz val="10"/>
        <rFont val="Arial"/>
        <family val="2"/>
      </rPr>
      <t>10</t>
    </r>
    <r>
      <rPr>
        <sz val="10"/>
        <rFont val="Arial"/>
        <family val="2"/>
      </rPr>
      <t>H</t>
    </r>
    <r>
      <rPr>
        <vertAlign val="subscript"/>
        <sz val="10"/>
        <rFont val="Arial"/>
        <family val="2"/>
      </rPr>
      <t>18</t>
    </r>
  </si>
  <si>
    <t>Menthene</t>
  </si>
  <si>
    <t>3,7,7-trimethylbicyclo[4.1.0]heptane (carane)</t>
  </si>
  <si>
    <r>
      <t>C</t>
    </r>
    <r>
      <rPr>
        <vertAlign val="subscript"/>
        <sz val="10"/>
        <rFont val="Arial"/>
        <family val="2"/>
      </rPr>
      <t>10</t>
    </r>
    <r>
      <rPr>
        <sz val="10"/>
        <rFont val="Arial"/>
        <family val="2"/>
      </rPr>
      <t>H</t>
    </r>
    <r>
      <rPr>
        <vertAlign val="subscript"/>
        <sz val="10"/>
        <rFont val="Arial"/>
        <family val="2"/>
      </rPr>
      <t>20</t>
    </r>
  </si>
  <si>
    <t>3-methyl-6-(1-methylethyl)cyclohexane</t>
  </si>
  <si>
    <t>Terpenes</t>
  </si>
  <si>
    <r>
      <t>C</t>
    </r>
    <r>
      <rPr>
        <vertAlign val="subscript"/>
        <sz val="10"/>
        <rFont val="Arial"/>
        <family val="2"/>
      </rPr>
      <t>10</t>
    </r>
    <r>
      <rPr>
        <sz val="10"/>
        <rFont val="Arial"/>
        <family val="2"/>
      </rPr>
      <t>H</t>
    </r>
    <r>
      <rPr>
        <vertAlign val="subscript"/>
        <sz val="10"/>
        <rFont val="Arial"/>
        <family val="2"/>
      </rPr>
      <t>16</t>
    </r>
  </si>
  <si>
    <t>Alpha-Pinene</t>
  </si>
  <si>
    <t>Camphene</t>
  </si>
  <si>
    <t>Beta-Pinene</t>
  </si>
  <si>
    <t>D-Limonene</t>
  </si>
  <si>
    <t>alpha-Phellandrene</t>
  </si>
  <si>
    <t>beta-Phellandrene</t>
  </si>
  <si>
    <t>3-Carene</t>
  </si>
  <si>
    <t>Myrcene</t>
  </si>
  <si>
    <t>1-methyl-4-(1-methylidene)-cyclohexene (terpinolene)</t>
  </si>
  <si>
    <t>Other terpenes</t>
  </si>
  <si>
    <r>
      <t>C</t>
    </r>
    <r>
      <rPr>
        <vertAlign val="subscript"/>
        <sz val="10"/>
        <rFont val="Arial"/>
        <family val="2"/>
      </rPr>
      <t>11</t>
    </r>
    <r>
      <rPr>
        <sz val="10"/>
        <rFont val="Arial"/>
        <family val="2"/>
      </rPr>
      <t>H</t>
    </r>
    <r>
      <rPr>
        <vertAlign val="subscript"/>
        <sz val="10"/>
        <rFont val="Arial"/>
        <family val="2"/>
      </rPr>
      <t>10</t>
    </r>
  </si>
  <si>
    <t>1-Methylnaphthalene</t>
  </si>
  <si>
    <t>2-Methylnaphthalene</t>
  </si>
  <si>
    <r>
      <t>C</t>
    </r>
    <r>
      <rPr>
        <vertAlign val="subscript"/>
        <sz val="10"/>
        <rFont val="Arial"/>
        <family val="2"/>
      </rPr>
      <t>11</t>
    </r>
    <r>
      <rPr>
        <sz val="10"/>
        <rFont val="Arial"/>
        <family val="2"/>
      </rPr>
      <t>H</t>
    </r>
    <r>
      <rPr>
        <vertAlign val="subscript"/>
        <sz val="10"/>
        <rFont val="Arial"/>
        <family val="2"/>
      </rPr>
      <t>20</t>
    </r>
  </si>
  <si>
    <t>Decahydro-2-methylnaphtalene</t>
  </si>
  <si>
    <r>
      <t>C</t>
    </r>
    <r>
      <rPr>
        <vertAlign val="subscript"/>
        <sz val="10"/>
        <rFont val="Arial"/>
        <family val="2"/>
      </rPr>
      <t>12</t>
    </r>
    <r>
      <rPr>
        <sz val="10"/>
        <rFont val="Arial"/>
        <family val="2"/>
      </rPr>
      <t>H</t>
    </r>
    <r>
      <rPr>
        <vertAlign val="subscript"/>
        <sz val="10"/>
        <rFont val="Arial"/>
        <family val="2"/>
      </rPr>
      <t>18</t>
    </r>
  </si>
  <si>
    <t>Hexylbenzene</t>
  </si>
  <si>
    <t/>
  </si>
  <si>
    <r>
      <t>C</t>
    </r>
    <r>
      <rPr>
        <vertAlign val="subscript"/>
        <sz val="10"/>
        <rFont val="Arial"/>
        <family val="2"/>
      </rPr>
      <t>14</t>
    </r>
    <r>
      <rPr>
        <sz val="10"/>
        <rFont val="Arial"/>
        <family val="2"/>
      </rPr>
      <t>H</t>
    </r>
    <r>
      <rPr>
        <vertAlign val="subscript"/>
        <sz val="10"/>
        <rFont val="Arial"/>
        <family val="2"/>
      </rPr>
      <t>10</t>
    </r>
  </si>
  <si>
    <t>Phenanthrene</t>
  </si>
  <si>
    <t>Total Aromatics (mg/Nm3)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</si>
</sst>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0">
    <font>
      <sz val="11"/>
      <color theme="1"/>
      <name val="Calibri"/>
      <family val="2"/>
      <scheme val="minor"/>
    </font>
    <font>
      <sz val="11"/>
      <color theme="1"/>
      <name val="Calibri"/>
      <family val="2"/>
      <scheme val="minor"/>
    </font>
    <font>
      <b/>
      <sz val="11"/>
      <color theme="1"/>
      <name val="Calibri"/>
      <family val="2"/>
      <scheme val="minor"/>
    </font>
    <font>
      <b/>
      <sz val="10"/>
      <color indexed="9"/>
      <name val="Arial"/>
      <family val="2"/>
    </font>
    <font>
      <sz val="10"/>
      <color indexed="9"/>
      <name val="Arial"/>
      <family val="2"/>
    </font>
    <font>
      <b/>
      <sz val="10"/>
      <name val="Arial"/>
      <family val="2"/>
    </font>
    <font>
      <sz val="10"/>
      <name val="Arial"/>
      <family val="2"/>
    </font>
    <font>
      <vertAlign val="subscript"/>
      <sz val="10"/>
      <name val="Arial"/>
      <family val="2"/>
    </font>
    <font>
      <i/>
      <sz val="10"/>
      <name val="Arial"/>
      <family val="2"/>
    </font>
    <font>
      <vertAlign val="superscript"/>
      <sz val="10"/>
      <name val="Arial"/>
      <family val="2"/>
    </font>
    <font>
      <b/>
      <sz val="12"/>
      <name val="Arial"/>
      <family val="2"/>
    </font>
    <font>
      <b/>
      <sz val="10"/>
      <color theme="1"/>
      <name val="Arial"/>
      <family val="2"/>
    </font>
    <font>
      <sz val="10"/>
      <color theme="1"/>
      <name val="Arial"/>
      <family val="2"/>
    </font>
    <font>
      <b/>
      <i/>
      <sz val="10"/>
      <name val="Arial"/>
      <family val="2"/>
    </font>
    <font>
      <sz val="10"/>
      <name val="Arial"/>
      <family val="2"/>
    </font>
    <font>
      <i/>
      <sz val="10"/>
      <color indexed="9"/>
      <name val="Arial"/>
      <family val="2"/>
    </font>
    <font>
      <b/>
      <sz val="10"/>
      <color indexed="9"/>
      <name val="Calibri"/>
      <family val="2"/>
    </font>
    <font>
      <b/>
      <i/>
      <sz val="10"/>
      <color indexed="9"/>
      <name val="Arial"/>
      <family val="2"/>
    </font>
    <font>
      <i/>
      <sz val="11"/>
      <color theme="1"/>
      <name val="Calibri"/>
      <family val="2"/>
      <scheme val="minor"/>
    </font>
    <font>
      <sz val="11"/>
      <color rgb="FF000000"/>
      <name val="Calibri"/>
      <family val="2"/>
    </font>
  </fonts>
  <fills count="14">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7"/>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indexed="55"/>
        <bgColor indexed="64"/>
      </patternFill>
    </fill>
    <fill>
      <patternFill patternType="solid">
        <fgColor theme="0"/>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s>
  <borders count="29">
    <border>
      <left/>
      <right/>
      <top/>
      <bottom/>
      <diagonal/>
    </border>
    <border>
      <left/>
      <right/>
      <top style="thin">
        <color theme="4"/>
      </top>
      <bottom style="double">
        <color theme="4"/>
      </bottom>
      <diagonal/>
    </border>
    <border>
      <left/>
      <right style="medium">
        <color indexed="64"/>
      </right>
      <top/>
      <bottom/>
      <diagonal/>
    </border>
    <border>
      <left/>
      <right/>
      <top style="medium">
        <color indexed="64"/>
      </top>
      <bottom style="medium">
        <color indexed="64"/>
      </bottom>
      <diagonal/>
    </border>
    <border>
      <left/>
      <right/>
      <top/>
      <bottom style="medium">
        <color indexed="64"/>
      </bottom>
      <diagonal/>
    </border>
    <border>
      <left style="thin">
        <color indexed="64"/>
      </left>
      <right/>
      <top/>
      <bottom/>
      <diagonal/>
    </border>
    <border>
      <left/>
      <right/>
      <top/>
      <bottom style="thin">
        <color indexed="64"/>
      </bottom>
      <diagonal/>
    </border>
    <border>
      <left style="medium">
        <color indexed="64"/>
      </left>
      <right/>
      <top/>
      <bottom style="double">
        <color theme="4"/>
      </bottom>
      <diagonal/>
    </border>
    <border>
      <left/>
      <right/>
      <top/>
      <bottom style="double">
        <color theme="4"/>
      </bottom>
      <diagonal/>
    </border>
    <border>
      <left/>
      <right style="medium">
        <color indexed="64"/>
      </right>
      <top/>
      <bottom style="double">
        <color theme="4"/>
      </bottom>
      <diagonal/>
    </border>
    <border>
      <left style="medium">
        <color indexed="64"/>
      </left>
      <right/>
      <top style="thin">
        <color theme="4"/>
      </top>
      <bottom style="double">
        <color theme="4"/>
      </bottom>
      <diagonal/>
    </border>
    <border>
      <left/>
      <right style="medium">
        <color indexed="64"/>
      </right>
      <top style="thin">
        <color theme="4"/>
      </top>
      <bottom style="double">
        <color theme="4"/>
      </bottom>
      <diagonal/>
    </border>
    <border>
      <left/>
      <right/>
      <top style="double">
        <color theme="4"/>
      </top>
      <bottom/>
      <diagonal/>
    </border>
    <border>
      <left/>
      <right style="medium">
        <color indexed="64"/>
      </right>
      <top style="double">
        <color theme="4"/>
      </top>
      <bottom/>
      <diagonal/>
    </border>
    <border>
      <left/>
      <right/>
      <top style="dashed">
        <color indexed="64"/>
      </top>
      <bottom/>
      <diagonal/>
    </border>
    <border>
      <left/>
      <right style="dashed">
        <color indexed="64"/>
      </right>
      <top/>
      <bottom/>
      <diagonal/>
    </border>
    <border>
      <left/>
      <right style="dashed">
        <color indexed="64"/>
      </right>
      <top/>
      <bottom style="thin">
        <color indexed="64"/>
      </bottom>
      <diagonal/>
    </border>
    <border>
      <left/>
      <right/>
      <top style="thin">
        <color indexed="64"/>
      </top>
      <bottom/>
      <diagonal/>
    </border>
    <border>
      <left style="dashed">
        <color indexed="64"/>
      </left>
      <right style="dashed">
        <color indexed="64"/>
      </right>
      <top/>
      <bottom/>
      <diagonal/>
    </border>
    <border>
      <left/>
      <right style="dashed">
        <color indexed="64"/>
      </right>
      <top/>
      <bottom style="medium">
        <color indexed="64"/>
      </bottom>
      <diagonal/>
    </border>
    <border>
      <left/>
      <right style="dashed">
        <color indexed="64"/>
      </right>
      <top style="medium">
        <color indexed="64"/>
      </top>
      <bottom style="medium">
        <color indexed="64"/>
      </bottom>
      <diagonal/>
    </border>
    <border>
      <left style="dashed">
        <color indexed="64"/>
      </left>
      <right style="dashed">
        <color indexed="64"/>
      </right>
      <top/>
      <bottom style="medium">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5">
    <xf numFmtId="0" fontId="0" fillId="0" borderId="0"/>
    <xf numFmtId="0" fontId="2" fillId="0" borderId="1" applyNumberFormat="0" applyFill="0" applyAlignment="0" applyProtection="0"/>
    <xf numFmtId="0" fontId="14" fillId="0" borderId="0"/>
    <xf numFmtId="0" fontId="1" fillId="0" borderId="0"/>
    <xf numFmtId="0" fontId="19" fillId="0" borderId="0"/>
  </cellStyleXfs>
  <cellXfs count="333">
    <xf numFmtId="0" fontId="0" fillId="0" borderId="0" xfId="0"/>
    <xf numFmtId="0" fontId="0" fillId="0" borderId="0" xfId="0" applyFill="1" applyBorder="1" applyAlignment="1">
      <alignment horizontal="center"/>
    </xf>
    <xf numFmtId="0" fontId="3" fillId="2" borderId="14" xfId="0" applyFont="1" applyFill="1" applyBorder="1" applyAlignment="1">
      <alignment horizontal="center"/>
    </xf>
    <xf numFmtId="0" fontId="0" fillId="7" borderId="0" xfId="0" applyFill="1" applyBorder="1"/>
    <xf numFmtId="0" fontId="3" fillId="7" borderId="0" xfId="0" applyFont="1" applyFill="1" applyAlignment="1">
      <alignment horizontal="center"/>
    </xf>
    <xf numFmtId="0" fontId="4" fillId="7" borderId="0" xfId="0" applyFont="1" applyFill="1" applyBorder="1" applyAlignment="1">
      <alignment horizontal="right"/>
    </xf>
    <xf numFmtId="0" fontId="0" fillId="7" borderId="0" xfId="0" applyFill="1" applyAlignment="1">
      <alignment horizontal="center"/>
    </xf>
    <xf numFmtId="0" fontId="0" fillId="7" borderId="0" xfId="0" applyFill="1" applyBorder="1" applyAlignment="1">
      <alignment horizontal="center"/>
    </xf>
    <xf numFmtId="0" fontId="0" fillId="7" borderId="0" xfId="0" applyFill="1" applyAlignment="1">
      <alignment horizontal="justify" vertical="center"/>
    </xf>
    <xf numFmtId="0" fontId="3" fillId="2" borderId="0" xfId="0" applyFont="1" applyFill="1" applyAlignment="1">
      <alignment horizontal="center" vertical="center"/>
    </xf>
    <xf numFmtId="0" fontId="3" fillId="2" borderId="0" xfId="0" applyFont="1" applyFill="1" applyBorder="1" applyAlignment="1">
      <alignment horizontal="center" vertical="center"/>
    </xf>
    <xf numFmtId="0" fontId="3" fillId="7" borderId="0" xfId="0" applyFont="1" applyFill="1" applyBorder="1" applyAlignment="1">
      <alignment horizontal="center" vertical="center"/>
    </xf>
    <xf numFmtId="0" fontId="3" fillId="2" borderId="15"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4" xfId="0" applyFont="1" applyFill="1" applyBorder="1" applyAlignment="1">
      <alignment horizontal="center" vertical="center"/>
    </xf>
    <xf numFmtId="2" fontId="6" fillId="3" borderId="3" xfId="0" applyNumberFormat="1" applyFont="1" applyFill="1" applyBorder="1" applyAlignment="1">
      <alignment horizontal="center"/>
    </xf>
    <xf numFmtId="2" fontId="6" fillId="3" borderId="20" xfId="0" applyNumberFormat="1" applyFont="1" applyFill="1" applyBorder="1" applyAlignment="1">
      <alignment horizontal="center"/>
    </xf>
    <xf numFmtId="0" fontId="3" fillId="0" borderId="0" xfId="0" applyFont="1" applyFill="1" applyBorder="1" applyAlignment="1">
      <alignment horizontal="center" vertical="center"/>
    </xf>
    <xf numFmtId="0" fontId="0" fillId="0" borderId="0" xfId="0" applyFill="1" applyBorder="1" applyAlignment="1"/>
    <xf numFmtId="0" fontId="14" fillId="0" borderId="0" xfId="2"/>
    <xf numFmtId="0" fontId="14" fillId="0" borderId="0" xfId="2" applyFill="1" applyBorder="1" applyAlignment="1">
      <alignment horizontal="center"/>
    </xf>
    <xf numFmtId="0" fontId="14" fillId="0" borderId="0" xfId="2" applyAlignment="1">
      <alignment horizontal="center"/>
    </xf>
    <xf numFmtId="0" fontId="3" fillId="2" borderId="0" xfId="2" applyFont="1" applyFill="1" applyAlignment="1">
      <alignment horizontal="center" vertical="center"/>
    </xf>
    <xf numFmtId="0" fontId="6" fillId="0" borderId="0" xfId="2" applyFont="1" applyFill="1" applyBorder="1" applyAlignment="1">
      <alignment horizontal="center"/>
    </xf>
    <xf numFmtId="0" fontId="14" fillId="0" borderId="0" xfId="2" applyFill="1" applyBorder="1" applyAlignment="1"/>
    <xf numFmtId="0" fontId="3" fillId="2" borderId="14" xfId="2" applyFont="1" applyFill="1" applyBorder="1" applyAlignment="1">
      <alignment horizontal="center"/>
    </xf>
    <xf numFmtId="0" fontId="3" fillId="2" borderId="0" xfId="2" applyFont="1" applyFill="1" applyBorder="1" applyAlignment="1">
      <alignment horizontal="center" vertical="center"/>
    </xf>
    <xf numFmtId="0" fontId="14" fillId="0" borderId="0" xfId="2" applyFill="1" applyBorder="1" applyAlignment="1">
      <alignment horizontal="right"/>
    </xf>
    <xf numFmtId="0" fontId="3" fillId="2" borderId="15" xfId="2" applyFont="1" applyFill="1" applyBorder="1" applyAlignment="1">
      <alignment horizontal="center" vertical="center" wrapText="1"/>
    </xf>
    <xf numFmtId="0" fontId="3" fillId="2" borderId="0" xfId="2" applyFont="1" applyFill="1" applyBorder="1" applyAlignment="1">
      <alignment horizontal="center" vertical="center" wrapText="1"/>
    </xf>
    <xf numFmtId="0" fontId="3" fillId="2" borderId="18" xfId="2" applyFont="1" applyFill="1" applyBorder="1" applyAlignment="1">
      <alignment horizontal="center" vertical="center" wrapText="1"/>
    </xf>
    <xf numFmtId="2" fontId="6" fillId="3" borderId="20" xfId="2" applyNumberFormat="1" applyFont="1" applyFill="1" applyBorder="1" applyAlignment="1">
      <alignment horizontal="center"/>
    </xf>
    <xf numFmtId="0" fontId="3" fillId="2" borderId="5" xfId="2" applyFont="1" applyFill="1" applyBorder="1" applyAlignment="1">
      <alignment horizontal="center"/>
    </xf>
    <xf numFmtId="0" fontId="3" fillId="2" borderId="0" xfId="2" applyFont="1" applyFill="1" applyAlignment="1">
      <alignment horizontal="center" vertical="center" wrapText="1"/>
    </xf>
    <xf numFmtId="0" fontId="14" fillId="0" borderId="0" xfId="2" applyBorder="1" applyAlignment="1">
      <alignment horizontal="center"/>
    </xf>
    <xf numFmtId="0" fontId="14" fillId="0" borderId="0" xfId="2" applyFill="1" applyBorder="1"/>
    <xf numFmtId="0" fontId="14" fillId="0" borderId="15" xfId="2" applyBorder="1"/>
    <xf numFmtId="0" fontId="1" fillId="0" borderId="0" xfId="3"/>
    <xf numFmtId="165" fontId="6" fillId="3" borderId="21" xfId="2" applyNumberFormat="1" applyFont="1" applyFill="1" applyBorder="1" applyAlignment="1">
      <alignment horizontal="center"/>
    </xf>
    <xf numFmtId="165" fontId="15" fillId="2" borderId="4" xfId="2" applyNumberFormat="1" applyFont="1" applyFill="1" applyBorder="1" applyAlignment="1">
      <alignment horizontal="center"/>
    </xf>
    <xf numFmtId="0" fontId="13" fillId="0" borderId="0" xfId="2" applyFont="1" applyFill="1" applyBorder="1" applyAlignment="1">
      <alignment horizontal="right"/>
    </xf>
    <xf numFmtId="2" fontId="6" fillId="3" borderId="4" xfId="2" applyNumberFormat="1" applyFont="1" applyFill="1" applyBorder="1" applyAlignment="1">
      <alignment horizontal="center"/>
    </xf>
    <xf numFmtId="164" fontId="14" fillId="3" borderId="4" xfId="2" applyNumberFormat="1" applyFill="1" applyBorder="1" applyAlignment="1">
      <alignment horizontal="center"/>
    </xf>
    <xf numFmtId="9" fontId="14" fillId="0" borderId="0" xfId="2" applyNumberFormat="1"/>
    <xf numFmtId="0" fontId="12" fillId="7" borderId="0" xfId="0" applyFont="1" applyFill="1" applyAlignment="1">
      <alignment horizontal="center" vertical="center" wrapText="1"/>
    </xf>
    <xf numFmtId="0" fontId="12" fillId="7" borderId="0" xfId="0" applyFont="1" applyFill="1" applyBorder="1" applyAlignment="1">
      <alignment horizontal="center" vertical="center" wrapText="1"/>
    </xf>
    <xf numFmtId="0" fontId="17" fillId="7" borderId="0" xfId="0" applyFont="1" applyFill="1" applyBorder="1" applyAlignment="1">
      <alignment horizontal="center" vertical="center"/>
    </xf>
    <xf numFmtId="0" fontId="18" fillId="0" borderId="0" xfId="0" applyFont="1"/>
    <xf numFmtId="0" fontId="6" fillId="4" borderId="0" xfId="0" applyFont="1" applyFill="1" applyAlignment="1">
      <alignment horizontal="center" vertical="center" wrapText="1"/>
    </xf>
    <xf numFmtId="0" fontId="14" fillId="0" borderId="0" xfId="2" applyFill="1"/>
    <xf numFmtId="2" fontId="14" fillId="0" borderId="0" xfId="2" applyNumberFormat="1"/>
    <xf numFmtId="0" fontId="6" fillId="0" borderId="0" xfId="2" applyFont="1" applyFill="1" applyBorder="1" applyAlignment="1"/>
    <xf numFmtId="164" fontId="3" fillId="7" borderId="0" xfId="0" applyNumberFormat="1" applyFont="1" applyFill="1" applyBorder="1" applyAlignment="1">
      <alignment horizontal="center" vertical="center"/>
    </xf>
    <xf numFmtId="0" fontId="5" fillId="8" borderId="0" xfId="2" applyFont="1" applyFill="1" applyBorder="1" applyAlignment="1">
      <alignment horizontal="right"/>
    </xf>
    <xf numFmtId="0" fontId="5" fillId="8" borderId="6" xfId="2" applyFont="1" applyFill="1" applyBorder="1" applyAlignment="1">
      <alignment horizontal="right"/>
    </xf>
    <xf numFmtId="0" fontId="6" fillId="10" borderId="0" xfId="2" applyFont="1" applyFill="1" applyBorder="1" applyAlignment="1">
      <alignment horizontal="center"/>
    </xf>
    <xf numFmtId="0" fontId="6" fillId="10" borderId="0" xfId="2" applyFont="1" applyFill="1" applyBorder="1" applyAlignment="1">
      <alignment horizontal="left"/>
    </xf>
    <xf numFmtId="0" fontId="6" fillId="11" borderId="0" xfId="2" applyFont="1" applyFill="1" applyBorder="1" applyAlignment="1">
      <alignment horizontal="center"/>
    </xf>
    <xf numFmtId="0" fontId="6" fillId="11" borderId="0" xfId="2" applyFont="1" applyFill="1" applyBorder="1" applyAlignment="1">
      <alignment horizontal="left"/>
    </xf>
    <xf numFmtId="0" fontId="8" fillId="10" borderId="0" xfId="2" applyFont="1" applyFill="1" applyBorder="1" applyAlignment="1">
      <alignment horizontal="center"/>
    </xf>
    <xf numFmtId="0" fontId="8" fillId="10" borderId="0" xfId="2" applyFont="1" applyFill="1" applyBorder="1" applyAlignment="1">
      <alignment horizontal="left"/>
    </xf>
    <xf numFmtId="0" fontId="6" fillId="9" borderId="0" xfId="2" applyFont="1" applyFill="1" applyAlignment="1">
      <alignment horizontal="center" wrapText="1"/>
    </xf>
    <xf numFmtId="0" fontId="6" fillId="11" borderId="15" xfId="2" applyFont="1" applyFill="1" applyBorder="1" applyAlignment="1">
      <alignment horizontal="center"/>
    </xf>
    <xf numFmtId="0" fontId="6" fillId="11" borderId="18" xfId="2" applyFont="1" applyFill="1" applyBorder="1" applyAlignment="1">
      <alignment horizontal="center"/>
    </xf>
    <xf numFmtId="0" fontId="6" fillId="10" borderId="15" xfId="2" applyFont="1" applyFill="1" applyBorder="1" applyAlignment="1">
      <alignment horizontal="center"/>
    </xf>
    <xf numFmtId="0" fontId="6" fillId="10" borderId="18" xfId="2" applyFont="1" applyFill="1" applyBorder="1" applyAlignment="1">
      <alignment horizontal="center"/>
    </xf>
    <xf numFmtId="0" fontId="8" fillId="11" borderId="15" xfId="2" applyFont="1" applyFill="1" applyBorder="1" applyAlignment="1">
      <alignment horizontal="center"/>
    </xf>
    <xf numFmtId="0" fontId="8" fillId="10" borderId="15" xfId="2" applyFont="1" applyFill="1" applyBorder="1" applyAlignment="1">
      <alignment horizontal="center"/>
    </xf>
    <xf numFmtId="0" fontId="8" fillId="10" borderId="18" xfId="2" applyFont="1" applyFill="1" applyBorder="1" applyAlignment="1">
      <alignment horizontal="center"/>
    </xf>
    <xf numFmtId="2" fontId="6" fillId="11" borderId="15" xfId="2" applyNumberFormat="1" applyFont="1" applyFill="1" applyBorder="1" applyAlignment="1">
      <alignment horizontal="center"/>
    </xf>
    <xf numFmtId="2" fontId="6" fillId="11" borderId="18" xfId="2" applyNumberFormat="1" applyFont="1" applyFill="1" applyBorder="1" applyAlignment="1">
      <alignment horizontal="center"/>
    </xf>
    <xf numFmtId="2" fontId="6" fillId="11" borderId="0" xfId="2" applyNumberFormat="1" applyFont="1" applyFill="1" applyBorder="1" applyAlignment="1">
      <alignment horizontal="center"/>
    </xf>
    <xf numFmtId="164" fontId="6" fillId="11" borderId="15" xfId="2" applyNumberFormat="1" applyFont="1" applyFill="1" applyBorder="1" applyAlignment="1">
      <alignment horizontal="center"/>
    </xf>
    <xf numFmtId="164" fontId="6" fillId="11" borderId="18" xfId="2" applyNumberFormat="1" applyFont="1" applyFill="1" applyBorder="1" applyAlignment="1">
      <alignment horizontal="center"/>
    </xf>
    <xf numFmtId="164" fontId="6" fillId="11" borderId="0" xfId="2" applyNumberFormat="1" applyFont="1" applyFill="1" applyBorder="1" applyAlignment="1">
      <alignment horizontal="center"/>
    </xf>
    <xf numFmtId="2" fontId="6" fillId="10" borderId="0" xfId="2" applyNumberFormat="1" applyFont="1" applyFill="1" applyBorder="1" applyAlignment="1">
      <alignment horizontal="center"/>
    </xf>
    <xf numFmtId="165" fontId="6" fillId="10" borderId="15" xfId="2" applyNumberFormat="1" applyFont="1" applyFill="1" applyBorder="1" applyAlignment="1">
      <alignment horizontal="center"/>
    </xf>
    <xf numFmtId="165" fontId="6" fillId="10" borderId="18" xfId="2" applyNumberFormat="1" applyFont="1" applyFill="1" applyBorder="1" applyAlignment="1">
      <alignment horizontal="center"/>
    </xf>
    <xf numFmtId="165" fontId="6" fillId="10" borderId="0" xfId="2" applyNumberFormat="1" applyFont="1" applyFill="1" applyBorder="1" applyAlignment="1">
      <alignment horizontal="center"/>
    </xf>
    <xf numFmtId="2" fontId="8" fillId="10" borderId="15" xfId="2" applyNumberFormat="1" applyFont="1" applyFill="1" applyBorder="1" applyAlignment="1">
      <alignment horizontal="center"/>
    </xf>
    <xf numFmtId="2" fontId="8" fillId="10" borderId="18" xfId="2" applyNumberFormat="1" applyFont="1" applyFill="1" applyBorder="1" applyAlignment="1">
      <alignment horizontal="center"/>
    </xf>
    <xf numFmtId="0" fontId="6" fillId="10" borderId="0" xfId="0" applyFont="1" applyFill="1" applyBorder="1" applyAlignment="1">
      <alignment horizontal="center"/>
    </xf>
    <xf numFmtId="0" fontId="0" fillId="10" borderId="0" xfId="0" applyFill="1" applyBorder="1" applyAlignment="1">
      <alignment horizontal="center"/>
    </xf>
    <xf numFmtId="0" fontId="6" fillId="10" borderId="0" xfId="0" applyFont="1" applyFill="1" applyBorder="1" applyAlignment="1">
      <alignment horizontal="left"/>
    </xf>
    <xf numFmtId="2" fontId="6" fillId="10" borderId="0" xfId="0" applyNumberFormat="1" applyFont="1" applyFill="1" applyBorder="1" applyAlignment="1">
      <alignment horizontal="center"/>
    </xf>
    <xf numFmtId="165" fontId="6" fillId="10" borderId="0" xfId="0" applyNumberFormat="1" applyFont="1" applyFill="1" applyBorder="1" applyAlignment="1">
      <alignment horizontal="center"/>
    </xf>
    <xf numFmtId="164" fontId="6" fillId="10" borderId="0" xfId="0" applyNumberFormat="1" applyFont="1" applyFill="1" applyBorder="1" applyAlignment="1">
      <alignment horizontal="center"/>
    </xf>
    <xf numFmtId="0" fontId="6" fillId="10" borderId="4" xfId="0" applyFont="1" applyFill="1" applyBorder="1" applyAlignment="1">
      <alignment horizontal="center"/>
    </xf>
    <xf numFmtId="0" fontId="0" fillId="10" borderId="4" xfId="0" applyFill="1" applyBorder="1" applyAlignment="1">
      <alignment horizontal="center"/>
    </xf>
    <xf numFmtId="0" fontId="6" fillId="10" borderId="4" xfId="0" applyFont="1" applyFill="1" applyBorder="1" applyAlignment="1">
      <alignment horizontal="left"/>
    </xf>
    <xf numFmtId="2" fontId="6" fillId="10" borderId="4" xfId="0" applyNumberFormat="1" applyFont="1" applyFill="1" applyBorder="1" applyAlignment="1">
      <alignment horizontal="center"/>
    </xf>
    <xf numFmtId="165" fontId="6" fillId="10" borderId="4" xfId="0" applyNumberFormat="1" applyFont="1" applyFill="1" applyBorder="1" applyAlignment="1">
      <alignment horizontal="center"/>
    </xf>
    <xf numFmtId="164" fontId="6" fillId="10" borderId="4" xfId="0" applyNumberFormat="1" applyFont="1" applyFill="1" applyBorder="1" applyAlignment="1">
      <alignment horizontal="center"/>
    </xf>
    <xf numFmtId="0" fontId="6" fillId="11" borderId="0" xfId="0" applyFont="1" applyFill="1" applyBorder="1" applyAlignment="1">
      <alignment horizontal="center"/>
    </xf>
    <xf numFmtId="0" fontId="6" fillId="11" borderId="0" xfId="0" applyFont="1" applyFill="1" applyBorder="1" applyAlignment="1">
      <alignment horizontal="left"/>
    </xf>
    <xf numFmtId="2" fontId="6" fillId="11" borderId="0" xfId="0" applyNumberFormat="1" applyFont="1" applyFill="1" applyBorder="1" applyAlignment="1">
      <alignment horizontal="center"/>
    </xf>
    <xf numFmtId="165" fontId="6" fillId="11" borderId="0" xfId="0" applyNumberFormat="1" applyFont="1" applyFill="1" applyBorder="1" applyAlignment="1">
      <alignment horizontal="center"/>
    </xf>
    <xf numFmtId="164" fontId="6" fillId="11" borderId="0" xfId="0" applyNumberFormat="1" applyFont="1" applyFill="1" applyBorder="1" applyAlignment="1">
      <alignment horizontal="center"/>
    </xf>
    <xf numFmtId="0" fontId="13" fillId="8" borderId="0" xfId="2" applyFont="1" applyFill="1" applyBorder="1" applyAlignment="1">
      <alignment horizontal="right"/>
    </xf>
    <xf numFmtId="0" fontId="13" fillId="8" borderId="6" xfId="2" applyFont="1" applyFill="1" applyBorder="1" applyAlignment="1">
      <alignment horizontal="right"/>
    </xf>
    <xf numFmtId="0" fontId="5" fillId="12" borderId="0" xfId="2" applyFont="1" applyFill="1" applyBorder="1" applyAlignment="1">
      <alignment horizontal="center"/>
    </xf>
    <xf numFmtId="0" fontId="5" fillId="12" borderId="0" xfId="2" quotePrefix="1" applyFont="1" applyFill="1" applyBorder="1" applyAlignment="1">
      <alignment horizontal="center"/>
    </xf>
    <xf numFmtId="0" fontId="5" fillId="12" borderId="0" xfId="2" applyFont="1" applyFill="1" applyBorder="1" applyAlignment="1">
      <alignment horizontal="left"/>
    </xf>
    <xf numFmtId="0" fontId="6" fillId="11" borderId="4" xfId="2" applyFont="1" applyFill="1" applyBorder="1" applyAlignment="1">
      <alignment horizontal="center"/>
    </xf>
    <xf numFmtId="0" fontId="6" fillId="11" borderId="4" xfId="2" applyFont="1" applyFill="1" applyBorder="1" applyAlignment="1">
      <alignment horizontal="left"/>
    </xf>
    <xf numFmtId="0" fontId="6" fillId="11" borderId="19" xfId="2" applyFont="1" applyFill="1" applyBorder="1" applyAlignment="1">
      <alignment horizontal="center"/>
    </xf>
    <xf numFmtId="0" fontId="6" fillId="11" borderId="21" xfId="2" applyFont="1" applyFill="1" applyBorder="1" applyAlignment="1">
      <alignment horizontal="center"/>
    </xf>
    <xf numFmtId="0" fontId="5" fillId="12" borderId="15" xfId="2" applyFont="1" applyFill="1" applyBorder="1" applyAlignment="1">
      <alignment horizontal="center"/>
    </xf>
    <xf numFmtId="164" fontId="5" fillId="12" borderId="15" xfId="2" applyNumberFormat="1" applyFont="1" applyFill="1" applyBorder="1" applyAlignment="1">
      <alignment horizontal="center"/>
    </xf>
    <xf numFmtId="164" fontId="6" fillId="10" borderId="18" xfId="2" applyNumberFormat="1" applyFont="1" applyFill="1" applyBorder="1" applyAlignment="1">
      <alignment horizontal="center"/>
    </xf>
    <xf numFmtId="164" fontId="6" fillId="10" borderId="15" xfId="2" applyNumberFormat="1" applyFont="1" applyFill="1" applyBorder="1" applyAlignment="1">
      <alignment horizontal="center"/>
    </xf>
    <xf numFmtId="164" fontId="6" fillId="10" borderId="0" xfId="2" applyNumberFormat="1" applyFont="1" applyFill="1" applyBorder="1" applyAlignment="1">
      <alignment horizontal="center"/>
    </xf>
    <xf numFmtId="1" fontId="6" fillId="10" borderId="18" xfId="2" applyNumberFormat="1" applyFont="1" applyFill="1" applyBorder="1" applyAlignment="1">
      <alignment horizontal="center"/>
    </xf>
    <xf numFmtId="1" fontId="6" fillId="10" borderId="15" xfId="2" applyNumberFormat="1" applyFont="1" applyFill="1" applyBorder="1" applyAlignment="1">
      <alignment horizontal="center"/>
    </xf>
    <xf numFmtId="2" fontId="5" fillId="12" borderId="15" xfId="2" applyNumberFormat="1" applyFont="1" applyFill="1" applyBorder="1" applyAlignment="1">
      <alignment horizontal="center"/>
    </xf>
    <xf numFmtId="0" fontId="13" fillId="8" borderId="0" xfId="0" applyFont="1" applyFill="1" applyBorder="1" applyAlignment="1">
      <alignment horizontal="right"/>
    </xf>
    <xf numFmtId="0" fontId="13" fillId="8" borderId="6" xfId="0" applyFont="1" applyFill="1" applyBorder="1" applyAlignment="1">
      <alignment horizontal="right"/>
    </xf>
    <xf numFmtId="0" fontId="6" fillId="9" borderId="0" xfId="2" applyFont="1" applyFill="1" applyBorder="1" applyAlignment="1">
      <alignment horizontal="center" vertical="center"/>
    </xf>
    <xf numFmtId="0" fontId="14" fillId="10" borderId="0" xfId="2" applyFill="1" applyBorder="1" applyAlignment="1">
      <alignment horizontal="center"/>
    </xf>
    <xf numFmtId="0" fontId="14" fillId="10" borderId="6" xfId="2" applyFill="1" applyBorder="1" applyAlignment="1">
      <alignment horizontal="center"/>
    </xf>
    <xf numFmtId="0" fontId="6" fillId="10" borderId="6" xfId="2" applyFont="1" applyFill="1" applyBorder="1" applyAlignment="1">
      <alignment horizontal="center"/>
    </xf>
    <xf numFmtId="0" fontId="6" fillId="10" borderId="6" xfId="2" applyFont="1" applyFill="1" applyBorder="1" applyAlignment="1">
      <alignment horizontal="left"/>
    </xf>
    <xf numFmtId="164" fontId="14" fillId="10" borderId="6" xfId="2" applyNumberFormat="1" applyFill="1" applyBorder="1" applyAlignment="1">
      <alignment horizontal="center"/>
    </xf>
    <xf numFmtId="164" fontId="14" fillId="10" borderId="0" xfId="2" applyNumberFormat="1" applyFill="1" applyBorder="1" applyAlignment="1">
      <alignment horizontal="center"/>
    </xf>
    <xf numFmtId="0" fontId="14" fillId="10" borderId="6" xfId="2" applyFill="1" applyBorder="1" applyAlignment="1">
      <alignment horizontal="left"/>
    </xf>
    <xf numFmtId="0" fontId="14" fillId="10" borderId="0" xfId="2" applyFill="1" applyBorder="1" applyAlignment="1">
      <alignment horizontal="left"/>
    </xf>
    <xf numFmtId="0" fontId="14" fillId="11" borderId="22" xfId="2" applyFill="1" applyBorder="1" applyAlignment="1">
      <alignment horizontal="center"/>
    </xf>
    <xf numFmtId="0" fontId="6" fillId="11" borderId="22" xfId="2" applyFont="1" applyFill="1" applyBorder="1" applyAlignment="1">
      <alignment horizontal="center"/>
    </xf>
    <xf numFmtId="0" fontId="14" fillId="11" borderId="22" xfId="2" applyFill="1" applyBorder="1" applyAlignment="1">
      <alignment horizontal="left"/>
    </xf>
    <xf numFmtId="164" fontId="14" fillId="11" borderId="6" xfId="2" applyNumberFormat="1" applyFill="1" applyBorder="1" applyAlignment="1">
      <alignment horizontal="center"/>
    </xf>
    <xf numFmtId="164" fontId="14" fillId="11" borderId="0" xfId="2" applyNumberFormat="1" applyFill="1" applyBorder="1" applyAlignment="1">
      <alignment horizontal="center"/>
    </xf>
    <xf numFmtId="164" fontId="6" fillId="11" borderId="6" xfId="2" applyNumberFormat="1" applyFont="1" applyFill="1" applyBorder="1" applyAlignment="1">
      <alignment horizontal="center"/>
    </xf>
    <xf numFmtId="0" fontId="14" fillId="11" borderId="0" xfId="2" applyFill="1" applyBorder="1" applyAlignment="1">
      <alignment horizontal="center"/>
    </xf>
    <xf numFmtId="0" fontId="14" fillId="11" borderId="0" xfId="2" applyFill="1" applyBorder="1" applyAlignment="1">
      <alignment horizontal="left"/>
    </xf>
    <xf numFmtId="0" fontId="14" fillId="11" borderId="6" xfId="2" applyFill="1" applyBorder="1" applyAlignment="1">
      <alignment horizontal="center"/>
    </xf>
    <xf numFmtId="0" fontId="6" fillId="11" borderId="6" xfId="2" applyFont="1" applyFill="1" applyBorder="1" applyAlignment="1">
      <alignment horizontal="center"/>
    </xf>
    <xf numFmtId="0" fontId="6" fillId="11" borderId="6" xfId="2" applyFont="1" applyFill="1" applyBorder="1" applyAlignment="1">
      <alignment horizontal="left"/>
    </xf>
    <xf numFmtId="0" fontId="14" fillId="11" borderId="6" xfId="2" applyFill="1" applyBorder="1" applyAlignment="1">
      <alignment horizontal="left"/>
    </xf>
    <xf numFmtId="0" fontId="14" fillId="11" borderId="4" xfId="2" applyFill="1" applyBorder="1" applyAlignment="1">
      <alignment horizontal="center"/>
    </xf>
    <xf numFmtId="164" fontId="6" fillId="11" borderId="4" xfId="2" applyNumberFormat="1" applyFont="1" applyFill="1" applyBorder="1" applyAlignment="1">
      <alignment horizontal="center"/>
    </xf>
    <xf numFmtId="164" fontId="6" fillId="11" borderId="19" xfId="2" applyNumberFormat="1" applyFont="1" applyFill="1" applyBorder="1" applyAlignment="1">
      <alignment horizontal="center"/>
    </xf>
    <xf numFmtId="164" fontId="6" fillId="11" borderId="21" xfId="2" applyNumberFormat="1" applyFont="1" applyFill="1" applyBorder="1" applyAlignment="1">
      <alignment horizontal="center"/>
    </xf>
    <xf numFmtId="0" fontId="14" fillId="11" borderId="4" xfId="2" applyFill="1" applyBorder="1" applyAlignment="1">
      <alignment horizontal="left"/>
    </xf>
    <xf numFmtId="0" fontId="0" fillId="10" borderId="0" xfId="0" applyFill="1" applyAlignment="1">
      <alignment horizontal="center"/>
    </xf>
    <xf numFmtId="165" fontId="6" fillId="10" borderId="15" xfId="0" applyNumberFormat="1" applyFont="1" applyFill="1" applyBorder="1" applyAlignment="1">
      <alignment horizontal="center"/>
    </xf>
    <xf numFmtId="2" fontId="6" fillId="10" borderId="15" xfId="0" applyNumberFormat="1" applyFont="1" applyFill="1" applyBorder="1" applyAlignment="1">
      <alignment horizontal="center"/>
    </xf>
    <xf numFmtId="164" fontId="6" fillId="10" borderId="15" xfId="0" applyNumberFormat="1" applyFont="1" applyFill="1" applyBorder="1" applyAlignment="1">
      <alignment horizontal="center"/>
    </xf>
    <xf numFmtId="164" fontId="6" fillId="10" borderId="19" xfId="0" applyNumberFormat="1" applyFont="1" applyFill="1" applyBorder="1" applyAlignment="1">
      <alignment horizontal="center"/>
    </xf>
    <xf numFmtId="165" fontId="6" fillId="10" borderId="19" xfId="0" applyNumberFormat="1" applyFont="1" applyFill="1" applyBorder="1" applyAlignment="1">
      <alignment horizontal="center"/>
    </xf>
    <xf numFmtId="0" fontId="0" fillId="11" borderId="0" xfId="0" applyFill="1" applyAlignment="1">
      <alignment horizontal="center"/>
    </xf>
    <xf numFmtId="165" fontId="6" fillId="11" borderId="15" xfId="0" applyNumberFormat="1" applyFont="1" applyFill="1" applyBorder="1" applyAlignment="1">
      <alignment horizontal="center"/>
    </xf>
    <xf numFmtId="2" fontId="6" fillId="11" borderId="15" xfId="0" applyNumberFormat="1" applyFont="1" applyFill="1" applyBorder="1" applyAlignment="1">
      <alignment horizontal="center"/>
    </xf>
    <xf numFmtId="164" fontId="6" fillId="11" borderId="15" xfId="0" applyNumberFormat="1" applyFont="1" applyFill="1" applyBorder="1" applyAlignment="1">
      <alignment horizontal="center"/>
    </xf>
    <xf numFmtId="0" fontId="6" fillId="10" borderId="0" xfId="2" applyFont="1" applyFill="1" applyAlignment="1">
      <alignment horizontal="left"/>
    </xf>
    <xf numFmtId="164" fontId="14" fillId="10" borderId="15" xfId="2" applyNumberFormat="1" applyFill="1" applyBorder="1" applyAlignment="1">
      <alignment horizontal="center"/>
    </xf>
    <xf numFmtId="0" fontId="6" fillId="11" borderId="0" xfId="2" applyFont="1" applyFill="1" applyAlignment="1">
      <alignment horizontal="left"/>
    </xf>
    <xf numFmtId="164" fontId="14" fillId="11" borderId="15" xfId="2" applyNumberFormat="1" applyFill="1" applyBorder="1" applyAlignment="1">
      <alignment horizontal="center"/>
    </xf>
    <xf numFmtId="164" fontId="14" fillId="10" borderId="4" xfId="2" applyNumberFormat="1" applyFill="1" applyBorder="1" applyAlignment="1">
      <alignment horizontal="center"/>
    </xf>
    <xf numFmtId="0" fontId="14" fillId="10" borderId="4" xfId="2" applyFill="1" applyBorder="1" applyAlignment="1">
      <alignment horizontal="center"/>
    </xf>
    <xf numFmtId="164" fontId="14" fillId="10" borderId="19" xfId="2" applyNumberFormat="1" applyFill="1" applyBorder="1" applyAlignment="1">
      <alignment horizontal="center"/>
    </xf>
    <xf numFmtId="0" fontId="14" fillId="10" borderId="4" xfId="2" applyFill="1" applyBorder="1" applyAlignment="1">
      <alignment horizontal="left"/>
    </xf>
    <xf numFmtId="0" fontId="6" fillId="10" borderId="4" xfId="2" applyFont="1" applyFill="1" applyBorder="1" applyAlignment="1">
      <alignment horizontal="center"/>
    </xf>
    <xf numFmtId="0" fontId="6" fillId="10" borderId="4" xfId="2" applyFont="1" applyFill="1" applyBorder="1" applyAlignment="1">
      <alignment horizontal="left"/>
    </xf>
    <xf numFmtId="164" fontId="5" fillId="12" borderId="0" xfId="2" applyNumberFormat="1" applyFont="1" applyFill="1" applyBorder="1" applyAlignment="1">
      <alignment horizontal="center"/>
    </xf>
    <xf numFmtId="2" fontId="6" fillId="11" borderId="4" xfId="2" applyNumberFormat="1" applyFont="1" applyFill="1" applyBorder="1" applyAlignment="1">
      <alignment horizontal="center"/>
    </xf>
    <xf numFmtId="165" fontId="14" fillId="0" borderId="0" xfId="2" applyNumberFormat="1"/>
    <xf numFmtId="1" fontId="6" fillId="10" borderId="0" xfId="0" applyNumberFormat="1" applyFont="1" applyFill="1" applyBorder="1" applyAlignment="1">
      <alignment horizontal="center"/>
    </xf>
    <xf numFmtId="1" fontId="6" fillId="11" borderId="0" xfId="0" applyNumberFormat="1" applyFont="1" applyFill="1" applyBorder="1" applyAlignment="1">
      <alignment horizontal="center"/>
    </xf>
    <xf numFmtId="1" fontId="6" fillId="10" borderId="4" xfId="0" applyNumberFormat="1" applyFont="1" applyFill="1" applyBorder="1" applyAlignment="1">
      <alignment horizontal="center"/>
    </xf>
    <xf numFmtId="0" fontId="14" fillId="9" borderId="0" xfId="2" applyFill="1" applyAlignment="1">
      <alignment horizontal="center" vertical="center" wrapText="1"/>
    </xf>
    <xf numFmtId="0" fontId="6" fillId="4" borderId="0" xfId="2" applyFont="1" applyFill="1" applyAlignment="1">
      <alignment horizontal="center"/>
    </xf>
    <xf numFmtId="0" fontId="14" fillId="4" borderId="0" xfId="2" applyFill="1" applyAlignment="1">
      <alignment horizontal="center"/>
    </xf>
    <xf numFmtId="0" fontId="6" fillId="9" borderId="0" xfId="2" applyFont="1" applyFill="1" applyBorder="1" applyAlignment="1">
      <alignment horizontal="center" wrapText="1"/>
    </xf>
    <xf numFmtId="0" fontId="6" fillId="9" borderId="0" xfId="2" applyFont="1" applyFill="1" applyAlignment="1">
      <alignment horizontal="center"/>
    </xf>
    <xf numFmtId="0" fontId="14" fillId="9" borderId="0" xfId="2" applyFill="1" applyAlignment="1">
      <alignment horizontal="center"/>
    </xf>
    <xf numFmtId="0" fontId="6" fillId="9" borderId="0" xfId="2" applyFont="1" applyFill="1" applyAlignment="1">
      <alignment horizontal="center" vertical="center" wrapText="1"/>
    </xf>
    <xf numFmtId="0" fontId="6" fillId="9" borderId="0" xfId="2" applyFont="1" applyFill="1" applyBorder="1" applyAlignment="1">
      <alignment horizontal="center" vertical="center" wrapText="1"/>
    </xf>
    <xf numFmtId="0" fontId="6" fillId="4" borderId="0" xfId="2" applyFont="1" applyFill="1" applyAlignment="1">
      <alignment horizontal="center" vertical="center" wrapText="1"/>
    </xf>
    <xf numFmtId="0" fontId="6" fillId="9" borderId="0" xfId="2" applyFont="1" applyFill="1" applyBorder="1" applyAlignment="1">
      <alignment horizontal="center"/>
    </xf>
    <xf numFmtId="0" fontId="3" fillId="2" borderId="0" xfId="2" applyFont="1" applyFill="1" applyBorder="1" applyAlignment="1">
      <alignment horizontal="center"/>
    </xf>
    <xf numFmtId="0" fontId="3" fillId="2" borderId="0" xfId="2" applyFont="1" applyFill="1" applyAlignment="1">
      <alignment horizontal="center"/>
    </xf>
    <xf numFmtId="0" fontId="6" fillId="9" borderId="6" xfId="2" applyFont="1" applyFill="1" applyBorder="1" applyAlignment="1">
      <alignment horizontal="center" wrapText="1"/>
    </xf>
    <xf numFmtId="0" fontId="6" fillId="9" borderId="6" xfId="2" applyFont="1" applyFill="1" applyBorder="1" applyAlignment="1">
      <alignment horizontal="center" vertical="center" wrapText="1"/>
    </xf>
    <xf numFmtId="0" fontId="6" fillId="4" borderId="6" xfId="2" applyFont="1" applyFill="1" applyBorder="1" applyAlignment="1">
      <alignment horizontal="center" vertical="center" wrapText="1"/>
    </xf>
    <xf numFmtId="0" fontId="6" fillId="4" borderId="0" xfId="0" applyFont="1" applyFill="1" applyAlignment="1">
      <alignment horizontal="center"/>
    </xf>
    <xf numFmtId="0" fontId="3" fillId="2" borderId="0" xfId="0" applyFont="1" applyFill="1" applyAlignment="1">
      <alignment horizontal="center"/>
    </xf>
    <xf numFmtId="0" fontId="13" fillId="8" borderId="0" xfId="0" applyFont="1" applyFill="1" applyBorder="1" applyAlignment="1">
      <alignment horizontal="right" vertical="center"/>
    </xf>
    <xf numFmtId="0" fontId="12" fillId="4" borderId="0" xfId="0" applyFont="1" applyFill="1" applyAlignment="1">
      <alignment horizontal="center" vertical="center" wrapText="1"/>
    </xf>
    <xf numFmtId="0" fontId="12" fillId="4" borderId="6" xfId="0" applyFont="1" applyFill="1" applyBorder="1" applyAlignment="1">
      <alignment horizontal="center" vertical="center" wrapText="1"/>
    </xf>
    <xf numFmtId="0" fontId="14" fillId="8" borderId="0" xfId="2" applyFill="1" applyBorder="1" applyAlignment="1">
      <alignment horizontal="center"/>
    </xf>
    <xf numFmtId="0" fontId="14" fillId="9" borderId="0" xfId="2" applyFill="1" applyAlignment="1">
      <alignment horizontal="center" wrapText="1"/>
    </xf>
    <xf numFmtId="0" fontId="11" fillId="13" borderId="23" xfId="0" applyFont="1" applyFill="1" applyBorder="1" applyAlignment="1">
      <alignment horizontal="center" vertical="center" wrapText="1"/>
    </xf>
    <xf numFmtId="0" fontId="11" fillId="13" borderId="24" xfId="0" applyFont="1" applyFill="1" applyBorder="1" applyAlignment="1">
      <alignment horizontal="center" vertical="center" wrapText="1"/>
    </xf>
    <xf numFmtId="0" fontId="11" fillId="13" borderId="25" xfId="0" applyFont="1" applyFill="1" applyBorder="1" applyAlignment="1">
      <alignment horizontal="center" vertical="center" wrapText="1"/>
    </xf>
    <xf numFmtId="0" fontId="11" fillId="13" borderId="26" xfId="0" applyFont="1" applyFill="1" applyBorder="1" applyAlignment="1">
      <alignment horizontal="center" vertical="center" wrapText="1"/>
    </xf>
    <xf numFmtId="0" fontId="11" fillId="13" borderId="0" xfId="0" applyFont="1" applyFill="1" applyBorder="1" applyAlignment="1">
      <alignment horizontal="center" vertical="center" wrapText="1"/>
    </xf>
    <xf numFmtId="0" fontId="11" fillId="13" borderId="2" xfId="0" applyFont="1" applyFill="1" applyBorder="1" applyAlignment="1">
      <alignment horizontal="center" vertical="center" wrapText="1"/>
    </xf>
    <xf numFmtId="0" fontId="11" fillId="13" borderId="27" xfId="0" applyFont="1" applyFill="1" applyBorder="1" applyAlignment="1">
      <alignment horizontal="center" vertical="center" wrapText="1"/>
    </xf>
    <xf numFmtId="0" fontId="11" fillId="13" borderId="4" xfId="0" applyFont="1" applyFill="1" applyBorder="1" applyAlignment="1">
      <alignment horizontal="center" vertical="center" wrapText="1"/>
    </xf>
    <xf numFmtId="0" fontId="11" fillId="13" borderId="28" xfId="0" applyFont="1" applyFill="1" applyBorder="1" applyAlignment="1">
      <alignment horizontal="center" vertical="center" wrapText="1"/>
    </xf>
    <xf numFmtId="0" fontId="5" fillId="6" borderId="10" xfId="1" applyFont="1" applyFill="1" applyBorder="1" applyAlignment="1">
      <alignment horizontal="center" vertical="center"/>
    </xf>
    <xf numFmtId="0" fontId="6" fillId="6" borderId="12" xfId="1" applyFont="1" applyFill="1" applyBorder="1" applyAlignment="1">
      <alignment horizontal="left" vertical="center" wrapText="1"/>
    </xf>
    <xf numFmtId="0" fontId="6" fillId="6" borderId="13" xfId="1" applyFont="1" applyFill="1" applyBorder="1" applyAlignment="1">
      <alignment horizontal="left" vertical="center" wrapText="1"/>
    </xf>
    <xf numFmtId="0" fontId="6" fillId="6" borderId="0" xfId="1" applyFont="1" applyFill="1" applyBorder="1" applyAlignment="1">
      <alignment horizontal="left" vertical="center" wrapText="1"/>
    </xf>
    <xf numFmtId="0" fontId="6" fillId="6" borderId="2" xfId="1" applyFont="1" applyFill="1" applyBorder="1" applyAlignment="1">
      <alignment horizontal="left" vertical="center" wrapText="1"/>
    </xf>
    <xf numFmtId="0" fontId="6" fillId="6" borderId="8" xfId="1" applyFont="1" applyFill="1" applyBorder="1" applyAlignment="1">
      <alignment horizontal="left" vertical="center" wrapText="1"/>
    </xf>
    <xf numFmtId="0" fontId="6" fillId="6" borderId="9" xfId="1" applyFont="1" applyFill="1" applyBorder="1" applyAlignment="1">
      <alignment horizontal="left" vertical="center" wrapText="1"/>
    </xf>
    <xf numFmtId="0" fontId="5" fillId="5" borderId="10" xfId="1" applyFont="1" applyFill="1" applyBorder="1" applyAlignment="1">
      <alignment horizontal="center" vertical="center"/>
    </xf>
    <xf numFmtId="0" fontId="6" fillId="5" borderId="1" xfId="1" applyFont="1" applyFill="1" applyBorder="1" applyAlignment="1">
      <alignment horizontal="left" vertical="center" wrapText="1"/>
    </xf>
    <xf numFmtId="0" fontId="6" fillId="5" borderId="11" xfId="1" applyFont="1" applyFill="1" applyBorder="1" applyAlignment="1">
      <alignment horizontal="left" vertical="center" wrapText="1"/>
    </xf>
    <xf numFmtId="0" fontId="11" fillId="5" borderId="10" xfId="1" applyFont="1" applyFill="1" applyBorder="1" applyAlignment="1">
      <alignment horizontal="center" vertical="center"/>
    </xf>
    <xf numFmtId="0" fontId="12" fillId="5" borderId="1" xfId="1" applyFont="1" applyFill="1" applyBorder="1" applyAlignment="1">
      <alignment horizontal="left" vertical="center" wrapText="1"/>
    </xf>
    <xf numFmtId="0" fontId="12" fillId="5" borderId="11" xfId="1" applyFont="1" applyFill="1" applyBorder="1" applyAlignment="1">
      <alignment horizontal="left" vertical="center" wrapText="1"/>
    </xf>
    <xf numFmtId="0" fontId="11" fillId="6" borderId="10" xfId="1" applyFont="1" applyFill="1" applyBorder="1" applyAlignment="1">
      <alignment horizontal="center" vertical="center"/>
    </xf>
    <xf numFmtId="0" fontId="12" fillId="6" borderId="12" xfId="1" applyFont="1" applyFill="1" applyBorder="1" applyAlignment="1">
      <alignment horizontal="left" vertical="center" wrapText="1"/>
    </xf>
    <xf numFmtId="0" fontId="12" fillId="6" borderId="13" xfId="1" applyFont="1" applyFill="1" applyBorder="1" applyAlignment="1">
      <alignment horizontal="left" vertical="center" wrapText="1"/>
    </xf>
    <xf numFmtId="0" fontId="12" fillId="6" borderId="0" xfId="1" applyFont="1" applyFill="1" applyBorder="1" applyAlignment="1">
      <alignment horizontal="left" vertical="center" wrapText="1"/>
    </xf>
    <xf numFmtId="0" fontId="12" fillId="6" borderId="2" xfId="1" applyFont="1" applyFill="1" applyBorder="1" applyAlignment="1">
      <alignment horizontal="left" vertical="center" wrapText="1"/>
    </xf>
    <xf numFmtId="0" fontId="12" fillId="6" borderId="8" xfId="1" applyFont="1" applyFill="1" applyBorder="1" applyAlignment="1">
      <alignment horizontal="left" vertical="center" wrapText="1"/>
    </xf>
    <xf numFmtId="0" fontId="12" fillId="6" borderId="9" xfId="1" applyFont="1" applyFill="1" applyBorder="1" applyAlignment="1">
      <alignment horizontal="left" vertical="center" wrapText="1"/>
    </xf>
    <xf numFmtId="0" fontId="12" fillId="6" borderId="1" xfId="1" applyFont="1" applyFill="1" applyBorder="1" applyAlignment="1">
      <alignment horizontal="left" vertical="center" wrapText="1"/>
    </xf>
    <xf numFmtId="0" fontId="12" fillId="6" borderId="11" xfId="1" applyFont="1" applyFill="1" applyBorder="1" applyAlignment="1">
      <alignment horizontal="left" vertical="center" wrapText="1"/>
    </xf>
    <xf numFmtId="0" fontId="10" fillId="0" borderId="3" xfId="0" applyFont="1" applyBorder="1" applyAlignment="1">
      <alignment horizontal="left"/>
    </xf>
    <xf numFmtId="0" fontId="11" fillId="5" borderId="23" xfId="1" applyFont="1" applyFill="1" applyBorder="1" applyAlignment="1">
      <alignment horizontal="center" vertical="center" wrapText="1"/>
    </xf>
    <xf numFmtId="0" fontId="11" fillId="5" borderId="7" xfId="1" applyFont="1" applyFill="1" applyBorder="1" applyAlignment="1">
      <alignment horizontal="center" vertical="center" wrapText="1"/>
    </xf>
    <xf numFmtId="0" fontId="12" fillId="5" borderId="24" xfId="1" applyFont="1" applyFill="1" applyBorder="1" applyAlignment="1">
      <alignment horizontal="left" wrapText="1"/>
    </xf>
    <xf numFmtId="0" fontId="12" fillId="5" borderId="25" xfId="1" applyFont="1" applyFill="1" applyBorder="1" applyAlignment="1">
      <alignment horizontal="left" wrapText="1"/>
    </xf>
    <xf numFmtId="0" fontId="12" fillId="5" borderId="8" xfId="1" applyFont="1" applyFill="1" applyBorder="1" applyAlignment="1">
      <alignment horizontal="left" wrapText="1"/>
    </xf>
    <xf numFmtId="0" fontId="12" fillId="5" borderId="9" xfId="1" applyFont="1" applyFill="1" applyBorder="1" applyAlignment="1">
      <alignment horizontal="left" wrapText="1"/>
    </xf>
    <xf numFmtId="0" fontId="12" fillId="6" borderId="1" xfId="1" applyFont="1" applyFill="1" applyBorder="1" applyAlignment="1">
      <alignment horizontal="left" wrapText="1"/>
    </xf>
    <xf numFmtId="0" fontId="12" fillId="6" borderId="11" xfId="1" applyFont="1" applyFill="1" applyBorder="1" applyAlignment="1">
      <alignment horizontal="left" wrapText="1"/>
    </xf>
    <xf numFmtId="0" fontId="3" fillId="2" borderId="0" xfId="2" applyFont="1" applyFill="1" applyBorder="1" applyAlignment="1">
      <alignment horizontal="center"/>
    </xf>
    <xf numFmtId="0" fontId="6" fillId="4" borderId="17" xfId="2" applyFont="1" applyFill="1" applyBorder="1" applyAlignment="1">
      <alignment horizontal="center" vertical="center" wrapText="1"/>
    </xf>
    <xf numFmtId="0" fontId="14" fillId="4" borderId="0" xfId="2" applyFill="1" applyAlignment="1">
      <alignment horizontal="center" vertical="center" wrapText="1"/>
    </xf>
    <xf numFmtId="0" fontId="6" fillId="4" borderId="0" xfId="2" applyFont="1" applyFill="1" applyBorder="1" applyAlignment="1">
      <alignment horizontal="center" vertical="center" wrapText="1"/>
    </xf>
    <xf numFmtId="0" fontId="14" fillId="4" borderId="0" xfId="2" applyFill="1" applyBorder="1" applyAlignment="1">
      <alignment horizontal="center" vertical="center"/>
    </xf>
    <xf numFmtId="0" fontId="6" fillId="4" borderId="0" xfId="2" applyFont="1" applyFill="1" applyBorder="1" applyAlignment="1">
      <alignment horizontal="center"/>
    </xf>
    <xf numFmtId="0" fontId="14" fillId="4" borderId="0" xfId="2" applyFill="1" applyBorder="1" applyAlignment="1">
      <alignment horizontal="center"/>
    </xf>
    <xf numFmtId="0" fontId="6" fillId="4" borderId="6" xfId="2" applyFont="1" applyFill="1" applyBorder="1" applyAlignment="1">
      <alignment horizontal="center" wrapText="1"/>
    </xf>
    <xf numFmtId="0" fontId="14" fillId="4" borderId="6" xfId="2" applyFill="1" applyBorder="1" applyAlignment="1">
      <alignment horizontal="center"/>
    </xf>
    <xf numFmtId="0" fontId="5" fillId="3" borderId="3" xfId="2" applyFont="1" applyFill="1" applyBorder="1" applyAlignment="1">
      <alignment horizontal="right"/>
    </xf>
    <xf numFmtId="0" fontId="5" fillId="8" borderId="0" xfId="2" applyFont="1" applyFill="1" applyBorder="1" applyAlignment="1">
      <alignment horizontal="right" vertical="center"/>
    </xf>
    <xf numFmtId="0" fontId="6" fillId="9" borderId="17" xfId="2" applyFont="1" applyFill="1" applyBorder="1" applyAlignment="1">
      <alignment horizontal="justify" vertical="center" wrapText="1"/>
    </xf>
    <xf numFmtId="0" fontId="6" fillId="9" borderId="0" xfId="2" applyFont="1" applyFill="1" applyBorder="1" applyAlignment="1">
      <alignment horizontal="justify" vertical="center" wrapText="1"/>
    </xf>
    <xf numFmtId="0" fontId="14" fillId="9" borderId="17" xfId="2" applyFill="1" applyBorder="1" applyAlignment="1">
      <alignment horizontal="center" vertical="center" wrapText="1"/>
    </xf>
    <xf numFmtId="0" fontId="14" fillId="9" borderId="0" xfId="2" applyFill="1" applyAlignment="1">
      <alignment horizontal="center" vertical="center" wrapText="1"/>
    </xf>
    <xf numFmtId="0" fontId="5" fillId="8" borderId="6" xfId="2" applyFont="1" applyFill="1" applyBorder="1" applyAlignment="1">
      <alignment horizontal="center"/>
    </xf>
    <xf numFmtId="0" fontId="5" fillId="8" borderId="16" xfId="2" applyFont="1" applyFill="1" applyBorder="1" applyAlignment="1">
      <alignment horizontal="center"/>
    </xf>
    <xf numFmtId="0" fontId="6" fillId="9" borderId="6" xfId="2" applyFont="1" applyFill="1" applyBorder="1" applyAlignment="1">
      <alignment horizontal="center" wrapText="1"/>
    </xf>
    <xf numFmtId="0" fontId="14" fillId="9" borderId="6" xfId="2" applyFill="1" applyBorder="1" applyAlignment="1">
      <alignment horizontal="center"/>
    </xf>
    <xf numFmtId="0" fontId="6" fillId="9" borderId="6" xfId="2" applyFont="1" applyFill="1" applyBorder="1" applyAlignment="1">
      <alignment horizontal="center" vertical="center" wrapText="1"/>
    </xf>
    <xf numFmtId="0" fontId="14" fillId="9" borderId="6" xfId="2" applyFill="1" applyBorder="1" applyAlignment="1">
      <alignment horizontal="center" vertical="center"/>
    </xf>
    <xf numFmtId="0" fontId="6" fillId="4" borderId="6" xfId="2" applyFont="1" applyFill="1" applyBorder="1" applyAlignment="1">
      <alignment horizontal="center" vertical="center" wrapText="1"/>
    </xf>
    <xf numFmtId="0" fontId="14" fillId="4" borderId="6" xfId="2" applyFill="1" applyBorder="1" applyAlignment="1">
      <alignment horizontal="center" vertical="center"/>
    </xf>
    <xf numFmtId="0" fontId="14" fillId="9" borderId="6" xfId="2" applyFill="1" applyBorder="1" applyAlignment="1">
      <alignment horizontal="center" vertical="center" wrapText="1"/>
    </xf>
    <xf numFmtId="0" fontId="6" fillId="9" borderId="17" xfId="2" applyFont="1" applyFill="1" applyBorder="1" applyAlignment="1">
      <alignment horizontal="center" vertical="center" wrapText="1"/>
    </xf>
    <xf numFmtId="0" fontId="6" fillId="9" borderId="0" xfId="2" applyFont="1" applyFill="1" applyBorder="1" applyAlignment="1">
      <alignment horizontal="center"/>
    </xf>
    <xf numFmtId="0" fontId="14" fillId="9" borderId="0" xfId="2" applyFill="1" applyBorder="1" applyAlignment="1">
      <alignment horizontal="center"/>
    </xf>
    <xf numFmtId="0" fontId="5" fillId="8" borderId="0" xfId="2" applyFont="1" applyFill="1" applyAlignment="1">
      <alignment horizontal="center"/>
    </xf>
    <xf numFmtId="0" fontId="5" fillId="8" borderId="15" xfId="2" applyFont="1" applyFill="1" applyBorder="1" applyAlignment="1">
      <alignment horizontal="center"/>
    </xf>
    <xf numFmtId="0" fontId="14" fillId="9" borderId="0" xfId="2" applyFill="1" applyAlignment="1">
      <alignment horizontal="center"/>
    </xf>
    <xf numFmtId="0" fontId="6" fillId="9" borderId="0" xfId="2" applyFont="1" applyFill="1" applyAlignment="1">
      <alignment horizontal="center" vertical="center"/>
    </xf>
    <xf numFmtId="0" fontId="14" fillId="9" borderId="0" xfId="2" applyFill="1" applyAlignment="1">
      <alignment horizontal="center" vertical="center"/>
    </xf>
    <xf numFmtId="0" fontId="3" fillId="2" borderId="0" xfId="2" applyFont="1" applyFill="1" applyAlignment="1">
      <alignment horizontal="center"/>
    </xf>
    <xf numFmtId="0" fontId="5" fillId="8" borderId="0" xfId="2" applyFont="1" applyFill="1" applyBorder="1" applyAlignment="1">
      <alignment horizontal="left"/>
    </xf>
    <xf numFmtId="0" fontId="5" fillId="8" borderId="15" xfId="2" applyFont="1" applyFill="1" applyBorder="1" applyAlignment="1">
      <alignment horizontal="left"/>
    </xf>
    <xf numFmtId="0" fontId="6" fillId="4" borderId="0" xfId="2" applyFont="1" applyFill="1" applyAlignment="1">
      <alignment horizontal="center"/>
    </xf>
    <xf numFmtId="0" fontId="14" fillId="4" borderId="0" xfId="2" applyFill="1" applyAlignment="1">
      <alignment horizontal="center"/>
    </xf>
    <xf numFmtId="0" fontId="6" fillId="9" borderId="0" xfId="2" applyFont="1" applyFill="1" applyAlignment="1">
      <alignment horizontal="center"/>
    </xf>
    <xf numFmtId="0" fontId="6" fillId="9" borderId="0" xfId="2" applyFont="1" applyFill="1" applyBorder="1" applyAlignment="1">
      <alignment horizontal="center" wrapText="1"/>
    </xf>
    <xf numFmtId="0" fontId="6" fillId="9" borderId="0" xfId="2" applyFont="1" applyFill="1" applyAlignment="1">
      <alignment horizontal="center" vertical="center" wrapText="1"/>
    </xf>
    <xf numFmtId="0" fontId="6" fillId="4" borderId="0" xfId="2" applyFont="1" applyFill="1" applyAlignment="1">
      <alignment horizontal="center" vertical="center"/>
    </xf>
    <xf numFmtId="0" fontId="14" fillId="4" borderId="0" xfId="2" applyFill="1" applyAlignment="1">
      <alignment horizontal="center" vertical="center"/>
    </xf>
    <xf numFmtId="0" fontId="6" fillId="9" borderId="0" xfId="2" applyFont="1" applyFill="1" applyBorder="1" applyAlignment="1">
      <alignment horizontal="center" vertical="center" wrapText="1"/>
    </xf>
    <xf numFmtId="0" fontId="14" fillId="9" borderId="0" xfId="2" applyFill="1" applyBorder="1" applyAlignment="1">
      <alignment horizontal="center" vertical="center"/>
    </xf>
    <xf numFmtId="0" fontId="6" fillId="4" borderId="0" xfId="2" applyFont="1" applyFill="1" applyAlignment="1">
      <alignment horizontal="center" vertical="center" wrapText="1"/>
    </xf>
    <xf numFmtId="49" fontId="5" fillId="8" borderId="0" xfId="2" applyNumberFormat="1" applyFont="1" applyFill="1" applyBorder="1" applyAlignment="1">
      <alignment horizontal="left"/>
    </xf>
    <xf numFmtId="49" fontId="5" fillId="8" borderId="15" xfId="2" applyNumberFormat="1" applyFont="1" applyFill="1" applyBorder="1" applyAlignment="1">
      <alignment horizontal="left"/>
    </xf>
    <xf numFmtId="0" fontId="6" fillId="4" borderId="6" xfId="2" applyFont="1" applyFill="1" applyBorder="1" applyAlignment="1">
      <alignment horizontal="center"/>
    </xf>
    <xf numFmtId="0" fontId="14" fillId="4" borderId="17" xfId="2" applyFill="1" applyBorder="1" applyAlignment="1">
      <alignment horizontal="center" vertical="center" wrapText="1"/>
    </xf>
    <xf numFmtId="0" fontId="13" fillId="8" borderId="0" xfId="2" applyFont="1" applyFill="1" applyAlignment="1">
      <alignment horizontal="center"/>
    </xf>
    <xf numFmtId="0" fontId="13" fillId="8" borderId="15" xfId="2" applyFont="1" applyFill="1" applyBorder="1" applyAlignment="1">
      <alignment horizontal="center"/>
    </xf>
    <xf numFmtId="0" fontId="13" fillId="8" borderId="0" xfId="2" applyFont="1" applyFill="1" applyBorder="1" applyAlignment="1">
      <alignment horizontal="left"/>
    </xf>
    <xf numFmtId="0" fontId="13" fillId="8" borderId="15" xfId="2" applyFont="1" applyFill="1" applyBorder="1" applyAlignment="1">
      <alignment horizontal="left"/>
    </xf>
    <xf numFmtId="0" fontId="14" fillId="9" borderId="0" xfId="2" applyFill="1" applyBorder="1" applyAlignment="1">
      <alignment horizontal="center" vertical="center" wrapText="1"/>
    </xf>
    <xf numFmtId="49" fontId="13" fillId="8" borderId="0" xfId="2" applyNumberFormat="1" applyFont="1" applyFill="1" applyBorder="1" applyAlignment="1">
      <alignment horizontal="left"/>
    </xf>
    <xf numFmtId="49" fontId="13" fillId="8" borderId="15" xfId="2" applyNumberFormat="1" applyFont="1" applyFill="1" applyBorder="1" applyAlignment="1">
      <alignment horizontal="left"/>
    </xf>
    <xf numFmtId="0" fontId="13" fillId="8" borderId="6" xfId="2" applyFont="1" applyFill="1" applyBorder="1" applyAlignment="1">
      <alignment horizontal="center"/>
    </xf>
    <xf numFmtId="0" fontId="13" fillId="8" borderId="16" xfId="2" applyFont="1" applyFill="1" applyBorder="1" applyAlignment="1">
      <alignment horizontal="center"/>
    </xf>
    <xf numFmtId="0" fontId="13" fillId="8" borderId="0" xfId="2" applyFont="1" applyFill="1" applyBorder="1" applyAlignment="1">
      <alignment horizontal="right" vertical="center"/>
    </xf>
    <xf numFmtId="0" fontId="6" fillId="4" borderId="17" xfId="2" applyFont="1" applyFill="1" applyBorder="1" applyAlignment="1">
      <alignment horizontal="justify" vertical="center" wrapText="1"/>
    </xf>
    <xf numFmtId="0" fontId="6" fillId="4" borderId="0" xfId="2" applyFont="1" applyFill="1" applyBorder="1" applyAlignment="1">
      <alignment horizontal="justify" vertical="center" wrapText="1"/>
    </xf>
    <xf numFmtId="0" fontId="12" fillId="9" borderId="0" xfId="0" applyFont="1" applyFill="1" applyAlignment="1">
      <alignment horizontal="center"/>
    </xf>
    <xf numFmtId="0" fontId="12" fillId="9" borderId="0" xfId="0" applyFont="1" applyFill="1" applyAlignment="1">
      <alignment horizontal="center" vertical="center" wrapText="1"/>
    </xf>
    <xf numFmtId="0" fontId="12" fillId="9" borderId="6" xfId="0" applyFont="1" applyFill="1" applyBorder="1" applyAlignment="1">
      <alignment horizontal="center" vertical="center" wrapText="1"/>
    </xf>
    <xf numFmtId="0" fontId="13" fillId="8" borderId="0" xfId="0" applyFont="1" applyFill="1" applyAlignment="1">
      <alignment horizontal="left" wrapText="1"/>
    </xf>
    <xf numFmtId="0" fontId="13" fillId="8" borderId="15" xfId="0" applyFont="1" applyFill="1" applyBorder="1" applyAlignment="1">
      <alignment horizontal="left" wrapText="1"/>
    </xf>
    <xf numFmtId="0" fontId="13" fillId="8" borderId="6" xfId="0" applyFont="1" applyFill="1" applyBorder="1" applyAlignment="1">
      <alignment horizontal="left" wrapText="1"/>
    </xf>
    <xf numFmtId="0" fontId="13" fillId="8" borderId="16" xfId="0" applyFont="1" applyFill="1" applyBorder="1" applyAlignment="1">
      <alignment horizontal="left" wrapText="1"/>
    </xf>
    <xf numFmtId="0" fontId="3" fillId="2" borderId="0" xfId="0" applyFont="1" applyFill="1" applyAlignment="1">
      <alignment horizontal="center"/>
    </xf>
    <xf numFmtId="0" fontId="12" fillId="4" borderId="6" xfId="0" applyFont="1" applyFill="1" applyBorder="1" applyAlignment="1">
      <alignment horizontal="center" vertical="center" wrapText="1"/>
    </xf>
    <xf numFmtId="0" fontId="12" fillId="4" borderId="0" xfId="0" applyFont="1" applyFill="1" applyAlignment="1">
      <alignment horizontal="center"/>
    </xf>
    <xf numFmtId="0" fontId="13" fillId="8" borderId="0" xfId="0" applyFont="1" applyFill="1" applyBorder="1" applyAlignment="1">
      <alignment horizontal="left"/>
    </xf>
    <xf numFmtId="0" fontId="13" fillId="8" borderId="15" xfId="0" applyFont="1" applyFill="1" applyBorder="1" applyAlignment="1">
      <alignment horizontal="left"/>
    </xf>
    <xf numFmtId="0" fontId="14" fillId="4" borderId="0" xfId="2" applyFill="1" applyBorder="1" applyAlignment="1">
      <alignment horizontal="center" vertical="center" wrapText="1"/>
    </xf>
    <xf numFmtId="0" fontId="5" fillId="3" borderId="3" xfId="0" applyFont="1" applyFill="1" applyBorder="1" applyAlignment="1">
      <alignment horizontal="right"/>
    </xf>
    <xf numFmtId="0" fontId="12" fillId="4" borderId="0" xfId="0" applyFont="1" applyFill="1" applyAlignment="1">
      <alignment horizontal="justify" vertical="center"/>
    </xf>
    <xf numFmtId="0" fontId="13" fillId="8" borderId="0" xfId="0" applyFont="1" applyFill="1" applyBorder="1" applyAlignment="1">
      <alignment horizontal="right" vertical="center"/>
    </xf>
    <xf numFmtId="0" fontId="0" fillId="9" borderId="17" xfId="0" applyFill="1" applyBorder="1" applyAlignment="1">
      <alignment horizontal="center" vertical="center" wrapText="1"/>
    </xf>
    <xf numFmtId="0" fontId="0" fillId="9" borderId="0" xfId="0" applyFill="1" applyAlignment="1">
      <alignment horizontal="center" vertical="center" wrapText="1"/>
    </xf>
    <xf numFmtId="0" fontId="12" fillId="9" borderId="17"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12" fillId="4" borderId="17"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12" fillId="4" borderId="0" xfId="0" applyFont="1" applyFill="1" applyAlignment="1">
      <alignment horizontal="center" vertical="center" wrapText="1"/>
    </xf>
    <xf numFmtId="0" fontId="12" fillId="9" borderId="0" xfId="0" applyFont="1" applyFill="1" applyAlignment="1">
      <alignment horizontal="center" vertical="center"/>
    </xf>
    <xf numFmtId="49" fontId="13" fillId="8" borderId="0" xfId="0" applyNumberFormat="1" applyFont="1" applyFill="1" applyBorder="1" applyAlignment="1">
      <alignment horizontal="left"/>
    </xf>
    <xf numFmtId="49" fontId="13" fillId="8" borderId="15" xfId="0" applyNumberFormat="1" applyFont="1" applyFill="1" applyBorder="1" applyAlignment="1">
      <alignment horizontal="left"/>
    </xf>
    <xf numFmtId="0" fontId="0" fillId="4" borderId="0" xfId="0" applyFill="1" applyAlignment="1">
      <alignment horizontal="center"/>
    </xf>
    <xf numFmtId="0" fontId="3" fillId="2" borderId="0" xfId="0" applyFont="1" applyFill="1" applyBorder="1" applyAlignment="1">
      <alignment horizontal="center"/>
    </xf>
    <xf numFmtId="0" fontId="6" fillId="9" borderId="0" xfId="0" applyFont="1" applyFill="1" applyAlignment="1">
      <alignment horizontal="center"/>
    </xf>
    <xf numFmtId="0" fontId="6" fillId="4" borderId="0" xfId="0" applyFont="1" applyFill="1" applyAlignment="1">
      <alignment horizontal="center"/>
    </xf>
    <xf numFmtId="0" fontId="13" fillId="8" borderId="0" xfId="2" applyFont="1" applyFill="1" applyAlignment="1">
      <alignment horizontal="left"/>
    </xf>
    <xf numFmtId="0" fontId="14" fillId="8" borderId="0" xfId="2" applyFill="1" applyBorder="1" applyAlignment="1">
      <alignment horizontal="center"/>
    </xf>
    <xf numFmtId="0" fontId="14" fillId="8" borderId="15" xfId="2" applyFill="1" applyBorder="1" applyAlignment="1">
      <alignment horizontal="center"/>
    </xf>
    <xf numFmtId="0" fontId="14" fillId="8" borderId="6" xfId="2" applyFill="1" applyBorder="1" applyAlignment="1">
      <alignment horizontal="center"/>
    </xf>
    <xf numFmtId="0" fontId="14" fillId="8" borderId="16" xfId="2" applyFill="1" applyBorder="1" applyAlignment="1">
      <alignment horizontal="center"/>
    </xf>
    <xf numFmtId="0" fontId="14" fillId="9" borderId="0" xfId="2" applyFill="1" applyAlignment="1">
      <alignment horizontal="justify" vertical="center"/>
    </xf>
    <xf numFmtId="0" fontId="13" fillId="8" borderId="17" xfId="2" applyFont="1" applyFill="1" applyBorder="1" applyAlignment="1"/>
    <xf numFmtId="0" fontId="13" fillId="8" borderId="0" xfId="2" applyFont="1" applyFill="1" applyBorder="1" applyAlignment="1"/>
    <xf numFmtId="0" fontId="14" fillId="9" borderId="0" xfId="2" applyFill="1" applyAlignment="1">
      <alignment horizontal="center" wrapText="1"/>
    </xf>
    <xf numFmtId="0" fontId="14" fillId="4" borderId="6" xfId="2" applyFill="1" applyBorder="1" applyAlignment="1">
      <alignment horizontal="center" vertical="center" wrapText="1"/>
    </xf>
    <xf numFmtId="0" fontId="14" fillId="9" borderId="6" xfId="2" applyFill="1" applyBorder="1" applyAlignment="1">
      <alignment horizontal="center" wrapText="1"/>
    </xf>
  </cellXfs>
  <cellStyles count="5">
    <cellStyle name="Normal" xfId="0" builtinId="0"/>
    <cellStyle name="Normal 2" xfId="3" xr:uid="{00000000-0005-0000-0000-000001000000}"/>
    <cellStyle name="Normal 3" xfId="2" xr:uid="{00000000-0005-0000-0000-000002000000}"/>
    <cellStyle name="Normal 4" xfId="4" xr:uid="{00000000-0005-0000-0000-000003000000}"/>
    <cellStyle name="Total" xfId="1" builtinId="25"/>
  </cellStyles>
  <dxfs count="0"/>
  <tableStyles count="0" defaultTableStyle="TableStyleMedium2" defaultPivotStyle="PivotStyleLight16"/>
  <colors>
    <mruColors>
      <color rgb="FF66FFFF"/>
      <color rgb="FFB9FFFF"/>
      <color rgb="FF66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2"/>
  <sheetViews>
    <sheetView tabSelected="1" workbookViewId="0">
      <selection activeCell="M6" sqref="M6"/>
    </sheetView>
  </sheetViews>
  <sheetFormatPr defaultRowHeight="14.45"/>
  <sheetData>
    <row r="1" spans="1:11" ht="15">
      <c r="A1" s="191" t="s">
        <v>0</v>
      </c>
      <c r="B1" s="192"/>
      <c r="C1" s="192"/>
      <c r="D1" s="192"/>
      <c r="E1" s="192"/>
      <c r="F1" s="192"/>
      <c r="G1" s="192"/>
      <c r="H1" s="192"/>
      <c r="I1" s="192"/>
      <c r="J1" s="192"/>
      <c r="K1" s="193"/>
    </row>
    <row r="2" spans="1:11">
      <c r="A2" s="194"/>
      <c r="B2" s="195"/>
      <c r="C2" s="195"/>
      <c r="D2" s="195"/>
      <c r="E2" s="195"/>
      <c r="F2" s="195"/>
      <c r="G2" s="195"/>
      <c r="H2" s="195"/>
      <c r="I2" s="195"/>
      <c r="J2" s="195"/>
      <c r="K2" s="196"/>
    </row>
    <row r="3" spans="1:11">
      <c r="A3" s="194"/>
      <c r="B3" s="195"/>
      <c r="C3" s="195"/>
      <c r="D3" s="195"/>
      <c r="E3" s="195"/>
      <c r="F3" s="195"/>
      <c r="G3" s="195"/>
      <c r="H3" s="195"/>
      <c r="I3" s="195"/>
      <c r="J3" s="195"/>
      <c r="K3" s="196"/>
    </row>
    <row r="4" spans="1:11">
      <c r="A4" s="194"/>
      <c r="B4" s="195"/>
      <c r="C4" s="195"/>
      <c r="D4" s="195"/>
      <c r="E4" s="195"/>
      <c r="F4" s="195"/>
      <c r="G4" s="195"/>
      <c r="H4" s="195"/>
      <c r="I4" s="195"/>
      <c r="J4" s="195"/>
      <c r="K4" s="196"/>
    </row>
    <row r="5" spans="1:11" ht="20.25" customHeight="1" thickBot="1">
      <c r="A5" s="197"/>
      <c r="B5" s="198"/>
      <c r="C5" s="198"/>
      <c r="D5" s="198"/>
      <c r="E5" s="198"/>
      <c r="F5" s="198"/>
      <c r="G5" s="198"/>
      <c r="H5" s="198"/>
      <c r="I5" s="198"/>
      <c r="J5" s="198"/>
      <c r="K5" s="199"/>
    </row>
    <row r="6" spans="1:11" ht="15" thickBot="1"/>
    <row r="7" spans="1:11" ht="15.95" thickBot="1">
      <c r="A7" s="222" t="s">
        <v>1</v>
      </c>
      <c r="B7" s="222"/>
      <c r="C7" s="222"/>
      <c r="D7" s="222"/>
      <c r="E7" s="222"/>
      <c r="F7" s="222"/>
      <c r="G7" s="222"/>
      <c r="H7" s="222"/>
      <c r="I7" s="222"/>
      <c r="J7" s="222"/>
      <c r="K7" s="222"/>
    </row>
    <row r="8" spans="1:11" ht="15" customHeight="1">
      <c r="A8" s="223" t="s">
        <v>2</v>
      </c>
      <c r="B8" s="225" t="s">
        <v>3</v>
      </c>
      <c r="C8" s="225"/>
      <c r="D8" s="225"/>
      <c r="E8" s="225"/>
      <c r="F8" s="225"/>
      <c r="G8" s="225"/>
      <c r="H8" s="225"/>
      <c r="I8" s="225"/>
      <c r="J8" s="225"/>
      <c r="K8" s="226"/>
    </row>
    <row r="9" spans="1:11" ht="19.5" customHeight="1" thickBot="1">
      <c r="A9" s="224"/>
      <c r="B9" s="227"/>
      <c r="C9" s="227"/>
      <c r="D9" s="227"/>
      <c r="E9" s="227"/>
      <c r="F9" s="227"/>
      <c r="G9" s="227"/>
      <c r="H9" s="227"/>
      <c r="I9" s="227"/>
      <c r="J9" s="227"/>
      <c r="K9" s="228"/>
    </row>
    <row r="10" spans="1:11" ht="15.6" customHeight="1" thickTop="1" thickBot="1">
      <c r="A10" s="213" t="s">
        <v>4</v>
      </c>
      <c r="B10" s="229" t="s">
        <v>5</v>
      </c>
      <c r="C10" s="229"/>
      <c r="D10" s="229"/>
      <c r="E10" s="229"/>
      <c r="F10" s="229"/>
      <c r="G10" s="229"/>
      <c r="H10" s="229"/>
      <c r="I10" s="229"/>
      <c r="J10" s="229"/>
      <c r="K10" s="230"/>
    </row>
    <row r="11" spans="1:11" ht="21.95" customHeight="1" thickTop="1" thickBot="1">
      <c r="A11" s="213"/>
      <c r="B11" s="229"/>
      <c r="C11" s="229"/>
      <c r="D11" s="229"/>
      <c r="E11" s="229"/>
      <c r="F11" s="229"/>
      <c r="G11" s="229"/>
      <c r="H11" s="229"/>
      <c r="I11" s="229"/>
      <c r="J11" s="229"/>
      <c r="K11" s="230"/>
    </row>
    <row r="12" spans="1:11" ht="15.6" thickTop="1" thickBot="1">
      <c r="A12" s="210" t="s">
        <v>6</v>
      </c>
      <c r="B12" s="211" t="s">
        <v>7</v>
      </c>
      <c r="C12" s="211"/>
      <c r="D12" s="211"/>
      <c r="E12" s="211"/>
      <c r="F12" s="211"/>
      <c r="G12" s="211"/>
      <c r="H12" s="211"/>
      <c r="I12" s="211"/>
      <c r="J12" s="211"/>
      <c r="K12" s="212"/>
    </row>
    <row r="13" spans="1:11" ht="15.6" thickTop="1" thickBot="1">
      <c r="A13" s="210"/>
      <c r="B13" s="211"/>
      <c r="C13" s="211"/>
      <c r="D13" s="211"/>
      <c r="E13" s="211"/>
      <c r="F13" s="211"/>
      <c r="G13" s="211"/>
      <c r="H13" s="211"/>
      <c r="I13" s="211"/>
      <c r="J13" s="211"/>
      <c r="K13" s="212"/>
    </row>
    <row r="14" spans="1:11" ht="15.6" thickTop="1" thickBot="1">
      <c r="A14" s="213" t="s">
        <v>8</v>
      </c>
      <c r="B14" s="220" t="s">
        <v>9</v>
      </c>
      <c r="C14" s="220"/>
      <c r="D14" s="220"/>
      <c r="E14" s="220"/>
      <c r="F14" s="220"/>
      <c r="G14" s="220"/>
      <c r="H14" s="220"/>
      <c r="I14" s="220"/>
      <c r="J14" s="220"/>
      <c r="K14" s="221"/>
    </row>
    <row r="15" spans="1:11" ht="15.6" thickTop="1" thickBot="1">
      <c r="A15" s="213"/>
      <c r="B15" s="220"/>
      <c r="C15" s="220"/>
      <c r="D15" s="220"/>
      <c r="E15" s="220"/>
      <c r="F15" s="220"/>
      <c r="G15" s="220"/>
      <c r="H15" s="220"/>
      <c r="I15" s="220"/>
      <c r="J15" s="220"/>
      <c r="K15" s="221"/>
    </row>
    <row r="16" spans="1:11" ht="15.6" thickTop="1" thickBot="1">
      <c r="A16" s="210" t="s">
        <v>10</v>
      </c>
      <c r="B16" s="211" t="s">
        <v>11</v>
      </c>
      <c r="C16" s="211"/>
      <c r="D16" s="211"/>
      <c r="E16" s="211"/>
      <c r="F16" s="211"/>
      <c r="G16" s="211"/>
      <c r="H16" s="211"/>
      <c r="I16" s="211"/>
      <c r="J16" s="211"/>
      <c r="K16" s="212"/>
    </row>
    <row r="17" spans="1:11" ht="15.6" thickTop="1" thickBot="1">
      <c r="A17" s="210"/>
      <c r="B17" s="211"/>
      <c r="C17" s="211"/>
      <c r="D17" s="211"/>
      <c r="E17" s="211"/>
      <c r="F17" s="211"/>
      <c r="G17" s="211"/>
      <c r="H17" s="211"/>
      <c r="I17" s="211"/>
      <c r="J17" s="211"/>
      <c r="K17" s="212"/>
    </row>
    <row r="18" spans="1:11" ht="15.6" thickTop="1" thickBot="1">
      <c r="A18" s="213" t="s">
        <v>12</v>
      </c>
      <c r="B18" s="220" t="s">
        <v>13</v>
      </c>
      <c r="C18" s="220"/>
      <c r="D18" s="220"/>
      <c r="E18" s="220"/>
      <c r="F18" s="220"/>
      <c r="G18" s="220"/>
      <c r="H18" s="220"/>
      <c r="I18" s="220"/>
      <c r="J18" s="220"/>
      <c r="K18" s="221"/>
    </row>
    <row r="19" spans="1:11" ht="15.6" thickTop="1" thickBot="1">
      <c r="A19" s="213"/>
      <c r="B19" s="220"/>
      <c r="C19" s="220"/>
      <c r="D19" s="220"/>
      <c r="E19" s="220"/>
      <c r="F19" s="220"/>
      <c r="G19" s="220"/>
      <c r="H19" s="220"/>
      <c r="I19" s="220"/>
      <c r="J19" s="220"/>
      <c r="K19" s="221"/>
    </row>
    <row r="20" spans="1:11" ht="15.6" thickTop="1" thickBot="1">
      <c r="A20" s="210" t="s">
        <v>14</v>
      </c>
      <c r="B20" s="211" t="s">
        <v>15</v>
      </c>
      <c r="C20" s="211"/>
      <c r="D20" s="211"/>
      <c r="E20" s="211"/>
      <c r="F20" s="211"/>
      <c r="G20" s="211"/>
      <c r="H20" s="211"/>
      <c r="I20" s="211"/>
      <c r="J20" s="211"/>
      <c r="K20" s="212"/>
    </row>
    <row r="21" spans="1:11" ht="15.6" thickTop="1" thickBot="1">
      <c r="A21" s="210"/>
      <c r="B21" s="211"/>
      <c r="C21" s="211"/>
      <c r="D21" s="211"/>
      <c r="E21" s="211"/>
      <c r="F21" s="211"/>
      <c r="G21" s="211"/>
      <c r="H21" s="211"/>
      <c r="I21" s="211"/>
      <c r="J21" s="211"/>
      <c r="K21" s="212"/>
    </row>
    <row r="22" spans="1:11" ht="15.6" thickTop="1" thickBot="1">
      <c r="A22" s="213" t="s">
        <v>16</v>
      </c>
      <c r="B22" s="214" t="s">
        <v>17</v>
      </c>
      <c r="C22" s="214"/>
      <c r="D22" s="214"/>
      <c r="E22" s="214"/>
      <c r="F22" s="214"/>
      <c r="G22" s="214"/>
      <c r="H22" s="214"/>
      <c r="I22" s="214"/>
      <c r="J22" s="214"/>
      <c r="K22" s="215"/>
    </row>
    <row r="23" spans="1:11" ht="15.6" thickTop="1" thickBot="1">
      <c r="A23" s="213"/>
      <c r="B23" s="216"/>
      <c r="C23" s="216"/>
      <c r="D23" s="216"/>
      <c r="E23" s="216"/>
      <c r="F23" s="216"/>
      <c r="G23" s="216"/>
      <c r="H23" s="216"/>
      <c r="I23" s="216"/>
      <c r="J23" s="216"/>
      <c r="K23" s="217"/>
    </row>
    <row r="24" spans="1:11" ht="9" customHeight="1" thickTop="1" thickBot="1">
      <c r="A24" s="213"/>
      <c r="B24" s="218"/>
      <c r="C24" s="218"/>
      <c r="D24" s="218"/>
      <c r="E24" s="218"/>
      <c r="F24" s="218"/>
      <c r="G24" s="218"/>
      <c r="H24" s="218"/>
      <c r="I24" s="218"/>
      <c r="J24" s="218"/>
      <c r="K24" s="219"/>
    </row>
    <row r="25" spans="1:11" ht="15.6" thickTop="1" thickBot="1">
      <c r="A25" s="210" t="s">
        <v>18</v>
      </c>
      <c r="B25" s="211" t="s">
        <v>19</v>
      </c>
      <c r="C25" s="211"/>
      <c r="D25" s="211"/>
      <c r="E25" s="211"/>
      <c r="F25" s="211"/>
      <c r="G25" s="211"/>
      <c r="H25" s="211"/>
      <c r="I25" s="211"/>
      <c r="J25" s="211"/>
      <c r="K25" s="212"/>
    </row>
    <row r="26" spans="1:11" ht="15.6" thickTop="1" thickBot="1">
      <c r="A26" s="210"/>
      <c r="B26" s="211"/>
      <c r="C26" s="211"/>
      <c r="D26" s="211"/>
      <c r="E26" s="211"/>
      <c r="F26" s="211"/>
      <c r="G26" s="211"/>
      <c r="H26" s="211"/>
      <c r="I26" s="211"/>
      <c r="J26" s="211"/>
      <c r="K26" s="212"/>
    </row>
    <row r="27" spans="1:11" ht="15.6" thickTop="1" thickBot="1">
      <c r="A27" s="200" t="s">
        <v>20</v>
      </c>
      <c r="B27" s="201" t="s">
        <v>21</v>
      </c>
      <c r="C27" s="201"/>
      <c r="D27" s="201"/>
      <c r="E27" s="201"/>
      <c r="F27" s="201"/>
      <c r="G27" s="201"/>
      <c r="H27" s="201"/>
      <c r="I27" s="201"/>
      <c r="J27" s="201"/>
      <c r="K27" s="202"/>
    </row>
    <row r="28" spans="1:11" ht="15.6" thickTop="1" thickBot="1">
      <c r="A28" s="200"/>
      <c r="B28" s="203"/>
      <c r="C28" s="203"/>
      <c r="D28" s="203"/>
      <c r="E28" s="203"/>
      <c r="F28" s="203"/>
      <c r="G28" s="203"/>
      <c r="H28" s="203"/>
      <c r="I28" s="203"/>
      <c r="J28" s="203"/>
      <c r="K28" s="204"/>
    </row>
    <row r="29" spans="1:11" ht="15.6" thickTop="1" thickBot="1">
      <c r="A29" s="200"/>
      <c r="B29" s="205"/>
      <c r="C29" s="205"/>
      <c r="D29" s="205"/>
      <c r="E29" s="205"/>
      <c r="F29" s="205"/>
      <c r="G29" s="205"/>
      <c r="H29" s="205"/>
      <c r="I29" s="205"/>
      <c r="J29" s="205"/>
      <c r="K29" s="206"/>
    </row>
    <row r="30" spans="1:11" ht="15.6" thickTop="1" thickBot="1">
      <c r="A30" s="207" t="s">
        <v>22</v>
      </c>
      <c r="B30" s="208" t="s">
        <v>23</v>
      </c>
      <c r="C30" s="208"/>
      <c r="D30" s="208"/>
      <c r="E30" s="208"/>
      <c r="F30" s="208"/>
      <c r="G30" s="208"/>
      <c r="H30" s="208"/>
      <c r="I30" s="208"/>
      <c r="J30" s="208"/>
      <c r="K30" s="209"/>
    </row>
    <row r="31" spans="1:11" ht="15.6" thickTop="1" thickBot="1">
      <c r="A31" s="207"/>
      <c r="B31" s="208"/>
      <c r="C31" s="208"/>
      <c r="D31" s="208"/>
      <c r="E31" s="208"/>
      <c r="F31" s="208"/>
      <c r="G31" s="208"/>
      <c r="H31" s="208"/>
      <c r="I31" s="208"/>
      <c r="J31" s="208"/>
      <c r="K31" s="209"/>
    </row>
    <row r="32" spans="1:11" ht="15" thickTop="1"/>
  </sheetData>
  <mergeCells count="24">
    <mergeCell ref="B18:K19"/>
    <mergeCell ref="A12:A13"/>
    <mergeCell ref="B12:K13"/>
    <mergeCell ref="A7:K7"/>
    <mergeCell ref="A8:A9"/>
    <mergeCell ref="B8:K9"/>
    <mergeCell ref="A10:A11"/>
    <mergeCell ref="B10:K11"/>
    <mergeCell ref="A1:K5"/>
    <mergeCell ref="A27:A29"/>
    <mergeCell ref="B27:K29"/>
    <mergeCell ref="A30:A31"/>
    <mergeCell ref="B30:K31"/>
    <mergeCell ref="A20:A21"/>
    <mergeCell ref="B20:K21"/>
    <mergeCell ref="A22:A24"/>
    <mergeCell ref="B22:K24"/>
    <mergeCell ref="A25:A26"/>
    <mergeCell ref="B25:K26"/>
    <mergeCell ref="A14:A15"/>
    <mergeCell ref="B14:K15"/>
    <mergeCell ref="A16:A17"/>
    <mergeCell ref="B16:K17"/>
    <mergeCell ref="A18:A1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112"/>
  <sheetViews>
    <sheetView zoomScaleNormal="100" workbookViewId="0">
      <selection activeCell="AW20" sqref="AW20"/>
    </sheetView>
  </sheetViews>
  <sheetFormatPr defaultRowHeight="14.45"/>
  <cols>
    <col min="4" max="4" width="38.5703125" bestFit="1" customWidth="1"/>
    <col min="5" max="5" width="2" customWidth="1"/>
    <col min="6" max="6" width="19.140625" customWidth="1"/>
    <col min="7" max="7" width="14.85546875" customWidth="1"/>
    <col min="8" max="8" width="2" customWidth="1"/>
    <col min="9" max="9" width="29.140625" customWidth="1"/>
    <col min="10" max="10" width="2" customWidth="1"/>
    <col min="11" max="11" width="30" customWidth="1"/>
    <col min="12" max="12" width="2" customWidth="1"/>
    <col min="17" max="17" width="2" customWidth="1"/>
    <col min="22" max="22" width="2" customWidth="1"/>
    <col min="27" max="27" width="2" customWidth="1"/>
    <col min="28" max="28" width="30" customWidth="1"/>
    <col min="29" max="29" width="2" customWidth="1"/>
    <col min="30" max="30" width="30" customWidth="1"/>
    <col min="31" max="31" width="2" customWidth="1"/>
    <col min="32" max="32" width="30" customWidth="1"/>
    <col min="33" max="33" width="2" customWidth="1"/>
    <col min="34" max="34" width="19.140625" customWidth="1"/>
    <col min="35" max="35" width="16.140625" customWidth="1"/>
    <col min="36" max="36" width="2" customWidth="1"/>
    <col min="37" max="38" width="17.140625" customWidth="1"/>
    <col min="39" max="39" width="2" customWidth="1"/>
    <col min="40" max="40" width="16.140625" customWidth="1"/>
    <col min="41" max="41" width="13.5703125" customWidth="1"/>
    <col min="42" max="42" width="2" customWidth="1"/>
    <col min="43" max="43" width="15.140625" customWidth="1"/>
    <col min="44" max="44" width="14" customWidth="1"/>
    <col min="45" max="45" width="2" customWidth="1"/>
    <col min="50" max="50" width="2" customWidth="1"/>
    <col min="51" max="51" width="15.140625" customWidth="1"/>
    <col min="52" max="52" width="14" customWidth="1"/>
    <col min="53" max="53" width="2" customWidth="1"/>
    <col min="54" max="54" width="30" customWidth="1"/>
    <col min="55" max="55" width="2" customWidth="1"/>
    <col min="56" max="56" width="30" customWidth="1"/>
    <col min="57" max="57" width="2" customWidth="1"/>
    <col min="58" max="58" width="30" customWidth="1"/>
    <col min="59" max="59" width="2" customWidth="1"/>
    <col min="60" max="60" width="30" customWidth="1"/>
    <col min="61" max="61" width="2" customWidth="1"/>
    <col min="62" max="62" width="30" customWidth="1"/>
    <col min="63" max="63" width="2" customWidth="1"/>
    <col min="64" max="64" width="32.42578125" customWidth="1"/>
    <col min="65" max="65" width="2" customWidth="1"/>
  </cols>
  <sheetData>
    <row r="1" spans="1:65">
      <c r="A1" s="231" t="s">
        <v>24</v>
      </c>
      <c r="B1" s="231"/>
      <c r="C1" s="231"/>
      <c r="D1" s="25" t="s">
        <v>25</v>
      </c>
      <c r="E1" s="3"/>
      <c r="F1" s="231" t="s">
        <v>26</v>
      </c>
      <c r="G1" s="231"/>
      <c r="H1" s="3"/>
      <c r="I1" s="32" t="s">
        <v>27</v>
      </c>
      <c r="J1" s="3"/>
      <c r="K1" s="32" t="s">
        <v>27</v>
      </c>
      <c r="L1" s="3"/>
      <c r="M1" s="263" t="s">
        <v>28</v>
      </c>
      <c r="N1" s="263"/>
      <c r="O1" s="263"/>
      <c r="P1" s="263"/>
      <c r="Q1" s="3"/>
      <c r="R1" s="263" t="s">
        <v>29</v>
      </c>
      <c r="S1" s="263"/>
      <c r="T1" s="263"/>
      <c r="U1" s="263"/>
      <c r="V1" s="3"/>
      <c r="W1" s="263" t="s">
        <v>30</v>
      </c>
      <c r="X1" s="263"/>
      <c r="Y1" s="263"/>
      <c r="Z1" s="263"/>
      <c r="AA1" s="3"/>
      <c r="AB1" s="32" t="s">
        <v>31</v>
      </c>
      <c r="AC1" s="3"/>
      <c r="AD1" s="32" t="s">
        <v>32</v>
      </c>
      <c r="AE1" s="3"/>
      <c r="AF1" s="32" t="s">
        <v>33</v>
      </c>
      <c r="AG1" s="3"/>
      <c r="AH1" s="231" t="s">
        <v>27</v>
      </c>
      <c r="AI1" s="231"/>
      <c r="AJ1" s="3"/>
      <c r="AK1" s="231" t="s">
        <v>34</v>
      </c>
      <c r="AL1" s="231"/>
      <c r="AM1" s="3"/>
      <c r="AN1" s="231" t="s">
        <v>34</v>
      </c>
      <c r="AO1" s="231"/>
      <c r="AP1" s="3"/>
      <c r="AQ1" s="231" t="s">
        <v>34</v>
      </c>
      <c r="AR1" s="231"/>
      <c r="AS1" s="3"/>
      <c r="AT1" s="263" t="s">
        <v>35</v>
      </c>
      <c r="AU1" s="263"/>
      <c r="AV1" s="263"/>
      <c r="AW1" s="263"/>
      <c r="AX1" s="3"/>
      <c r="AY1" s="231" t="s">
        <v>36</v>
      </c>
      <c r="AZ1" s="231"/>
      <c r="BA1" s="3"/>
      <c r="BB1" s="32" t="s">
        <v>37</v>
      </c>
      <c r="BC1" s="3"/>
      <c r="BD1" s="32" t="s">
        <v>37</v>
      </c>
      <c r="BE1" s="3"/>
      <c r="BF1" s="32" t="s">
        <v>38</v>
      </c>
      <c r="BG1" s="3"/>
      <c r="BH1" s="32" t="s">
        <v>39</v>
      </c>
      <c r="BI1" s="3"/>
      <c r="BJ1" s="32" t="s">
        <v>40</v>
      </c>
      <c r="BK1" s="3"/>
      <c r="BL1" s="32" t="s">
        <v>41</v>
      </c>
      <c r="BM1" s="3"/>
    </row>
    <row r="2" spans="1:65">
      <c r="A2" s="264" t="s">
        <v>42</v>
      </c>
      <c r="B2" s="264"/>
      <c r="C2" s="265"/>
      <c r="D2" s="53" t="s">
        <v>43</v>
      </c>
      <c r="E2" s="5"/>
      <c r="F2" s="256" t="s">
        <v>44</v>
      </c>
      <c r="G2" s="256"/>
      <c r="H2" s="5"/>
      <c r="I2" s="173" t="s">
        <v>45</v>
      </c>
      <c r="J2" s="5"/>
      <c r="K2" s="173" t="s">
        <v>46</v>
      </c>
      <c r="L2" s="5"/>
      <c r="M2" s="268" t="s">
        <v>47</v>
      </c>
      <c r="N2" s="260"/>
      <c r="O2" s="260"/>
      <c r="P2" s="260"/>
      <c r="Q2" s="5"/>
      <c r="R2" s="268" t="s">
        <v>48</v>
      </c>
      <c r="S2" s="260"/>
      <c r="T2" s="260"/>
      <c r="U2" s="260"/>
      <c r="V2" s="5"/>
      <c r="W2" s="268" t="s">
        <v>49</v>
      </c>
      <c r="X2" s="260"/>
      <c r="Y2" s="260"/>
      <c r="Z2" s="260"/>
      <c r="AA2" s="5"/>
      <c r="AB2" s="173" t="s">
        <v>50</v>
      </c>
      <c r="AC2" s="5"/>
      <c r="AD2" s="173" t="s">
        <v>51</v>
      </c>
      <c r="AE2" s="5"/>
      <c r="AF2" s="173" t="s">
        <v>52</v>
      </c>
      <c r="AG2" s="5"/>
      <c r="AH2" s="236" t="s">
        <v>53</v>
      </c>
      <c r="AI2" s="236"/>
      <c r="AJ2" s="5"/>
      <c r="AK2" s="236" t="s">
        <v>54</v>
      </c>
      <c r="AL2" s="236"/>
      <c r="AM2" s="5"/>
      <c r="AN2" s="236" t="s">
        <v>55</v>
      </c>
      <c r="AO2" s="236"/>
      <c r="AP2" s="5"/>
      <c r="AQ2" s="236" t="s">
        <v>56</v>
      </c>
      <c r="AR2" s="236"/>
      <c r="AS2" s="5"/>
      <c r="AT2" s="266" t="s">
        <v>57</v>
      </c>
      <c r="AU2" s="267"/>
      <c r="AV2" s="267"/>
      <c r="AW2" s="267"/>
      <c r="AX2" s="5"/>
      <c r="AY2" s="236" t="s">
        <v>58</v>
      </c>
      <c r="AZ2" s="236"/>
      <c r="BA2" s="5"/>
      <c r="BB2" s="170" t="s">
        <v>59</v>
      </c>
      <c r="BC2" s="5"/>
      <c r="BD2" s="170" t="s">
        <v>60</v>
      </c>
      <c r="BE2" s="5"/>
      <c r="BF2" s="170" t="s">
        <v>61</v>
      </c>
      <c r="BG2" s="5"/>
      <c r="BH2" s="170" t="s">
        <v>62</v>
      </c>
      <c r="BI2" s="5"/>
      <c r="BJ2" s="170" t="s">
        <v>63</v>
      </c>
      <c r="BK2" s="5"/>
      <c r="BL2" s="170" t="s">
        <v>64</v>
      </c>
      <c r="BM2" s="5"/>
    </row>
    <row r="3" spans="1:65" ht="36" customHeight="1">
      <c r="A3" s="264"/>
      <c r="B3" s="264"/>
      <c r="C3" s="265"/>
      <c r="D3" s="53" t="s">
        <v>65</v>
      </c>
      <c r="E3" s="5"/>
      <c r="F3" s="269" t="s">
        <v>66</v>
      </c>
      <c r="G3" s="257"/>
      <c r="H3" s="5"/>
      <c r="I3" s="190" t="s">
        <v>67</v>
      </c>
      <c r="J3" s="5"/>
      <c r="K3" s="61" t="s">
        <v>68</v>
      </c>
      <c r="L3" s="5"/>
      <c r="M3" s="270" t="s">
        <v>69</v>
      </c>
      <c r="N3" s="245"/>
      <c r="O3" s="245"/>
      <c r="P3" s="245"/>
      <c r="Q3" s="5"/>
      <c r="R3" s="261" t="s">
        <v>70</v>
      </c>
      <c r="S3" s="262"/>
      <c r="T3" s="262"/>
      <c r="U3" s="262"/>
      <c r="V3" s="5"/>
      <c r="W3" s="261" t="s">
        <v>70</v>
      </c>
      <c r="X3" s="262"/>
      <c r="Y3" s="262"/>
      <c r="Z3" s="262"/>
      <c r="AA3" s="5"/>
      <c r="AB3" s="175" t="s">
        <v>71</v>
      </c>
      <c r="AC3" s="5"/>
      <c r="AD3" s="175" t="s">
        <v>72</v>
      </c>
      <c r="AE3" s="5"/>
      <c r="AF3" s="61" t="s">
        <v>73</v>
      </c>
      <c r="AG3" s="5"/>
      <c r="AH3" s="234" t="s">
        <v>74</v>
      </c>
      <c r="AI3" s="235"/>
      <c r="AJ3" s="5"/>
      <c r="AK3" s="234" t="s">
        <v>75</v>
      </c>
      <c r="AL3" s="235"/>
      <c r="AM3" s="5"/>
      <c r="AN3" s="234" t="s">
        <v>76</v>
      </c>
      <c r="AO3" s="235"/>
      <c r="AP3" s="5"/>
      <c r="AQ3" s="234" t="s">
        <v>77</v>
      </c>
      <c r="AR3" s="235"/>
      <c r="AS3" s="5"/>
      <c r="AT3" s="271" t="s">
        <v>78</v>
      </c>
      <c r="AU3" s="272"/>
      <c r="AV3" s="272"/>
      <c r="AW3" s="272"/>
      <c r="AX3" s="5"/>
      <c r="AY3" s="234" t="s">
        <v>79</v>
      </c>
      <c r="AZ3" s="235"/>
      <c r="BA3" s="5"/>
      <c r="BB3" s="177" t="s">
        <v>80</v>
      </c>
      <c r="BC3" s="5"/>
      <c r="BD3" s="177" t="s">
        <v>80</v>
      </c>
      <c r="BE3" s="5"/>
      <c r="BF3" s="177" t="s">
        <v>81</v>
      </c>
      <c r="BG3" s="5"/>
      <c r="BH3" s="177" t="s">
        <v>81</v>
      </c>
      <c r="BI3" s="5"/>
      <c r="BJ3" s="177" t="s">
        <v>82</v>
      </c>
      <c r="BK3" s="5"/>
      <c r="BL3" s="177" t="s">
        <v>83</v>
      </c>
      <c r="BM3" s="5"/>
    </row>
    <row r="4" spans="1:65">
      <c r="A4" s="276"/>
      <c r="B4" s="276"/>
      <c r="C4" s="277"/>
      <c r="D4" s="53" t="s">
        <v>84</v>
      </c>
      <c r="E4" s="5"/>
      <c r="F4" s="256" t="s">
        <v>85</v>
      </c>
      <c r="G4" s="257"/>
      <c r="H4" s="5"/>
      <c r="I4" s="174"/>
      <c r="J4" s="5"/>
      <c r="K4" s="174"/>
      <c r="L4" s="5"/>
      <c r="M4" s="260"/>
      <c r="N4" s="260"/>
      <c r="O4" s="260"/>
      <c r="P4" s="260"/>
      <c r="Q4" s="5"/>
      <c r="R4" s="260"/>
      <c r="S4" s="260"/>
      <c r="T4" s="260"/>
      <c r="U4" s="260"/>
      <c r="V4" s="5"/>
      <c r="W4" s="260"/>
      <c r="X4" s="260"/>
      <c r="Y4" s="260"/>
      <c r="Z4" s="260"/>
      <c r="AA4" s="5"/>
      <c r="AB4" s="174"/>
      <c r="AC4" s="5"/>
      <c r="AD4" s="174"/>
      <c r="AE4" s="5"/>
      <c r="AF4" s="174"/>
      <c r="AG4" s="5"/>
      <c r="AH4" s="236"/>
      <c r="AI4" s="237"/>
      <c r="AJ4" s="5"/>
      <c r="AK4" s="236"/>
      <c r="AL4" s="237"/>
      <c r="AM4" s="5"/>
      <c r="AN4" s="236"/>
      <c r="AO4" s="237"/>
      <c r="AP4" s="5"/>
      <c r="AQ4" s="236"/>
      <c r="AR4" s="237"/>
      <c r="AS4" s="5"/>
      <c r="AT4" s="267"/>
      <c r="AU4" s="267"/>
      <c r="AV4" s="267"/>
      <c r="AW4" s="267"/>
      <c r="AX4" s="5"/>
      <c r="AY4" s="236"/>
      <c r="AZ4" s="237"/>
      <c r="BA4" s="5"/>
      <c r="BB4" s="171"/>
      <c r="BC4" s="5"/>
      <c r="BD4" s="171"/>
      <c r="BE4" s="5"/>
      <c r="BF4" s="171"/>
      <c r="BG4" s="5"/>
      <c r="BH4" s="171"/>
      <c r="BI4" s="5"/>
      <c r="BJ4" s="171"/>
      <c r="BK4" s="5"/>
      <c r="BL4" s="171"/>
      <c r="BM4" s="5"/>
    </row>
    <row r="5" spans="1:65" ht="74.45" customHeight="1">
      <c r="A5" s="264" t="s">
        <v>86</v>
      </c>
      <c r="B5" s="264"/>
      <c r="C5" s="265"/>
      <c r="D5" s="53" t="s">
        <v>87</v>
      </c>
      <c r="E5" s="5"/>
      <c r="F5" s="273" t="s">
        <v>88</v>
      </c>
      <c r="G5" s="274"/>
      <c r="H5" s="5"/>
      <c r="I5" s="61" t="s">
        <v>89</v>
      </c>
      <c r="J5" s="5"/>
      <c r="K5" s="169" t="s">
        <v>90</v>
      </c>
      <c r="L5" s="5"/>
      <c r="M5" s="245" t="s">
        <v>69</v>
      </c>
      <c r="N5" s="245"/>
      <c r="O5" s="245"/>
      <c r="P5" s="245"/>
      <c r="Q5" s="5"/>
      <c r="R5" s="270" t="s">
        <v>91</v>
      </c>
      <c r="S5" s="245"/>
      <c r="T5" s="245"/>
      <c r="U5" s="245"/>
      <c r="V5" s="5"/>
      <c r="W5" s="270" t="s">
        <v>91</v>
      </c>
      <c r="X5" s="245"/>
      <c r="Y5" s="245"/>
      <c r="Z5" s="245"/>
      <c r="AA5" s="5"/>
      <c r="AB5" s="175" t="s">
        <v>92</v>
      </c>
      <c r="AC5" s="5"/>
      <c r="AD5" s="175" t="s">
        <v>93</v>
      </c>
      <c r="AE5" s="5"/>
      <c r="AF5" s="175" t="s">
        <v>94</v>
      </c>
      <c r="AG5" s="5"/>
      <c r="AH5" s="234" t="s">
        <v>95</v>
      </c>
      <c r="AI5" s="235"/>
      <c r="AJ5" s="5"/>
      <c r="AK5" s="234" t="s">
        <v>96</v>
      </c>
      <c r="AL5" s="235"/>
      <c r="AM5" s="5"/>
      <c r="AN5" s="234" t="s">
        <v>97</v>
      </c>
      <c r="AO5" s="235"/>
      <c r="AP5" s="5"/>
      <c r="AQ5" s="234" t="s">
        <v>98</v>
      </c>
      <c r="AR5" s="235"/>
      <c r="AS5" s="5"/>
      <c r="AT5" s="275" t="s">
        <v>99</v>
      </c>
      <c r="AU5" s="233"/>
      <c r="AV5" s="233"/>
      <c r="AW5" s="233"/>
      <c r="AX5" s="5"/>
      <c r="AY5" s="234" t="s">
        <v>100</v>
      </c>
      <c r="AZ5" s="235"/>
      <c r="BA5" s="5"/>
      <c r="BB5" s="177" t="s">
        <v>101</v>
      </c>
      <c r="BC5" s="5"/>
      <c r="BD5" s="177" t="s">
        <v>102</v>
      </c>
      <c r="BE5" s="5"/>
      <c r="BF5" s="177" t="s">
        <v>103</v>
      </c>
      <c r="BG5" s="5"/>
      <c r="BH5" s="177" t="s">
        <v>104</v>
      </c>
      <c r="BI5" s="5"/>
      <c r="BJ5" s="177" t="s">
        <v>105</v>
      </c>
      <c r="BK5" s="5"/>
      <c r="BL5" s="177" t="s">
        <v>106</v>
      </c>
      <c r="BM5" s="5"/>
    </row>
    <row r="6" spans="1:65">
      <c r="A6" s="258"/>
      <c r="B6" s="258"/>
      <c r="C6" s="259"/>
      <c r="D6" s="53" t="s">
        <v>107</v>
      </c>
      <c r="E6" s="5"/>
      <c r="F6" s="256" t="s">
        <v>108</v>
      </c>
      <c r="G6" s="257"/>
      <c r="H6" s="5"/>
      <c r="I6" s="174" t="s">
        <v>109</v>
      </c>
      <c r="J6" s="5"/>
      <c r="K6" s="174" t="s">
        <v>108</v>
      </c>
      <c r="L6" s="5"/>
      <c r="M6" s="260" t="s">
        <v>110</v>
      </c>
      <c r="N6" s="260"/>
      <c r="O6" s="260"/>
      <c r="P6" s="260"/>
      <c r="Q6" s="5"/>
      <c r="R6" s="261"/>
      <c r="S6" s="262"/>
      <c r="T6" s="262"/>
      <c r="U6" s="262"/>
      <c r="V6" s="5"/>
      <c r="W6" s="261"/>
      <c r="X6" s="262"/>
      <c r="Y6" s="262"/>
      <c r="Z6" s="262"/>
      <c r="AA6" s="5"/>
      <c r="AB6" s="174"/>
      <c r="AC6" s="5"/>
      <c r="AD6" s="174"/>
      <c r="AE6" s="5"/>
      <c r="AF6" s="174"/>
      <c r="AG6" s="5"/>
      <c r="AH6" s="236" t="s">
        <v>111</v>
      </c>
      <c r="AI6" s="237"/>
      <c r="AJ6" s="5"/>
      <c r="AK6" s="236" t="s">
        <v>112</v>
      </c>
      <c r="AL6" s="236"/>
      <c r="AM6" s="5"/>
      <c r="AN6" s="236" t="s">
        <v>113</v>
      </c>
      <c r="AO6" s="237"/>
      <c r="AP6" s="5"/>
      <c r="AQ6" s="236" t="s">
        <v>114</v>
      </c>
      <c r="AR6" s="237"/>
      <c r="AS6" s="5"/>
      <c r="AT6" s="266"/>
      <c r="AU6" s="267"/>
      <c r="AV6" s="267"/>
      <c r="AW6" s="267"/>
      <c r="AX6" s="5"/>
      <c r="AY6" s="236"/>
      <c r="AZ6" s="237"/>
      <c r="BA6" s="5"/>
      <c r="BB6" s="171"/>
      <c r="BC6" s="5"/>
      <c r="BD6" s="171"/>
      <c r="BE6" s="5"/>
      <c r="BF6" s="171"/>
      <c r="BG6" s="5"/>
      <c r="BH6" s="171"/>
      <c r="BI6" s="5"/>
      <c r="BJ6" s="171"/>
      <c r="BK6" s="5"/>
      <c r="BL6" s="171"/>
      <c r="BM6" s="5"/>
    </row>
    <row r="7" spans="1:65">
      <c r="A7" s="258"/>
      <c r="B7" s="258"/>
      <c r="C7" s="259"/>
      <c r="D7" s="53" t="s">
        <v>115</v>
      </c>
      <c r="E7" s="5"/>
      <c r="F7" s="256" t="s">
        <v>116</v>
      </c>
      <c r="G7" s="257"/>
      <c r="H7" s="5"/>
      <c r="I7" s="174" t="s">
        <v>108</v>
      </c>
      <c r="J7" s="5"/>
      <c r="K7" s="174" t="s">
        <v>108</v>
      </c>
      <c r="L7" s="5"/>
      <c r="M7" s="260" t="s">
        <v>110</v>
      </c>
      <c r="N7" s="260"/>
      <c r="O7" s="260"/>
      <c r="P7" s="260"/>
      <c r="Q7" s="5"/>
      <c r="R7" s="261"/>
      <c r="S7" s="262"/>
      <c r="T7" s="262"/>
      <c r="U7" s="262"/>
      <c r="V7" s="5"/>
      <c r="W7" s="261"/>
      <c r="X7" s="262"/>
      <c r="Y7" s="262"/>
      <c r="Z7" s="262"/>
      <c r="AA7" s="5"/>
      <c r="AB7" s="174"/>
      <c r="AC7" s="5"/>
      <c r="AD7" s="174"/>
      <c r="AE7" s="5"/>
      <c r="AF7" s="174"/>
      <c r="AG7" s="5"/>
      <c r="AH7" s="236" t="s">
        <v>108</v>
      </c>
      <c r="AI7" s="237"/>
      <c r="AJ7" s="5"/>
      <c r="AK7" s="236" t="s">
        <v>117</v>
      </c>
      <c r="AL7" s="236"/>
      <c r="AM7" s="5"/>
      <c r="AN7" s="236" t="s">
        <v>108</v>
      </c>
      <c r="AO7" s="237"/>
      <c r="AP7" s="5"/>
      <c r="AQ7" s="236" t="s">
        <v>117</v>
      </c>
      <c r="AR7" s="237"/>
      <c r="AS7" s="5"/>
      <c r="AT7" s="266"/>
      <c r="AU7" s="267"/>
      <c r="AV7" s="267"/>
      <c r="AW7" s="267"/>
      <c r="AX7" s="5"/>
      <c r="AY7" s="236"/>
      <c r="AZ7" s="237"/>
      <c r="BA7" s="5"/>
      <c r="BB7" s="171"/>
      <c r="BC7" s="5"/>
      <c r="BD7" s="171"/>
      <c r="BE7" s="5"/>
      <c r="BF7" s="171"/>
      <c r="BG7" s="5"/>
      <c r="BH7" s="171"/>
      <c r="BI7" s="5"/>
      <c r="BJ7" s="171"/>
      <c r="BK7" s="5"/>
      <c r="BL7" s="171"/>
      <c r="BM7" s="5"/>
    </row>
    <row r="8" spans="1:65" ht="60" customHeight="1">
      <c r="A8" s="246"/>
      <c r="B8" s="246"/>
      <c r="C8" s="247"/>
      <c r="D8" s="54" t="s">
        <v>118</v>
      </c>
      <c r="E8" s="5"/>
      <c r="F8" s="248" t="s">
        <v>119</v>
      </c>
      <c r="G8" s="249"/>
      <c r="H8" s="5"/>
      <c r="I8" s="182" t="s">
        <v>120</v>
      </c>
      <c r="J8" s="5"/>
      <c r="K8" s="182" t="s">
        <v>120</v>
      </c>
      <c r="L8" s="5"/>
      <c r="M8" s="254" t="s">
        <v>121</v>
      </c>
      <c r="N8" s="254"/>
      <c r="O8" s="254"/>
      <c r="P8" s="254"/>
      <c r="Q8" s="5"/>
      <c r="R8" s="250" t="s">
        <v>122</v>
      </c>
      <c r="S8" s="251"/>
      <c r="T8" s="251"/>
      <c r="U8" s="251"/>
      <c r="V8" s="5"/>
      <c r="W8" s="250" t="s">
        <v>123</v>
      </c>
      <c r="X8" s="251"/>
      <c r="Y8" s="251"/>
      <c r="Z8" s="251"/>
      <c r="AA8" s="5"/>
      <c r="AB8" s="182" t="s">
        <v>124</v>
      </c>
      <c r="AC8" s="5"/>
      <c r="AD8" s="182" t="s">
        <v>124</v>
      </c>
      <c r="AE8" s="5"/>
      <c r="AF8" s="182" t="s">
        <v>125</v>
      </c>
      <c r="AG8" s="5"/>
      <c r="AH8" s="252" t="s">
        <v>120</v>
      </c>
      <c r="AI8" s="253"/>
      <c r="AJ8" s="5"/>
      <c r="AK8" s="238" t="s">
        <v>126</v>
      </c>
      <c r="AL8" s="239"/>
      <c r="AM8" s="5"/>
      <c r="AN8" s="238" t="s">
        <v>126</v>
      </c>
      <c r="AO8" s="239"/>
      <c r="AP8" s="5"/>
      <c r="AQ8" s="238" t="s">
        <v>126</v>
      </c>
      <c r="AR8" s="239"/>
      <c r="AS8" s="5"/>
      <c r="AT8" s="278"/>
      <c r="AU8" s="239"/>
      <c r="AV8" s="239"/>
      <c r="AW8" s="239"/>
      <c r="AX8" s="5"/>
      <c r="AY8" s="238" t="s">
        <v>127</v>
      </c>
      <c r="AZ8" s="238"/>
      <c r="BA8" s="5"/>
      <c r="BB8" s="183"/>
      <c r="BC8" s="5"/>
      <c r="BD8" s="183"/>
      <c r="BE8" s="5"/>
      <c r="BF8" s="183" t="s">
        <v>124</v>
      </c>
      <c r="BG8" s="5"/>
      <c r="BH8" s="183" t="s">
        <v>124</v>
      </c>
      <c r="BI8" s="5"/>
      <c r="BJ8" s="183" t="s">
        <v>124</v>
      </c>
      <c r="BK8" s="5"/>
      <c r="BL8" s="183"/>
      <c r="BM8" s="5"/>
    </row>
    <row r="9" spans="1:65" ht="14.45" customHeight="1">
      <c r="A9" s="241" t="s">
        <v>128</v>
      </c>
      <c r="B9" s="241"/>
      <c r="C9" s="241"/>
      <c r="D9" s="241"/>
      <c r="E9" s="3"/>
      <c r="F9" s="242"/>
      <c r="G9" s="242"/>
      <c r="H9" s="3"/>
      <c r="I9" s="244" t="s">
        <v>129</v>
      </c>
      <c r="J9" s="3"/>
      <c r="K9" s="244" t="s">
        <v>129</v>
      </c>
      <c r="L9" s="3"/>
      <c r="M9" s="244"/>
      <c r="N9" s="244"/>
      <c r="O9" s="244"/>
      <c r="P9" s="244"/>
      <c r="Q9" s="3"/>
      <c r="R9" s="244"/>
      <c r="S9" s="244"/>
      <c r="T9" s="244"/>
      <c r="U9" s="244"/>
      <c r="V9" s="3"/>
      <c r="W9" s="244"/>
      <c r="X9" s="244"/>
      <c r="Y9" s="244"/>
      <c r="Z9" s="244"/>
      <c r="AA9" s="3"/>
      <c r="AB9" s="255" t="s">
        <v>130</v>
      </c>
      <c r="AC9" s="3"/>
      <c r="AD9" s="255" t="s">
        <v>130</v>
      </c>
      <c r="AE9" s="3"/>
      <c r="AF9" s="255"/>
      <c r="AG9" s="3"/>
      <c r="AH9" s="232" t="s">
        <v>129</v>
      </c>
      <c r="AI9" s="232"/>
      <c r="AJ9" s="3"/>
      <c r="AK9" s="232"/>
      <c r="AL9" s="232"/>
      <c r="AM9" s="3"/>
      <c r="AN9" s="232"/>
      <c r="AO9" s="232"/>
      <c r="AP9" s="3"/>
      <c r="AQ9" s="232" t="s">
        <v>131</v>
      </c>
      <c r="AR9" s="232"/>
      <c r="AS9" s="3"/>
      <c r="AT9" s="279"/>
      <c r="AU9" s="279"/>
      <c r="AV9" s="279"/>
      <c r="AW9" s="279"/>
      <c r="AX9" s="3"/>
      <c r="AY9" s="232" t="s">
        <v>129</v>
      </c>
      <c r="AZ9" s="232"/>
      <c r="BA9" s="3"/>
      <c r="BB9" s="232"/>
      <c r="BC9" s="3"/>
      <c r="BD9" s="232"/>
      <c r="BE9" s="3"/>
      <c r="BF9" s="232" t="s">
        <v>132</v>
      </c>
      <c r="BG9" s="3"/>
      <c r="BH9" s="232" t="s">
        <v>132</v>
      </c>
      <c r="BI9" s="3"/>
      <c r="BJ9" s="232" t="s">
        <v>133</v>
      </c>
      <c r="BK9" s="3"/>
      <c r="BL9" s="232"/>
      <c r="BM9" s="3"/>
    </row>
    <row r="10" spans="1:65" ht="27.6" customHeight="1">
      <c r="A10" s="241"/>
      <c r="B10" s="241"/>
      <c r="C10" s="241"/>
      <c r="D10" s="241"/>
      <c r="E10" s="3"/>
      <c r="F10" s="243"/>
      <c r="G10" s="243"/>
      <c r="H10" s="3"/>
      <c r="I10" s="245"/>
      <c r="J10" s="3"/>
      <c r="K10" s="245"/>
      <c r="L10" s="3"/>
      <c r="M10" s="245"/>
      <c r="N10" s="245"/>
      <c r="O10" s="245"/>
      <c r="P10" s="245"/>
      <c r="Q10" s="3"/>
      <c r="R10" s="245"/>
      <c r="S10" s="245"/>
      <c r="T10" s="245"/>
      <c r="U10" s="245"/>
      <c r="V10" s="3"/>
      <c r="W10" s="245"/>
      <c r="X10" s="245"/>
      <c r="Y10" s="245"/>
      <c r="Z10" s="245"/>
      <c r="AA10" s="3"/>
      <c r="AB10" s="245"/>
      <c r="AC10" s="3"/>
      <c r="AD10" s="245"/>
      <c r="AE10" s="3"/>
      <c r="AF10" s="245"/>
      <c r="AG10" s="3"/>
      <c r="AH10" s="234"/>
      <c r="AI10" s="234"/>
      <c r="AJ10" s="3"/>
      <c r="AK10" s="234"/>
      <c r="AL10" s="234"/>
      <c r="AM10" s="3"/>
      <c r="AN10" s="234"/>
      <c r="AO10" s="234"/>
      <c r="AP10" s="3"/>
      <c r="AQ10" s="234"/>
      <c r="AR10" s="234"/>
      <c r="AS10" s="3"/>
      <c r="AT10" s="233"/>
      <c r="AU10" s="233"/>
      <c r="AV10" s="233"/>
      <c r="AW10" s="233"/>
      <c r="AX10" s="3"/>
      <c r="AY10" s="234"/>
      <c r="AZ10" s="234"/>
      <c r="BA10" s="3"/>
      <c r="BB10" s="233"/>
      <c r="BC10" s="3"/>
      <c r="BD10" s="233"/>
      <c r="BE10" s="3"/>
      <c r="BF10" s="233"/>
      <c r="BG10" s="3"/>
      <c r="BH10" s="233"/>
      <c r="BI10" s="3"/>
      <c r="BJ10" s="233"/>
      <c r="BK10" s="3"/>
      <c r="BL10" s="233"/>
      <c r="BM10" s="3"/>
    </row>
    <row r="11" spans="1:65" ht="26.1">
      <c r="A11" s="22" t="s">
        <v>134</v>
      </c>
      <c r="B11" s="22" t="s">
        <v>135</v>
      </c>
      <c r="C11" s="26" t="s">
        <v>136</v>
      </c>
      <c r="D11" s="26" t="s">
        <v>137</v>
      </c>
      <c r="E11" s="11"/>
      <c r="F11" s="28" t="s">
        <v>138</v>
      </c>
      <c r="G11" s="28" t="s">
        <v>139</v>
      </c>
      <c r="H11" s="11"/>
      <c r="I11" s="26" t="s">
        <v>140</v>
      </c>
      <c r="J11" s="11"/>
      <c r="K11" s="26" t="s">
        <v>140</v>
      </c>
      <c r="L11" s="11"/>
      <c r="M11" s="28" t="s">
        <v>141</v>
      </c>
      <c r="N11" s="30" t="s">
        <v>142</v>
      </c>
      <c r="O11" s="28" t="s">
        <v>140</v>
      </c>
      <c r="P11" s="33" t="s">
        <v>143</v>
      </c>
      <c r="Q11" s="11"/>
      <c r="R11" s="28" t="s">
        <v>141</v>
      </c>
      <c r="S11" s="30" t="s">
        <v>142</v>
      </c>
      <c r="T11" s="28" t="s">
        <v>140</v>
      </c>
      <c r="U11" s="33" t="s">
        <v>143</v>
      </c>
      <c r="V11" s="11"/>
      <c r="W11" s="28" t="s">
        <v>141</v>
      </c>
      <c r="X11" s="30" t="s">
        <v>142</v>
      </c>
      <c r="Y11" s="28" t="s">
        <v>140</v>
      </c>
      <c r="Z11" s="33" t="s">
        <v>143</v>
      </c>
      <c r="AA11" s="11"/>
      <c r="AB11" s="26" t="s">
        <v>140</v>
      </c>
      <c r="AC11" s="11"/>
      <c r="AD11" s="26" t="s">
        <v>140</v>
      </c>
      <c r="AE11" s="11"/>
      <c r="AF11" s="26" t="s">
        <v>140</v>
      </c>
      <c r="AG11" s="11"/>
      <c r="AH11" s="28" t="s">
        <v>138</v>
      </c>
      <c r="AI11" s="28" t="s">
        <v>139</v>
      </c>
      <c r="AJ11" s="11"/>
      <c r="AK11" s="28" t="s">
        <v>138</v>
      </c>
      <c r="AL11" s="28" t="s">
        <v>139</v>
      </c>
      <c r="AM11" s="11"/>
      <c r="AN11" s="28" t="s">
        <v>138</v>
      </c>
      <c r="AO11" s="28" t="s">
        <v>139</v>
      </c>
      <c r="AP11" s="11"/>
      <c r="AQ11" s="28" t="s">
        <v>138</v>
      </c>
      <c r="AR11" s="28" t="s">
        <v>139</v>
      </c>
      <c r="AS11" s="11"/>
      <c r="AT11" s="28" t="s">
        <v>141</v>
      </c>
      <c r="AU11" s="30" t="s">
        <v>142</v>
      </c>
      <c r="AV11" s="28" t="s">
        <v>140</v>
      </c>
      <c r="AW11" s="33" t="s">
        <v>143</v>
      </c>
      <c r="AX11" s="11"/>
      <c r="AY11" s="28" t="s">
        <v>138</v>
      </c>
      <c r="AZ11" s="28" t="s">
        <v>139</v>
      </c>
      <c r="BA11" s="11"/>
      <c r="BB11" s="26" t="s">
        <v>140</v>
      </c>
      <c r="BC11" s="11"/>
      <c r="BD11" s="26" t="s">
        <v>140</v>
      </c>
      <c r="BE11" s="11"/>
      <c r="BF11" s="26" t="s">
        <v>140</v>
      </c>
      <c r="BG11" s="11"/>
      <c r="BH11" s="26" t="s">
        <v>140</v>
      </c>
      <c r="BI11" s="11"/>
      <c r="BJ11" s="26" t="s">
        <v>140</v>
      </c>
      <c r="BK11" s="11"/>
      <c r="BL11" s="26" t="s">
        <v>140</v>
      </c>
      <c r="BM11" s="11"/>
    </row>
    <row r="12" spans="1:65">
      <c r="A12" s="55" t="s">
        <v>144</v>
      </c>
      <c r="B12" s="55"/>
      <c r="C12" s="55" t="s">
        <v>145</v>
      </c>
      <c r="D12" s="56" t="s">
        <v>146</v>
      </c>
      <c r="E12" s="11"/>
      <c r="F12" s="64">
        <v>55</v>
      </c>
      <c r="G12" s="65">
        <v>58</v>
      </c>
      <c r="H12" s="11"/>
      <c r="I12" s="55">
        <v>56</v>
      </c>
      <c r="J12" s="11"/>
      <c r="K12" s="55">
        <v>55</v>
      </c>
      <c r="L12" s="11"/>
      <c r="M12" s="64">
        <v>49.03</v>
      </c>
      <c r="N12" s="65">
        <v>68.58</v>
      </c>
      <c r="O12" s="64">
        <v>60.42</v>
      </c>
      <c r="P12" s="55">
        <v>5.4</v>
      </c>
      <c r="Q12" s="11"/>
      <c r="R12" s="76"/>
      <c r="S12" s="77"/>
      <c r="T12" s="76">
        <v>59</v>
      </c>
      <c r="U12" s="78"/>
      <c r="V12" s="11"/>
      <c r="W12" s="64"/>
      <c r="X12" s="65"/>
      <c r="Y12" s="64">
        <v>56.9</v>
      </c>
      <c r="Z12" s="55"/>
      <c r="AA12" s="11"/>
      <c r="AB12" s="55">
        <v>54.9</v>
      </c>
      <c r="AC12" s="11"/>
      <c r="AD12" s="55">
        <v>53</v>
      </c>
      <c r="AE12" s="11"/>
      <c r="AF12" s="55">
        <v>62.4</v>
      </c>
      <c r="AG12" s="11"/>
      <c r="AH12" s="64">
        <v>56</v>
      </c>
      <c r="AI12" s="65">
        <v>65</v>
      </c>
      <c r="AJ12" s="11"/>
      <c r="AK12" s="64">
        <v>57</v>
      </c>
      <c r="AL12" s="65">
        <v>67</v>
      </c>
      <c r="AM12" s="11"/>
      <c r="AN12" s="64">
        <v>44</v>
      </c>
      <c r="AO12" s="65">
        <v>60</v>
      </c>
      <c r="AP12" s="11"/>
      <c r="AQ12" s="64">
        <v>25</v>
      </c>
      <c r="AR12" s="65">
        <v>64</v>
      </c>
      <c r="AS12" s="11"/>
      <c r="AT12" s="64">
        <v>51.5</v>
      </c>
      <c r="AU12" s="65">
        <v>60.1</v>
      </c>
      <c r="AV12" s="64">
        <v>56.37</v>
      </c>
      <c r="AW12" s="55">
        <v>3.06</v>
      </c>
      <c r="AX12" s="11"/>
      <c r="AY12" s="64">
        <v>62.7</v>
      </c>
      <c r="AZ12" s="65">
        <v>63</v>
      </c>
      <c r="BA12" s="11"/>
      <c r="BB12" s="55">
        <v>57.3</v>
      </c>
      <c r="BC12" s="11"/>
      <c r="BD12" s="55">
        <v>55.5</v>
      </c>
      <c r="BE12" s="11"/>
      <c r="BF12" s="55">
        <v>57.7</v>
      </c>
      <c r="BG12" s="11"/>
      <c r="BH12" s="55">
        <v>56.9</v>
      </c>
      <c r="BI12" s="11"/>
      <c r="BJ12" s="55">
        <v>57.2</v>
      </c>
      <c r="BK12" s="11"/>
      <c r="BL12" s="55">
        <v>63.9</v>
      </c>
      <c r="BM12" s="11"/>
    </row>
    <row r="13" spans="1:65">
      <c r="A13" s="55" t="s">
        <v>144</v>
      </c>
      <c r="B13" s="55"/>
      <c r="C13" s="55" t="s">
        <v>147</v>
      </c>
      <c r="D13" s="56" t="s">
        <v>148</v>
      </c>
      <c r="E13" s="11"/>
      <c r="F13" s="64">
        <v>37</v>
      </c>
      <c r="G13" s="65">
        <v>38</v>
      </c>
      <c r="H13" s="11"/>
      <c r="I13" s="55" t="s">
        <v>149</v>
      </c>
      <c r="J13" s="11"/>
      <c r="K13" s="55">
        <v>44</v>
      </c>
      <c r="L13" s="11"/>
      <c r="M13" s="64">
        <v>28.57</v>
      </c>
      <c r="N13" s="65">
        <v>40.39</v>
      </c>
      <c r="O13" s="64">
        <v>35.5</v>
      </c>
      <c r="P13" s="55">
        <v>4.17</v>
      </c>
      <c r="Q13" s="11"/>
      <c r="R13" s="76"/>
      <c r="S13" s="77"/>
      <c r="T13" s="76">
        <v>38.9</v>
      </c>
      <c r="U13" s="78"/>
      <c r="V13" s="11"/>
      <c r="W13" s="64"/>
      <c r="X13" s="65"/>
      <c r="Y13" s="64">
        <v>41.5</v>
      </c>
      <c r="Z13" s="55"/>
      <c r="AA13" s="11"/>
      <c r="AB13" s="55">
        <v>39</v>
      </c>
      <c r="AC13" s="11"/>
      <c r="AD13" s="55">
        <v>43.3</v>
      </c>
      <c r="AE13" s="11"/>
      <c r="AF13" s="55">
        <v>32.5</v>
      </c>
      <c r="AG13" s="11"/>
      <c r="AH13" s="64">
        <v>38</v>
      </c>
      <c r="AI13" s="65">
        <v>40</v>
      </c>
      <c r="AJ13" s="11"/>
      <c r="AK13" s="64">
        <v>32</v>
      </c>
      <c r="AL13" s="65">
        <v>41</v>
      </c>
      <c r="AM13" s="11"/>
      <c r="AN13" s="64">
        <v>32</v>
      </c>
      <c r="AO13" s="65">
        <v>44</v>
      </c>
      <c r="AP13" s="11"/>
      <c r="AQ13" s="64">
        <v>18</v>
      </c>
      <c r="AR13" s="65">
        <v>39</v>
      </c>
      <c r="AS13" s="11"/>
      <c r="AT13" s="76">
        <v>29.75</v>
      </c>
      <c r="AU13" s="65">
        <v>42.4</v>
      </c>
      <c r="AV13" s="64">
        <v>35.479999999999997</v>
      </c>
      <c r="AW13" s="55">
        <v>4.5199999999999996</v>
      </c>
      <c r="AX13" s="11"/>
      <c r="AY13" s="64">
        <v>36.5</v>
      </c>
      <c r="AZ13" s="65">
        <v>36.799999999999997</v>
      </c>
      <c r="BA13" s="11"/>
      <c r="BB13" s="55">
        <v>35.200000000000003</v>
      </c>
      <c r="BC13" s="11"/>
      <c r="BD13" s="55">
        <v>44.2</v>
      </c>
      <c r="BE13" s="11"/>
      <c r="BF13" s="55">
        <v>40.799999999999997</v>
      </c>
      <c r="BG13" s="11"/>
      <c r="BH13" s="55">
        <v>41.3</v>
      </c>
      <c r="BI13" s="11"/>
      <c r="BJ13" s="55">
        <v>42.3</v>
      </c>
      <c r="BK13" s="11"/>
      <c r="BL13" s="55">
        <v>33.299999999999997</v>
      </c>
      <c r="BM13" s="11"/>
    </row>
    <row r="14" spans="1:65">
      <c r="A14" s="57" t="s">
        <v>144</v>
      </c>
      <c r="B14" s="57"/>
      <c r="C14" s="57" t="s">
        <v>150</v>
      </c>
      <c r="D14" s="58" t="s">
        <v>151</v>
      </c>
      <c r="E14" s="11"/>
      <c r="F14" s="62" t="s">
        <v>152</v>
      </c>
      <c r="G14" s="63" t="s">
        <v>153</v>
      </c>
      <c r="H14" s="11"/>
      <c r="I14" s="57" t="s">
        <v>149</v>
      </c>
      <c r="J14" s="11"/>
      <c r="K14" s="57" t="s">
        <v>149</v>
      </c>
      <c r="L14" s="11"/>
      <c r="M14" s="62">
        <v>0.64</v>
      </c>
      <c r="N14" s="63">
        <v>12.67</v>
      </c>
      <c r="O14" s="62">
        <v>3.08</v>
      </c>
      <c r="P14" s="57">
        <v>3.46</v>
      </c>
      <c r="Q14" s="11"/>
      <c r="R14" s="69"/>
      <c r="S14" s="70"/>
      <c r="T14" s="69"/>
      <c r="U14" s="71"/>
      <c r="V14" s="11"/>
      <c r="W14" s="62"/>
      <c r="X14" s="63"/>
      <c r="Y14" s="62">
        <v>1.1000000000000001</v>
      </c>
      <c r="Z14" s="57"/>
      <c r="AA14" s="11"/>
      <c r="AB14" s="57">
        <v>5</v>
      </c>
      <c r="AC14" s="11"/>
      <c r="AD14" s="57">
        <v>3.2</v>
      </c>
      <c r="AE14" s="11"/>
      <c r="AF14" s="57">
        <v>4.0999999999999996</v>
      </c>
      <c r="AG14" s="11"/>
      <c r="AH14" s="62" t="s">
        <v>149</v>
      </c>
      <c r="AI14" s="63" t="s">
        <v>149</v>
      </c>
      <c r="AJ14" s="11"/>
      <c r="AK14" s="62">
        <v>0.1</v>
      </c>
      <c r="AL14" s="63">
        <v>0.3</v>
      </c>
      <c r="AM14" s="11"/>
      <c r="AN14" s="62">
        <v>0.1</v>
      </c>
      <c r="AO14" s="63">
        <v>19</v>
      </c>
      <c r="AP14" s="11"/>
      <c r="AQ14" s="62">
        <v>1</v>
      </c>
      <c r="AR14" s="63">
        <v>45</v>
      </c>
      <c r="AS14" s="11"/>
      <c r="AT14" s="62"/>
      <c r="AU14" s="63"/>
      <c r="AV14" s="62"/>
      <c r="AW14" s="57"/>
      <c r="AX14" s="11"/>
      <c r="AY14" s="62">
        <v>0.1</v>
      </c>
      <c r="AZ14" s="63">
        <v>0.1</v>
      </c>
      <c r="BA14" s="11"/>
      <c r="BB14" s="57">
        <v>6.2</v>
      </c>
      <c r="BC14" s="11"/>
      <c r="BD14" s="57" t="s">
        <v>154</v>
      </c>
      <c r="BE14" s="11"/>
      <c r="BF14" s="57">
        <v>1.2</v>
      </c>
      <c r="BG14" s="11"/>
      <c r="BH14" s="57">
        <v>1.3</v>
      </c>
      <c r="BI14" s="11"/>
      <c r="BJ14" s="57"/>
      <c r="BK14" s="11"/>
      <c r="BL14" s="57"/>
      <c r="BM14" s="11"/>
    </row>
    <row r="15" spans="1:65">
      <c r="A15" s="57" t="s">
        <v>144</v>
      </c>
      <c r="B15" s="57"/>
      <c r="C15" s="57" t="s">
        <v>155</v>
      </c>
      <c r="D15" s="58" t="s">
        <v>156</v>
      </c>
      <c r="E15" s="11"/>
      <c r="F15" s="62" t="s">
        <v>152</v>
      </c>
      <c r="G15" s="63" t="s">
        <v>152</v>
      </c>
      <c r="H15" s="11"/>
      <c r="I15" s="57" t="s">
        <v>149</v>
      </c>
      <c r="J15" s="11"/>
      <c r="K15" s="57" t="s">
        <v>149</v>
      </c>
      <c r="L15" s="11"/>
      <c r="M15" s="62">
        <v>0.22</v>
      </c>
      <c r="N15" s="63">
        <v>2.94</v>
      </c>
      <c r="O15" s="62">
        <v>0.74</v>
      </c>
      <c r="P15" s="57">
        <v>0.82</v>
      </c>
      <c r="Q15" s="11"/>
      <c r="R15" s="69"/>
      <c r="S15" s="70"/>
      <c r="T15" s="69"/>
      <c r="U15" s="71"/>
      <c r="V15" s="11"/>
      <c r="W15" s="62"/>
      <c r="X15" s="63"/>
      <c r="Y15" s="62">
        <v>0.5</v>
      </c>
      <c r="Z15" s="57"/>
      <c r="AA15" s="11"/>
      <c r="AB15" s="57">
        <v>0.9</v>
      </c>
      <c r="AC15" s="11"/>
      <c r="AD15" s="57">
        <v>0.4</v>
      </c>
      <c r="AE15" s="11"/>
      <c r="AF15" s="57">
        <v>0.9</v>
      </c>
      <c r="AG15" s="11"/>
      <c r="AH15" s="62" t="s">
        <v>149</v>
      </c>
      <c r="AI15" s="63" t="s">
        <v>149</v>
      </c>
      <c r="AJ15" s="11"/>
      <c r="AK15" s="62">
        <v>0.1</v>
      </c>
      <c r="AL15" s="63">
        <v>0.2</v>
      </c>
      <c r="AM15" s="11"/>
      <c r="AN15" s="62">
        <v>0.1</v>
      </c>
      <c r="AO15" s="63">
        <v>2.9</v>
      </c>
      <c r="AP15" s="11"/>
      <c r="AQ15" s="62">
        <v>0.3</v>
      </c>
      <c r="AR15" s="63">
        <v>11.5</v>
      </c>
      <c r="AS15" s="11"/>
      <c r="AT15" s="62">
        <v>0.4</v>
      </c>
      <c r="AU15" s="63">
        <v>1.82</v>
      </c>
      <c r="AV15" s="62">
        <v>0.76900000000000002</v>
      </c>
      <c r="AW15" s="57">
        <v>0.46500000000000002</v>
      </c>
      <c r="AX15" s="11"/>
      <c r="AY15" s="62">
        <v>0.4</v>
      </c>
      <c r="AZ15" s="63">
        <v>0.4</v>
      </c>
      <c r="BA15" s="11"/>
      <c r="BB15" s="57">
        <v>1.2</v>
      </c>
      <c r="BC15" s="11"/>
      <c r="BD15" s="57" t="s">
        <v>154</v>
      </c>
      <c r="BE15" s="11"/>
      <c r="BF15" s="57">
        <v>0.3</v>
      </c>
      <c r="BG15" s="11"/>
      <c r="BH15" s="57">
        <v>0.5</v>
      </c>
      <c r="BI15" s="11"/>
      <c r="BJ15" s="57">
        <v>0.19</v>
      </c>
      <c r="BK15" s="11"/>
      <c r="BL15" s="57">
        <v>0.1</v>
      </c>
      <c r="BM15" s="11"/>
    </row>
    <row r="16" spans="1:65">
      <c r="A16" s="57" t="s">
        <v>144</v>
      </c>
      <c r="B16" s="57"/>
      <c r="C16" s="57" t="s">
        <v>157</v>
      </c>
      <c r="D16" s="58" t="s">
        <v>158</v>
      </c>
      <c r="E16" s="11"/>
      <c r="F16" s="62"/>
      <c r="G16" s="63"/>
      <c r="H16" s="11"/>
      <c r="I16" s="57"/>
      <c r="J16" s="11"/>
      <c r="K16" s="57"/>
      <c r="L16" s="11"/>
      <c r="M16" s="62"/>
      <c r="N16" s="63"/>
      <c r="O16" s="62"/>
      <c r="P16" s="57"/>
      <c r="Q16" s="11"/>
      <c r="R16" s="72"/>
      <c r="S16" s="73"/>
      <c r="T16" s="72"/>
      <c r="U16" s="74"/>
      <c r="V16" s="11"/>
      <c r="W16" s="62"/>
      <c r="X16" s="63"/>
      <c r="Y16" s="62"/>
      <c r="Z16" s="57"/>
      <c r="AA16" s="11"/>
      <c r="AB16" s="57"/>
      <c r="AC16" s="11"/>
      <c r="AD16" s="57"/>
      <c r="AE16" s="11"/>
      <c r="AF16" s="57"/>
      <c r="AG16" s="11"/>
      <c r="AH16" s="62"/>
      <c r="AI16" s="63"/>
      <c r="AJ16" s="11"/>
      <c r="AK16" s="62"/>
      <c r="AL16" s="63"/>
      <c r="AM16" s="11"/>
      <c r="AN16" s="62"/>
      <c r="AO16" s="63"/>
      <c r="AP16" s="11"/>
      <c r="AQ16" s="62"/>
      <c r="AR16" s="63"/>
      <c r="AS16" s="11"/>
      <c r="AT16" s="69">
        <v>0.01</v>
      </c>
      <c r="AU16" s="70">
        <v>0.02</v>
      </c>
      <c r="AV16" s="69">
        <v>0.01</v>
      </c>
      <c r="AW16" s="71">
        <v>0</v>
      </c>
      <c r="AX16" s="11"/>
      <c r="AY16" s="62"/>
      <c r="AZ16" s="63"/>
      <c r="BA16" s="11"/>
      <c r="BB16" s="57"/>
      <c r="BC16" s="11"/>
      <c r="BD16" s="57"/>
      <c r="BE16" s="11"/>
      <c r="BF16" s="57"/>
      <c r="BG16" s="11"/>
      <c r="BH16" s="57"/>
      <c r="BI16" s="11"/>
      <c r="BJ16" s="57"/>
      <c r="BK16" s="11"/>
      <c r="BL16" s="57"/>
      <c r="BM16" s="11"/>
    </row>
    <row r="17" spans="1:65">
      <c r="A17" s="57" t="s">
        <v>159</v>
      </c>
      <c r="B17" s="57"/>
      <c r="C17" s="57" t="s">
        <v>160</v>
      </c>
      <c r="D17" s="58" t="s">
        <v>161</v>
      </c>
      <c r="E17" s="11"/>
      <c r="F17" s="62"/>
      <c r="G17" s="63"/>
      <c r="H17" s="11"/>
      <c r="I17" s="57"/>
      <c r="J17" s="11"/>
      <c r="K17" s="57"/>
      <c r="L17" s="11"/>
      <c r="M17" s="62"/>
      <c r="N17" s="63"/>
      <c r="O17" s="62"/>
      <c r="P17" s="57"/>
      <c r="Q17" s="11"/>
      <c r="R17" s="72"/>
      <c r="S17" s="73"/>
      <c r="T17" s="72"/>
      <c r="U17" s="74"/>
      <c r="V17" s="11"/>
      <c r="W17" s="62"/>
      <c r="X17" s="63"/>
      <c r="Y17" s="62"/>
      <c r="Z17" s="57"/>
      <c r="AA17" s="11"/>
      <c r="AB17" s="57"/>
      <c r="AC17" s="11"/>
      <c r="AD17" s="57"/>
      <c r="AE17" s="11"/>
      <c r="AF17" s="57"/>
      <c r="AG17" s="11"/>
      <c r="AH17" s="62"/>
      <c r="AI17" s="63"/>
      <c r="AJ17" s="11"/>
      <c r="AK17" s="62"/>
      <c r="AL17" s="63"/>
      <c r="AM17" s="11"/>
      <c r="AN17" s="62"/>
      <c r="AO17" s="63"/>
      <c r="AP17" s="11"/>
      <c r="AQ17" s="62"/>
      <c r="AR17" s="63"/>
      <c r="AS17" s="11"/>
      <c r="AT17" s="69">
        <v>0</v>
      </c>
      <c r="AU17" s="70">
        <v>0.01</v>
      </c>
      <c r="AV17" s="69">
        <v>0</v>
      </c>
      <c r="AW17" s="71">
        <v>0</v>
      </c>
      <c r="AX17" s="11"/>
      <c r="AY17" s="62"/>
      <c r="AZ17" s="63"/>
      <c r="BA17" s="11"/>
      <c r="BB17" s="57"/>
      <c r="BC17" s="11"/>
      <c r="BD17" s="57"/>
      <c r="BE17" s="11"/>
      <c r="BF17" s="57"/>
      <c r="BG17" s="11"/>
      <c r="BH17" s="57"/>
      <c r="BI17" s="11"/>
      <c r="BJ17" s="57"/>
      <c r="BK17" s="11"/>
      <c r="BL17" s="57"/>
      <c r="BM17" s="11"/>
    </row>
    <row r="18" spans="1:65" s="47" customFormat="1" ht="15" thickBot="1">
      <c r="A18" s="59" t="s">
        <v>162</v>
      </c>
      <c r="B18" s="59"/>
      <c r="C18" s="59" t="s">
        <v>163</v>
      </c>
      <c r="D18" s="60" t="s">
        <v>164</v>
      </c>
      <c r="E18" s="46"/>
      <c r="F18" s="67"/>
      <c r="G18" s="68"/>
      <c r="H18" s="46"/>
      <c r="I18" s="67"/>
      <c r="J18" s="46"/>
      <c r="K18" s="67"/>
      <c r="L18" s="46"/>
      <c r="M18" s="67"/>
      <c r="N18" s="68"/>
      <c r="O18" s="67"/>
      <c r="P18" s="68"/>
      <c r="Q18" s="46"/>
      <c r="R18" s="68"/>
      <c r="S18" s="68"/>
      <c r="T18" s="68"/>
      <c r="U18" s="68"/>
      <c r="V18" s="46"/>
      <c r="W18" s="68"/>
      <c r="X18" s="68"/>
      <c r="Y18" s="68">
        <v>14.8</v>
      </c>
      <c r="Z18" s="68"/>
      <c r="AA18" s="46"/>
      <c r="AB18" s="67" t="s">
        <v>165</v>
      </c>
      <c r="AC18" s="46"/>
      <c r="AD18" s="67" t="s">
        <v>154</v>
      </c>
      <c r="AE18" s="46"/>
      <c r="AF18" s="67"/>
      <c r="AG18" s="46"/>
      <c r="AH18" s="67"/>
      <c r="AI18" s="68"/>
      <c r="AJ18" s="46"/>
      <c r="AK18" s="67"/>
      <c r="AL18" s="68"/>
      <c r="AM18" s="46"/>
      <c r="AN18" s="67"/>
      <c r="AO18" s="68"/>
      <c r="AP18" s="46"/>
      <c r="AQ18" s="67"/>
      <c r="AR18" s="68"/>
      <c r="AS18" s="46"/>
      <c r="AT18" s="79">
        <v>0.39</v>
      </c>
      <c r="AU18" s="80">
        <v>9.3000000000000007</v>
      </c>
      <c r="AV18" s="79">
        <v>2.9137499999999998</v>
      </c>
      <c r="AW18" s="80">
        <v>3.2645714551399068</v>
      </c>
      <c r="AX18" s="46"/>
      <c r="AY18" s="67"/>
      <c r="AZ18" s="68"/>
      <c r="BA18" s="46"/>
      <c r="BB18" s="67"/>
      <c r="BC18" s="46"/>
      <c r="BD18" s="67"/>
      <c r="BE18" s="46"/>
      <c r="BF18" s="67">
        <v>70</v>
      </c>
      <c r="BG18" s="46"/>
      <c r="BH18" s="67">
        <v>70</v>
      </c>
      <c r="BI18" s="46"/>
      <c r="BJ18" s="67"/>
      <c r="BK18" s="46"/>
      <c r="BL18" s="67">
        <v>0.1</v>
      </c>
      <c r="BM18" s="46"/>
    </row>
    <row r="19" spans="1:65" ht="15" thickBot="1">
      <c r="A19" s="240" t="s">
        <v>166</v>
      </c>
      <c r="B19" s="240"/>
      <c r="C19" s="240"/>
      <c r="D19" s="240"/>
      <c r="E19" s="39"/>
      <c r="F19" s="38">
        <f>SUM(F12:F17)</f>
        <v>92</v>
      </c>
      <c r="G19" s="38">
        <f>SUM(G12:G17)</f>
        <v>96</v>
      </c>
      <c r="H19" s="39"/>
      <c r="I19" s="38">
        <f>SUM(I12:I17)</f>
        <v>56</v>
      </c>
      <c r="J19" s="39"/>
      <c r="K19" s="38">
        <f>SUM(K12:K17)</f>
        <v>99</v>
      </c>
      <c r="L19" s="39"/>
      <c r="M19" s="38"/>
      <c r="N19" s="38"/>
      <c r="O19" s="38">
        <f t="shared" ref="O19" si="0">SUM(O12:O17)</f>
        <v>99.74</v>
      </c>
      <c r="P19" s="38"/>
      <c r="Q19" s="39"/>
      <c r="R19" s="38"/>
      <c r="S19" s="38"/>
      <c r="T19" s="38">
        <f>SUM(T12:T17)</f>
        <v>97.9</v>
      </c>
      <c r="U19" s="38"/>
      <c r="V19" s="39"/>
      <c r="W19" s="38"/>
      <c r="X19" s="38"/>
      <c r="Y19" s="38">
        <f>SUM(Y12:Y17)</f>
        <v>100</v>
      </c>
      <c r="Z19" s="38"/>
      <c r="AA19" s="39"/>
      <c r="AB19" s="38">
        <f>SUM(AB12:AB17)</f>
        <v>99.800000000000011</v>
      </c>
      <c r="AC19" s="39"/>
      <c r="AD19" s="38">
        <f>SUM(AD12:AD17)</f>
        <v>99.9</v>
      </c>
      <c r="AE19" s="39"/>
      <c r="AF19" s="38">
        <f>SUM(AF12:AF17)</f>
        <v>99.9</v>
      </c>
      <c r="AG19" s="39"/>
      <c r="AH19" s="38">
        <f>SUM(AH12:AH15)</f>
        <v>94</v>
      </c>
      <c r="AI19" s="38">
        <f>SUM(AI12:AI15)</f>
        <v>105</v>
      </c>
      <c r="AJ19" s="39"/>
      <c r="AK19" s="38">
        <f>SUM(AK12:AK17)</f>
        <v>89.199999999999989</v>
      </c>
      <c r="AL19" s="38">
        <f>SUM(AL12:AL17)</f>
        <v>108.5</v>
      </c>
      <c r="AM19" s="39"/>
      <c r="AN19" s="38">
        <f>SUM(AN12:AN17)</f>
        <v>76.199999999999989</v>
      </c>
      <c r="AO19" s="38">
        <f>SUM(AO12:AO17)</f>
        <v>125.9</v>
      </c>
      <c r="AP19" s="39"/>
      <c r="AQ19" s="38">
        <f>SUM(AQ12:AQ17)</f>
        <v>44.3</v>
      </c>
      <c r="AR19" s="38">
        <f>SUM(AR12:AR17)</f>
        <v>159.5</v>
      </c>
      <c r="AS19" s="39"/>
      <c r="AT19" s="38">
        <f>SUM(AT12:AT17)</f>
        <v>81.660000000000011</v>
      </c>
      <c r="AU19" s="38">
        <f>SUM(AU12:AU17)</f>
        <v>104.35</v>
      </c>
      <c r="AV19" s="38">
        <f>SUM(AV12:AV17)</f>
        <v>92.629000000000005</v>
      </c>
      <c r="AW19" s="38">
        <f>SUM(AW12:AW17)</f>
        <v>8.0449999999999999</v>
      </c>
      <c r="AX19" s="39"/>
      <c r="AY19" s="38">
        <f>SUM(AY12:AY17)</f>
        <v>99.7</v>
      </c>
      <c r="AZ19" s="38">
        <f>SUM(AZ12:AZ17)</f>
        <v>100.3</v>
      </c>
      <c r="BA19" s="39"/>
      <c r="BB19" s="38">
        <f>SUM(BB12:BB17)</f>
        <v>99.9</v>
      </c>
      <c r="BC19" s="39"/>
      <c r="BD19" s="38">
        <f>SUM(BD12:BD17)</f>
        <v>99.7</v>
      </c>
      <c r="BE19" s="39"/>
      <c r="BF19" s="38">
        <f>SUM(BF12:BF18)</f>
        <v>170</v>
      </c>
      <c r="BG19" s="39"/>
      <c r="BH19" s="38">
        <f>SUM(BH12:BH17)</f>
        <v>99.999999999999986</v>
      </c>
      <c r="BI19" s="39"/>
      <c r="BJ19" s="38">
        <f>SUM(BJ12:BJ17)</f>
        <v>99.69</v>
      </c>
      <c r="BK19" s="39"/>
      <c r="BL19" s="38">
        <f>SUM(BL12:BL18)</f>
        <v>97.399999999999977</v>
      </c>
      <c r="BM19" s="39"/>
    </row>
    <row r="20" spans="1:65">
      <c r="A20" s="19"/>
      <c r="B20" s="19"/>
      <c r="C20" s="19"/>
      <c r="D20" s="27"/>
      <c r="E20" s="17"/>
      <c r="F20" s="19"/>
      <c r="G20" s="19"/>
      <c r="H20" s="17"/>
      <c r="I20" s="19"/>
      <c r="J20" s="17"/>
      <c r="K20" s="19"/>
      <c r="L20" s="17"/>
      <c r="M20" s="20"/>
      <c r="N20" s="20"/>
      <c r="O20" s="34"/>
      <c r="P20" s="21"/>
      <c r="Q20" s="17"/>
      <c r="R20" s="19"/>
      <c r="S20" s="19"/>
      <c r="T20" s="19"/>
      <c r="U20" s="19"/>
      <c r="V20" s="17"/>
      <c r="W20" s="19"/>
      <c r="X20" s="36"/>
      <c r="Y20" s="19"/>
      <c r="Z20" s="19"/>
      <c r="AA20" s="17"/>
      <c r="AB20" s="19"/>
      <c r="AC20" s="17"/>
      <c r="AD20" s="19"/>
      <c r="AE20" s="17"/>
      <c r="AF20" s="19"/>
      <c r="AG20" s="17"/>
      <c r="AH20" s="19"/>
      <c r="AI20" s="19"/>
      <c r="AJ20" s="17"/>
      <c r="AK20" s="19"/>
      <c r="AL20" s="19"/>
      <c r="AM20" s="17"/>
      <c r="AN20" s="19"/>
      <c r="AO20" s="19"/>
      <c r="AP20" s="17"/>
      <c r="AQ20" s="19"/>
      <c r="AR20" s="19"/>
      <c r="AS20" s="17"/>
      <c r="AT20" s="20"/>
      <c r="AU20" s="20"/>
      <c r="AV20" s="34"/>
      <c r="AW20" s="21"/>
      <c r="AX20" s="17"/>
      <c r="AY20" s="19"/>
      <c r="AZ20" s="19"/>
      <c r="BA20" s="17"/>
      <c r="BB20" s="19"/>
      <c r="BC20" s="17"/>
      <c r="BD20" s="19"/>
      <c r="BE20" s="17"/>
      <c r="BF20" s="19"/>
      <c r="BG20" s="17"/>
      <c r="BH20" s="19"/>
      <c r="BI20" s="17"/>
      <c r="BJ20" s="19"/>
      <c r="BK20" s="17"/>
      <c r="BM20" s="17"/>
    </row>
    <row r="21" spans="1:65">
      <c r="A21" s="19"/>
      <c r="B21" s="19"/>
      <c r="C21" s="19"/>
      <c r="D21" s="20"/>
      <c r="E21" s="18"/>
      <c r="F21" s="19"/>
      <c r="G21" s="19"/>
      <c r="H21" s="18"/>
      <c r="I21" s="19"/>
      <c r="J21" s="18"/>
      <c r="K21" s="19"/>
      <c r="L21" s="18"/>
      <c r="M21" s="19"/>
      <c r="N21" s="19"/>
      <c r="O21" s="19"/>
      <c r="P21" s="19"/>
      <c r="Q21" s="18"/>
      <c r="R21" s="37"/>
      <c r="S21" s="37"/>
      <c r="T21" s="37"/>
      <c r="U21" s="37"/>
      <c r="V21" s="18"/>
      <c r="W21" s="37"/>
      <c r="X21" s="37"/>
      <c r="Y21" s="37"/>
      <c r="Z21" s="37"/>
      <c r="AA21" s="18"/>
      <c r="AB21" s="19"/>
      <c r="AC21" s="18"/>
      <c r="AD21" s="19"/>
      <c r="AE21" s="18"/>
      <c r="AF21" s="19"/>
      <c r="AG21" s="18"/>
      <c r="AH21" s="19"/>
      <c r="AI21" s="19"/>
      <c r="AJ21" s="18"/>
      <c r="AK21" s="19"/>
      <c r="AL21" s="19"/>
      <c r="AM21" s="18"/>
      <c r="AN21" s="43"/>
      <c r="AO21" s="19"/>
      <c r="AP21" s="18"/>
      <c r="AQ21" s="19"/>
      <c r="AR21" s="19"/>
      <c r="AS21" s="18"/>
      <c r="AT21" s="19"/>
      <c r="AU21" s="19"/>
      <c r="AV21" s="19"/>
      <c r="AW21" s="19"/>
      <c r="AX21" s="18"/>
      <c r="AY21" s="19"/>
      <c r="AZ21" s="19"/>
      <c r="BA21" s="18"/>
      <c r="BB21" s="19"/>
      <c r="BC21" s="18"/>
      <c r="BD21" s="19"/>
      <c r="BE21" s="18"/>
      <c r="BF21" s="19"/>
      <c r="BG21" s="18"/>
      <c r="BH21" s="19"/>
      <c r="BI21" s="18"/>
      <c r="BJ21" s="19"/>
      <c r="BK21" s="18"/>
      <c r="BM21" s="18"/>
    </row>
    <row r="22" spans="1:65">
      <c r="A22" s="19"/>
      <c r="B22" s="19"/>
      <c r="C22" s="19"/>
      <c r="D22" s="34"/>
      <c r="E22" s="18"/>
      <c r="F22" s="19"/>
      <c r="G22" s="19"/>
      <c r="H22" s="18"/>
      <c r="I22" s="19"/>
      <c r="J22" s="18"/>
      <c r="K22" s="19"/>
      <c r="L22" s="18"/>
      <c r="M22" s="19"/>
      <c r="N22" s="19"/>
      <c r="O22" s="19"/>
      <c r="P22" s="19"/>
      <c r="Q22" s="18"/>
      <c r="R22" s="19"/>
      <c r="T22" s="19"/>
      <c r="U22" s="19"/>
      <c r="V22" s="18"/>
      <c r="W22" s="19"/>
      <c r="X22" s="19"/>
      <c r="Y22" s="19"/>
      <c r="Z22" s="19"/>
      <c r="AA22" s="18"/>
      <c r="AB22" s="19"/>
      <c r="AC22" s="18"/>
      <c r="AD22" s="19"/>
      <c r="AE22" s="18"/>
      <c r="AF22" s="19"/>
      <c r="AG22" s="18"/>
      <c r="AH22" s="19"/>
      <c r="AI22" s="19"/>
      <c r="AJ22" s="18"/>
      <c r="AT22" s="19"/>
      <c r="AU22" s="19"/>
      <c r="AV22" s="19"/>
      <c r="AW22" s="19"/>
      <c r="AX22" s="18"/>
      <c r="BB22" s="19"/>
      <c r="BC22" s="18"/>
      <c r="BD22" s="19"/>
      <c r="BE22" s="18"/>
      <c r="BF22" s="19"/>
      <c r="BG22" s="18"/>
      <c r="BH22" s="19"/>
      <c r="BI22" s="18"/>
      <c r="BJ22" s="19"/>
      <c r="BK22" s="18"/>
      <c r="BM22" s="18"/>
    </row>
    <row r="23" spans="1:65">
      <c r="A23" s="19"/>
      <c r="B23" s="19"/>
      <c r="C23" s="19"/>
      <c r="D23" s="34"/>
      <c r="E23" s="18"/>
      <c r="F23" s="19"/>
      <c r="G23" s="19"/>
      <c r="H23" s="18"/>
      <c r="I23" s="19"/>
      <c r="J23" s="18"/>
      <c r="K23" s="19"/>
      <c r="L23" s="18"/>
      <c r="M23" s="19"/>
      <c r="N23" s="19"/>
      <c r="O23" s="19"/>
      <c r="P23" s="19"/>
      <c r="Q23" s="18"/>
      <c r="S23" s="19"/>
      <c r="T23" s="19"/>
      <c r="U23" s="19"/>
      <c r="V23" s="18"/>
      <c r="W23" s="19"/>
      <c r="X23" s="19"/>
      <c r="Y23" s="19"/>
      <c r="Z23" s="19"/>
      <c r="AA23" s="18"/>
      <c r="AB23" s="19"/>
      <c r="AC23" s="18"/>
      <c r="AD23" s="19"/>
      <c r="AE23" s="18"/>
      <c r="AF23" s="19"/>
      <c r="AG23" s="18"/>
      <c r="AH23" s="19"/>
      <c r="AI23" s="19"/>
      <c r="AJ23" s="18"/>
      <c r="AT23" s="19"/>
      <c r="AU23" s="19"/>
      <c r="AV23" s="19"/>
      <c r="AW23" s="19"/>
      <c r="AX23" s="18"/>
      <c r="BB23" s="19"/>
      <c r="BC23" s="18"/>
      <c r="BD23" s="19"/>
      <c r="BE23" s="18"/>
      <c r="BF23" s="19"/>
      <c r="BG23" s="18"/>
      <c r="BH23" s="19"/>
      <c r="BI23" s="18"/>
      <c r="BJ23" s="19"/>
      <c r="BK23" s="18"/>
      <c r="BM23" s="18"/>
    </row>
    <row r="24" spans="1:65">
      <c r="D24" s="21"/>
      <c r="E24" s="18"/>
      <c r="Q24" s="18"/>
      <c r="V24" s="18"/>
      <c r="AA24" s="18"/>
      <c r="AJ24" s="18"/>
      <c r="AX24" s="18"/>
    </row>
    <row r="25" spans="1:65" ht="14.45" customHeight="1">
      <c r="D25" s="21"/>
      <c r="E25" s="18"/>
      <c r="Q25" s="18"/>
      <c r="V25" s="18"/>
      <c r="AA25" s="18"/>
      <c r="AJ25" s="18"/>
      <c r="AM25" s="18"/>
      <c r="AP25" s="18"/>
      <c r="AS25" s="18"/>
      <c r="AW25" s="49"/>
      <c r="AX25" s="18"/>
      <c r="BA25" s="18"/>
    </row>
    <row r="26" spans="1:65">
      <c r="D26" s="21"/>
      <c r="E26" s="18"/>
      <c r="Q26" s="18"/>
      <c r="V26" s="18"/>
      <c r="AA26" s="18"/>
      <c r="AJ26" s="18"/>
      <c r="AM26" s="18"/>
      <c r="AP26" s="18"/>
      <c r="AS26" s="18"/>
      <c r="AX26" s="18"/>
      <c r="BA26" s="18"/>
    </row>
    <row r="27" spans="1:65">
      <c r="D27" s="21"/>
      <c r="E27" s="18"/>
      <c r="Q27" s="18"/>
      <c r="V27" s="18"/>
      <c r="AA27" s="18"/>
      <c r="AJ27" s="18"/>
      <c r="AM27" s="18"/>
      <c r="AP27" s="18"/>
      <c r="AS27" s="18"/>
      <c r="AX27" s="18"/>
      <c r="BA27" s="18"/>
    </row>
    <row r="28" spans="1:65">
      <c r="D28" s="21"/>
      <c r="E28" s="18"/>
      <c r="Q28" s="18"/>
      <c r="V28" s="18"/>
      <c r="AA28" s="18"/>
      <c r="AJ28" s="18"/>
      <c r="AM28" s="18"/>
      <c r="AX28" s="18"/>
    </row>
    <row r="29" spans="1:65">
      <c r="D29" s="19"/>
      <c r="E29" s="18"/>
      <c r="Q29" s="18"/>
      <c r="V29" s="18"/>
      <c r="AA29" s="18"/>
      <c r="AJ29" s="18"/>
      <c r="AM29" s="18"/>
      <c r="AX29" s="18"/>
    </row>
    <row r="30" spans="1:65">
      <c r="D30" s="19"/>
      <c r="E30" s="18"/>
      <c r="H30" s="18"/>
      <c r="J30" s="18"/>
      <c r="L30" s="18"/>
      <c r="Q30" s="18"/>
      <c r="V30" s="18"/>
      <c r="AA30" s="18"/>
      <c r="AC30" s="18"/>
      <c r="AE30" s="18"/>
      <c r="AG30" s="18"/>
      <c r="AJ30" s="18"/>
      <c r="AM30" s="18"/>
      <c r="AX30" s="18"/>
      <c r="BC30" s="18"/>
      <c r="BE30" s="18"/>
      <c r="BG30" s="18"/>
      <c r="BI30" s="18"/>
      <c r="BK30" s="18"/>
      <c r="BM30" s="18"/>
    </row>
    <row r="31" spans="1:65">
      <c r="D31" s="19"/>
      <c r="E31" s="18"/>
      <c r="H31" s="18"/>
      <c r="J31" s="18"/>
      <c r="L31" s="18"/>
      <c r="Q31" s="18"/>
      <c r="V31" s="18"/>
      <c r="AA31" s="18"/>
      <c r="AC31" s="18"/>
      <c r="AE31" s="18"/>
      <c r="AG31" s="18"/>
      <c r="AJ31" s="18"/>
      <c r="AM31" s="18"/>
      <c r="AX31" s="18"/>
      <c r="BC31" s="18"/>
      <c r="BE31" s="18"/>
      <c r="BG31" s="18"/>
      <c r="BI31" s="18"/>
      <c r="BK31" s="18"/>
      <c r="BM31" s="18"/>
    </row>
    <row r="32" spans="1:65">
      <c r="D32" s="19"/>
      <c r="E32" s="18"/>
      <c r="H32" s="18"/>
      <c r="J32" s="18"/>
      <c r="L32" s="18"/>
      <c r="Q32" s="18"/>
      <c r="V32" s="18"/>
      <c r="AA32" s="18"/>
      <c r="AC32" s="18"/>
      <c r="AE32" s="18"/>
      <c r="AG32" s="18"/>
      <c r="AJ32" s="18"/>
      <c r="AM32" s="18"/>
      <c r="AX32" s="18"/>
      <c r="BC32" s="18"/>
      <c r="BE32" s="18"/>
      <c r="BG32" s="18"/>
      <c r="BI32" s="18"/>
      <c r="BK32" s="18"/>
      <c r="BM32" s="18"/>
    </row>
    <row r="33" spans="4:65">
      <c r="D33" s="19"/>
      <c r="E33" s="18"/>
      <c r="H33" s="18"/>
      <c r="J33" s="18"/>
      <c r="L33" s="18"/>
      <c r="Q33" s="18"/>
      <c r="V33" s="18"/>
      <c r="AA33" s="18"/>
      <c r="AC33" s="18"/>
      <c r="AE33" s="18"/>
      <c r="AG33" s="18"/>
      <c r="AJ33" s="18"/>
      <c r="AM33" s="18"/>
      <c r="AX33" s="18"/>
      <c r="BC33" s="18"/>
      <c r="BE33" s="18"/>
      <c r="BG33" s="18"/>
      <c r="BI33" s="18"/>
      <c r="BK33" s="18"/>
      <c r="BM33" s="18"/>
    </row>
    <row r="34" spans="4:65">
      <c r="E34" s="18"/>
      <c r="H34" s="18"/>
      <c r="J34" s="18"/>
      <c r="L34" s="18"/>
      <c r="Q34" s="18"/>
      <c r="V34" s="18"/>
      <c r="AA34" s="18"/>
      <c r="AC34" s="18"/>
      <c r="AE34" s="18"/>
      <c r="AG34" s="18"/>
      <c r="AJ34" s="18"/>
      <c r="AM34" s="18"/>
      <c r="AP34" s="18"/>
      <c r="AS34" s="18"/>
      <c r="AX34" s="18"/>
      <c r="BA34" s="18"/>
      <c r="BC34" s="18"/>
      <c r="BE34" s="18"/>
      <c r="BG34" s="18"/>
      <c r="BI34" s="18"/>
      <c r="BK34" s="18"/>
      <c r="BM34" s="18"/>
    </row>
    <row r="35" spans="4:65">
      <c r="E35" s="18"/>
      <c r="H35" s="18"/>
      <c r="J35" s="18"/>
      <c r="L35" s="18"/>
      <c r="Q35" s="18"/>
      <c r="V35" s="18"/>
      <c r="AA35" s="18"/>
      <c r="AC35" s="18"/>
      <c r="AE35" s="18"/>
      <c r="AG35" s="18"/>
      <c r="AJ35" s="18"/>
      <c r="AM35" s="18"/>
      <c r="AP35" s="18"/>
      <c r="AS35" s="18"/>
      <c r="AX35" s="18"/>
      <c r="BA35" s="18"/>
      <c r="BC35" s="18"/>
      <c r="BE35" s="18"/>
      <c r="BG35" s="18"/>
      <c r="BI35" s="18"/>
      <c r="BK35" s="18"/>
      <c r="BM35" s="18"/>
    </row>
    <row r="36" spans="4:65">
      <c r="E36" s="18"/>
      <c r="H36" s="18"/>
      <c r="J36" s="18"/>
      <c r="L36" s="18"/>
      <c r="Q36" s="18"/>
      <c r="V36" s="18"/>
      <c r="AA36" s="18"/>
      <c r="AC36" s="18"/>
      <c r="AE36" s="18"/>
      <c r="AG36" s="18"/>
      <c r="AJ36" s="18"/>
      <c r="AM36" s="18"/>
      <c r="AP36" s="18"/>
      <c r="AS36" s="18"/>
      <c r="AX36" s="18"/>
      <c r="BA36" s="18"/>
      <c r="BC36" s="18"/>
      <c r="BE36" s="18"/>
      <c r="BG36" s="18"/>
      <c r="BI36" s="18"/>
      <c r="BK36" s="18"/>
      <c r="BM36" s="18"/>
    </row>
    <row r="37" spans="4:65">
      <c r="E37" s="18"/>
      <c r="H37" s="18"/>
      <c r="J37" s="18"/>
      <c r="L37" s="18"/>
      <c r="Q37" s="18"/>
      <c r="V37" s="18"/>
      <c r="AA37" s="18"/>
      <c r="AC37" s="18"/>
      <c r="AE37" s="18"/>
      <c r="AG37" s="18"/>
      <c r="AJ37" s="18"/>
      <c r="AM37" s="18"/>
      <c r="AP37" s="18"/>
      <c r="AS37" s="18"/>
      <c r="AX37" s="18"/>
      <c r="BA37" s="18"/>
      <c r="BC37" s="18"/>
      <c r="BE37" s="18"/>
      <c r="BG37" s="18"/>
      <c r="BI37" s="18"/>
      <c r="BK37" s="18"/>
      <c r="BM37" s="18"/>
    </row>
    <row r="38" spans="4:65">
      <c r="E38" s="18"/>
      <c r="H38" s="18"/>
      <c r="J38" s="18"/>
      <c r="L38" s="18"/>
      <c r="Q38" s="18"/>
      <c r="V38" s="18"/>
      <c r="AA38" s="18"/>
      <c r="AC38" s="18"/>
      <c r="AE38" s="18"/>
      <c r="AG38" s="18"/>
      <c r="AJ38" s="18"/>
      <c r="AM38" s="18"/>
      <c r="AP38" s="18"/>
      <c r="AS38" s="18"/>
      <c r="AX38" s="18"/>
      <c r="BA38" s="18"/>
      <c r="BC38" s="18"/>
      <c r="BE38" s="18"/>
      <c r="BG38" s="18"/>
      <c r="BI38" s="18"/>
      <c r="BK38" s="18"/>
      <c r="BM38" s="18"/>
    </row>
    <row r="39" spans="4:65">
      <c r="E39" s="18"/>
      <c r="H39" s="18"/>
      <c r="J39" s="18"/>
      <c r="L39" s="18"/>
      <c r="Q39" s="18"/>
      <c r="V39" s="18"/>
      <c r="AA39" s="18"/>
      <c r="AC39" s="18"/>
      <c r="AE39" s="18"/>
      <c r="AG39" s="18"/>
      <c r="AJ39" s="18"/>
      <c r="AM39" s="18"/>
      <c r="AP39" s="18"/>
      <c r="AS39" s="18"/>
      <c r="AX39" s="18"/>
      <c r="BA39" s="18"/>
      <c r="BC39" s="18"/>
      <c r="BE39" s="18"/>
      <c r="BG39" s="18"/>
      <c r="BI39" s="18"/>
      <c r="BK39" s="18"/>
      <c r="BM39" s="18"/>
    </row>
    <row r="40" spans="4:65">
      <c r="E40" s="18"/>
      <c r="H40" s="18"/>
      <c r="J40" s="18"/>
      <c r="L40" s="18"/>
      <c r="Q40" s="18"/>
      <c r="V40" s="18"/>
      <c r="AA40" s="18"/>
      <c r="AC40" s="18"/>
      <c r="AE40" s="18"/>
      <c r="AG40" s="18"/>
      <c r="AJ40" s="18"/>
      <c r="AM40" s="18"/>
      <c r="AP40" s="18"/>
      <c r="AS40" s="18"/>
      <c r="AX40" s="18"/>
      <c r="BA40" s="18"/>
      <c r="BC40" s="18"/>
      <c r="BE40" s="18"/>
      <c r="BG40" s="18"/>
      <c r="BI40" s="18"/>
      <c r="BK40" s="18"/>
      <c r="BM40" s="18"/>
    </row>
    <row r="41" spans="4:65">
      <c r="E41" s="18"/>
      <c r="H41" s="18"/>
      <c r="J41" s="18"/>
      <c r="L41" s="18"/>
      <c r="Q41" s="18"/>
      <c r="V41" s="18"/>
      <c r="AA41" s="18"/>
      <c r="AC41" s="18"/>
      <c r="AE41" s="18"/>
      <c r="AG41" s="18"/>
      <c r="AJ41" s="18"/>
      <c r="AM41" s="18"/>
      <c r="AP41" s="18"/>
      <c r="AS41" s="18"/>
      <c r="AX41" s="18"/>
      <c r="BA41" s="18"/>
      <c r="BC41" s="18"/>
      <c r="BE41" s="18"/>
      <c r="BG41" s="18"/>
      <c r="BI41" s="18"/>
      <c r="BK41" s="18"/>
      <c r="BM41" s="18"/>
    </row>
    <row r="42" spans="4:65">
      <c r="E42" s="18"/>
      <c r="H42" s="18"/>
      <c r="J42" s="18"/>
      <c r="L42" s="18"/>
      <c r="Q42" s="18"/>
      <c r="V42" s="18"/>
      <c r="AA42" s="18"/>
      <c r="AC42" s="18"/>
      <c r="AE42" s="18"/>
      <c r="AG42" s="18"/>
      <c r="AJ42" s="18"/>
      <c r="AM42" s="18"/>
      <c r="AP42" s="18"/>
      <c r="AS42" s="18"/>
      <c r="AX42" s="18"/>
      <c r="BA42" s="18"/>
      <c r="BC42" s="18"/>
      <c r="BE42" s="18"/>
      <c r="BG42" s="18"/>
      <c r="BI42" s="18"/>
      <c r="BK42" s="18"/>
      <c r="BM42" s="18"/>
    </row>
    <row r="43" spans="4:65">
      <c r="E43" s="18"/>
      <c r="H43" s="18"/>
      <c r="J43" s="18"/>
      <c r="L43" s="18"/>
      <c r="Q43" s="18"/>
      <c r="V43" s="18"/>
      <c r="AA43" s="18"/>
      <c r="AC43" s="18"/>
      <c r="AE43" s="18"/>
      <c r="AG43" s="18"/>
      <c r="AJ43" s="18"/>
      <c r="AM43" s="18"/>
      <c r="AP43" s="18"/>
      <c r="AS43" s="18"/>
      <c r="AX43" s="18"/>
      <c r="BA43" s="18"/>
      <c r="BC43" s="18"/>
      <c r="BE43" s="18"/>
      <c r="BG43" s="18"/>
      <c r="BI43" s="18"/>
      <c r="BK43" s="18"/>
      <c r="BM43" s="18"/>
    </row>
    <row r="44" spans="4:65">
      <c r="E44" s="18"/>
      <c r="H44" s="18"/>
      <c r="J44" s="18"/>
      <c r="L44" s="18"/>
      <c r="Q44" s="18"/>
      <c r="V44" s="18"/>
      <c r="AA44" s="18"/>
      <c r="AC44" s="18"/>
      <c r="AE44" s="18"/>
      <c r="AG44" s="18"/>
      <c r="AJ44" s="18"/>
      <c r="AM44" s="18"/>
      <c r="AP44" s="18"/>
      <c r="AS44" s="18"/>
      <c r="AX44" s="18"/>
      <c r="BA44" s="18"/>
      <c r="BC44" s="18"/>
      <c r="BE44" s="18"/>
      <c r="BG44" s="18"/>
      <c r="BI44" s="18"/>
      <c r="BK44" s="18"/>
      <c r="BM44" s="18"/>
    </row>
    <row r="45" spans="4:65">
      <c r="E45" s="18"/>
      <c r="H45" s="18"/>
      <c r="J45" s="18"/>
      <c r="L45" s="18"/>
      <c r="Q45" s="18"/>
      <c r="V45" s="18"/>
      <c r="AA45" s="18"/>
      <c r="AC45" s="18"/>
      <c r="AE45" s="18"/>
      <c r="AG45" s="18"/>
      <c r="AJ45" s="18"/>
      <c r="AM45" s="18"/>
      <c r="AP45" s="18"/>
      <c r="AS45" s="18"/>
      <c r="AX45" s="18"/>
      <c r="BA45" s="18"/>
      <c r="BC45" s="18"/>
      <c r="BE45" s="18"/>
      <c r="BG45" s="18"/>
      <c r="BI45" s="18"/>
      <c r="BK45" s="18"/>
      <c r="BM45" s="18"/>
    </row>
    <row r="46" spans="4:65">
      <c r="E46" s="18"/>
      <c r="H46" s="18"/>
      <c r="J46" s="18"/>
      <c r="L46" s="18"/>
      <c r="Q46" s="18"/>
      <c r="V46" s="18"/>
      <c r="AA46" s="18"/>
      <c r="AC46" s="18"/>
      <c r="AE46" s="18"/>
      <c r="AG46" s="18"/>
      <c r="AJ46" s="18"/>
      <c r="AM46" s="18"/>
      <c r="AP46" s="18"/>
      <c r="AS46" s="18"/>
      <c r="AX46" s="18"/>
      <c r="BA46" s="18"/>
      <c r="BC46" s="18"/>
      <c r="BE46" s="18"/>
      <c r="BG46" s="18"/>
      <c r="BI46" s="18"/>
      <c r="BK46" s="18"/>
      <c r="BM46" s="18"/>
    </row>
    <row r="47" spans="4:65">
      <c r="E47" s="18"/>
      <c r="H47" s="18"/>
      <c r="J47" s="18"/>
      <c r="L47" s="18"/>
      <c r="Q47" s="18"/>
      <c r="V47" s="18"/>
      <c r="AA47" s="18"/>
      <c r="AC47" s="18"/>
      <c r="AE47" s="18"/>
      <c r="AG47" s="18"/>
      <c r="AJ47" s="18"/>
      <c r="AM47" s="18"/>
      <c r="AP47" s="18"/>
      <c r="AS47" s="18"/>
      <c r="AX47" s="18"/>
      <c r="BA47" s="18"/>
      <c r="BC47" s="18"/>
      <c r="BE47" s="18"/>
      <c r="BG47" s="18"/>
      <c r="BI47" s="18"/>
      <c r="BK47" s="18"/>
      <c r="BM47" s="18"/>
    </row>
    <row r="48" spans="4:65">
      <c r="E48" s="18"/>
      <c r="H48" s="18"/>
      <c r="J48" s="18"/>
      <c r="L48" s="18"/>
      <c r="Q48" s="18"/>
      <c r="V48" s="18"/>
      <c r="AA48" s="18"/>
      <c r="AC48" s="18"/>
      <c r="AE48" s="18"/>
      <c r="AG48" s="18"/>
      <c r="AJ48" s="18"/>
      <c r="AM48" s="18"/>
      <c r="AP48" s="18"/>
      <c r="AS48" s="18"/>
      <c r="AX48" s="18"/>
      <c r="BA48" s="18"/>
      <c r="BC48" s="18"/>
      <c r="BE48" s="18"/>
      <c r="BG48" s="18"/>
      <c r="BI48" s="18"/>
      <c r="BK48" s="18"/>
      <c r="BM48" s="18"/>
    </row>
    <row r="49" spans="5:65">
      <c r="E49" s="18"/>
      <c r="H49" s="18"/>
      <c r="J49" s="18"/>
      <c r="L49" s="18"/>
      <c r="Q49" s="18"/>
      <c r="V49" s="18"/>
      <c r="AA49" s="18"/>
      <c r="AC49" s="18"/>
      <c r="AE49" s="18"/>
      <c r="AG49" s="18"/>
      <c r="AJ49" s="18"/>
      <c r="AM49" s="18"/>
      <c r="AP49" s="18"/>
      <c r="AS49" s="18"/>
      <c r="AX49" s="18"/>
      <c r="BA49" s="18"/>
      <c r="BC49" s="18"/>
      <c r="BE49" s="18"/>
      <c r="BG49" s="18"/>
      <c r="BI49" s="18"/>
      <c r="BK49" s="18"/>
      <c r="BM49" s="18"/>
    </row>
    <row r="50" spans="5:65">
      <c r="E50" s="18"/>
      <c r="H50" s="18"/>
      <c r="J50" s="18"/>
      <c r="L50" s="18"/>
      <c r="Q50" s="18"/>
      <c r="V50" s="18"/>
      <c r="AA50" s="18"/>
      <c r="AC50" s="18"/>
      <c r="AE50" s="18"/>
      <c r="AG50" s="18"/>
      <c r="AJ50" s="18"/>
      <c r="AM50" s="18"/>
      <c r="AP50" s="18"/>
      <c r="AS50" s="18"/>
      <c r="AX50" s="18"/>
      <c r="BA50" s="18"/>
      <c r="BC50" s="18"/>
      <c r="BE50" s="18"/>
      <c r="BG50" s="18"/>
      <c r="BI50" s="18"/>
      <c r="BK50" s="18"/>
      <c r="BM50" s="18"/>
    </row>
    <row r="51" spans="5:65">
      <c r="E51" s="18"/>
      <c r="H51" s="18"/>
      <c r="J51" s="18"/>
      <c r="L51" s="18"/>
      <c r="Q51" s="18"/>
      <c r="V51" s="18"/>
      <c r="AA51" s="18"/>
      <c r="AC51" s="18"/>
      <c r="AE51" s="18"/>
      <c r="AG51" s="18"/>
      <c r="AJ51" s="18"/>
      <c r="AM51" s="18"/>
      <c r="AP51" s="18"/>
      <c r="AS51" s="18"/>
      <c r="AX51" s="18"/>
      <c r="BA51" s="18"/>
      <c r="BC51" s="18"/>
      <c r="BE51" s="18"/>
      <c r="BG51" s="18"/>
      <c r="BI51" s="18"/>
      <c r="BK51" s="18"/>
      <c r="BM51" s="18"/>
    </row>
    <row r="52" spans="5:65">
      <c r="E52" s="18"/>
      <c r="H52" s="18"/>
      <c r="J52" s="18"/>
      <c r="L52" s="18"/>
      <c r="Q52" s="18"/>
      <c r="V52" s="18"/>
      <c r="AA52" s="18"/>
      <c r="AC52" s="18"/>
      <c r="AE52" s="18"/>
      <c r="AG52" s="18"/>
      <c r="AJ52" s="18"/>
      <c r="AM52" s="18"/>
      <c r="AP52" s="18"/>
      <c r="AS52" s="18"/>
      <c r="AX52" s="18"/>
      <c r="BA52" s="18"/>
      <c r="BC52" s="18"/>
      <c r="BE52" s="18"/>
      <c r="BG52" s="18"/>
      <c r="BI52" s="18"/>
      <c r="BK52" s="18"/>
      <c r="BM52" s="18"/>
    </row>
    <row r="53" spans="5:65">
      <c r="E53" s="18"/>
      <c r="H53" s="18"/>
      <c r="J53" s="18"/>
      <c r="L53" s="18"/>
      <c r="Q53" s="18"/>
      <c r="V53" s="18"/>
      <c r="AA53" s="18"/>
      <c r="AC53" s="18"/>
      <c r="AE53" s="18"/>
      <c r="AG53" s="18"/>
      <c r="AJ53" s="18"/>
      <c r="AM53" s="18"/>
      <c r="AP53" s="18"/>
      <c r="AS53" s="18"/>
      <c r="AX53" s="18"/>
      <c r="BA53" s="18"/>
      <c r="BC53" s="18"/>
      <c r="BE53" s="18"/>
      <c r="BG53" s="18"/>
      <c r="BI53" s="18"/>
      <c r="BK53" s="18"/>
      <c r="BM53" s="18"/>
    </row>
    <row r="54" spans="5:65">
      <c r="E54" s="18"/>
      <c r="H54" s="18"/>
      <c r="J54" s="18"/>
      <c r="L54" s="18"/>
      <c r="Q54" s="18"/>
      <c r="V54" s="18"/>
      <c r="AA54" s="18"/>
      <c r="AC54" s="18"/>
      <c r="AE54" s="18"/>
      <c r="AG54" s="18"/>
      <c r="AJ54" s="18"/>
      <c r="AM54" s="18"/>
      <c r="AP54" s="18"/>
      <c r="AS54" s="18"/>
      <c r="AX54" s="18"/>
      <c r="BA54" s="18"/>
      <c r="BC54" s="18"/>
      <c r="BE54" s="18"/>
      <c r="BG54" s="18"/>
      <c r="BI54" s="18"/>
      <c r="BK54" s="18"/>
      <c r="BM54" s="18"/>
    </row>
    <row r="55" spans="5:65">
      <c r="E55" s="18"/>
      <c r="H55" s="18"/>
      <c r="J55" s="18"/>
      <c r="L55" s="18"/>
      <c r="Q55" s="18"/>
      <c r="V55" s="18"/>
      <c r="AA55" s="18"/>
      <c r="AC55" s="18"/>
      <c r="AE55" s="18"/>
      <c r="AG55" s="18"/>
      <c r="AJ55" s="18"/>
      <c r="AM55" s="18"/>
      <c r="AP55" s="18"/>
      <c r="AS55" s="18"/>
      <c r="AX55" s="18"/>
      <c r="BA55" s="18"/>
      <c r="BC55" s="18"/>
      <c r="BE55" s="18"/>
      <c r="BG55" s="18"/>
      <c r="BI55" s="18"/>
      <c r="BK55" s="18"/>
      <c r="BM55" s="18"/>
    </row>
    <row r="56" spans="5:65">
      <c r="E56" s="18"/>
      <c r="H56" s="18"/>
      <c r="J56" s="18"/>
      <c r="L56" s="18"/>
      <c r="Q56" s="18"/>
      <c r="V56" s="18"/>
      <c r="AA56" s="18"/>
      <c r="AC56" s="18"/>
      <c r="AE56" s="18"/>
      <c r="AG56" s="18"/>
      <c r="AJ56" s="18"/>
      <c r="AM56" s="18"/>
      <c r="AP56" s="18"/>
      <c r="AS56" s="18"/>
      <c r="AX56" s="18"/>
      <c r="BA56" s="18"/>
      <c r="BC56" s="18"/>
      <c r="BE56" s="18"/>
      <c r="BG56" s="18"/>
      <c r="BI56" s="18"/>
      <c r="BK56" s="18"/>
      <c r="BM56" s="18"/>
    </row>
    <row r="57" spans="5:65">
      <c r="E57" s="18"/>
      <c r="H57" s="18"/>
      <c r="J57" s="18"/>
      <c r="L57" s="18"/>
      <c r="Q57" s="18"/>
      <c r="V57" s="18"/>
      <c r="AA57" s="18"/>
      <c r="AC57" s="18"/>
      <c r="AE57" s="18"/>
      <c r="AG57" s="18"/>
      <c r="AJ57" s="18"/>
      <c r="AM57" s="18"/>
      <c r="AP57" s="18"/>
      <c r="AS57" s="18"/>
      <c r="AX57" s="18"/>
      <c r="BA57" s="18"/>
      <c r="BC57" s="18"/>
      <c r="BE57" s="18"/>
      <c r="BG57" s="18"/>
      <c r="BI57" s="18"/>
      <c r="BK57" s="18"/>
      <c r="BM57" s="18"/>
    </row>
    <row r="58" spans="5:65">
      <c r="E58" s="18"/>
      <c r="H58" s="18"/>
      <c r="J58" s="18"/>
      <c r="L58" s="18"/>
      <c r="Q58" s="18"/>
      <c r="V58" s="18"/>
      <c r="AA58" s="18"/>
      <c r="AC58" s="18"/>
      <c r="AE58" s="18"/>
      <c r="AG58" s="18"/>
      <c r="AJ58" s="18"/>
      <c r="AM58" s="18"/>
      <c r="AP58" s="18"/>
      <c r="AS58" s="18"/>
      <c r="AX58" s="18"/>
      <c r="BA58" s="18"/>
      <c r="BC58" s="18"/>
      <c r="BE58" s="18"/>
      <c r="BG58" s="18"/>
      <c r="BI58" s="18"/>
      <c r="BK58" s="18"/>
      <c r="BM58" s="18"/>
    </row>
    <row r="59" spans="5:65">
      <c r="E59" s="18"/>
      <c r="H59" s="18"/>
      <c r="J59" s="18"/>
      <c r="L59" s="18"/>
      <c r="Q59" s="18"/>
      <c r="V59" s="18"/>
      <c r="AA59" s="18"/>
      <c r="AC59" s="18"/>
      <c r="AE59" s="18"/>
      <c r="AG59" s="18"/>
      <c r="AJ59" s="18"/>
      <c r="AM59" s="18"/>
      <c r="AP59" s="18"/>
      <c r="AS59" s="18"/>
      <c r="AX59" s="18"/>
      <c r="BA59" s="18"/>
      <c r="BC59" s="18"/>
      <c r="BE59" s="18"/>
      <c r="BG59" s="18"/>
      <c r="BI59" s="18"/>
      <c r="BK59" s="18"/>
      <c r="BM59" s="18"/>
    </row>
    <row r="60" spans="5:65">
      <c r="E60" s="18"/>
      <c r="H60" s="18"/>
      <c r="J60" s="18"/>
      <c r="L60" s="18"/>
      <c r="Q60" s="18"/>
      <c r="V60" s="18"/>
      <c r="AA60" s="18"/>
      <c r="AC60" s="18"/>
      <c r="AE60" s="18"/>
      <c r="AG60" s="18"/>
      <c r="AJ60" s="18"/>
      <c r="AM60" s="18"/>
      <c r="AP60" s="18"/>
      <c r="AS60" s="18"/>
      <c r="AX60" s="18"/>
      <c r="BA60" s="18"/>
      <c r="BC60" s="18"/>
      <c r="BE60" s="18"/>
      <c r="BG60" s="18"/>
      <c r="BI60" s="18"/>
      <c r="BK60" s="18"/>
      <c r="BM60" s="18"/>
    </row>
    <row r="61" spans="5:65">
      <c r="E61" s="18"/>
      <c r="H61" s="18"/>
      <c r="J61" s="18"/>
      <c r="L61" s="18"/>
      <c r="Q61" s="18"/>
      <c r="V61" s="18"/>
      <c r="AA61" s="18"/>
      <c r="AC61" s="18"/>
      <c r="AE61" s="18"/>
      <c r="AG61" s="18"/>
      <c r="AJ61" s="18"/>
      <c r="AM61" s="18"/>
      <c r="AP61" s="18"/>
      <c r="AS61" s="18"/>
      <c r="AX61" s="18"/>
      <c r="BA61" s="18"/>
      <c r="BC61" s="18"/>
      <c r="BE61" s="18"/>
      <c r="BG61" s="18"/>
      <c r="BI61" s="18"/>
      <c r="BK61" s="18"/>
      <c r="BM61" s="18"/>
    </row>
    <row r="62" spans="5:65">
      <c r="E62" s="18"/>
      <c r="H62" s="18"/>
      <c r="J62" s="18"/>
      <c r="L62" s="18"/>
      <c r="Q62" s="18"/>
      <c r="V62" s="18"/>
      <c r="AA62" s="18"/>
      <c r="AC62" s="18"/>
      <c r="AE62" s="18"/>
      <c r="AG62" s="18"/>
      <c r="AJ62" s="18"/>
      <c r="AM62" s="18"/>
      <c r="AP62" s="18"/>
      <c r="AS62" s="18"/>
      <c r="AX62" s="18"/>
      <c r="BA62" s="18"/>
      <c r="BC62" s="18"/>
      <c r="BE62" s="18"/>
      <c r="BG62" s="18"/>
      <c r="BI62" s="18"/>
      <c r="BK62" s="18"/>
      <c r="BM62" s="18"/>
    </row>
    <row r="63" spans="5:65">
      <c r="E63" s="18"/>
      <c r="H63" s="18"/>
      <c r="J63" s="18"/>
      <c r="L63" s="18"/>
      <c r="Q63" s="18"/>
      <c r="V63" s="18"/>
      <c r="AA63" s="18"/>
      <c r="AC63" s="18"/>
      <c r="AE63" s="18"/>
      <c r="AG63" s="18"/>
      <c r="AJ63" s="18"/>
      <c r="AM63" s="18"/>
      <c r="AP63" s="18"/>
      <c r="AS63" s="18"/>
      <c r="AX63" s="18"/>
      <c r="BA63" s="18"/>
      <c r="BC63" s="18"/>
      <c r="BE63" s="18"/>
      <c r="BG63" s="18"/>
      <c r="BI63" s="18"/>
      <c r="BK63" s="18"/>
      <c r="BM63" s="18"/>
    </row>
    <row r="64" spans="5:65">
      <c r="E64" s="18"/>
      <c r="H64" s="18"/>
      <c r="J64" s="18"/>
      <c r="L64" s="18"/>
      <c r="Q64" s="18"/>
      <c r="V64" s="18"/>
      <c r="AA64" s="18"/>
      <c r="AC64" s="18"/>
      <c r="AE64" s="18"/>
      <c r="AG64" s="18"/>
      <c r="AJ64" s="18"/>
      <c r="AM64" s="18"/>
      <c r="AP64" s="18"/>
      <c r="AS64" s="18"/>
      <c r="AX64" s="18"/>
      <c r="BA64" s="18"/>
      <c r="BC64" s="18"/>
      <c r="BE64" s="18"/>
      <c r="BG64" s="18"/>
      <c r="BI64" s="18"/>
      <c r="BK64" s="18"/>
      <c r="BM64" s="18"/>
    </row>
    <row r="65" spans="5:65">
      <c r="E65" s="18"/>
      <c r="H65" s="18"/>
      <c r="J65" s="18"/>
      <c r="L65" s="18"/>
      <c r="Q65" s="18"/>
      <c r="V65" s="18"/>
      <c r="AA65" s="18"/>
      <c r="AC65" s="18"/>
      <c r="AE65" s="18"/>
      <c r="AG65" s="18"/>
      <c r="AJ65" s="18"/>
      <c r="AM65" s="18"/>
      <c r="AP65" s="18"/>
      <c r="AS65" s="18"/>
      <c r="AX65" s="18"/>
      <c r="BA65" s="18"/>
      <c r="BC65" s="18"/>
      <c r="BE65" s="18"/>
      <c r="BG65" s="18"/>
      <c r="BI65" s="18"/>
      <c r="BK65" s="18"/>
      <c r="BM65" s="18"/>
    </row>
    <row r="66" spans="5:65">
      <c r="E66" s="18"/>
      <c r="H66" s="18"/>
      <c r="J66" s="18"/>
      <c r="L66" s="18"/>
      <c r="Q66" s="18"/>
      <c r="V66" s="18"/>
      <c r="AA66" s="18"/>
      <c r="AC66" s="18"/>
      <c r="AE66" s="18"/>
      <c r="AG66" s="18"/>
      <c r="AJ66" s="18"/>
      <c r="AM66" s="18"/>
      <c r="AP66" s="18"/>
      <c r="AS66" s="18"/>
      <c r="AX66" s="18"/>
      <c r="BA66" s="18"/>
      <c r="BC66" s="18"/>
      <c r="BE66" s="18"/>
      <c r="BG66" s="18"/>
      <c r="BI66" s="18"/>
      <c r="BK66" s="18"/>
      <c r="BM66" s="18"/>
    </row>
    <row r="67" spans="5:65">
      <c r="E67" s="18"/>
      <c r="H67" s="18"/>
      <c r="J67" s="18"/>
      <c r="L67" s="18"/>
      <c r="Q67" s="18"/>
      <c r="V67" s="18"/>
      <c r="AA67" s="18"/>
      <c r="AC67" s="18"/>
      <c r="AE67" s="18"/>
      <c r="AG67" s="18"/>
      <c r="AJ67" s="18"/>
      <c r="AM67" s="18"/>
      <c r="AP67" s="18"/>
      <c r="AS67" s="18"/>
      <c r="AX67" s="18"/>
      <c r="BA67" s="18"/>
      <c r="BC67" s="18"/>
      <c r="BE67" s="18"/>
      <c r="BG67" s="18"/>
      <c r="BI67" s="18"/>
      <c r="BK67" s="18"/>
      <c r="BM67" s="18"/>
    </row>
    <row r="68" spans="5:65">
      <c r="E68" s="18"/>
      <c r="H68" s="18"/>
      <c r="J68" s="18"/>
      <c r="L68" s="18"/>
      <c r="Q68" s="18"/>
      <c r="V68" s="18"/>
      <c r="AA68" s="18"/>
      <c r="AC68" s="18"/>
      <c r="AE68" s="18"/>
      <c r="AG68" s="18"/>
      <c r="AJ68" s="18"/>
      <c r="AM68" s="18"/>
      <c r="AP68" s="18"/>
      <c r="AS68" s="18"/>
      <c r="AX68" s="18"/>
      <c r="BA68" s="18"/>
      <c r="BC68" s="18"/>
      <c r="BE68" s="18"/>
      <c r="BG68" s="18"/>
      <c r="BI68" s="18"/>
      <c r="BK68" s="18"/>
      <c r="BM68" s="18"/>
    </row>
    <row r="69" spans="5:65">
      <c r="E69" s="18"/>
      <c r="H69" s="18"/>
      <c r="J69" s="18"/>
      <c r="L69" s="18"/>
      <c r="Q69" s="18"/>
      <c r="V69" s="18"/>
      <c r="AA69" s="18"/>
      <c r="AC69" s="18"/>
      <c r="AE69" s="18"/>
      <c r="AG69" s="18"/>
      <c r="AJ69" s="18"/>
      <c r="AM69" s="18"/>
      <c r="AP69" s="18"/>
      <c r="AS69" s="18"/>
      <c r="AX69" s="18"/>
      <c r="BA69" s="18"/>
      <c r="BC69" s="18"/>
      <c r="BE69" s="18"/>
      <c r="BG69" s="18"/>
      <c r="BI69" s="18"/>
      <c r="BK69" s="18"/>
      <c r="BM69" s="18"/>
    </row>
    <row r="70" spans="5:65">
      <c r="E70" s="18"/>
      <c r="H70" s="18"/>
      <c r="J70" s="18"/>
      <c r="L70" s="18"/>
      <c r="Q70" s="18"/>
      <c r="V70" s="18"/>
      <c r="AA70" s="18"/>
      <c r="AC70" s="18"/>
      <c r="AE70" s="18"/>
      <c r="AG70" s="18"/>
      <c r="AJ70" s="18"/>
      <c r="AM70" s="18"/>
      <c r="AP70" s="18"/>
      <c r="AS70" s="18"/>
      <c r="AX70" s="18"/>
      <c r="BA70" s="18"/>
      <c r="BC70" s="18"/>
      <c r="BE70" s="18"/>
      <c r="BG70" s="18"/>
      <c r="BI70" s="18"/>
      <c r="BK70" s="18"/>
      <c r="BM70" s="18"/>
    </row>
    <row r="71" spans="5:65">
      <c r="E71" s="18"/>
      <c r="H71" s="18"/>
      <c r="J71" s="18"/>
      <c r="L71" s="18"/>
      <c r="Q71" s="18"/>
      <c r="V71" s="18"/>
      <c r="AA71" s="18"/>
      <c r="AC71" s="18"/>
      <c r="AE71" s="18"/>
      <c r="AG71" s="18"/>
      <c r="AJ71" s="18"/>
      <c r="AM71" s="18"/>
      <c r="AP71" s="18"/>
      <c r="AS71" s="18"/>
      <c r="AX71" s="18"/>
      <c r="BA71" s="18"/>
      <c r="BC71" s="18"/>
      <c r="BE71" s="18"/>
      <c r="BG71" s="18"/>
      <c r="BI71" s="18"/>
      <c r="BK71" s="18"/>
      <c r="BM71" s="18"/>
    </row>
    <row r="72" spans="5:65">
      <c r="E72" s="18"/>
      <c r="H72" s="18"/>
      <c r="J72" s="18"/>
      <c r="L72" s="18"/>
      <c r="Q72" s="18"/>
      <c r="V72" s="18"/>
      <c r="AA72" s="18"/>
      <c r="AC72" s="18"/>
      <c r="AE72" s="18"/>
      <c r="AG72" s="18"/>
      <c r="AJ72" s="18"/>
      <c r="AM72" s="18"/>
      <c r="AP72" s="18"/>
      <c r="AS72" s="18"/>
      <c r="AX72" s="18"/>
      <c r="BA72" s="18"/>
      <c r="BC72" s="18"/>
      <c r="BE72" s="18"/>
      <c r="BG72" s="18"/>
      <c r="BI72" s="18"/>
      <c r="BK72" s="18"/>
      <c r="BM72" s="18"/>
    </row>
    <row r="73" spans="5:65">
      <c r="E73" s="18"/>
      <c r="H73" s="18"/>
      <c r="J73" s="18"/>
      <c r="L73" s="18"/>
      <c r="Q73" s="18"/>
      <c r="V73" s="18"/>
      <c r="AA73" s="18"/>
      <c r="AC73" s="18"/>
      <c r="AE73" s="18"/>
      <c r="AG73" s="18"/>
      <c r="AJ73" s="18"/>
      <c r="AM73" s="18"/>
      <c r="AP73" s="18"/>
      <c r="AS73" s="18"/>
      <c r="AX73" s="18"/>
      <c r="BA73" s="18"/>
      <c r="BC73" s="18"/>
      <c r="BE73" s="18"/>
      <c r="BG73" s="18"/>
      <c r="BI73" s="18"/>
      <c r="BK73" s="18"/>
      <c r="BM73" s="18"/>
    </row>
    <row r="74" spans="5:65">
      <c r="E74" s="18"/>
      <c r="H74" s="18"/>
      <c r="J74" s="18"/>
      <c r="L74" s="18"/>
      <c r="Q74" s="18"/>
      <c r="V74" s="18"/>
      <c r="AA74" s="18"/>
      <c r="AC74" s="18"/>
      <c r="AE74" s="18"/>
      <c r="AG74" s="18"/>
      <c r="AJ74" s="18"/>
      <c r="AM74" s="18"/>
      <c r="AP74" s="18"/>
      <c r="AS74" s="18"/>
      <c r="AX74" s="18"/>
      <c r="BA74" s="18"/>
      <c r="BC74" s="18"/>
      <c r="BE74" s="18"/>
      <c r="BG74" s="18"/>
      <c r="BI74" s="18"/>
      <c r="BK74" s="18"/>
      <c r="BM74" s="18"/>
    </row>
    <row r="75" spans="5:65">
      <c r="E75" s="18"/>
      <c r="H75" s="18"/>
      <c r="J75" s="18"/>
      <c r="L75" s="18"/>
      <c r="Q75" s="18"/>
      <c r="V75" s="18"/>
      <c r="AA75" s="18"/>
      <c r="AC75" s="18"/>
      <c r="AE75" s="18"/>
      <c r="AG75" s="18"/>
      <c r="AJ75" s="18"/>
      <c r="AM75" s="18"/>
      <c r="AP75" s="18"/>
      <c r="AS75" s="18"/>
      <c r="AX75" s="18"/>
      <c r="BA75" s="18"/>
      <c r="BC75" s="18"/>
      <c r="BE75" s="18"/>
      <c r="BG75" s="18"/>
      <c r="BI75" s="18"/>
      <c r="BK75" s="18"/>
      <c r="BM75" s="18"/>
    </row>
    <row r="76" spans="5:65">
      <c r="E76" s="18"/>
      <c r="H76" s="18"/>
      <c r="J76" s="18"/>
      <c r="L76" s="18"/>
      <c r="Q76" s="18"/>
      <c r="V76" s="18"/>
      <c r="AA76" s="18"/>
      <c r="AC76" s="18"/>
      <c r="AE76" s="18"/>
      <c r="AG76" s="18"/>
      <c r="AJ76" s="18"/>
      <c r="AM76" s="18"/>
      <c r="AP76" s="18"/>
      <c r="AS76" s="18"/>
      <c r="AX76" s="18"/>
      <c r="BA76" s="18"/>
      <c r="BC76" s="18"/>
      <c r="BE76" s="18"/>
      <c r="BG76" s="18"/>
      <c r="BI76" s="18"/>
      <c r="BK76" s="18"/>
      <c r="BM76" s="18"/>
    </row>
    <row r="77" spans="5:65">
      <c r="E77" s="18"/>
      <c r="H77" s="18"/>
      <c r="J77" s="18"/>
      <c r="L77" s="18"/>
      <c r="Q77" s="18"/>
      <c r="V77" s="18"/>
      <c r="AA77" s="18"/>
      <c r="AC77" s="18"/>
      <c r="AE77" s="18"/>
      <c r="AG77" s="18"/>
      <c r="AJ77" s="18"/>
      <c r="AM77" s="18"/>
      <c r="AP77" s="18"/>
      <c r="AS77" s="18"/>
      <c r="AX77" s="18"/>
      <c r="BA77" s="18"/>
      <c r="BC77" s="18"/>
      <c r="BE77" s="18"/>
      <c r="BG77" s="18"/>
      <c r="BI77" s="18"/>
      <c r="BK77" s="18"/>
      <c r="BM77" s="18"/>
    </row>
    <row r="78" spans="5:65">
      <c r="E78" s="18"/>
      <c r="H78" s="18"/>
      <c r="J78" s="18"/>
      <c r="L78" s="18"/>
      <c r="Q78" s="18"/>
      <c r="V78" s="18"/>
      <c r="AA78" s="18"/>
      <c r="AC78" s="18"/>
      <c r="AE78" s="18"/>
      <c r="AG78" s="18"/>
      <c r="AJ78" s="18"/>
      <c r="AM78" s="18"/>
      <c r="AP78" s="18"/>
      <c r="AS78" s="18"/>
      <c r="AX78" s="18"/>
      <c r="BA78" s="18"/>
      <c r="BC78" s="18"/>
      <c r="BE78" s="18"/>
      <c r="BG78" s="18"/>
      <c r="BI78" s="18"/>
      <c r="BK78" s="18"/>
      <c r="BM78" s="18"/>
    </row>
    <row r="79" spans="5:65">
      <c r="E79" s="18"/>
      <c r="H79" s="18"/>
      <c r="J79" s="18"/>
      <c r="L79" s="18"/>
      <c r="Q79" s="18"/>
      <c r="V79" s="18"/>
      <c r="AA79" s="18"/>
      <c r="AC79" s="18"/>
      <c r="AE79" s="18"/>
      <c r="AG79" s="18"/>
      <c r="AJ79" s="18"/>
      <c r="AM79" s="18"/>
      <c r="AP79" s="18"/>
      <c r="AS79" s="18"/>
      <c r="AX79" s="18"/>
      <c r="BA79" s="18"/>
      <c r="BC79" s="18"/>
      <c r="BE79" s="18"/>
      <c r="BG79" s="18"/>
      <c r="BI79" s="18"/>
      <c r="BK79" s="18"/>
      <c r="BM79" s="18"/>
    </row>
    <row r="80" spans="5:65">
      <c r="E80" s="18"/>
      <c r="H80" s="18"/>
      <c r="J80" s="18"/>
      <c r="L80" s="18"/>
      <c r="Q80" s="18"/>
      <c r="V80" s="18"/>
      <c r="AA80" s="18"/>
      <c r="AC80" s="18"/>
      <c r="AE80" s="18"/>
      <c r="AG80" s="18"/>
      <c r="AJ80" s="18"/>
      <c r="AM80" s="18"/>
      <c r="AP80" s="18"/>
      <c r="AS80" s="18"/>
      <c r="AX80" s="18"/>
      <c r="BA80" s="18"/>
      <c r="BC80" s="18"/>
      <c r="BE80" s="18"/>
      <c r="BG80" s="18"/>
      <c r="BI80" s="18"/>
      <c r="BK80" s="18"/>
      <c r="BM80" s="18"/>
    </row>
    <row r="81" spans="5:65">
      <c r="E81" s="18"/>
      <c r="H81" s="18"/>
      <c r="J81" s="18"/>
      <c r="L81" s="18"/>
      <c r="Q81" s="18"/>
      <c r="V81" s="18"/>
      <c r="AA81" s="18"/>
      <c r="AC81" s="18"/>
      <c r="AE81" s="18"/>
      <c r="AG81" s="18"/>
      <c r="AJ81" s="18"/>
      <c r="AM81" s="18"/>
      <c r="AP81" s="18"/>
      <c r="AS81" s="18"/>
      <c r="AX81" s="18"/>
      <c r="BA81" s="18"/>
      <c r="BC81" s="18"/>
      <c r="BE81" s="18"/>
      <c r="BG81" s="18"/>
      <c r="BI81" s="18"/>
      <c r="BK81" s="18"/>
      <c r="BM81" s="18"/>
    </row>
    <row r="82" spans="5:65">
      <c r="E82" s="18"/>
      <c r="H82" s="18"/>
      <c r="J82" s="18"/>
      <c r="L82" s="18"/>
      <c r="Q82" s="18"/>
      <c r="V82" s="18"/>
      <c r="AA82" s="18"/>
      <c r="AC82" s="18"/>
      <c r="AE82" s="18"/>
      <c r="AG82" s="18"/>
      <c r="AJ82" s="18"/>
      <c r="AM82" s="18"/>
      <c r="AP82" s="18"/>
      <c r="AS82" s="18"/>
      <c r="AX82" s="18"/>
      <c r="BA82" s="18"/>
      <c r="BC82" s="18"/>
      <c r="BE82" s="18"/>
      <c r="BG82" s="18"/>
      <c r="BI82" s="18"/>
      <c r="BK82" s="18"/>
      <c r="BM82" s="18"/>
    </row>
    <row r="83" spans="5:65">
      <c r="E83" s="18"/>
      <c r="H83" s="18"/>
      <c r="J83" s="18"/>
      <c r="L83" s="18"/>
      <c r="Q83" s="18"/>
      <c r="V83" s="18"/>
      <c r="AA83" s="18"/>
      <c r="AC83" s="18"/>
      <c r="AE83" s="18"/>
      <c r="AG83" s="18"/>
      <c r="AJ83" s="18"/>
      <c r="AM83" s="18"/>
      <c r="AP83" s="18"/>
      <c r="AS83" s="18"/>
      <c r="AX83" s="18"/>
      <c r="BA83" s="18"/>
      <c r="BC83" s="18"/>
      <c r="BE83" s="18"/>
      <c r="BG83" s="18"/>
      <c r="BI83" s="18"/>
      <c r="BK83" s="18"/>
      <c r="BM83" s="18"/>
    </row>
    <row r="84" spans="5:65">
      <c r="E84" s="18"/>
      <c r="H84" s="18"/>
      <c r="J84" s="18"/>
      <c r="L84" s="18"/>
      <c r="Q84" s="18"/>
      <c r="V84" s="18"/>
      <c r="AA84" s="18"/>
      <c r="AC84" s="18"/>
      <c r="AE84" s="18"/>
      <c r="AG84" s="18"/>
      <c r="AJ84" s="18"/>
      <c r="AM84" s="18"/>
      <c r="AP84" s="18"/>
      <c r="AS84" s="18"/>
      <c r="AX84" s="18"/>
      <c r="BA84" s="18"/>
      <c r="BC84" s="18"/>
      <c r="BE84" s="18"/>
      <c r="BG84" s="18"/>
      <c r="BI84" s="18"/>
      <c r="BK84" s="18"/>
      <c r="BM84" s="18"/>
    </row>
    <row r="85" spans="5:65">
      <c r="E85" s="18"/>
      <c r="H85" s="18"/>
      <c r="J85" s="18"/>
      <c r="L85" s="18"/>
      <c r="Q85" s="18"/>
      <c r="V85" s="18"/>
      <c r="AA85" s="18"/>
      <c r="AC85" s="18"/>
      <c r="AE85" s="18"/>
      <c r="AG85" s="18"/>
      <c r="AJ85" s="18"/>
      <c r="AM85" s="18"/>
      <c r="AP85" s="18"/>
      <c r="AS85" s="18"/>
      <c r="AX85" s="18"/>
      <c r="BA85" s="18"/>
      <c r="BC85" s="18"/>
      <c r="BE85" s="18"/>
      <c r="BG85" s="18"/>
      <c r="BI85" s="18"/>
      <c r="BK85" s="18"/>
      <c r="BM85" s="18"/>
    </row>
    <row r="86" spans="5:65">
      <c r="E86" s="18"/>
      <c r="H86" s="18"/>
      <c r="J86" s="18"/>
      <c r="L86" s="18"/>
      <c r="Q86" s="18"/>
      <c r="V86" s="18"/>
      <c r="AA86" s="18"/>
      <c r="AC86" s="18"/>
      <c r="AE86" s="18"/>
      <c r="AG86" s="18"/>
      <c r="AJ86" s="18"/>
      <c r="AM86" s="18"/>
      <c r="AP86" s="18"/>
      <c r="AS86" s="18"/>
      <c r="AX86" s="18"/>
      <c r="BA86" s="18"/>
      <c r="BC86" s="18"/>
      <c r="BE86" s="18"/>
      <c r="BG86" s="18"/>
      <c r="BI86" s="18"/>
      <c r="BK86" s="18"/>
      <c r="BM86" s="18"/>
    </row>
    <row r="87" spans="5:65">
      <c r="E87" s="18"/>
      <c r="H87" s="18"/>
      <c r="J87" s="18"/>
      <c r="L87" s="18"/>
      <c r="Q87" s="18"/>
      <c r="V87" s="18"/>
      <c r="AA87" s="18"/>
      <c r="AC87" s="18"/>
      <c r="AE87" s="18"/>
      <c r="AG87" s="18"/>
      <c r="AJ87" s="18"/>
      <c r="AM87" s="18"/>
      <c r="AP87" s="18"/>
      <c r="AS87" s="18"/>
      <c r="AX87" s="18"/>
      <c r="BA87" s="18"/>
      <c r="BC87" s="18"/>
      <c r="BE87" s="18"/>
      <c r="BG87" s="18"/>
      <c r="BI87" s="18"/>
      <c r="BK87" s="18"/>
      <c r="BM87" s="18"/>
    </row>
    <row r="88" spans="5:65">
      <c r="E88" s="18"/>
      <c r="H88" s="18"/>
      <c r="J88" s="18"/>
      <c r="L88" s="18"/>
      <c r="Q88" s="18"/>
      <c r="V88" s="18"/>
      <c r="AA88" s="18"/>
      <c r="AC88" s="18"/>
      <c r="AE88" s="18"/>
      <c r="AG88" s="18"/>
      <c r="AJ88" s="18"/>
      <c r="AM88" s="18"/>
      <c r="AP88" s="18"/>
      <c r="AS88" s="18"/>
      <c r="AX88" s="18"/>
      <c r="BA88" s="18"/>
      <c r="BC88" s="18"/>
      <c r="BE88" s="18"/>
      <c r="BG88" s="18"/>
      <c r="BI88" s="18"/>
      <c r="BK88" s="18"/>
      <c r="BM88" s="18"/>
    </row>
    <row r="89" spans="5:65">
      <c r="E89" s="18"/>
      <c r="H89" s="18"/>
      <c r="J89" s="18"/>
      <c r="L89" s="18"/>
      <c r="Q89" s="18"/>
      <c r="V89" s="18"/>
      <c r="AA89" s="18"/>
      <c r="AC89" s="18"/>
      <c r="AE89" s="18"/>
      <c r="AG89" s="18"/>
      <c r="AJ89" s="18"/>
      <c r="AM89" s="18"/>
      <c r="AP89" s="18"/>
      <c r="AS89" s="18"/>
      <c r="AX89" s="18"/>
      <c r="BA89" s="18"/>
      <c r="BC89" s="18"/>
      <c r="BE89" s="18"/>
      <c r="BG89" s="18"/>
      <c r="BI89" s="18"/>
      <c r="BK89" s="18"/>
      <c r="BM89" s="18"/>
    </row>
    <row r="90" spans="5:65">
      <c r="E90" s="18"/>
      <c r="H90" s="18"/>
      <c r="J90" s="18"/>
      <c r="L90" s="18"/>
      <c r="Q90" s="18"/>
      <c r="V90" s="18"/>
      <c r="AA90" s="18"/>
      <c r="AC90" s="18"/>
      <c r="AE90" s="18"/>
      <c r="AG90" s="18"/>
      <c r="AJ90" s="18"/>
      <c r="AM90" s="18"/>
      <c r="AP90" s="18"/>
      <c r="AS90" s="18"/>
      <c r="AX90" s="18"/>
      <c r="BA90" s="18"/>
      <c r="BC90" s="18"/>
      <c r="BE90" s="18"/>
      <c r="BG90" s="18"/>
      <c r="BI90" s="18"/>
      <c r="BK90" s="18"/>
      <c r="BM90" s="18"/>
    </row>
    <row r="91" spans="5:65">
      <c r="E91" s="18"/>
      <c r="H91" s="18"/>
      <c r="J91" s="18"/>
      <c r="L91" s="18"/>
      <c r="Q91" s="18"/>
      <c r="V91" s="18"/>
      <c r="AA91" s="18"/>
      <c r="AC91" s="18"/>
      <c r="AE91" s="18"/>
      <c r="AG91" s="18"/>
      <c r="AJ91" s="18"/>
      <c r="AM91" s="18"/>
      <c r="AP91" s="18"/>
      <c r="AS91" s="18"/>
      <c r="AX91" s="18"/>
      <c r="BA91" s="18"/>
      <c r="BC91" s="18"/>
      <c r="BE91" s="18"/>
      <c r="BG91" s="18"/>
      <c r="BI91" s="18"/>
      <c r="BK91" s="18"/>
      <c r="BM91" s="18"/>
    </row>
    <row r="92" spans="5:65">
      <c r="E92" s="18"/>
      <c r="H92" s="18"/>
      <c r="J92" s="18"/>
      <c r="L92" s="18"/>
      <c r="Q92" s="18"/>
      <c r="V92" s="18"/>
      <c r="AA92" s="18"/>
      <c r="AC92" s="18"/>
      <c r="AE92" s="18"/>
      <c r="AG92" s="18"/>
      <c r="AJ92" s="18"/>
      <c r="AM92" s="18"/>
      <c r="AP92" s="18"/>
      <c r="AS92" s="18"/>
      <c r="AX92" s="18"/>
      <c r="BA92" s="18"/>
      <c r="BC92" s="18"/>
      <c r="BE92" s="18"/>
      <c r="BG92" s="18"/>
      <c r="BI92" s="18"/>
      <c r="BK92" s="18"/>
      <c r="BM92" s="18"/>
    </row>
    <row r="93" spans="5:65">
      <c r="E93" s="18"/>
      <c r="H93" s="18"/>
      <c r="J93" s="18"/>
      <c r="L93" s="18"/>
      <c r="Q93" s="18"/>
      <c r="V93" s="18"/>
      <c r="AA93" s="18"/>
      <c r="AC93" s="18"/>
      <c r="AE93" s="18"/>
      <c r="AG93" s="18"/>
      <c r="AJ93" s="18"/>
      <c r="AM93" s="18"/>
      <c r="AP93" s="18"/>
      <c r="AS93" s="18"/>
      <c r="AX93" s="18"/>
      <c r="BA93" s="18"/>
      <c r="BC93" s="18"/>
      <c r="BE93" s="18"/>
      <c r="BG93" s="18"/>
      <c r="BI93" s="18"/>
      <c r="BK93" s="18"/>
      <c r="BM93" s="18"/>
    </row>
    <row r="94" spans="5:65">
      <c r="E94" s="18"/>
      <c r="H94" s="18"/>
      <c r="J94" s="18"/>
      <c r="L94" s="18"/>
      <c r="Q94" s="18"/>
      <c r="V94" s="18"/>
      <c r="AA94" s="18"/>
      <c r="AC94" s="18"/>
      <c r="AE94" s="18"/>
      <c r="AG94" s="18"/>
      <c r="AJ94" s="18"/>
      <c r="AM94" s="18"/>
      <c r="AP94" s="18"/>
      <c r="AS94" s="18"/>
      <c r="AX94" s="18"/>
      <c r="BA94" s="18"/>
      <c r="BC94" s="18"/>
      <c r="BE94" s="18"/>
      <c r="BG94" s="18"/>
      <c r="BI94" s="18"/>
      <c r="BK94" s="18"/>
      <c r="BM94" s="18"/>
    </row>
    <row r="95" spans="5:65">
      <c r="E95" s="18"/>
      <c r="H95" s="18"/>
      <c r="J95" s="18"/>
      <c r="L95" s="18"/>
      <c r="Q95" s="18"/>
      <c r="V95" s="18"/>
      <c r="AA95" s="18"/>
      <c r="AC95" s="18"/>
      <c r="AE95" s="18"/>
      <c r="AG95" s="18"/>
      <c r="AJ95" s="18"/>
      <c r="AM95" s="18"/>
      <c r="AP95" s="18"/>
      <c r="AS95" s="18"/>
      <c r="AX95" s="18"/>
      <c r="BA95" s="18"/>
      <c r="BC95" s="18"/>
      <c r="BE95" s="18"/>
      <c r="BG95" s="18"/>
      <c r="BI95" s="18"/>
      <c r="BK95" s="18"/>
      <c r="BM95" s="18"/>
    </row>
    <row r="96" spans="5:65">
      <c r="E96" s="18"/>
      <c r="H96" s="18"/>
      <c r="J96" s="18"/>
      <c r="L96" s="18"/>
      <c r="Q96" s="18"/>
      <c r="V96" s="18"/>
      <c r="AA96" s="18"/>
      <c r="AC96" s="18"/>
      <c r="AE96" s="18"/>
      <c r="AG96" s="18"/>
      <c r="AJ96" s="18"/>
      <c r="AM96" s="18"/>
      <c r="AP96" s="18"/>
      <c r="AS96" s="18"/>
      <c r="AX96" s="18"/>
      <c r="BA96" s="18"/>
      <c r="BC96" s="18"/>
      <c r="BE96" s="18"/>
      <c r="BG96" s="18"/>
      <c r="BI96" s="18"/>
      <c r="BK96" s="18"/>
      <c r="BM96" s="18"/>
    </row>
    <row r="97" spans="5:65">
      <c r="E97" s="18"/>
      <c r="H97" s="18"/>
      <c r="J97" s="18"/>
      <c r="L97" s="18"/>
      <c r="Q97" s="18"/>
      <c r="V97" s="18"/>
      <c r="AA97" s="18"/>
      <c r="AC97" s="18"/>
      <c r="AE97" s="18"/>
      <c r="AG97" s="18"/>
      <c r="AJ97" s="18"/>
      <c r="AM97" s="18"/>
      <c r="AP97" s="18"/>
      <c r="AS97" s="18"/>
      <c r="AX97" s="18"/>
      <c r="BA97" s="18"/>
      <c r="BC97" s="18"/>
      <c r="BE97" s="18"/>
      <c r="BG97" s="18"/>
      <c r="BI97" s="18"/>
      <c r="BK97" s="18"/>
      <c r="BM97" s="18"/>
    </row>
    <row r="98" spans="5:65">
      <c r="E98" s="18"/>
      <c r="H98" s="18"/>
      <c r="J98" s="18"/>
      <c r="L98" s="18"/>
      <c r="Q98" s="18"/>
      <c r="V98" s="18"/>
      <c r="AA98" s="18"/>
      <c r="AC98" s="18"/>
      <c r="AE98" s="18"/>
      <c r="AG98" s="18"/>
      <c r="AJ98" s="18"/>
      <c r="AM98" s="18"/>
      <c r="AP98" s="18"/>
      <c r="AS98" s="18"/>
      <c r="AX98" s="18"/>
      <c r="BA98" s="18"/>
      <c r="BC98" s="18"/>
      <c r="BE98" s="18"/>
      <c r="BG98" s="18"/>
      <c r="BI98" s="18"/>
      <c r="BK98" s="18"/>
      <c r="BM98" s="18"/>
    </row>
    <row r="99" spans="5:65">
      <c r="E99" s="18"/>
      <c r="H99" s="18"/>
      <c r="J99" s="18"/>
      <c r="L99" s="18"/>
      <c r="Q99" s="18"/>
      <c r="V99" s="18"/>
      <c r="AA99" s="18"/>
      <c r="AC99" s="18"/>
      <c r="AE99" s="18"/>
      <c r="AG99" s="18"/>
      <c r="AJ99" s="18"/>
      <c r="AM99" s="18"/>
      <c r="AP99" s="18"/>
      <c r="AS99" s="18"/>
      <c r="AX99" s="18"/>
      <c r="BA99" s="18"/>
      <c r="BC99" s="18"/>
      <c r="BE99" s="18"/>
      <c r="BG99" s="18"/>
      <c r="BI99" s="18"/>
      <c r="BK99" s="18"/>
      <c r="BM99" s="18"/>
    </row>
    <row r="100" spans="5:65">
      <c r="E100" s="18"/>
      <c r="H100" s="18"/>
      <c r="J100" s="18"/>
      <c r="L100" s="18"/>
      <c r="Q100" s="18"/>
      <c r="V100" s="18"/>
      <c r="AA100" s="18"/>
      <c r="AC100" s="18"/>
      <c r="AE100" s="18"/>
      <c r="AG100" s="18"/>
      <c r="AJ100" s="18"/>
      <c r="AM100" s="18"/>
      <c r="AP100" s="18"/>
      <c r="AS100" s="18"/>
      <c r="AX100" s="18"/>
      <c r="BA100" s="18"/>
      <c r="BC100" s="18"/>
      <c r="BE100" s="18"/>
      <c r="BG100" s="18"/>
      <c r="BI100" s="18"/>
      <c r="BK100" s="18"/>
      <c r="BM100" s="18"/>
    </row>
    <row r="101" spans="5:65">
      <c r="E101" s="18"/>
      <c r="H101" s="18"/>
      <c r="J101" s="18"/>
      <c r="L101" s="18"/>
      <c r="Q101" s="18"/>
      <c r="V101" s="18"/>
      <c r="AA101" s="18"/>
      <c r="AC101" s="18"/>
      <c r="AE101" s="18"/>
      <c r="AG101" s="18"/>
      <c r="AJ101" s="18"/>
      <c r="AM101" s="18"/>
      <c r="AP101" s="18"/>
      <c r="AS101" s="18"/>
      <c r="AX101" s="18"/>
      <c r="BA101" s="18"/>
      <c r="BC101" s="18"/>
      <c r="BE101" s="18"/>
      <c r="BG101" s="18"/>
      <c r="BI101" s="18"/>
      <c r="BK101" s="18"/>
      <c r="BM101" s="18"/>
    </row>
    <row r="102" spans="5:65">
      <c r="E102" s="18"/>
      <c r="H102" s="18"/>
      <c r="J102" s="18"/>
      <c r="L102" s="18"/>
      <c r="Q102" s="18"/>
      <c r="V102" s="18"/>
      <c r="AA102" s="18"/>
      <c r="AC102" s="18"/>
      <c r="AE102" s="18"/>
      <c r="AG102" s="18"/>
      <c r="AJ102" s="18"/>
      <c r="AM102" s="18"/>
      <c r="AP102" s="18"/>
      <c r="AS102" s="18"/>
      <c r="AX102" s="18"/>
      <c r="BA102" s="18"/>
      <c r="BC102" s="18"/>
      <c r="BE102" s="18"/>
      <c r="BG102" s="18"/>
      <c r="BI102" s="18"/>
      <c r="BK102" s="18"/>
      <c r="BM102" s="18"/>
    </row>
    <row r="103" spans="5:65">
      <c r="E103" s="18"/>
      <c r="H103" s="18"/>
      <c r="J103" s="18"/>
      <c r="L103" s="18"/>
      <c r="Q103" s="18"/>
      <c r="V103" s="18"/>
      <c r="AA103" s="18"/>
      <c r="AC103" s="18"/>
      <c r="AE103" s="18"/>
      <c r="AG103" s="18"/>
      <c r="AJ103" s="18"/>
      <c r="AM103" s="18"/>
      <c r="AP103" s="18"/>
      <c r="AS103" s="18"/>
      <c r="AX103" s="18"/>
      <c r="BA103" s="18"/>
      <c r="BC103" s="18"/>
      <c r="BE103" s="18"/>
      <c r="BG103" s="18"/>
      <c r="BI103" s="18"/>
      <c r="BK103" s="18"/>
      <c r="BM103" s="18"/>
    </row>
    <row r="104" spans="5:65">
      <c r="E104" s="18"/>
      <c r="H104" s="18"/>
      <c r="J104" s="18"/>
      <c r="L104" s="18"/>
      <c r="Q104" s="18"/>
      <c r="V104" s="18"/>
      <c r="AA104" s="18"/>
      <c r="AC104" s="18"/>
      <c r="AE104" s="18"/>
      <c r="AG104" s="18"/>
      <c r="AJ104" s="18"/>
      <c r="AM104" s="18"/>
      <c r="AP104" s="18"/>
      <c r="AS104" s="18"/>
      <c r="AX104" s="18"/>
      <c r="BA104" s="18"/>
      <c r="BC104" s="18"/>
      <c r="BE104" s="18"/>
      <c r="BG104" s="18"/>
      <c r="BI104" s="18"/>
      <c r="BK104" s="18"/>
      <c r="BM104" s="18"/>
    </row>
    <row r="105" spans="5:65">
      <c r="E105" s="18"/>
      <c r="H105" s="18"/>
      <c r="J105" s="18"/>
      <c r="L105" s="18"/>
      <c r="Q105" s="18"/>
      <c r="V105" s="18"/>
      <c r="AA105" s="18"/>
      <c r="AC105" s="18"/>
      <c r="AE105" s="18"/>
      <c r="AG105" s="18"/>
      <c r="AJ105" s="18"/>
      <c r="AM105" s="18"/>
      <c r="AP105" s="18"/>
      <c r="AS105" s="18"/>
      <c r="AX105" s="18"/>
      <c r="BA105" s="18"/>
      <c r="BC105" s="18"/>
      <c r="BE105" s="18"/>
      <c r="BG105" s="18"/>
      <c r="BI105" s="18"/>
      <c r="BK105" s="18"/>
      <c r="BM105" s="18"/>
    </row>
    <row r="106" spans="5:65">
      <c r="E106" s="18"/>
      <c r="H106" s="18"/>
      <c r="J106" s="18"/>
      <c r="L106" s="18"/>
      <c r="Q106" s="18"/>
      <c r="V106" s="18"/>
      <c r="AA106" s="18"/>
      <c r="AC106" s="18"/>
      <c r="AE106" s="18"/>
      <c r="AG106" s="18"/>
      <c r="AJ106" s="18"/>
      <c r="AM106" s="18"/>
      <c r="AP106" s="18"/>
      <c r="AS106" s="18"/>
      <c r="AX106" s="18"/>
      <c r="BA106" s="18"/>
      <c r="BC106" s="18"/>
      <c r="BE106" s="18"/>
      <c r="BG106" s="18"/>
      <c r="BI106" s="18"/>
      <c r="BK106" s="18"/>
      <c r="BM106" s="18"/>
    </row>
    <row r="107" spans="5:65">
      <c r="E107" s="18"/>
      <c r="H107" s="18"/>
      <c r="J107" s="18"/>
      <c r="L107" s="18"/>
      <c r="Q107" s="18"/>
      <c r="V107" s="18"/>
      <c r="AA107" s="18"/>
      <c r="AC107" s="18"/>
      <c r="AE107" s="18"/>
      <c r="AG107" s="18"/>
      <c r="AJ107" s="18"/>
      <c r="AM107" s="18"/>
      <c r="AP107" s="18"/>
      <c r="AS107" s="18"/>
      <c r="AX107" s="18"/>
      <c r="BA107" s="18"/>
      <c r="BC107" s="18"/>
      <c r="BE107" s="18"/>
      <c r="BG107" s="18"/>
      <c r="BI107" s="18"/>
      <c r="BK107" s="18"/>
      <c r="BM107" s="18"/>
    </row>
    <row r="108" spans="5:65">
      <c r="E108" s="18"/>
      <c r="H108" s="18"/>
      <c r="J108" s="18"/>
      <c r="L108" s="18"/>
      <c r="Q108" s="18"/>
      <c r="V108" s="18"/>
      <c r="AA108" s="18"/>
      <c r="AC108" s="18"/>
      <c r="AE108" s="18"/>
      <c r="AG108" s="18"/>
      <c r="AJ108" s="18"/>
      <c r="AM108" s="18"/>
      <c r="AP108" s="18"/>
      <c r="AS108" s="18"/>
      <c r="AX108" s="18"/>
      <c r="BA108" s="18"/>
      <c r="BC108" s="18"/>
      <c r="BE108" s="18"/>
      <c r="BG108" s="18"/>
      <c r="BI108" s="18"/>
      <c r="BK108" s="18"/>
      <c r="BM108" s="18"/>
    </row>
    <row r="109" spans="5:65">
      <c r="E109" s="18"/>
      <c r="H109" s="18"/>
      <c r="J109" s="18"/>
      <c r="L109" s="18"/>
      <c r="Q109" s="18"/>
      <c r="V109" s="18"/>
      <c r="AA109" s="18"/>
      <c r="AC109" s="18"/>
      <c r="AE109" s="18"/>
      <c r="AG109" s="18"/>
      <c r="AJ109" s="18"/>
      <c r="AM109" s="18"/>
      <c r="AP109" s="18"/>
      <c r="AS109" s="18"/>
      <c r="AX109" s="18"/>
      <c r="BA109" s="18"/>
      <c r="BC109" s="18"/>
      <c r="BE109" s="18"/>
      <c r="BG109" s="18"/>
      <c r="BI109" s="18"/>
      <c r="BK109" s="18"/>
      <c r="BM109" s="18"/>
    </row>
    <row r="110" spans="5:65">
      <c r="E110" s="18"/>
      <c r="H110" s="18"/>
      <c r="J110" s="18"/>
      <c r="L110" s="18"/>
      <c r="Q110" s="18"/>
      <c r="V110" s="18"/>
      <c r="AA110" s="18"/>
      <c r="AC110" s="18"/>
      <c r="AE110" s="18"/>
      <c r="AG110" s="18"/>
      <c r="AJ110" s="18"/>
      <c r="AM110" s="18"/>
      <c r="AP110" s="18"/>
      <c r="AS110" s="18"/>
      <c r="AX110" s="18"/>
      <c r="BA110" s="18"/>
      <c r="BC110" s="18"/>
      <c r="BE110" s="18"/>
      <c r="BG110" s="18"/>
      <c r="BI110" s="18"/>
      <c r="BK110" s="18"/>
      <c r="BM110" s="18"/>
    </row>
    <row r="111" spans="5:65">
      <c r="E111" s="18"/>
      <c r="H111" s="18"/>
      <c r="J111" s="18"/>
      <c r="L111" s="18"/>
      <c r="Q111" s="18"/>
      <c r="V111" s="18"/>
      <c r="AA111" s="18"/>
      <c r="AC111" s="18"/>
      <c r="AE111" s="18"/>
      <c r="AG111" s="18"/>
      <c r="AJ111" s="18"/>
      <c r="AM111" s="18"/>
      <c r="AP111" s="18"/>
      <c r="AS111" s="18"/>
      <c r="AX111" s="18"/>
      <c r="BA111" s="18"/>
      <c r="BC111" s="18"/>
      <c r="BE111" s="18"/>
      <c r="BG111" s="18"/>
      <c r="BI111" s="18"/>
      <c r="BK111" s="18"/>
      <c r="BM111" s="18"/>
    </row>
    <row r="112" spans="5:65">
      <c r="E112" s="18"/>
      <c r="H112" s="18"/>
      <c r="J112" s="18"/>
      <c r="L112" s="18"/>
      <c r="Q112" s="18"/>
      <c r="V112" s="18"/>
      <c r="AA112" s="18"/>
      <c r="AC112" s="18"/>
      <c r="AE112" s="18"/>
      <c r="AG112" s="18"/>
      <c r="AJ112" s="18"/>
      <c r="AM112" s="18"/>
      <c r="AP112" s="18"/>
      <c r="AS112" s="18"/>
      <c r="AX112" s="18"/>
      <c r="BA112" s="18"/>
      <c r="BC112" s="18"/>
      <c r="BE112" s="18"/>
      <c r="BG112" s="18"/>
      <c r="BI112" s="18"/>
      <c r="BK112" s="18"/>
      <c r="BM112" s="18"/>
    </row>
  </sheetData>
  <mergeCells count="111">
    <mergeCell ref="R3:U3"/>
    <mergeCell ref="W3:Z3"/>
    <mergeCell ref="BB9:BB10"/>
    <mergeCell ref="BD9:BD10"/>
    <mergeCell ref="BJ9:BJ10"/>
    <mergeCell ref="BH9:BH10"/>
    <mergeCell ref="BF9:BF10"/>
    <mergeCell ref="AY2:AZ2"/>
    <mergeCell ref="AY3:AZ3"/>
    <mergeCell ref="AY4:AZ4"/>
    <mergeCell ref="AY5:AZ5"/>
    <mergeCell ref="AY6:AZ6"/>
    <mergeCell ref="AY7:AZ7"/>
    <mergeCell ref="AY8:AZ8"/>
    <mergeCell ref="AB9:AB10"/>
    <mergeCell ref="AD9:AD10"/>
    <mergeCell ref="AY9:AZ10"/>
    <mergeCell ref="AT8:AW8"/>
    <mergeCell ref="AT9:AW10"/>
    <mergeCell ref="AQ9:AR10"/>
    <mergeCell ref="AT6:AW6"/>
    <mergeCell ref="A3:C3"/>
    <mergeCell ref="F3:G3"/>
    <mergeCell ref="M2:P2"/>
    <mergeCell ref="M3:P3"/>
    <mergeCell ref="M4:P4"/>
    <mergeCell ref="M5:P5"/>
    <mergeCell ref="AT7:AW7"/>
    <mergeCell ref="AT3:AW3"/>
    <mergeCell ref="AH3:AI3"/>
    <mergeCell ref="AK3:AL3"/>
    <mergeCell ref="A5:C5"/>
    <mergeCell ref="F5:G5"/>
    <mergeCell ref="AT5:AW5"/>
    <mergeCell ref="R5:U5"/>
    <mergeCell ref="W5:Z5"/>
    <mergeCell ref="AH5:AI5"/>
    <mergeCell ref="AK5:AL5"/>
    <mergeCell ref="A4:C4"/>
    <mergeCell ref="F4:G4"/>
    <mergeCell ref="AT4:AW4"/>
    <mergeCell ref="R4:U4"/>
    <mergeCell ref="W4:Z4"/>
    <mergeCell ref="AH4:AI4"/>
    <mergeCell ref="AK4:AL4"/>
    <mergeCell ref="A1:C1"/>
    <mergeCell ref="F1:G1"/>
    <mergeCell ref="AT1:AW1"/>
    <mergeCell ref="AQ1:AR1"/>
    <mergeCell ref="AK1:AL1"/>
    <mergeCell ref="AK2:AL2"/>
    <mergeCell ref="M1:P1"/>
    <mergeCell ref="A2:C2"/>
    <mergeCell ref="F2:G2"/>
    <mergeCell ref="AT2:AW2"/>
    <mergeCell ref="W1:Z1"/>
    <mergeCell ref="R1:U1"/>
    <mergeCell ref="AH1:AI1"/>
    <mergeCell ref="AH2:AI2"/>
    <mergeCell ref="AN1:AO1"/>
    <mergeCell ref="AN2:AO2"/>
    <mergeCell ref="R2:U2"/>
    <mergeCell ref="W2:Z2"/>
    <mergeCell ref="F6:G6"/>
    <mergeCell ref="AH6:AI6"/>
    <mergeCell ref="AH7:AI7"/>
    <mergeCell ref="A7:C7"/>
    <mergeCell ref="AQ6:AR6"/>
    <mergeCell ref="AQ7:AR7"/>
    <mergeCell ref="AK6:AL6"/>
    <mergeCell ref="AK7:AL7"/>
    <mergeCell ref="M6:P6"/>
    <mergeCell ref="M7:P7"/>
    <mergeCell ref="W7:Z7"/>
    <mergeCell ref="A6:C6"/>
    <mergeCell ref="F7:G7"/>
    <mergeCell ref="R6:U6"/>
    <mergeCell ref="W6:Z6"/>
    <mergeCell ref="R7:U7"/>
    <mergeCell ref="A19:D19"/>
    <mergeCell ref="AH9:AI10"/>
    <mergeCell ref="AK9:AL10"/>
    <mergeCell ref="A9:D10"/>
    <mergeCell ref="F9:G10"/>
    <mergeCell ref="I9:I10"/>
    <mergeCell ref="K9:K10"/>
    <mergeCell ref="M9:P10"/>
    <mergeCell ref="A8:C8"/>
    <mergeCell ref="F8:G8"/>
    <mergeCell ref="R8:U8"/>
    <mergeCell ref="W8:Z8"/>
    <mergeCell ref="AH8:AI8"/>
    <mergeCell ref="AK8:AL8"/>
    <mergeCell ref="M8:P8"/>
    <mergeCell ref="R9:U10"/>
    <mergeCell ref="W9:Z10"/>
    <mergeCell ref="AF9:AF10"/>
    <mergeCell ref="AY1:AZ1"/>
    <mergeCell ref="BL9:BL10"/>
    <mergeCell ref="AN3:AO3"/>
    <mergeCell ref="AN4:AO4"/>
    <mergeCell ref="AN5:AO5"/>
    <mergeCell ref="AN6:AO6"/>
    <mergeCell ref="AN7:AO7"/>
    <mergeCell ref="AN8:AO8"/>
    <mergeCell ref="AN9:AO10"/>
    <mergeCell ref="AQ2:AR2"/>
    <mergeCell ref="AQ3:AR3"/>
    <mergeCell ref="AQ4:AR4"/>
    <mergeCell ref="AQ5:AR5"/>
    <mergeCell ref="AQ8:AR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R138"/>
  <sheetViews>
    <sheetView topLeftCell="A10" zoomScale="80" zoomScaleNormal="80" workbookViewId="0">
      <pane xSplit="4" topLeftCell="K1" activePane="topRight" state="frozen"/>
      <selection pane="topRight" activeCell="B11" sqref="B11:B51"/>
    </sheetView>
  </sheetViews>
  <sheetFormatPr defaultRowHeight="14.45"/>
  <cols>
    <col min="4" max="4" width="38.5703125" bestFit="1" customWidth="1"/>
    <col min="5" max="5" width="2" customWidth="1"/>
    <col min="6" max="6" width="17.42578125" customWidth="1"/>
    <col min="7" max="7" width="19.42578125" customWidth="1"/>
    <col min="8" max="8" width="2" customWidth="1"/>
    <col min="9" max="9" width="29.42578125" customWidth="1"/>
    <col min="10" max="10" width="2" customWidth="1"/>
    <col min="11" max="11" width="29.85546875" customWidth="1"/>
    <col min="12" max="12" width="2" customWidth="1"/>
    <col min="17" max="17" width="2" customWidth="1"/>
    <col min="22" max="22" width="2" customWidth="1"/>
    <col min="27" max="27" width="2" customWidth="1"/>
    <col min="32" max="32" width="2" customWidth="1"/>
    <col min="37" max="37" width="2" customWidth="1"/>
    <col min="38" max="38" width="14.140625" customWidth="1"/>
    <col min="39" max="39" width="14.85546875" customWidth="1"/>
    <col min="40" max="40" width="2" customWidth="1"/>
    <col min="41" max="41" width="14.140625" customWidth="1"/>
    <col min="42" max="42" width="14.85546875" customWidth="1"/>
    <col min="43" max="43" width="2" customWidth="1"/>
    <col min="44" max="44" width="14.140625" customWidth="1"/>
    <col min="45" max="45" width="14.85546875" customWidth="1"/>
    <col min="46" max="46" width="2" customWidth="1"/>
    <col min="47" max="47" width="14.140625" customWidth="1"/>
    <col min="48" max="48" width="14.85546875" customWidth="1"/>
    <col min="49" max="49" width="2" customWidth="1"/>
    <col min="54" max="54" width="2" customWidth="1"/>
    <col min="59" max="59" width="2" customWidth="1"/>
    <col min="60" max="60" width="29.85546875" customWidth="1"/>
    <col min="61" max="61" width="2" customWidth="1"/>
    <col min="62" max="62" width="29.85546875" customWidth="1"/>
    <col min="63" max="63" width="2" customWidth="1"/>
    <col min="64" max="64" width="29.85546875" customWidth="1"/>
    <col min="65" max="65" width="2" customWidth="1"/>
    <col min="66" max="66" width="31.42578125" customWidth="1"/>
    <col min="67" max="67" width="2" customWidth="1"/>
    <col min="68" max="68" width="43" customWidth="1"/>
    <col min="69" max="69" width="2" customWidth="1"/>
    <col min="70" max="70" width="25.42578125" bestFit="1" customWidth="1"/>
  </cols>
  <sheetData>
    <row r="1" spans="1:70">
      <c r="A1" s="231" t="s">
        <v>24</v>
      </c>
      <c r="B1" s="231"/>
      <c r="C1" s="231"/>
      <c r="D1" s="25" t="s">
        <v>25</v>
      </c>
      <c r="E1" s="3"/>
      <c r="F1" s="231" t="s">
        <v>26</v>
      </c>
      <c r="G1" s="231"/>
      <c r="H1" s="3"/>
      <c r="I1" s="32" t="s">
        <v>27</v>
      </c>
      <c r="J1" s="3"/>
      <c r="K1" s="32" t="s">
        <v>27</v>
      </c>
      <c r="L1" s="3"/>
      <c r="M1" s="263" t="s">
        <v>28</v>
      </c>
      <c r="N1" s="263"/>
      <c r="O1" s="263"/>
      <c r="P1" s="263"/>
      <c r="Q1" s="3"/>
      <c r="R1" s="263" t="s">
        <v>29</v>
      </c>
      <c r="S1" s="263"/>
      <c r="T1" s="263"/>
      <c r="U1" s="263"/>
      <c r="V1" s="3"/>
      <c r="W1" s="263" t="s">
        <v>30</v>
      </c>
      <c r="X1" s="263"/>
      <c r="Y1" s="263"/>
      <c r="Z1" s="263"/>
      <c r="AA1" s="3"/>
      <c r="AB1" s="263" t="s">
        <v>31</v>
      </c>
      <c r="AC1" s="263"/>
      <c r="AD1" s="263"/>
      <c r="AE1" s="263"/>
      <c r="AF1" s="3"/>
      <c r="AG1" s="263" t="s">
        <v>32</v>
      </c>
      <c r="AH1" s="263"/>
      <c r="AI1" s="263"/>
      <c r="AJ1" s="263"/>
      <c r="AK1" s="3"/>
      <c r="AL1" s="231" t="s">
        <v>27</v>
      </c>
      <c r="AM1" s="231"/>
      <c r="AN1" s="3"/>
      <c r="AO1" s="231" t="s">
        <v>34</v>
      </c>
      <c r="AP1" s="231"/>
      <c r="AQ1" s="3"/>
      <c r="AR1" s="231" t="s">
        <v>34</v>
      </c>
      <c r="AS1" s="231"/>
      <c r="AT1" s="3"/>
      <c r="AU1" s="231" t="s">
        <v>34</v>
      </c>
      <c r="AV1" s="231"/>
      <c r="AW1" s="3"/>
      <c r="AX1" s="263" t="s">
        <v>35</v>
      </c>
      <c r="AY1" s="263"/>
      <c r="AZ1" s="263"/>
      <c r="BA1" s="263"/>
      <c r="BB1" s="3"/>
      <c r="BC1" s="263" t="s">
        <v>36</v>
      </c>
      <c r="BD1" s="263"/>
      <c r="BE1" s="263"/>
      <c r="BF1" s="263"/>
      <c r="BG1" s="3"/>
      <c r="BH1" s="32" t="s">
        <v>37</v>
      </c>
      <c r="BI1" s="3"/>
      <c r="BJ1" s="32" t="s">
        <v>37</v>
      </c>
      <c r="BK1" s="3"/>
      <c r="BL1" s="32" t="s">
        <v>38</v>
      </c>
      <c r="BM1" s="3"/>
      <c r="BN1" s="32" t="s">
        <v>39</v>
      </c>
      <c r="BO1" s="3"/>
      <c r="BP1" s="32" t="s">
        <v>40</v>
      </c>
      <c r="BQ1" s="3"/>
      <c r="BR1" s="32" t="s">
        <v>41</v>
      </c>
    </row>
    <row r="2" spans="1:70">
      <c r="A2" s="282" t="s">
        <v>42</v>
      </c>
      <c r="B2" s="282"/>
      <c r="C2" s="283"/>
      <c r="D2" s="98" t="s">
        <v>43</v>
      </c>
      <c r="E2" s="5"/>
      <c r="F2" s="256" t="s">
        <v>44</v>
      </c>
      <c r="G2" s="256"/>
      <c r="H2" s="5"/>
      <c r="I2" s="173" t="s">
        <v>45</v>
      </c>
      <c r="J2" s="5"/>
      <c r="K2" s="173" t="s">
        <v>46</v>
      </c>
      <c r="L2" s="5"/>
      <c r="M2" s="268" t="s">
        <v>47</v>
      </c>
      <c r="N2" s="260"/>
      <c r="O2" s="260"/>
      <c r="P2" s="260"/>
      <c r="Q2" s="5"/>
      <c r="R2" s="268" t="s">
        <v>48</v>
      </c>
      <c r="S2" s="260"/>
      <c r="T2" s="260"/>
      <c r="U2" s="260"/>
      <c r="V2" s="5"/>
      <c r="W2" s="268" t="s">
        <v>49</v>
      </c>
      <c r="X2" s="260"/>
      <c r="Y2" s="260"/>
      <c r="Z2" s="260"/>
      <c r="AA2" s="5"/>
      <c r="AB2" s="268" t="s">
        <v>50</v>
      </c>
      <c r="AC2" s="268"/>
      <c r="AD2" s="268"/>
      <c r="AE2" s="268"/>
      <c r="AF2" s="5"/>
      <c r="AG2" s="268" t="s">
        <v>51</v>
      </c>
      <c r="AH2" s="268"/>
      <c r="AI2" s="268"/>
      <c r="AJ2" s="268"/>
      <c r="AK2" s="5"/>
      <c r="AL2" s="236" t="s">
        <v>53</v>
      </c>
      <c r="AM2" s="236"/>
      <c r="AN2" s="5"/>
      <c r="AO2" s="236" t="s">
        <v>54</v>
      </c>
      <c r="AP2" s="236"/>
      <c r="AQ2" s="5"/>
      <c r="AR2" s="236" t="s">
        <v>55</v>
      </c>
      <c r="AS2" s="236"/>
      <c r="AT2" s="5"/>
      <c r="AU2" s="236" t="s">
        <v>56</v>
      </c>
      <c r="AV2" s="236"/>
      <c r="AW2" s="5"/>
      <c r="AX2" s="266" t="s">
        <v>57</v>
      </c>
      <c r="AY2" s="267"/>
      <c r="AZ2" s="267"/>
      <c r="BA2" s="267"/>
      <c r="BB2" s="5"/>
      <c r="BC2" s="266" t="s">
        <v>58</v>
      </c>
      <c r="BD2" s="267"/>
      <c r="BE2" s="267"/>
      <c r="BF2" s="267"/>
      <c r="BG2" s="5"/>
      <c r="BH2" s="170" t="s">
        <v>59</v>
      </c>
      <c r="BI2" s="5"/>
      <c r="BJ2" s="170" t="s">
        <v>60</v>
      </c>
      <c r="BK2" s="5"/>
      <c r="BL2" s="170" t="s">
        <v>61</v>
      </c>
      <c r="BM2" s="5"/>
      <c r="BN2" s="170" t="s">
        <v>62</v>
      </c>
      <c r="BO2" s="5"/>
      <c r="BP2" s="170" t="s">
        <v>63</v>
      </c>
      <c r="BQ2" s="5"/>
      <c r="BR2" s="170" t="s">
        <v>64</v>
      </c>
    </row>
    <row r="3" spans="1:70" ht="55.35" customHeight="1">
      <c r="A3" s="282"/>
      <c r="B3" s="282"/>
      <c r="C3" s="283"/>
      <c r="D3" s="98" t="s">
        <v>167</v>
      </c>
      <c r="E3" s="5"/>
      <c r="F3" s="273" t="s">
        <v>66</v>
      </c>
      <c r="G3" s="284"/>
      <c r="H3" s="5"/>
      <c r="I3" s="169" t="s">
        <v>67</v>
      </c>
      <c r="J3" s="5"/>
      <c r="K3" s="175" t="s">
        <v>68</v>
      </c>
      <c r="L3" s="5"/>
      <c r="M3" s="270" t="s">
        <v>69</v>
      </c>
      <c r="N3" s="245"/>
      <c r="O3" s="245"/>
      <c r="P3" s="245"/>
      <c r="Q3" s="5"/>
      <c r="R3" s="261" t="s">
        <v>70</v>
      </c>
      <c r="S3" s="262"/>
      <c r="T3" s="262"/>
      <c r="U3" s="262"/>
      <c r="V3" s="5"/>
      <c r="W3" s="261" t="s">
        <v>70</v>
      </c>
      <c r="X3" s="262"/>
      <c r="Y3" s="262"/>
      <c r="Z3" s="262"/>
      <c r="AA3" s="5"/>
      <c r="AB3" s="270" t="s">
        <v>71</v>
      </c>
      <c r="AC3" s="270"/>
      <c r="AD3" s="270"/>
      <c r="AE3" s="270"/>
      <c r="AF3" s="5"/>
      <c r="AG3" s="270" t="s">
        <v>72</v>
      </c>
      <c r="AH3" s="270"/>
      <c r="AI3" s="270"/>
      <c r="AJ3" s="270"/>
      <c r="AK3" s="5"/>
      <c r="AL3" s="234" t="s">
        <v>74</v>
      </c>
      <c r="AM3" s="235"/>
      <c r="AN3" s="5"/>
      <c r="AO3" s="234" t="s">
        <v>75</v>
      </c>
      <c r="AP3" s="235"/>
      <c r="AQ3" s="5"/>
      <c r="AR3" s="234" t="s">
        <v>76</v>
      </c>
      <c r="AS3" s="235"/>
      <c r="AT3" s="5"/>
      <c r="AU3" s="234" t="s">
        <v>77</v>
      </c>
      <c r="AV3" s="235"/>
      <c r="AW3" s="5"/>
      <c r="AX3" s="271" t="s">
        <v>78</v>
      </c>
      <c r="AY3" s="272"/>
      <c r="AZ3" s="272"/>
      <c r="BA3" s="272"/>
      <c r="BB3" s="5"/>
      <c r="BC3" s="271" t="s">
        <v>79</v>
      </c>
      <c r="BD3" s="272"/>
      <c r="BE3" s="272"/>
      <c r="BF3" s="272"/>
      <c r="BG3" s="5"/>
      <c r="BH3" s="177" t="s">
        <v>80</v>
      </c>
      <c r="BI3" s="5"/>
      <c r="BJ3" s="177" t="s">
        <v>80</v>
      </c>
      <c r="BK3" s="5"/>
      <c r="BL3" s="177" t="s">
        <v>81</v>
      </c>
      <c r="BM3" s="5"/>
      <c r="BN3" s="177" t="s">
        <v>81</v>
      </c>
      <c r="BO3" s="5"/>
      <c r="BP3" s="177" t="s">
        <v>82</v>
      </c>
      <c r="BQ3" s="5"/>
      <c r="BR3" s="177" t="s">
        <v>83</v>
      </c>
    </row>
    <row r="4" spans="1:70">
      <c r="A4" s="285"/>
      <c r="B4" s="285"/>
      <c r="C4" s="286"/>
      <c r="D4" s="98" t="s">
        <v>84</v>
      </c>
      <c r="E4" s="5"/>
      <c r="F4" s="256" t="s">
        <v>85</v>
      </c>
      <c r="G4" s="257"/>
      <c r="H4" s="5"/>
      <c r="I4" s="174"/>
      <c r="J4" s="5"/>
      <c r="K4" s="174"/>
      <c r="L4" s="5"/>
      <c r="M4" s="260"/>
      <c r="N4" s="260"/>
      <c r="O4" s="260"/>
      <c r="P4" s="260"/>
      <c r="Q4" s="5"/>
      <c r="R4" s="260"/>
      <c r="S4" s="260"/>
      <c r="T4" s="260"/>
      <c r="U4" s="260"/>
      <c r="V4" s="5"/>
      <c r="W4" s="260"/>
      <c r="X4" s="260"/>
      <c r="Y4" s="260"/>
      <c r="Z4" s="260"/>
      <c r="AA4" s="5"/>
      <c r="AB4" s="260"/>
      <c r="AC4" s="260"/>
      <c r="AD4" s="260"/>
      <c r="AE4" s="260"/>
      <c r="AF4" s="5"/>
      <c r="AG4" s="260"/>
      <c r="AH4" s="260"/>
      <c r="AI4" s="260"/>
      <c r="AJ4" s="260"/>
      <c r="AK4" s="5"/>
      <c r="AL4" s="236"/>
      <c r="AM4" s="237"/>
      <c r="AN4" s="5"/>
      <c r="AO4" s="236"/>
      <c r="AP4" s="237"/>
      <c r="AQ4" s="5"/>
      <c r="AR4" s="236"/>
      <c r="AS4" s="237"/>
      <c r="AT4" s="5"/>
      <c r="AU4" s="236"/>
      <c r="AV4" s="237"/>
      <c r="AW4" s="5"/>
      <c r="AX4" s="267"/>
      <c r="AY4" s="267"/>
      <c r="AZ4" s="267"/>
      <c r="BA4" s="267"/>
      <c r="BB4" s="5"/>
      <c r="BC4" s="267"/>
      <c r="BD4" s="267"/>
      <c r="BE4" s="267"/>
      <c r="BF4" s="267"/>
      <c r="BG4" s="5"/>
      <c r="BH4" s="171"/>
      <c r="BI4" s="5"/>
      <c r="BJ4" s="171"/>
      <c r="BK4" s="5"/>
      <c r="BL4" s="171"/>
      <c r="BM4" s="5"/>
      <c r="BN4" s="171"/>
      <c r="BO4" s="5"/>
      <c r="BP4" s="171"/>
      <c r="BQ4" s="5"/>
      <c r="BR4" s="171"/>
    </row>
    <row r="5" spans="1:70" ht="40.35" customHeight="1">
      <c r="A5" s="282" t="s">
        <v>86</v>
      </c>
      <c r="B5" s="282"/>
      <c r="C5" s="283"/>
      <c r="D5" s="98" t="s">
        <v>87</v>
      </c>
      <c r="E5" s="5"/>
      <c r="F5" s="256" t="s">
        <v>168</v>
      </c>
      <c r="G5" s="257"/>
      <c r="H5" s="5"/>
      <c r="I5" s="190" t="s">
        <v>89</v>
      </c>
      <c r="J5" s="5"/>
      <c r="K5" s="169" t="s">
        <v>90</v>
      </c>
      <c r="L5" s="5"/>
      <c r="M5" s="245" t="s">
        <v>69</v>
      </c>
      <c r="N5" s="245"/>
      <c r="O5" s="245"/>
      <c r="P5" s="245"/>
      <c r="Q5" s="5"/>
      <c r="R5" s="270" t="s">
        <v>169</v>
      </c>
      <c r="S5" s="245"/>
      <c r="T5" s="245"/>
      <c r="U5" s="245"/>
      <c r="V5" s="5"/>
      <c r="W5" s="270" t="s">
        <v>91</v>
      </c>
      <c r="X5" s="245"/>
      <c r="Y5" s="245"/>
      <c r="Z5" s="245"/>
      <c r="AA5" s="5"/>
      <c r="AB5" s="270" t="s">
        <v>92</v>
      </c>
      <c r="AC5" s="270"/>
      <c r="AD5" s="270"/>
      <c r="AE5" s="270"/>
      <c r="AF5" s="5"/>
      <c r="AG5" s="270" t="s">
        <v>93</v>
      </c>
      <c r="AH5" s="270"/>
      <c r="AI5" s="270"/>
      <c r="AJ5" s="270"/>
      <c r="AK5" s="5"/>
      <c r="AL5" s="234" t="s">
        <v>95</v>
      </c>
      <c r="AM5" s="235"/>
      <c r="AN5" s="5"/>
      <c r="AO5" s="234" t="s">
        <v>96</v>
      </c>
      <c r="AP5" s="235"/>
      <c r="AQ5" s="5"/>
      <c r="AR5" s="234" t="s">
        <v>97</v>
      </c>
      <c r="AS5" s="235"/>
      <c r="AT5" s="5"/>
      <c r="AU5" s="234" t="s">
        <v>98</v>
      </c>
      <c r="AV5" s="235"/>
      <c r="AW5" s="5"/>
      <c r="AX5" s="275" t="s">
        <v>99</v>
      </c>
      <c r="AY5" s="233"/>
      <c r="AZ5" s="233"/>
      <c r="BA5" s="233"/>
      <c r="BB5" s="5"/>
      <c r="BC5" s="275" t="s">
        <v>100</v>
      </c>
      <c r="BD5" s="233"/>
      <c r="BE5" s="233"/>
      <c r="BF5" s="233"/>
      <c r="BG5" s="5"/>
      <c r="BH5" s="177" t="s">
        <v>101</v>
      </c>
      <c r="BI5" s="5"/>
      <c r="BJ5" s="177" t="s">
        <v>170</v>
      </c>
      <c r="BK5" s="5"/>
      <c r="BL5" s="177" t="s">
        <v>103</v>
      </c>
      <c r="BM5" s="5"/>
      <c r="BN5" s="177" t="s">
        <v>104</v>
      </c>
      <c r="BO5" s="5"/>
      <c r="BP5" s="177" t="s">
        <v>105</v>
      </c>
      <c r="BQ5" s="5"/>
      <c r="BR5" s="177" t="s">
        <v>106</v>
      </c>
    </row>
    <row r="6" spans="1:70">
      <c r="A6" s="280"/>
      <c r="B6" s="280"/>
      <c r="C6" s="281"/>
      <c r="D6" s="98" t="s">
        <v>107</v>
      </c>
      <c r="E6" s="5"/>
      <c r="F6" s="256" t="s">
        <v>108</v>
      </c>
      <c r="G6" s="257"/>
      <c r="H6" s="5"/>
      <c r="I6" s="174" t="s">
        <v>109</v>
      </c>
      <c r="J6" s="5"/>
      <c r="K6" s="174" t="s">
        <v>108</v>
      </c>
      <c r="L6" s="5"/>
      <c r="M6" s="260" t="s">
        <v>110</v>
      </c>
      <c r="N6" s="260"/>
      <c r="O6" s="260"/>
      <c r="P6" s="260"/>
      <c r="Q6" s="5"/>
      <c r="R6" s="261"/>
      <c r="S6" s="262"/>
      <c r="T6" s="262"/>
      <c r="U6" s="262"/>
      <c r="V6" s="5"/>
      <c r="W6" s="261"/>
      <c r="X6" s="262"/>
      <c r="Y6" s="262"/>
      <c r="Z6" s="262"/>
      <c r="AA6" s="5"/>
      <c r="AB6" s="261"/>
      <c r="AC6" s="262"/>
      <c r="AD6" s="262"/>
      <c r="AE6" s="262"/>
      <c r="AF6" s="5"/>
      <c r="AG6" s="261"/>
      <c r="AH6" s="262"/>
      <c r="AI6" s="262"/>
      <c r="AJ6" s="262"/>
      <c r="AK6" s="5"/>
      <c r="AL6" s="236" t="s">
        <v>111</v>
      </c>
      <c r="AM6" s="237"/>
      <c r="AN6" s="5"/>
      <c r="AO6" s="236" t="s">
        <v>112</v>
      </c>
      <c r="AP6" s="236"/>
      <c r="AQ6" s="5"/>
      <c r="AR6" s="236" t="s">
        <v>113</v>
      </c>
      <c r="AS6" s="237"/>
      <c r="AT6" s="5"/>
      <c r="AU6" s="236" t="s">
        <v>114</v>
      </c>
      <c r="AV6" s="237"/>
      <c r="AW6" s="5"/>
      <c r="AX6" s="266"/>
      <c r="AY6" s="267"/>
      <c r="AZ6" s="267"/>
      <c r="BA6" s="267"/>
      <c r="BB6" s="5"/>
      <c r="BC6" s="267"/>
      <c r="BD6" s="267"/>
      <c r="BE6" s="267"/>
      <c r="BF6" s="267"/>
      <c r="BG6" s="5"/>
      <c r="BH6" s="171"/>
      <c r="BI6" s="5"/>
      <c r="BJ6" s="171"/>
      <c r="BK6" s="5"/>
      <c r="BL6" s="171"/>
      <c r="BM6" s="5"/>
      <c r="BN6" s="171"/>
      <c r="BO6" s="5"/>
      <c r="BP6" s="171"/>
      <c r="BQ6" s="5"/>
      <c r="BR6" s="171"/>
    </row>
    <row r="7" spans="1:70">
      <c r="A7" s="280"/>
      <c r="B7" s="280"/>
      <c r="C7" s="281"/>
      <c r="D7" s="98" t="s">
        <v>115</v>
      </c>
      <c r="E7" s="5"/>
      <c r="F7" s="256" t="s">
        <v>116</v>
      </c>
      <c r="G7" s="257"/>
      <c r="H7" s="5"/>
      <c r="I7" s="174" t="s">
        <v>108</v>
      </c>
      <c r="J7" s="5"/>
      <c r="K7" s="174" t="s">
        <v>108</v>
      </c>
      <c r="L7" s="5"/>
      <c r="M7" s="260" t="s">
        <v>110</v>
      </c>
      <c r="N7" s="260"/>
      <c r="O7" s="260"/>
      <c r="P7" s="260"/>
      <c r="Q7" s="5"/>
      <c r="R7" s="261"/>
      <c r="S7" s="262"/>
      <c r="T7" s="262"/>
      <c r="U7" s="262"/>
      <c r="V7" s="5"/>
      <c r="W7" s="261"/>
      <c r="X7" s="262"/>
      <c r="Y7" s="262"/>
      <c r="Z7" s="262"/>
      <c r="AA7" s="5"/>
      <c r="AB7" s="261"/>
      <c r="AC7" s="262"/>
      <c r="AD7" s="262"/>
      <c r="AE7" s="262"/>
      <c r="AF7" s="5"/>
      <c r="AG7" s="261"/>
      <c r="AH7" s="262"/>
      <c r="AI7" s="262"/>
      <c r="AJ7" s="262"/>
      <c r="AK7" s="5"/>
      <c r="AL7" s="236" t="s">
        <v>108</v>
      </c>
      <c r="AM7" s="237"/>
      <c r="AN7" s="5"/>
      <c r="AO7" s="236" t="s">
        <v>117</v>
      </c>
      <c r="AP7" s="236"/>
      <c r="AQ7" s="5"/>
      <c r="AR7" s="236" t="s">
        <v>108</v>
      </c>
      <c r="AS7" s="237"/>
      <c r="AT7" s="5"/>
      <c r="AU7" s="236" t="s">
        <v>117</v>
      </c>
      <c r="AV7" s="237"/>
      <c r="AW7" s="5"/>
      <c r="AX7" s="266"/>
      <c r="AY7" s="267"/>
      <c r="AZ7" s="267"/>
      <c r="BA7" s="267"/>
      <c r="BB7" s="5"/>
      <c r="BC7" s="267"/>
      <c r="BD7" s="267"/>
      <c r="BE7" s="267"/>
      <c r="BF7" s="267"/>
      <c r="BG7" s="5"/>
      <c r="BH7" s="171"/>
      <c r="BI7" s="5"/>
      <c r="BJ7" s="171"/>
      <c r="BK7" s="5"/>
      <c r="BL7" s="171"/>
      <c r="BM7" s="5"/>
      <c r="BN7" s="171"/>
      <c r="BO7" s="5"/>
      <c r="BP7" s="171"/>
      <c r="BQ7" s="5"/>
      <c r="BR7" s="171"/>
    </row>
    <row r="8" spans="1:70" ht="50.45" customHeight="1">
      <c r="A8" s="287"/>
      <c r="B8" s="287"/>
      <c r="C8" s="288"/>
      <c r="D8" s="99" t="s">
        <v>118</v>
      </c>
      <c r="E8" s="5"/>
      <c r="F8" s="250" t="s">
        <v>171</v>
      </c>
      <c r="G8" s="254"/>
      <c r="H8" s="5"/>
      <c r="I8" s="182" t="s">
        <v>172</v>
      </c>
      <c r="J8" s="5"/>
      <c r="K8" s="182" t="s">
        <v>172</v>
      </c>
      <c r="L8" s="5"/>
      <c r="M8" s="250" t="s">
        <v>173</v>
      </c>
      <c r="N8" s="254"/>
      <c r="O8" s="254"/>
      <c r="P8" s="254"/>
      <c r="Q8" s="5"/>
      <c r="R8" s="250" t="s">
        <v>122</v>
      </c>
      <c r="S8" s="251"/>
      <c r="T8" s="251"/>
      <c r="U8" s="251"/>
      <c r="V8" s="5"/>
      <c r="W8" s="250" t="s">
        <v>123</v>
      </c>
      <c r="X8" s="251"/>
      <c r="Y8" s="251"/>
      <c r="Z8" s="251"/>
      <c r="AA8" s="5"/>
      <c r="AB8" s="250" t="s">
        <v>174</v>
      </c>
      <c r="AC8" s="251"/>
      <c r="AD8" s="251"/>
      <c r="AE8" s="251"/>
      <c r="AF8" s="5"/>
      <c r="AG8" s="250" t="s">
        <v>174</v>
      </c>
      <c r="AH8" s="251"/>
      <c r="AI8" s="251"/>
      <c r="AJ8" s="251"/>
      <c r="AK8" s="5"/>
      <c r="AL8" s="252" t="s">
        <v>172</v>
      </c>
      <c r="AM8" s="252"/>
      <c r="AN8" s="5"/>
      <c r="AO8" s="252" t="s">
        <v>175</v>
      </c>
      <c r="AP8" s="253"/>
      <c r="AQ8" s="5"/>
      <c r="AR8" s="252" t="s">
        <v>175</v>
      </c>
      <c r="AS8" s="253"/>
      <c r="AT8" s="5"/>
      <c r="AU8" s="252" t="s">
        <v>175</v>
      </c>
      <c r="AV8" s="253"/>
      <c r="AW8" s="5"/>
      <c r="AX8" s="278"/>
      <c r="AY8" s="239"/>
      <c r="AZ8" s="239"/>
      <c r="BA8" s="239"/>
      <c r="BB8" s="5"/>
      <c r="BC8" s="239"/>
      <c r="BD8" s="239"/>
      <c r="BE8" s="239"/>
      <c r="BF8" s="239"/>
      <c r="BG8" s="5"/>
      <c r="BH8" s="183"/>
      <c r="BI8" s="5"/>
      <c r="BJ8" s="183"/>
      <c r="BK8" s="5"/>
      <c r="BL8" s="183" t="s">
        <v>174</v>
      </c>
      <c r="BM8" s="5"/>
      <c r="BN8" s="183" t="s">
        <v>174</v>
      </c>
      <c r="BO8" s="5"/>
      <c r="BP8" s="183" t="s">
        <v>174</v>
      </c>
      <c r="BQ8" s="5"/>
      <c r="BR8" s="183"/>
    </row>
    <row r="9" spans="1:70" ht="14.45" customHeight="1">
      <c r="A9" s="289" t="s">
        <v>176</v>
      </c>
      <c r="B9" s="289"/>
      <c r="C9" s="289"/>
      <c r="D9" s="289"/>
      <c r="E9" s="3"/>
      <c r="F9" s="242" t="s">
        <v>177</v>
      </c>
      <c r="G9" s="242"/>
      <c r="H9" s="3"/>
      <c r="I9" s="244" t="s">
        <v>129</v>
      </c>
      <c r="J9" s="3"/>
      <c r="K9" s="244" t="s">
        <v>129</v>
      </c>
      <c r="L9" s="3"/>
      <c r="M9" s="244" t="s">
        <v>178</v>
      </c>
      <c r="N9" s="244"/>
      <c r="O9" s="244"/>
      <c r="P9" s="244"/>
      <c r="Q9" s="3"/>
      <c r="R9" s="244"/>
      <c r="S9" s="244"/>
      <c r="T9" s="244"/>
      <c r="U9" s="244"/>
      <c r="V9" s="3"/>
      <c r="W9" s="244"/>
      <c r="X9" s="244"/>
      <c r="Y9" s="244"/>
      <c r="Z9" s="244"/>
      <c r="AA9" s="3"/>
      <c r="AB9" s="255" t="s">
        <v>130</v>
      </c>
      <c r="AC9" s="244"/>
      <c r="AD9" s="244"/>
      <c r="AE9" s="244"/>
      <c r="AF9" s="3"/>
      <c r="AG9" s="255" t="s">
        <v>130</v>
      </c>
      <c r="AH9" s="244"/>
      <c r="AI9" s="244"/>
      <c r="AJ9" s="244"/>
      <c r="AK9" s="3"/>
      <c r="AL9" s="290"/>
      <c r="AM9" s="290"/>
      <c r="AN9" s="3"/>
      <c r="AO9" s="232" t="s">
        <v>179</v>
      </c>
      <c r="AP9" s="232"/>
      <c r="AQ9" s="3"/>
      <c r="AR9" s="290"/>
      <c r="AS9" s="290"/>
      <c r="AT9" s="3"/>
      <c r="AU9" s="232" t="s">
        <v>180</v>
      </c>
      <c r="AV9" s="232"/>
      <c r="AW9" s="3"/>
      <c r="AX9" s="279"/>
      <c r="AY9" s="279"/>
      <c r="AZ9" s="279"/>
      <c r="BA9" s="279"/>
      <c r="BB9" s="3"/>
      <c r="BC9" s="232" t="s">
        <v>129</v>
      </c>
      <c r="BD9" s="279"/>
      <c r="BE9" s="279"/>
      <c r="BF9" s="279"/>
      <c r="BG9" s="3"/>
      <c r="BH9" s="232"/>
      <c r="BI9" s="3"/>
      <c r="BJ9" s="232"/>
      <c r="BK9" s="3"/>
      <c r="BL9" s="232" t="s">
        <v>132</v>
      </c>
      <c r="BM9" s="3"/>
      <c r="BN9" s="232" t="s">
        <v>132</v>
      </c>
      <c r="BO9" s="3"/>
      <c r="BP9" s="232" t="s">
        <v>133</v>
      </c>
      <c r="BQ9" s="3"/>
      <c r="BR9" s="232"/>
    </row>
    <row r="10" spans="1:70" ht="38.450000000000003" customHeight="1">
      <c r="A10" s="289"/>
      <c r="B10" s="289"/>
      <c r="C10" s="289"/>
      <c r="D10" s="289"/>
      <c r="E10" s="3"/>
      <c r="F10" s="243"/>
      <c r="G10" s="243"/>
      <c r="H10" s="3"/>
      <c r="I10" s="245"/>
      <c r="J10" s="3"/>
      <c r="K10" s="245"/>
      <c r="L10" s="3"/>
      <c r="M10" s="245"/>
      <c r="N10" s="245"/>
      <c r="O10" s="245"/>
      <c r="P10" s="245"/>
      <c r="Q10" s="3"/>
      <c r="R10" s="245"/>
      <c r="S10" s="245"/>
      <c r="T10" s="245"/>
      <c r="U10" s="245"/>
      <c r="V10" s="3"/>
      <c r="W10" s="245"/>
      <c r="X10" s="245"/>
      <c r="Y10" s="245"/>
      <c r="Z10" s="245"/>
      <c r="AA10" s="3"/>
      <c r="AB10" s="245"/>
      <c r="AC10" s="245"/>
      <c r="AD10" s="245"/>
      <c r="AE10" s="245"/>
      <c r="AF10" s="3"/>
      <c r="AG10" s="245"/>
      <c r="AH10" s="245"/>
      <c r="AI10" s="245"/>
      <c r="AJ10" s="245"/>
      <c r="AK10" s="3"/>
      <c r="AL10" s="291"/>
      <c r="AM10" s="291"/>
      <c r="AN10" s="3"/>
      <c r="AO10" s="234"/>
      <c r="AP10" s="234"/>
      <c r="AQ10" s="3"/>
      <c r="AR10" s="291"/>
      <c r="AS10" s="291"/>
      <c r="AT10" s="3"/>
      <c r="AU10" s="234"/>
      <c r="AV10" s="234"/>
      <c r="AW10" s="3"/>
      <c r="AX10" s="233"/>
      <c r="AY10" s="233"/>
      <c r="AZ10" s="233"/>
      <c r="BA10" s="233"/>
      <c r="BB10" s="3"/>
      <c r="BC10" s="233"/>
      <c r="BD10" s="233"/>
      <c r="BE10" s="233"/>
      <c r="BF10" s="233"/>
      <c r="BG10" s="3"/>
      <c r="BH10" s="233"/>
      <c r="BI10" s="3"/>
      <c r="BJ10" s="233"/>
      <c r="BK10" s="3"/>
      <c r="BL10" s="233"/>
      <c r="BM10" s="3"/>
      <c r="BN10" s="233"/>
      <c r="BO10" s="3"/>
      <c r="BP10" s="233"/>
      <c r="BQ10" s="3"/>
      <c r="BR10" s="233"/>
    </row>
    <row r="11" spans="1:70" ht="26.1">
      <c r="A11" s="22" t="s">
        <v>134</v>
      </c>
      <c r="B11" s="22"/>
      <c r="C11" s="26" t="s">
        <v>136</v>
      </c>
      <c r="D11" s="26" t="s">
        <v>137</v>
      </c>
      <c r="E11" s="11"/>
      <c r="F11" s="28" t="s">
        <v>181</v>
      </c>
      <c r="G11" s="28" t="s">
        <v>182</v>
      </c>
      <c r="H11" s="11"/>
      <c r="I11" s="26" t="s">
        <v>183</v>
      </c>
      <c r="J11" s="11"/>
      <c r="K11" s="26" t="s">
        <v>183</v>
      </c>
      <c r="L11" s="11"/>
      <c r="M11" s="28" t="s">
        <v>184</v>
      </c>
      <c r="N11" s="30" t="s">
        <v>185</v>
      </c>
      <c r="O11" s="28" t="s">
        <v>183</v>
      </c>
      <c r="P11" s="33" t="s">
        <v>186</v>
      </c>
      <c r="Q11" s="11"/>
      <c r="R11" s="28" t="s">
        <v>187</v>
      </c>
      <c r="S11" s="30" t="s">
        <v>188</v>
      </c>
      <c r="T11" s="28" t="s">
        <v>189</v>
      </c>
      <c r="U11" s="33" t="s">
        <v>190</v>
      </c>
      <c r="V11" s="11"/>
      <c r="W11" s="28" t="s">
        <v>187</v>
      </c>
      <c r="X11" s="30" t="s">
        <v>188</v>
      </c>
      <c r="Y11" s="28" t="s">
        <v>189</v>
      </c>
      <c r="Z11" s="33" t="s">
        <v>190</v>
      </c>
      <c r="AA11" s="11"/>
      <c r="AB11" s="28" t="s">
        <v>187</v>
      </c>
      <c r="AC11" s="30" t="s">
        <v>188</v>
      </c>
      <c r="AD11" s="28" t="s">
        <v>189</v>
      </c>
      <c r="AE11" s="33" t="s">
        <v>190</v>
      </c>
      <c r="AF11" s="11"/>
      <c r="AG11" s="28" t="s">
        <v>187</v>
      </c>
      <c r="AH11" s="30" t="s">
        <v>188</v>
      </c>
      <c r="AI11" s="28" t="s">
        <v>189</v>
      </c>
      <c r="AJ11" s="33" t="s">
        <v>190</v>
      </c>
      <c r="AK11" s="11"/>
      <c r="AL11" s="28" t="s">
        <v>181</v>
      </c>
      <c r="AM11" s="28" t="s">
        <v>182</v>
      </c>
      <c r="AN11" s="11"/>
      <c r="AO11" s="28" t="s">
        <v>181</v>
      </c>
      <c r="AP11" s="28" t="s">
        <v>182</v>
      </c>
      <c r="AQ11" s="11"/>
      <c r="AR11" s="28" t="s">
        <v>181</v>
      </c>
      <c r="AS11" s="28" t="s">
        <v>182</v>
      </c>
      <c r="AT11" s="11"/>
      <c r="AU11" s="28" t="s">
        <v>181</v>
      </c>
      <c r="AV11" s="28" t="s">
        <v>182</v>
      </c>
      <c r="AW11" s="11"/>
      <c r="AX11" s="28" t="s">
        <v>184</v>
      </c>
      <c r="AY11" s="30" t="s">
        <v>185</v>
      </c>
      <c r="AZ11" s="28" t="s">
        <v>183</v>
      </c>
      <c r="BA11" s="33" t="s">
        <v>186</v>
      </c>
      <c r="BB11" s="11"/>
      <c r="BC11" s="28" t="s">
        <v>187</v>
      </c>
      <c r="BD11" s="30" t="s">
        <v>188</v>
      </c>
      <c r="BE11" s="28" t="s">
        <v>189</v>
      </c>
      <c r="BF11" s="33" t="s">
        <v>190</v>
      </c>
      <c r="BG11" s="11"/>
      <c r="BH11" s="26" t="s">
        <v>183</v>
      </c>
      <c r="BI11" s="11"/>
      <c r="BJ11" s="26" t="s">
        <v>183</v>
      </c>
      <c r="BK11" s="11"/>
      <c r="BL11" s="26" t="s">
        <v>183</v>
      </c>
      <c r="BM11" s="11"/>
      <c r="BN11" s="26" t="s">
        <v>183</v>
      </c>
      <c r="BO11" s="11"/>
      <c r="BP11" s="26" t="s">
        <v>183</v>
      </c>
      <c r="BQ11" s="11"/>
      <c r="BR11" s="26" t="s">
        <v>183</v>
      </c>
    </row>
    <row r="12" spans="1:70">
      <c r="A12" s="100" t="s">
        <v>191</v>
      </c>
      <c r="B12" s="100"/>
      <c r="C12" s="101" t="s">
        <v>192</v>
      </c>
      <c r="D12" s="102" t="s">
        <v>193</v>
      </c>
      <c r="E12" s="11"/>
      <c r="F12" s="107" t="s">
        <v>194</v>
      </c>
      <c r="G12" s="107" t="s">
        <v>194</v>
      </c>
      <c r="H12" s="11"/>
      <c r="I12" s="100"/>
      <c r="J12" s="11"/>
      <c r="K12" s="100"/>
      <c r="L12" s="11"/>
      <c r="M12" s="108">
        <f>SUM(M18,M24,M29,M30,M38,M39,M40,M41,M46)</f>
        <v>0.52</v>
      </c>
      <c r="N12" s="108">
        <f>SUM(N18,N24,N29,N30,N38,N39,N40,N41,N46)</f>
        <v>8.4599999999999991</v>
      </c>
      <c r="O12" s="108">
        <f>SUM(O18,O24,O29,O30,O38,O39,O40,O41,O46)</f>
        <v>3.1</v>
      </c>
      <c r="P12" s="107"/>
      <c r="Q12" s="11"/>
      <c r="R12" s="107"/>
      <c r="S12" s="107"/>
      <c r="T12" s="108">
        <f>SUM(T18,T24,T29,T30,T38,T39,T40,T41,T46)</f>
        <v>0.40300000000000002</v>
      </c>
      <c r="U12" s="107"/>
      <c r="V12" s="11"/>
      <c r="W12" s="107"/>
      <c r="X12" s="107"/>
      <c r="Y12" s="108">
        <f>SUM(Y18,Y24,Y29,Y30,Y38,Y39,Y40,Y41,Y46)</f>
        <v>0.151</v>
      </c>
      <c r="Z12" s="108"/>
      <c r="AA12" s="52"/>
      <c r="AB12" s="107"/>
      <c r="AC12" s="107"/>
      <c r="AD12" s="108">
        <f>SUM(AD18,AD24,AD29,AD30,AD38,AD39,AD40,AD41,AD46)</f>
        <v>0.16698645841045348</v>
      </c>
      <c r="AE12" s="108"/>
      <c r="AF12" s="11"/>
      <c r="AG12" s="107"/>
      <c r="AH12" s="107"/>
      <c r="AI12" s="108">
        <f>SUM(AI18,AI24,AI29,AI30,AI38,AI39,AI40,AI41,AI46)</f>
        <v>2.47451642597462</v>
      </c>
      <c r="AJ12" s="108"/>
      <c r="AK12" s="11"/>
      <c r="AL12" s="107"/>
      <c r="AM12" s="107"/>
      <c r="AN12" s="11"/>
      <c r="AO12" s="108">
        <f>SUM(AO18,AO24,AO29,AO30,AO38,AO39,AO40,AO41,AO46)</f>
        <v>1.6740000000000002</v>
      </c>
      <c r="AP12" s="108">
        <f>SUM(AP18,AP24,AP29,AP30,AP38,AP39,AP40,AP41,AP46)</f>
        <v>1.6740000000000002</v>
      </c>
      <c r="AQ12" s="11"/>
      <c r="AR12" s="108">
        <f>SUM(AR18,AR24,AR29,AR30,AR38,AR39,AR40,AR41,AR46)</f>
        <v>2.1749999999999998</v>
      </c>
      <c r="AS12" s="108">
        <f>SUM(AS18,AS24,AS29,AS30,AS38,AS39,AS40,AS41,AS46)</f>
        <v>2.1749999999999998</v>
      </c>
      <c r="AT12" s="11"/>
      <c r="AU12" s="108">
        <f>SUM(AU18,AU24,AU29,AU30,AU38,AU39,AU40,AU41,AU46)</f>
        <v>6.1719999999999997</v>
      </c>
      <c r="AV12" s="108">
        <f>SUM(AV18,AV24,AV29,AV30,AV38,AV39,AV40,AV41,AV46)</f>
        <v>6.1719999999999997</v>
      </c>
      <c r="AW12" s="11"/>
      <c r="AX12" s="107">
        <v>0.27999999999999997</v>
      </c>
      <c r="AY12" s="107">
        <v>0.37</v>
      </c>
      <c r="AZ12" s="107">
        <v>0.31</v>
      </c>
      <c r="BA12" s="108">
        <v>3.2100000000000004E-2</v>
      </c>
      <c r="BB12" s="11"/>
      <c r="BC12" s="108"/>
      <c r="BD12" s="108"/>
      <c r="BE12" s="108"/>
      <c r="BF12" s="108"/>
      <c r="BG12" s="52"/>
      <c r="BH12" s="108">
        <f>SUM(BH18,BH24,BH29,BH30,BH38,BH39,BH40,BH41,BH46)</f>
        <v>0</v>
      </c>
      <c r="BI12" s="11"/>
      <c r="BJ12" s="108">
        <f>SUM(BJ18,BJ24,BJ29,BJ30,BJ38,BJ39,BJ40,BJ41,BJ46)</f>
        <v>0</v>
      </c>
      <c r="BK12" s="11"/>
      <c r="BL12" s="108">
        <f>SUM(BL18,BL24,BL29,BL30,BL38,BL39,BL40,BL41,BL46)</f>
        <v>0.2298562348021182</v>
      </c>
      <c r="BM12" s="11"/>
      <c r="BN12" s="108">
        <f>SUM(BN18,BN24,BN29,BN30,BN38,BN39,BN40,BN41,BN46)</f>
        <v>0.10748985633370768</v>
      </c>
      <c r="BO12" s="11"/>
      <c r="BP12" s="108">
        <f>SUM(BP18,BP24,BP29,BP30,BP38,BP39,BP40,BP41,BP46)</f>
        <v>0.50274800686507704</v>
      </c>
      <c r="BQ12" s="11"/>
      <c r="BR12" s="108" t="s">
        <v>152</v>
      </c>
    </row>
    <row r="13" spans="1:70">
      <c r="A13" s="100" t="s">
        <v>191</v>
      </c>
      <c r="B13" s="100"/>
      <c r="C13" s="101" t="s">
        <v>195</v>
      </c>
      <c r="D13" s="102" t="s">
        <v>196</v>
      </c>
      <c r="E13" s="11"/>
      <c r="F13" s="107" t="s">
        <v>194</v>
      </c>
      <c r="G13" s="107" t="s">
        <v>194</v>
      </c>
      <c r="H13" s="11"/>
      <c r="I13" s="100"/>
      <c r="J13" s="11"/>
      <c r="K13" s="100"/>
      <c r="L13" s="11"/>
      <c r="M13" s="107">
        <f>M33+M43+M47+M48+M51</f>
        <v>0.25</v>
      </c>
      <c r="N13" s="107">
        <f>N33+N43+N47+N48+N51</f>
        <v>0.26</v>
      </c>
      <c r="O13" s="107">
        <f>O33+O43+O47+O48+O51</f>
        <v>0.15</v>
      </c>
      <c r="P13" s="107"/>
      <c r="Q13" s="11"/>
      <c r="R13" s="107"/>
      <c r="S13" s="107"/>
      <c r="T13" s="108">
        <f>SUM(T33,T43,T47,T48,T51)</f>
        <v>0</v>
      </c>
      <c r="U13" s="107"/>
      <c r="V13" s="11"/>
      <c r="W13" s="107"/>
      <c r="X13" s="107"/>
      <c r="Y13" s="108"/>
      <c r="Z13" s="108"/>
      <c r="AA13" s="52"/>
      <c r="AB13" s="107"/>
      <c r="AC13" s="107"/>
      <c r="AD13" s="108">
        <f>SUM(AD33,AD43,AD47,AD48,AD51)</f>
        <v>0.4556526343127324</v>
      </c>
      <c r="AE13" s="108"/>
      <c r="AF13" s="11"/>
      <c r="AG13" s="107"/>
      <c r="AH13" s="107"/>
      <c r="AI13" s="108">
        <f>SUM(AI33,AI43,AI47,AI48,AI51)</f>
        <v>0.1109049456357923</v>
      </c>
      <c r="AJ13" s="108"/>
      <c r="AK13" s="11"/>
      <c r="AL13" s="107"/>
      <c r="AM13" s="107"/>
      <c r="AN13" s="11"/>
      <c r="AO13" s="107">
        <f>AO33+AO43+AO47+AO48+AO51</f>
        <v>4.3200000000000002E-2</v>
      </c>
      <c r="AP13" s="107">
        <f>AP33+AP43+AP47+AP48+AP51</f>
        <v>4.3200000000000002E-2</v>
      </c>
      <c r="AQ13" s="11"/>
      <c r="AR13" s="107">
        <f>AR33+AR43+AR47+AR48+AR51</f>
        <v>0.2</v>
      </c>
      <c r="AS13" s="107">
        <f>AS33+AS43+AS47+AS48+AS51</f>
        <v>0.2</v>
      </c>
      <c r="AT13" s="11"/>
      <c r="AU13" s="107">
        <f>AU33+AU43+AU47+AU48+AU51</f>
        <v>0.313</v>
      </c>
      <c r="AV13" s="107">
        <f>AV33+AV43+AV47+AV48+AV51</f>
        <v>0.313</v>
      </c>
      <c r="AW13" s="11"/>
      <c r="AX13" s="107"/>
      <c r="AY13" s="107"/>
      <c r="AZ13" s="107"/>
      <c r="BA13" s="107"/>
      <c r="BB13" s="11"/>
      <c r="BC13" s="108"/>
      <c r="BD13" s="108"/>
      <c r="BE13" s="108"/>
      <c r="BF13" s="108"/>
      <c r="BG13" s="52"/>
      <c r="BH13" s="108">
        <f>SUM(BH33,BH43,BH47,BH48,BH51)</f>
        <v>0</v>
      </c>
      <c r="BI13" s="11"/>
      <c r="BJ13" s="108">
        <f>SUM(BJ33,BJ43,BJ47,BJ48,BJ51)</f>
        <v>0</v>
      </c>
      <c r="BK13" s="11"/>
      <c r="BL13" s="108">
        <f>SUM(BL33,BL43,BL47,BL48,BL51)</f>
        <v>2.8732934852169459E-3</v>
      </c>
      <c r="BM13" s="11"/>
      <c r="BN13" s="108">
        <f>SUM(BN33,BN43,BN47,BN48,BN51)</f>
        <v>0</v>
      </c>
      <c r="BO13" s="11"/>
      <c r="BP13" s="108">
        <f>SUM(BP33,BP43,BP47,BP48,BP51)</f>
        <v>3.7717525971014937E-2</v>
      </c>
      <c r="BQ13" s="11"/>
      <c r="BR13" s="108"/>
    </row>
    <row r="14" spans="1:70">
      <c r="A14" s="100" t="s">
        <v>191</v>
      </c>
      <c r="B14" s="100"/>
      <c r="C14" s="101" t="s">
        <v>197</v>
      </c>
      <c r="D14" s="102" t="s">
        <v>198</v>
      </c>
      <c r="E14" s="11"/>
      <c r="F14" s="107" t="s">
        <v>194</v>
      </c>
      <c r="G14" s="107" t="s">
        <v>194</v>
      </c>
      <c r="H14" s="11"/>
      <c r="I14" s="100"/>
      <c r="J14" s="11"/>
      <c r="K14" s="100"/>
      <c r="L14" s="11"/>
      <c r="M14" s="108">
        <f>SUM(M22,M28,M35,M36,M37,M45,M20)</f>
        <v>0.43000000000000005</v>
      </c>
      <c r="N14" s="108">
        <f>SUM(N22,N28,N35,N36,N37,N45,N20)</f>
        <v>4.41</v>
      </c>
      <c r="O14" s="108">
        <f>SUM(O22,O28,O35,O36,O37,O45,O20)</f>
        <v>1.84</v>
      </c>
      <c r="P14" s="107"/>
      <c r="Q14" s="11"/>
      <c r="R14" s="107"/>
      <c r="S14" s="107"/>
      <c r="T14" s="108">
        <f>SUM(T22,T28,T35,T36,T37,T45,T20)</f>
        <v>0</v>
      </c>
      <c r="U14" s="107"/>
      <c r="V14" s="11"/>
      <c r="W14" s="107"/>
      <c r="X14" s="107"/>
      <c r="Y14" s="108"/>
      <c r="Z14" s="108"/>
      <c r="AA14" s="52"/>
      <c r="AB14" s="107"/>
      <c r="AC14" s="107"/>
      <c r="AD14" s="108">
        <f>SUM(AD22,AD28,AD35,AD36,AD37,AD45,AD20)</f>
        <v>7.9037754238759583E-2</v>
      </c>
      <c r="AE14" s="108"/>
      <c r="AF14" s="11"/>
      <c r="AG14" s="107"/>
      <c r="AH14" s="107"/>
      <c r="AI14" s="108">
        <f>SUM(AI22,AI28,AI35,AI36,AI37,AI45,AI20)</f>
        <v>8.5668727922678961E-2</v>
      </c>
      <c r="AJ14" s="108"/>
      <c r="AK14" s="11"/>
      <c r="AL14" s="107"/>
      <c r="AM14" s="107"/>
      <c r="AN14" s="11"/>
      <c r="AO14" s="108">
        <f>SUM(AO22,AO28,AO35,AO36,AO37,AO45,AO20)</f>
        <v>0.82609999999999995</v>
      </c>
      <c r="AP14" s="108">
        <f>SUM(AP22,AP28,AP35,AP36,AP37,AP45,AP20)</f>
        <v>0.82609999999999995</v>
      </c>
      <c r="AQ14" s="11"/>
      <c r="AR14" s="108">
        <f>SUM(AR22,AR28,AR35,AR36,AR37,AR45,AR20)</f>
        <v>1.4530000000000001</v>
      </c>
      <c r="AS14" s="108">
        <f>SUM(AS22,AS28,AS35,AS36,AS37,AS45,AS20)</f>
        <v>1.4530000000000001</v>
      </c>
      <c r="AT14" s="11"/>
      <c r="AU14" s="108">
        <f>SUM(AU22,AU28,AU35,AU36,AU37,AU45,AU20)</f>
        <v>0.58299999999999996</v>
      </c>
      <c r="AV14" s="108">
        <f>SUM(AV22,AV28,AV35,AV36,AV37,AV45,AV20)</f>
        <v>0.58299999999999996</v>
      </c>
      <c r="AW14" s="11"/>
      <c r="AX14" s="107"/>
      <c r="AY14" s="107"/>
      <c r="AZ14" s="107"/>
      <c r="BA14" s="107"/>
      <c r="BB14" s="11"/>
      <c r="BC14" s="108"/>
      <c r="BD14" s="108"/>
      <c r="BE14" s="108"/>
      <c r="BF14" s="108"/>
      <c r="BG14" s="52"/>
      <c r="BH14" s="108">
        <f>SUM(BH22,BH28,BH35,BH36,BH37,BH45,BH20)</f>
        <v>0</v>
      </c>
      <c r="BI14" s="11"/>
      <c r="BJ14" s="108">
        <f>SUM(BJ22,BJ28,BJ35,BJ36,BJ37,BJ45,BJ20)</f>
        <v>0</v>
      </c>
      <c r="BK14" s="11"/>
      <c r="BL14" s="108">
        <f>SUM(BL22,BL28,BL35,BL36,BL37,BL45,BL20)</f>
        <v>0.14860172631285543</v>
      </c>
      <c r="BM14" s="11"/>
      <c r="BN14" s="108">
        <f>SUM(BN22,BN28,BN35,BN36,BN37,BN45,BN20)</f>
        <v>2.81406266448469E-2</v>
      </c>
      <c r="BO14" s="11"/>
      <c r="BP14" s="108">
        <f>SUM(BP22,BP28,BP35,BP36,BP37,BP45,BP20)</f>
        <v>0.56440861450522173</v>
      </c>
      <c r="BQ14" s="11"/>
      <c r="BR14" s="108"/>
    </row>
    <row r="15" spans="1:70">
      <c r="A15" s="100" t="s">
        <v>191</v>
      </c>
      <c r="B15" s="100"/>
      <c r="C15" s="101" t="s">
        <v>199</v>
      </c>
      <c r="D15" s="102" t="s">
        <v>200</v>
      </c>
      <c r="E15" s="11"/>
      <c r="F15" s="107" t="s">
        <v>194</v>
      </c>
      <c r="G15" s="107" t="s">
        <v>194</v>
      </c>
      <c r="H15" s="11"/>
      <c r="I15" s="100"/>
      <c r="J15" s="11"/>
      <c r="K15" s="100"/>
      <c r="L15" s="11"/>
      <c r="M15" s="108">
        <f>SUM(M25,M50,M21)</f>
        <v>0.7</v>
      </c>
      <c r="N15" s="108">
        <f>SUM(N25,N50,N21)</f>
        <v>0.98</v>
      </c>
      <c r="O15" s="108">
        <f>SUM(O25,O50,O21)</f>
        <v>0.82000000000000006</v>
      </c>
      <c r="P15" s="107"/>
      <c r="Q15" s="11"/>
      <c r="R15" s="107"/>
      <c r="S15" s="107"/>
      <c r="T15" s="108">
        <f>SUM(T25,T50,T21)</f>
        <v>0</v>
      </c>
      <c r="U15" s="107"/>
      <c r="V15" s="11"/>
      <c r="W15" s="107"/>
      <c r="X15" s="107"/>
      <c r="Y15" s="108"/>
      <c r="Z15" s="108"/>
      <c r="AA15" s="52"/>
      <c r="AB15" s="107"/>
      <c r="AC15" s="107"/>
      <c r="AD15" s="108">
        <f>SUM(AD25,AD50,AD21)</f>
        <v>0.1013687930417134</v>
      </c>
      <c r="AE15" s="108"/>
      <c r="AF15" s="11"/>
      <c r="AG15" s="107"/>
      <c r="AH15" s="107"/>
      <c r="AI15" s="108">
        <f>SUM(AI25,AI50,AI21)</f>
        <v>1.8767587249935918E-2</v>
      </c>
      <c r="AJ15" s="108"/>
      <c r="AK15" s="11"/>
      <c r="AL15" s="107"/>
      <c r="AM15" s="107"/>
      <c r="AN15" s="11"/>
      <c r="AO15" s="108">
        <f>SUM(AO25,AO50,AO21)</f>
        <v>1.746</v>
      </c>
      <c r="AP15" s="108">
        <f>SUM(AP25,AP50,AP21)</f>
        <v>1.746</v>
      </c>
      <c r="AQ15" s="11"/>
      <c r="AR15" s="108">
        <f>SUM(AR25,AR50,AR21)</f>
        <v>4.3460000000000001</v>
      </c>
      <c r="AS15" s="108">
        <f>SUM(AS25,AS50,AS21)</f>
        <v>4.3460000000000001</v>
      </c>
      <c r="AT15" s="11"/>
      <c r="AU15" s="108">
        <f>SUM(AU25,AU50,AU21)</f>
        <v>3.8479999999999999</v>
      </c>
      <c r="AV15" s="108">
        <f>SUM(AV25,AV50,AV21)</f>
        <v>3.8479999999999999</v>
      </c>
      <c r="AW15" s="11"/>
      <c r="AX15" s="107"/>
      <c r="AY15" s="107"/>
      <c r="AZ15" s="107"/>
      <c r="BA15" s="107"/>
      <c r="BB15" s="11"/>
      <c r="BC15" s="108"/>
      <c r="BD15" s="108"/>
      <c r="BE15" s="108"/>
      <c r="BF15" s="108"/>
      <c r="BG15" s="52"/>
      <c r="BH15" s="108">
        <f>SUM(BH25,BH50,BH21)</f>
        <v>0</v>
      </c>
      <c r="BI15" s="11"/>
      <c r="BJ15" s="108">
        <f>SUM(BJ25,BJ50,BJ21)</f>
        <v>0</v>
      </c>
      <c r="BK15" s="11"/>
      <c r="BL15" s="108">
        <f>SUM(BL25,BL50,BL21)</f>
        <v>1.10959459339231E-2</v>
      </c>
      <c r="BM15" s="11"/>
      <c r="BN15" s="108">
        <f>SUM(BN25,BN50,BN21)</f>
        <v>3.1951884325623499E-4</v>
      </c>
      <c r="BO15" s="11"/>
      <c r="BP15" s="108">
        <f>SUM(BP25,BP50,BP21)</f>
        <v>8.0775346592640976E-2</v>
      </c>
      <c r="BQ15" s="11"/>
      <c r="BR15" s="108"/>
    </row>
    <row r="16" spans="1:70">
      <c r="A16" s="100" t="s">
        <v>191</v>
      </c>
      <c r="B16" s="100"/>
      <c r="C16" s="101" t="s">
        <v>201</v>
      </c>
      <c r="D16" s="102" t="s">
        <v>202</v>
      </c>
      <c r="E16" s="11"/>
      <c r="F16" s="107" t="s">
        <v>194</v>
      </c>
      <c r="G16" s="107" t="s">
        <v>194</v>
      </c>
      <c r="H16" s="11"/>
      <c r="I16" s="100"/>
      <c r="J16" s="11"/>
      <c r="K16" s="100"/>
      <c r="L16" s="11"/>
      <c r="M16" s="107"/>
      <c r="N16" s="107"/>
      <c r="O16" s="107"/>
      <c r="P16" s="107"/>
      <c r="Q16" s="11"/>
      <c r="R16" s="107"/>
      <c r="S16" s="107"/>
      <c r="T16" s="108"/>
      <c r="U16" s="107"/>
      <c r="V16" s="11"/>
      <c r="W16" s="107"/>
      <c r="X16" s="107"/>
      <c r="Y16" s="107"/>
      <c r="Z16" s="107"/>
      <c r="AA16" s="11"/>
      <c r="AB16" s="107"/>
      <c r="AC16" s="107"/>
      <c r="AD16" s="108">
        <f>SUM(AD26)</f>
        <v>2.2248758965185628E-3</v>
      </c>
      <c r="AE16" s="108"/>
      <c r="AF16" s="52"/>
      <c r="AG16" s="108"/>
      <c r="AH16" s="108"/>
      <c r="AI16" s="108">
        <f>SUM(AI26)</f>
        <v>2.3460102487650271E-2</v>
      </c>
      <c r="AJ16" s="107"/>
      <c r="AK16" s="11"/>
      <c r="AL16" s="107"/>
      <c r="AM16" s="107"/>
      <c r="AN16" s="11"/>
      <c r="AO16" s="107"/>
      <c r="AP16" s="107"/>
      <c r="AQ16" s="11"/>
      <c r="AR16" s="107"/>
      <c r="AS16" s="107"/>
      <c r="AT16" s="11"/>
      <c r="AU16" s="107"/>
      <c r="AV16" s="107"/>
      <c r="AW16" s="11"/>
      <c r="AX16" s="107"/>
      <c r="AY16" s="107"/>
      <c r="AZ16" s="107"/>
      <c r="BA16" s="107"/>
      <c r="BB16" s="11"/>
      <c r="BC16" s="107"/>
      <c r="BD16" s="107"/>
      <c r="BE16" s="107"/>
      <c r="BF16" s="107"/>
      <c r="BG16" s="11"/>
      <c r="BH16" s="114">
        <f>BH26</f>
        <v>0</v>
      </c>
      <c r="BI16" s="11"/>
      <c r="BJ16" s="114"/>
      <c r="BK16" s="11"/>
      <c r="BL16" s="163"/>
      <c r="BM16" s="11"/>
      <c r="BN16" s="163"/>
      <c r="BO16" s="11"/>
      <c r="BP16" s="108">
        <f>SUM(BP26)</f>
        <v>1.9045038640844201E-2</v>
      </c>
      <c r="BQ16" s="11"/>
      <c r="BR16" s="108"/>
    </row>
    <row r="17" spans="1:70" ht="15.6">
      <c r="A17" s="55" t="s">
        <v>191</v>
      </c>
      <c r="B17" s="55"/>
      <c r="C17" s="55" t="s">
        <v>203</v>
      </c>
      <c r="D17" s="56" t="s">
        <v>204</v>
      </c>
      <c r="E17" s="11"/>
      <c r="F17" s="64">
        <v>32</v>
      </c>
      <c r="G17" s="65">
        <v>169</v>
      </c>
      <c r="H17" s="11"/>
      <c r="I17" s="55">
        <v>300</v>
      </c>
      <c r="J17" s="11"/>
      <c r="K17" s="55">
        <v>300</v>
      </c>
      <c r="L17" s="11"/>
      <c r="M17" s="64">
        <v>1480</v>
      </c>
      <c r="N17" s="65">
        <v>6570</v>
      </c>
      <c r="O17" s="64">
        <v>3085</v>
      </c>
      <c r="P17" s="55">
        <v>1473</v>
      </c>
      <c r="Q17" s="11"/>
      <c r="R17" s="64"/>
      <c r="S17" s="109"/>
      <c r="T17" s="110">
        <v>65.3</v>
      </c>
      <c r="U17" s="111"/>
      <c r="V17" s="11"/>
      <c r="W17" s="64"/>
      <c r="X17" s="109"/>
      <c r="Y17" s="110"/>
      <c r="Z17" s="111"/>
      <c r="AA17" s="11"/>
      <c r="AB17" s="64">
        <v>400</v>
      </c>
      <c r="AC17" s="112">
        <v>1000</v>
      </c>
      <c r="AD17" s="113">
        <f>AVERAGE(AB17:AC17)</f>
        <v>700</v>
      </c>
      <c r="AE17" s="111"/>
      <c r="AF17" s="11"/>
      <c r="AG17" s="64">
        <v>4</v>
      </c>
      <c r="AH17" s="112">
        <v>10</v>
      </c>
      <c r="AI17" s="113">
        <f>AVERAGE(AG17:AH17)</f>
        <v>7</v>
      </c>
      <c r="AJ17" s="111"/>
      <c r="AK17" s="11"/>
      <c r="AL17" s="64">
        <v>500</v>
      </c>
      <c r="AM17" s="65">
        <v>1000</v>
      </c>
      <c r="AN17" s="11"/>
      <c r="AO17" s="64">
        <v>268</v>
      </c>
      <c r="AP17" s="65">
        <v>3174</v>
      </c>
      <c r="AQ17" s="11"/>
      <c r="AR17" s="64">
        <v>11</v>
      </c>
      <c r="AS17" s="65">
        <v>1572</v>
      </c>
      <c r="AT17" s="11"/>
      <c r="AU17" s="64">
        <v>21</v>
      </c>
      <c r="AV17" s="65">
        <v>64</v>
      </c>
      <c r="AW17" s="11"/>
      <c r="AX17" s="64">
        <v>620</v>
      </c>
      <c r="AY17" s="65">
        <v>1270</v>
      </c>
      <c r="AZ17" s="64">
        <v>904.99999999999966</v>
      </c>
      <c r="BA17" s="78">
        <v>244.30659894017376</v>
      </c>
      <c r="BB17" s="11"/>
      <c r="BC17" s="64" t="s">
        <v>154</v>
      </c>
      <c r="BD17" s="65" t="s">
        <v>154</v>
      </c>
      <c r="BE17" s="64" t="s">
        <v>154</v>
      </c>
      <c r="BF17" s="55" t="s">
        <v>154</v>
      </c>
      <c r="BG17" s="11"/>
      <c r="BH17" s="75">
        <v>460</v>
      </c>
      <c r="BI17" s="11"/>
      <c r="BJ17" s="75">
        <v>250</v>
      </c>
      <c r="BK17" s="11"/>
      <c r="BL17" s="111">
        <v>18</v>
      </c>
      <c r="BM17" s="11"/>
      <c r="BN17" s="111">
        <v>2</v>
      </c>
      <c r="BO17" s="11"/>
      <c r="BP17" s="111">
        <v>60.8</v>
      </c>
      <c r="BQ17" s="11"/>
      <c r="BR17" s="111">
        <v>18.600000000000001</v>
      </c>
    </row>
    <row r="18" spans="1:70" ht="15.6">
      <c r="A18" s="57" t="s">
        <v>191</v>
      </c>
      <c r="B18" s="57"/>
      <c r="C18" s="57" t="s">
        <v>205</v>
      </c>
      <c r="D18" s="58" t="s">
        <v>206</v>
      </c>
      <c r="E18" s="11"/>
      <c r="F18" s="66"/>
      <c r="G18" s="66"/>
      <c r="H18" s="11"/>
      <c r="I18" s="57"/>
      <c r="J18" s="11"/>
      <c r="K18" s="57"/>
      <c r="L18" s="11"/>
      <c r="M18" s="62">
        <v>0.25</v>
      </c>
      <c r="N18" s="63">
        <v>6.12</v>
      </c>
      <c r="O18" s="62">
        <v>2</v>
      </c>
      <c r="P18" s="57">
        <v>2.0099999999999998</v>
      </c>
      <c r="Q18" s="11"/>
      <c r="R18" s="72"/>
      <c r="S18" s="73"/>
      <c r="T18" s="72"/>
      <c r="U18" s="74"/>
      <c r="V18" s="11"/>
      <c r="W18" s="72"/>
      <c r="X18" s="73"/>
      <c r="Y18" s="72"/>
      <c r="Z18" s="74"/>
      <c r="AA18" s="11"/>
      <c r="AB18" s="72"/>
      <c r="AC18" s="73"/>
      <c r="AD18" s="72"/>
      <c r="AE18" s="74"/>
      <c r="AF18" s="11"/>
      <c r="AG18" s="72"/>
      <c r="AH18" s="73"/>
      <c r="AI18" s="72"/>
      <c r="AJ18" s="74"/>
      <c r="AK18" s="11"/>
      <c r="AL18" s="66"/>
      <c r="AM18" s="66"/>
      <c r="AN18" s="11"/>
      <c r="AO18" s="66"/>
      <c r="AP18" s="66"/>
      <c r="AQ18" s="11"/>
      <c r="AR18" s="66"/>
      <c r="AS18" s="66"/>
      <c r="AT18" s="11"/>
      <c r="AU18" s="66"/>
      <c r="AV18" s="66"/>
      <c r="AW18" s="11"/>
      <c r="AX18" s="62"/>
      <c r="AY18" s="63"/>
      <c r="AZ18" s="62"/>
      <c r="BA18" s="57"/>
      <c r="BB18" s="11"/>
      <c r="BC18" s="62"/>
      <c r="BD18" s="63"/>
      <c r="BE18" s="62"/>
      <c r="BF18" s="57"/>
      <c r="BG18" s="11"/>
      <c r="BH18" s="71" t="s">
        <v>154</v>
      </c>
      <c r="BI18" s="11"/>
      <c r="BJ18" s="71"/>
      <c r="BK18" s="11"/>
      <c r="BL18" s="74"/>
      <c r="BM18" s="11"/>
      <c r="BN18" s="74"/>
      <c r="BO18" s="11"/>
      <c r="BP18" s="74"/>
      <c r="BQ18" s="11"/>
      <c r="BR18" s="74"/>
    </row>
    <row r="19" spans="1:70" ht="15.6">
      <c r="A19" s="57" t="s">
        <v>191</v>
      </c>
      <c r="B19" s="57"/>
      <c r="C19" s="57" t="s">
        <v>207</v>
      </c>
      <c r="D19" s="58" t="s">
        <v>208</v>
      </c>
      <c r="E19" s="11"/>
      <c r="F19" s="66"/>
      <c r="G19" s="66"/>
      <c r="H19" s="11"/>
      <c r="I19" s="57"/>
      <c r="J19" s="11"/>
      <c r="K19" s="57"/>
      <c r="L19" s="11"/>
      <c r="M19" s="62">
        <v>7.0000000000000007E-2</v>
      </c>
      <c r="N19" s="63">
        <v>7.73</v>
      </c>
      <c r="O19" s="62">
        <v>1.31</v>
      </c>
      <c r="P19" s="57">
        <v>2.36</v>
      </c>
      <c r="Q19" s="11"/>
      <c r="R19" s="72"/>
      <c r="S19" s="73"/>
      <c r="T19" s="72" t="s">
        <v>154</v>
      </c>
      <c r="U19" s="74"/>
      <c r="V19" s="11"/>
      <c r="W19" s="72"/>
      <c r="X19" s="73"/>
      <c r="Y19" s="72"/>
      <c r="Z19" s="74"/>
      <c r="AA19" s="11"/>
      <c r="AB19" s="72"/>
      <c r="AC19" s="73"/>
      <c r="AD19" s="72"/>
      <c r="AE19" s="74"/>
      <c r="AF19" s="11"/>
      <c r="AG19" s="72"/>
      <c r="AH19" s="73"/>
      <c r="AI19" s="72"/>
      <c r="AJ19" s="74"/>
      <c r="AK19" s="11"/>
      <c r="AL19" s="66"/>
      <c r="AM19" s="66"/>
      <c r="AN19" s="11"/>
      <c r="AO19" s="66"/>
      <c r="AP19" s="66"/>
      <c r="AQ19" s="11"/>
      <c r="AR19" s="66"/>
      <c r="AS19" s="66"/>
      <c r="AT19" s="11"/>
      <c r="AU19" s="66"/>
      <c r="AV19" s="66"/>
      <c r="AW19" s="11"/>
      <c r="AX19" s="62"/>
      <c r="AY19" s="63"/>
      <c r="AZ19" s="62"/>
      <c r="BA19" s="57"/>
      <c r="BB19" s="11"/>
      <c r="BC19" s="62"/>
      <c r="BD19" s="63"/>
      <c r="BE19" s="62"/>
      <c r="BF19" s="57"/>
      <c r="BG19" s="11"/>
      <c r="BH19" s="71"/>
      <c r="BI19" s="11"/>
      <c r="BJ19" s="71"/>
      <c r="BK19" s="11"/>
      <c r="BL19" s="74"/>
      <c r="BM19" s="11"/>
      <c r="BN19" s="74"/>
      <c r="BO19" s="11"/>
      <c r="BP19" s="74"/>
      <c r="BQ19" s="11"/>
      <c r="BR19" s="74"/>
    </row>
    <row r="20" spans="1:70">
      <c r="A20" s="57" t="s">
        <v>191</v>
      </c>
      <c r="B20" s="57"/>
      <c r="C20" s="57" t="s">
        <v>209</v>
      </c>
      <c r="D20" s="58" t="s">
        <v>210</v>
      </c>
      <c r="E20" s="11"/>
      <c r="F20" s="62"/>
      <c r="G20" s="63"/>
      <c r="H20" s="11"/>
      <c r="I20" s="57"/>
      <c r="J20" s="11"/>
      <c r="K20" s="57"/>
      <c r="L20" s="11"/>
      <c r="M20" s="62">
        <v>0.34</v>
      </c>
      <c r="N20" s="63">
        <v>4.09</v>
      </c>
      <c r="O20" s="62">
        <v>1.54</v>
      </c>
      <c r="P20" s="57">
        <v>1.05</v>
      </c>
      <c r="Q20" s="11"/>
      <c r="R20" s="72"/>
      <c r="S20" s="73"/>
      <c r="T20" s="72" t="s">
        <v>154</v>
      </c>
      <c r="U20" s="74"/>
      <c r="V20" s="11"/>
      <c r="W20" s="72"/>
      <c r="X20" s="73"/>
      <c r="Y20" s="72"/>
      <c r="Z20" s="74"/>
      <c r="AA20" s="11"/>
      <c r="AB20" s="72"/>
      <c r="AC20" s="73"/>
      <c r="AD20" s="72"/>
      <c r="AE20" s="74"/>
      <c r="AF20" s="11"/>
      <c r="AG20" s="72"/>
      <c r="AH20" s="73"/>
      <c r="AI20" s="72"/>
      <c r="AJ20" s="74"/>
      <c r="AK20" s="11"/>
      <c r="AL20" s="62"/>
      <c r="AM20" s="63"/>
      <c r="AN20" s="11"/>
      <c r="AO20" s="62"/>
      <c r="AP20" s="63"/>
      <c r="AQ20" s="11"/>
      <c r="AR20" s="62"/>
      <c r="AS20" s="63"/>
      <c r="AT20" s="11"/>
      <c r="AU20" s="62"/>
      <c r="AV20" s="63"/>
      <c r="AW20" s="11"/>
      <c r="AX20" s="62"/>
      <c r="AY20" s="63"/>
      <c r="AZ20" s="62"/>
      <c r="BA20" s="57"/>
      <c r="BB20" s="11"/>
      <c r="BC20" s="62"/>
      <c r="BD20" s="63"/>
      <c r="BE20" s="62"/>
      <c r="BF20" s="57"/>
      <c r="BG20" s="11"/>
      <c r="BH20" s="71"/>
      <c r="BI20" s="11"/>
      <c r="BJ20" s="71"/>
      <c r="BK20" s="11"/>
      <c r="BL20" s="74"/>
      <c r="BM20" s="11"/>
      <c r="BN20" s="74"/>
      <c r="BO20" s="11"/>
      <c r="BP20" s="74"/>
      <c r="BQ20" s="11"/>
      <c r="BR20" s="74"/>
    </row>
    <row r="21" spans="1:70" ht="15.6">
      <c r="A21" s="57" t="s">
        <v>191</v>
      </c>
      <c r="B21" s="57"/>
      <c r="C21" s="57" t="s">
        <v>211</v>
      </c>
      <c r="D21" s="58" t="s">
        <v>212</v>
      </c>
      <c r="E21" s="11"/>
      <c r="F21" s="62" t="s">
        <v>194</v>
      </c>
      <c r="G21" s="62" t="s">
        <v>194</v>
      </c>
      <c r="H21" s="11"/>
      <c r="I21" s="57"/>
      <c r="J21" s="11"/>
      <c r="K21" s="57"/>
      <c r="L21" s="11"/>
      <c r="M21" s="62">
        <f>0.03*2</f>
        <v>0.06</v>
      </c>
      <c r="N21" s="63">
        <f>0.17*2</f>
        <v>0.34</v>
      </c>
      <c r="O21" s="62">
        <f>0.09*2</f>
        <v>0.18</v>
      </c>
      <c r="P21" s="57">
        <f>0.072*2</f>
        <v>0.14399999999999999</v>
      </c>
      <c r="Q21" s="11"/>
      <c r="R21" s="72"/>
      <c r="S21" s="73"/>
      <c r="T21" s="72" t="s">
        <v>154</v>
      </c>
      <c r="U21" s="74"/>
      <c r="V21" s="11"/>
      <c r="W21" s="72"/>
      <c r="X21" s="73"/>
      <c r="Y21" s="72"/>
      <c r="Z21" s="74"/>
      <c r="AA21" s="11"/>
      <c r="AB21" s="72"/>
      <c r="AC21" s="73"/>
      <c r="AD21" s="72">
        <v>7.2683023402647581E-2</v>
      </c>
      <c r="AE21" s="74"/>
      <c r="AF21" s="11"/>
      <c r="AG21" s="72"/>
      <c r="AH21" s="73"/>
      <c r="AI21" s="72">
        <v>1.2884235079911979E-2</v>
      </c>
      <c r="AJ21" s="74"/>
      <c r="AK21" s="11"/>
      <c r="AL21" s="62"/>
      <c r="AM21" s="62"/>
      <c r="AN21" s="11"/>
      <c r="AO21" s="62">
        <f>0.483*2</f>
        <v>0.96599999999999997</v>
      </c>
      <c r="AP21" s="62">
        <f>0.483*2</f>
        <v>0.96599999999999997</v>
      </c>
      <c r="AQ21" s="11"/>
      <c r="AR21" s="62">
        <f>1.76*2</f>
        <v>3.52</v>
      </c>
      <c r="AS21" s="62">
        <f>1.76*2</f>
        <v>3.52</v>
      </c>
      <c r="AT21" s="11"/>
      <c r="AU21" s="62">
        <f>1.4*2</f>
        <v>2.8</v>
      </c>
      <c r="AV21" s="62">
        <f>1.4*2</f>
        <v>2.8</v>
      </c>
      <c r="AW21" s="11"/>
      <c r="AX21" s="62"/>
      <c r="AY21" s="63"/>
      <c r="AZ21" s="62"/>
      <c r="BA21" s="57"/>
      <c r="BB21" s="11"/>
      <c r="BC21" s="62"/>
      <c r="BD21" s="63"/>
      <c r="BE21" s="62"/>
      <c r="BF21" s="57"/>
      <c r="BG21" s="11"/>
      <c r="BH21" s="71" t="s">
        <v>154</v>
      </c>
      <c r="BI21" s="11"/>
      <c r="BJ21" s="71"/>
      <c r="BK21" s="11"/>
      <c r="BL21" s="74">
        <v>1.10959459339231E-2</v>
      </c>
      <c r="BM21" s="11"/>
      <c r="BN21" s="74">
        <v>3.1951884325623499E-4</v>
      </c>
      <c r="BO21" s="11"/>
      <c r="BP21" s="74">
        <v>8.0775346592640976E-2</v>
      </c>
      <c r="BQ21" s="11"/>
      <c r="BR21" s="74"/>
    </row>
    <row r="22" spans="1:70" ht="15.6">
      <c r="A22" s="55" t="s">
        <v>191</v>
      </c>
      <c r="B22" s="55"/>
      <c r="C22" s="55" t="s">
        <v>213</v>
      </c>
      <c r="D22" s="56" t="s">
        <v>214</v>
      </c>
      <c r="E22" s="11"/>
      <c r="F22" s="64" t="s">
        <v>194</v>
      </c>
      <c r="G22" s="65" t="s">
        <v>194</v>
      </c>
      <c r="H22" s="11"/>
      <c r="I22" s="55"/>
      <c r="J22" s="11"/>
      <c r="K22" s="55"/>
      <c r="L22" s="11"/>
      <c r="M22" s="64">
        <v>0.09</v>
      </c>
      <c r="N22" s="65">
        <v>0.32</v>
      </c>
      <c r="O22" s="64">
        <v>0.3</v>
      </c>
      <c r="P22" s="55">
        <v>0.32100000000000001</v>
      </c>
      <c r="Q22" s="11"/>
      <c r="R22" s="110"/>
      <c r="S22" s="109"/>
      <c r="T22" s="110" t="s">
        <v>154</v>
      </c>
      <c r="U22" s="111"/>
      <c r="V22" s="11"/>
      <c r="W22" s="110"/>
      <c r="X22" s="109"/>
      <c r="Y22" s="110"/>
      <c r="Z22" s="111"/>
      <c r="AA22" s="11"/>
      <c r="AB22" s="110"/>
      <c r="AC22" s="109"/>
      <c r="AD22" s="110">
        <v>4.0540308270977425E-2</v>
      </c>
      <c r="AE22" s="111"/>
      <c r="AF22" s="11"/>
      <c r="AG22" s="110"/>
      <c r="AH22" s="109"/>
      <c r="AI22" s="110">
        <v>8.1916985454608446E-2</v>
      </c>
      <c r="AJ22" s="111"/>
      <c r="AK22" s="11"/>
      <c r="AL22" s="64"/>
      <c r="AM22" s="65"/>
      <c r="AN22" s="11"/>
      <c r="AO22" s="64">
        <v>0.73799999999999999</v>
      </c>
      <c r="AP22" s="65">
        <v>0.73799999999999999</v>
      </c>
      <c r="AQ22" s="11"/>
      <c r="AR22" s="64">
        <v>1.01</v>
      </c>
      <c r="AS22" s="65">
        <v>1.01</v>
      </c>
      <c r="AT22" s="11"/>
      <c r="AU22" s="64">
        <v>0.45700000000000002</v>
      </c>
      <c r="AV22" s="65">
        <v>0.45700000000000002</v>
      </c>
      <c r="AW22" s="11"/>
      <c r="AX22" s="64"/>
      <c r="AY22" s="65"/>
      <c r="AZ22" s="64"/>
      <c r="BA22" s="55"/>
      <c r="BB22" s="11"/>
      <c r="BC22" s="64"/>
      <c r="BD22" s="65"/>
      <c r="BE22" s="64"/>
      <c r="BF22" s="55"/>
      <c r="BG22" s="11"/>
      <c r="BH22" s="75" t="s">
        <v>154</v>
      </c>
      <c r="BI22" s="11"/>
      <c r="BJ22" s="75"/>
      <c r="BK22" s="11"/>
      <c r="BL22" s="111">
        <v>0.12690840088591046</v>
      </c>
      <c r="BM22" s="11"/>
      <c r="BN22" s="111">
        <v>1.6640817915889079E-2</v>
      </c>
      <c r="BO22" s="11"/>
      <c r="BP22" s="111">
        <v>0.5079833001851366</v>
      </c>
      <c r="BQ22" s="11"/>
      <c r="BR22" s="111"/>
    </row>
    <row r="23" spans="1:70" ht="15.6">
      <c r="A23" s="55" t="s">
        <v>191</v>
      </c>
      <c r="B23" s="55"/>
      <c r="C23" s="55" t="s">
        <v>215</v>
      </c>
      <c r="D23" s="56" t="s">
        <v>216</v>
      </c>
      <c r="E23" s="11"/>
      <c r="F23" s="64"/>
      <c r="G23" s="64"/>
      <c r="H23" s="11"/>
      <c r="I23" s="55"/>
      <c r="J23" s="11"/>
      <c r="K23" s="55"/>
      <c r="L23" s="11"/>
      <c r="M23" s="64"/>
      <c r="N23" s="65"/>
      <c r="O23" s="64"/>
      <c r="P23" s="55"/>
      <c r="Q23" s="11"/>
      <c r="R23" s="110"/>
      <c r="S23" s="109"/>
      <c r="T23" s="110"/>
      <c r="U23" s="111"/>
      <c r="V23" s="11"/>
      <c r="W23" s="110"/>
      <c r="X23" s="109"/>
      <c r="Y23" s="110"/>
      <c r="Z23" s="111"/>
      <c r="AA23" s="11"/>
      <c r="AB23" s="110"/>
      <c r="AC23" s="109"/>
      <c r="AD23" s="110">
        <v>4.9497085982355804E-2</v>
      </c>
      <c r="AE23" s="111"/>
      <c r="AF23" s="11"/>
      <c r="AG23" s="110"/>
      <c r="AH23" s="109"/>
      <c r="AI23" s="110">
        <v>4.4352785029011507E-2</v>
      </c>
      <c r="AJ23" s="111"/>
      <c r="AK23" s="11"/>
      <c r="AL23" s="64"/>
      <c r="AM23" s="64"/>
      <c r="AN23" s="11"/>
      <c r="AO23" s="64"/>
      <c r="AP23" s="64"/>
      <c r="AQ23" s="11"/>
      <c r="AR23" s="64"/>
      <c r="AS23" s="64"/>
      <c r="AT23" s="11"/>
      <c r="AU23" s="64"/>
      <c r="AV23" s="64"/>
      <c r="AW23" s="11"/>
      <c r="AX23" s="64"/>
      <c r="AY23" s="65"/>
      <c r="AZ23" s="64"/>
      <c r="BA23" s="55"/>
      <c r="BB23" s="11"/>
      <c r="BC23" s="64"/>
      <c r="BD23" s="65"/>
      <c r="BE23" s="64"/>
      <c r="BF23" s="55"/>
      <c r="BG23" s="11"/>
      <c r="BH23" s="75"/>
      <c r="BI23" s="11"/>
      <c r="BJ23" s="75"/>
      <c r="BK23" s="11"/>
      <c r="BL23" s="111" t="s">
        <v>154</v>
      </c>
      <c r="BM23" s="11"/>
      <c r="BN23" s="111" t="s">
        <v>154</v>
      </c>
      <c r="BO23" s="11"/>
      <c r="BP23" s="111" t="s">
        <v>154</v>
      </c>
      <c r="BQ23" s="11"/>
      <c r="BR23" s="111"/>
    </row>
    <row r="24" spans="1:70" ht="15.6">
      <c r="A24" s="55" t="s">
        <v>191</v>
      </c>
      <c r="B24" s="55"/>
      <c r="C24" s="55" t="s">
        <v>213</v>
      </c>
      <c r="D24" s="56" t="s">
        <v>217</v>
      </c>
      <c r="E24" s="11"/>
      <c r="F24" s="67"/>
      <c r="G24" s="67"/>
      <c r="H24" s="11"/>
      <c r="I24" s="55"/>
      <c r="J24" s="11"/>
      <c r="K24" s="55"/>
      <c r="L24" s="11"/>
      <c r="M24" s="64">
        <v>7.0000000000000007E-2</v>
      </c>
      <c r="N24" s="65">
        <v>0.3</v>
      </c>
      <c r="O24" s="64">
        <v>0.2</v>
      </c>
      <c r="P24" s="55">
        <v>7.1999999999999995E-2</v>
      </c>
      <c r="Q24" s="11"/>
      <c r="R24" s="110"/>
      <c r="S24" s="109"/>
      <c r="T24" s="110" t="s">
        <v>154</v>
      </c>
      <c r="U24" s="111"/>
      <c r="V24" s="11"/>
      <c r="W24" s="110"/>
      <c r="X24" s="109"/>
      <c r="Y24" s="110"/>
      <c r="Z24" s="111"/>
      <c r="AA24" s="11"/>
      <c r="AB24" s="110"/>
      <c r="AC24" s="109"/>
      <c r="AD24" s="110">
        <v>7.6107270174139763E-2</v>
      </c>
      <c r="AE24" s="111"/>
      <c r="AF24" s="11"/>
      <c r="AG24" s="110"/>
      <c r="AH24" s="109"/>
      <c r="AI24" s="110">
        <v>6.5615607873528672E-2</v>
      </c>
      <c r="AJ24" s="111"/>
      <c r="AK24" s="11"/>
      <c r="AL24" s="67"/>
      <c r="AM24" s="67"/>
      <c r="AN24" s="11"/>
      <c r="AO24" s="67"/>
      <c r="AP24" s="67"/>
      <c r="AQ24" s="11"/>
      <c r="AR24" s="67"/>
      <c r="AS24" s="67"/>
      <c r="AT24" s="11"/>
      <c r="AU24" s="67"/>
      <c r="AV24" s="67"/>
      <c r="AW24" s="11"/>
      <c r="AX24" s="64"/>
      <c r="AY24" s="65"/>
      <c r="AZ24" s="64"/>
      <c r="BA24" s="55"/>
      <c r="BB24" s="11"/>
      <c r="BC24" s="64"/>
      <c r="BD24" s="65"/>
      <c r="BE24" s="64"/>
      <c r="BF24" s="55"/>
      <c r="BG24" s="11"/>
      <c r="BH24" s="75" t="s">
        <v>154</v>
      </c>
      <c r="BI24" s="11"/>
      <c r="BJ24" s="75"/>
      <c r="BK24" s="11"/>
      <c r="BL24" s="111">
        <v>3.7166031688016639E-2</v>
      </c>
      <c r="BM24" s="11"/>
      <c r="BN24" s="111" t="s">
        <v>154</v>
      </c>
      <c r="BO24" s="11"/>
      <c r="BP24" s="111">
        <v>4.3292575759600653E-2</v>
      </c>
      <c r="BQ24" s="11"/>
      <c r="BR24" s="111"/>
    </row>
    <row r="25" spans="1:70" ht="15.6">
      <c r="A25" s="55" t="s">
        <v>191</v>
      </c>
      <c r="B25" s="55"/>
      <c r="C25" s="55" t="s">
        <v>218</v>
      </c>
      <c r="D25" s="56" t="s">
        <v>219</v>
      </c>
      <c r="E25" s="11"/>
      <c r="F25" s="64" t="s">
        <v>194</v>
      </c>
      <c r="G25" s="65" t="s">
        <v>194</v>
      </c>
      <c r="H25" s="11"/>
      <c r="I25" s="55"/>
      <c r="J25" s="11"/>
      <c r="K25" s="55"/>
      <c r="L25" s="11"/>
      <c r="M25" s="64">
        <f>0.32*2</f>
        <v>0.64</v>
      </c>
      <c r="N25" s="64">
        <f>0.32*2</f>
        <v>0.64</v>
      </c>
      <c r="O25" s="64">
        <f>0.32*2</f>
        <v>0.64</v>
      </c>
      <c r="P25" s="55">
        <v>0</v>
      </c>
      <c r="Q25" s="11"/>
      <c r="R25" s="110"/>
      <c r="S25" s="109"/>
      <c r="T25" s="110" t="s">
        <v>154</v>
      </c>
      <c r="U25" s="111"/>
      <c r="V25" s="11"/>
      <c r="W25" s="110"/>
      <c r="X25" s="109"/>
      <c r="Y25" s="110"/>
      <c r="Z25" s="111"/>
      <c r="AA25" s="11"/>
      <c r="AB25" s="110"/>
      <c r="AC25" s="109"/>
      <c r="AD25" s="110">
        <v>2.8685769639065814E-2</v>
      </c>
      <c r="AE25" s="111"/>
      <c r="AF25" s="11"/>
      <c r="AG25" s="110"/>
      <c r="AH25" s="109"/>
      <c r="AI25" s="110">
        <v>5.8833521700239391E-3</v>
      </c>
      <c r="AJ25" s="111"/>
      <c r="AK25" s="11"/>
      <c r="AL25" s="64"/>
      <c r="AM25" s="65"/>
      <c r="AN25" s="11"/>
      <c r="AO25" s="64">
        <f>0.275*2</f>
        <v>0.55000000000000004</v>
      </c>
      <c r="AP25" s="64">
        <f>0.275*2</f>
        <v>0.55000000000000004</v>
      </c>
      <c r="AQ25" s="11"/>
      <c r="AR25" s="64">
        <f>0.164*2</f>
        <v>0.32800000000000001</v>
      </c>
      <c r="AS25" s="64">
        <f>0.164*2</f>
        <v>0.32800000000000001</v>
      </c>
      <c r="AT25" s="11"/>
      <c r="AU25" s="64">
        <v>9.4E-2</v>
      </c>
      <c r="AV25" s="65">
        <v>9.4E-2</v>
      </c>
      <c r="AW25" s="11"/>
      <c r="AX25" s="64"/>
      <c r="AY25" s="65"/>
      <c r="AZ25" s="64"/>
      <c r="BA25" s="55"/>
      <c r="BB25" s="11"/>
      <c r="BC25" s="64"/>
      <c r="BD25" s="65"/>
      <c r="BE25" s="64"/>
      <c r="BF25" s="55"/>
      <c r="BG25" s="11"/>
      <c r="BH25" s="75" t="s">
        <v>154</v>
      </c>
      <c r="BI25" s="11"/>
      <c r="BJ25" s="75"/>
      <c r="BK25" s="11"/>
      <c r="BL25" s="111" t="s">
        <v>154</v>
      </c>
      <c r="BM25" s="11"/>
      <c r="BN25" s="111" t="s">
        <v>154</v>
      </c>
      <c r="BO25" s="11"/>
      <c r="BP25" s="111" t="s">
        <v>154</v>
      </c>
      <c r="BQ25" s="11"/>
      <c r="BR25" s="111"/>
    </row>
    <row r="26" spans="1:70" ht="15.6">
      <c r="A26" s="55" t="s">
        <v>191</v>
      </c>
      <c r="B26" s="55"/>
      <c r="C26" s="55" t="s">
        <v>220</v>
      </c>
      <c r="D26" s="56" t="s">
        <v>221</v>
      </c>
      <c r="E26" s="11"/>
      <c r="F26" s="64"/>
      <c r="G26" s="65"/>
      <c r="H26" s="11"/>
      <c r="I26" s="55"/>
      <c r="J26" s="11"/>
      <c r="K26" s="55"/>
      <c r="L26" s="11"/>
      <c r="M26" s="64"/>
      <c r="N26" s="64"/>
      <c r="O26" s="64"/>
      <c r="P26" s="55"/>
      <c r="Q26" s="11"/>
      <c r="R26" s="110"/>
      <c r="S26" s="109"/>
      <c r="T26" s="110"/>
      <c r="U26" s="111"/>
      <c r="V26" s="11"/>
      <c r="W26" s="110"/>
      <c r="X26" s="109"/>
      <c r="Y26" s="110"/>
      <c r="Z26" s="111"/>
      <c r="AA26" s="11"/>
      <c r="AB26" s="110"/>
      <c r="AC26" s="109"/>
      <c r="AD26" s="110">
        <v>2.2248758965185628E-3</v>
      </c>
      <c r="AE26" s="111"/>
      <c r="AF26" s="11"/>
      <c r="AG26" s="110"/>
      <c r="AH26" s="109"/>
      <c r="AI26" s="110">
        <v>2.3460102487650271E-2</v>
      </c>
      <c r="AJ26" s="111"/>
      <c r="AK26" s="11"/>
      <c r="AL26" s="64"/>
      <c r="AM26" s="65"/>
      <c r="AN26" s="11"/>
      <c r="AO26" s="64"/>
      <c r="AP26" s="64"/>
      <c r="AQ26" s="11"/>
      <c r="AR26" s="64"/>
      <c r="AS26" s="64"/>
      <c r="AT26" s="11"/>
      <c r="AU26" s="64"/>
      <c r="AV26" s="65"/>
      <c r="AW26" s="11"/>
      <c r="AX26" s="64"/>
      <c r="AY26" s="65"/>
      <c r="AZ26" s="64"/>
      <c r="BA26" s="55"/>
      <c r="BB26" s="11"/>
      <c r="BC26" s="64"/>
      <c r="BD26" s="65"/>
      <c r="BE26" s="64"/>
      <c r="BF26" s="55"/>
      <c r="BG26" s="11"/>
      <c r="BH26" s="75"/>
      <c r="BI26" s="11"/>
      <c r="BJ26" s="75"/>
      <c r="BK26" s="11"/>
      <c r="BL26" s="111">
        <v>7.2087032739460381E-4</v>
      </c>
      <c r="BM26" s="11"/>
      <c r="BN26" s="111" t="s">
        <v>154</v>
      </c>
      <c r="BO26" s="11"/>
      <c r="BP26" s="111">
        <v>1.9045038640844201E-2</v>
      </c>
      <c r="BQ26" s="11"/>
      <c r="BR26" s="111"/>
    </row>
    <row r="27" spans="1:70">
      <c r="A27" s="57" t="s">
        <v>191</v>
      </c>
      <c r="B27" s="57"/>
      <c r="C27" s="57" t="s">
        <v>222</v>
      </c>
      <c r="D27" s="58" t="s">
        <v>223</v>
      </c>
      <c r="E27" s="11"/>
      <c r="F27" s="62"/>
      <c r="G27" s="63"/>
      <c r="H27" s="11"/>
      <c r="I27" s="57"/>
      <c r="J27" s="11"/>
      <c r="K27" s="57"/>
      <c r="L27" s="11"/>
      <c r="M27" s="62"/>
      <c r="N27" s="63"/>
      <c r="O27" s="62"/>
      <c r="P27" s="57"/>
      <c r="Q27" s="11"/>
      <c r="R27" s="72"/>
      <c r="S27" s="73"/>
      <c r="T27" s="72"/>
      <c r="U27" s="74"/>
      <c r="V27" s="11"/>
      <c r="W27" s="72"/>
      <c r="X27" s="73"/>
      <c r="Y27" s="72"/>
      <c r="Z27" s="74"/>
      <c r="AA27" s="11"/>
      <c r="AB27" s="72"/>
      <c r="AC27" s="73"/>
      <c r="AD27" s="72"/>
      <c r="AE27" s="74"/>
      <c r="AF27" s="11"/>
      <c r="AG27" s="72"/>
      <c r="AH27" s="73"/>
      <c r="AI27" s="72"/>
      <c r="AJ27" s="74"/>
      <c r="AK27" s="11"/>
      <c r="AL27" s="62"/>
      <c r="AM27" s="63"/>
      <c r="AN27" s="11"/>
      <c r="AO27" s="62"/>
      <c r="AP27" s="63"/>
      <c r="AQ27" s="11"/>
      <c r="AR27" s="62"/>
      <c r="AS27" s="63"/>
      <c r="AT27" s="11"/>
      <c r="AU27" s="62"/>
      <c r="AV27" s="63"/>
      <c r="AW27" s="11"/>
      <c r="AX27" s="62"/>
      <c r="AY27" s="63"/>
      <c r="AZ27" s="62"/>
      <c r="BA27" s="57"/>
      <c r="BB27" s="11"/>
      <c r="BC27" s="62"/>
      <c r="BD27" s="63"/>
      <c r="BE27" s="62"/>
      <c r="BF27" s="57"/>
      <c r="BG27" s="11"/>
      <c r="BH27" s="71"/>
      <c r="BI27" s="11"/>
      <c r="BJ27" s="71"/>
      <c r="BK27" s="11"/>
      <c r="BL27" s="74">
        <v>0.29861844433126888</v>
      </c>
      <c r="BM27" s="11"/>
      <c r="BN27" s="74">
        <v>0.18776212466583325</v>
      </c>
      <c r="BO27" s="11"/>
      <c r="BP27" s="74">
        <v>0.32131156984891368</v>
      </c>
      <c r="BQ27" s="11"/>
      <c r="BR27" s="74"/>
    </row>
    <row r="28" spans="1:70" ht="15.6">
      <c r="A28" s="57" t="s">
        <v>191</v>
      </c>
      <c r="B28" s="57"/>
      <c r="C28" s="57" t="s">
        <v>224</v>
      </c>
      <c r="D28" s="58" t="s">
        <v>225</v>
      </c>
      <c r="E28" s="11"/>
      <c r="F28" s="62"/>
      <c r="G28" s="63"/>
      <c r="H28" s="11"/>
      <c r="I28" s="57"/>
      <c r="J28" s="11"/>
      <c r="K28" s="57"/>
      <c r="L28" s="11"/>
      <c r="M28" s="62"/>
      <c r="N28" s="63"/>
      <c r="O28" s="62"/>
      <c r="P28" s="57"/>
      <c r="Q28" s="11"/>
      <c r="R28" s="72"/>
      <c r="S28" s="73"/>
      <c r="T28" s="72"/>
      <c r="U28" s="74"/>
      <c r="V28" s="11"/>
      <c r="W28" s="72"/>
      <c r="X28" s="73"/>
      <c r="Y28" s="72"/>
      <c r="Z28" s="74"/>
      <c r="AA28" s="11"/>
      <c r="AB28" s="72"/>
      <c r="AC28" s="73"/>
      <c r="AD28" s="72">
        <v>3.5779159439611241E-2</v>
      </c>
      <c r="AE28" s="74"/>
      <c r="AF28" s="11"/>
      <c r="AG28" s="72"/>
      <c r="AH28" s="73"/>
      <c r="AI28" s="72" t="s">
        <v>154</v>
      </c>
      <c r="AJ28" s="74"/>
      <c r="AK28" s="11"/>
      <c r="AL28" s="62"/>
      <c r="AM28" s="63"/>
      <c r="AN28" s="11"/>
      <c r="AO28" s="62"/>
      <c r="AP28" s="63"/>
      <c r="AQ28" s="11"/>
      <c r="AR28" s="62"/>
      <c r="AS28" s="63"/>
      <c r="AT28" s="11"/>
      <c r="AU28" s="62"/>
      <c r="AV28" s="63"/>
      <c r="AW28" s="11"/>
      <c r="AX28" s="62"/>
      <c r="AY28" s="63"/>
      <c r="AZ28" s="62"/>
      <c r="BA28" s="57"/>
      <c r="BB28" s="11"/>
      <c r="BC28" s="62"/>
      <c r="BD28" s="63"/>
      <c r="BE28" s="62"/>
      <c r="BF28" s="57"/>
      <c r="BG28" s="11"/>
      <c r="BH28" s="71" t="s">
        <v>154</v>
      </c>
      <c r="BI28" s="11"/>
      <c r="BJ28" s="71"/>
      <c r="BK28" s="11"/>
      <c r="BL28" s="74">
        <v>2.1693325426944975E-2</v>
      </c>
      <c r="BM28" s="11"/>
      <c r="BN28" s="74">
        <v>1.149980872895782E-2</v>
      </c>
      <c r="BO28" s="11"/>
      <c r="BP28" s="74">
        <v>2.9067650873435019E-2</v>
      </c>
      <c r="BQ28" s="11"/>
      <c r="BR28" s="74"/>
    </row>
    <row r="29" spans="1:70" ht="15.6">
      <c r="A29" s="57" t="s">
        <v>191</v>
      </c>
      <c r="B29" s="57"/>
      <c r="C29" s="57" t="s">
        <v>224</v>
      </c>
      <c r="D29" s="58" t="s">
        <v>226</v>
      </c>
      <c r="E29" s="11"/>
      <c r="F29" s="66"/>
      <c r="G29" s="66"/>
      <c r="H29" s="11"/>
      <c r="I29" s="57"/>
      <c r="J29" s="11"/>
      <c r="K29" s="57"/>
      <c r="L29" s="11"/>
      <c r="M29" s="62">
        <v>0.06</v>
      </c>
      <c r="N29" s="63">
        <v>0.09</v>
      </c>
      <c r="O29" s="62">
        <v>0.08</v>
      </c>
      <c r="P29" s="57">
        <v>1.2E-2</v>
      </c>
      <c r="Q29" s="11"/>
      <c r="R29" s="72"/>
      <c r="S29" s="73"/>
      <c r="T29" s="72"/>
      <c r="U29" s="74"/>
      <c r="V29" s="11"/>
      <c r="W29" s="72"/>
      <c r="X29" s="73"/>
      <c r="Y29" s="72"/>
      <c r="Z29" s="74"/>
      <c r="AA29" s="11"/>
      <c r="AB29" s="72"/>
      <c r="AC29" s="73"/>
      <c r="AD29" s="72">
        <v>8.371707761603191E-4</v>
      </c>
      <c r="AE29" s="74"/>
      <c r="AF29" s="11"/>
      <c r="AG29" s="72"/>
      <c r="AH29" s="73"/>
      <c r="AI29" s="72">
        <v>0.3365749810181321</v>
      </c>
      <c r="AJ29" s="74"/>
      <c r="AK29" s="11"/>
      <c r="AL29" s="66"/>
      <c r="AM29" s="66"/>
      <c r="AN29" s="11"/>
      <c r="AO29" s="62">
        <v>1.1200000000000001</v>
      </c>
      <c r="AP29" s="62">
        <v>1.1200000000000001</v>
      </c>
      <c r="AQ29" s="11"/>
      <c r="AR29" s="62">
        <v>0.85599999999999998</v>
      </c>
      <c r="AS29" s="62">
        <v>0.85599999999999998</v>
      </c>
      <c r="AT29" s="11"/>
      <c r="AU29" s="62">
        <v>5.8179999999999996</v>
      </c>
      <c r="AV29" s="62">
        <v>5.8179999999999996</v>
      </c>
      <c r="AW29" s="11"/>
      <c r="AX29" s="62"/>
      <c r="AY29" s="63"/>
      <c r="AZ29" s="62"/>
      <c r="BA29" s="57"/>
      <c r="BB29" s="11"/>
      <c r="BC29" s="62"/>
      <c r="BD29" s="63"/>
      <c r="BE29" s="62"/>
      <c r="BF29" s="57"/>
      <c r="BG29" s="11"/>
      <c r="BH29" s="71" t="s">
        <v>154</v>
      </c>
      <c r="BI29" s="11"/>
      <c r="BJ29" s="71"/>
      <c r="BK29" s="11"/>
      <c r="BL29" s="74">
        <v>0.17453037203445507</v>
      </c>
      <c r="BM29" s="11"/>
      <c r="BN29" s="74">
        <v>0.10333720215142476</v>
      </c>
      <c r="BO29" s="11"/>
      <c r="BP29" s="74">
        <v>0.23405909246620296</v>
      </c>
      <c r="BQ29" s="11"/>
      <c r="BR29" s="74"/>
    </row>
    <row r="30" spans="1:70" ht="15.6">
      <c r="A30" s="57" t="s">
        <v>191</v>
      </c>
      <c r="B30" s="57"/>
      <c r="C30" s="57" t="s">
        <v>224</v>
      </c>
      <c r="D30" s="58" t="s">
        <v>227</v>
      </c>
      <c r="E30" s="11"/>
      <c r="F30" s="66"/>
      <c r="G30" s="66"/>
      <c r="H30" s="11"/>
      <c r="I30" s="57"/>
      <c r="J30" s="11"/>
      <c r="K30" s="57"/>
      <c r="L30" s="11"/>
      <c r="M30" s="62">
        <v>0.09</v>
      </c>
      <c r="N30" s="63">
        <v>1.35</v>
      </c>
      <c r="O30" s="62">
        <v>0.55000000000000004</v>
      </c>
      <c r="P30" s="57">
        <v>0.39</v>
      </c>
      <c r="Q30" s="11"/>
      <c r="R30" s="72"/>
      <c r="S30" s="73"/>
      <c r="T30" s="72"/>
      <c r="U30" s="74"/>
      <c r="V30" s="11"/>
      <c r="W30" s="72"/>
      <c r="X30" s="73"/>
      <c r="Y30" s="72"/>
      <c r="Z30" s="74"/>
      <c r="AA30" s="11"/>
      <c r="AB30" s="72"/>
      <c r="AC30" s="73"/>
      <c r="AD30" s="72">
        <v>8.1270494374150834E-2</v>
      </c>
      <c r="AE30" s="74"/>
      <c r="AF30" s="11"/>
      <c r="AG30" s="72"/>
      <c r="AH30" s="73"/>
      <c r="AI30" s="72">
        <v>0.20801739010737935</v>
      </c>
      <c r="AJ30" s="74"/>
      <c r="AK30" s="11"/>
      <c r="AL30" s="66"/>
      <c r="AM30" s="66"/>
      <c r="AN30" s="11"/>
      <c r="AO30" s="62">
        <v>0.35499999999999998</v>
      </c>
      <c r="AP30" s="62">
        <v>0.35499999999999998</v>
      </c>
      <c r="AQ30" s="11"/>
      <c r="AR30" s="62">
        <v>0.14899999999999999</v>
      </c>
      <c r="AS30" s="62">
        <v>0.14899999999999999</v>
      </c>
      <c r="AT30" s="11"/>
      <c r="AU30" s="62">
        <v>0.155</v>
      </c>
      <c r="AV30" s="62">
        <v>0.155</v>
      </c>
      <c r="AW30" s="11"/>
      <c r="AX30" s="62"/>
      <c r="AY30" s="63"/>
      <c r="AZ30" s="62"/>
      <c r="BA30" s="57"/>
      <c r="BB30" s="11"/>
      <c r="BC30" s="62"/>
      <c r="BD30" s="63"/>
      <c r="BE30" s="62"/>
      <c r="BF30" s="57"/>
      <c r="BG30" s="11"/>
      <c r="BH30" s="71"/>
      <c r="BI30" s="11"/>
      <c r="BJ30" s="71"/>
      <c r="BK30" s="11"/>
      <c r="BL30" s="74">
        <v>1.5037221319352761E-2</v>
      </c>
      <c r="BM30" s="11"/>
      <c r="BN30" s="74">
        <v>4.1526541822829123E-3</v>
      </c>
      <c r="BO30" s="11"/>
      <c r="BP30" s="74">
        <v>7.2372160242938993E-2</v>
      </c>
      <c r="BQ30" s="11"/>
      <c r="BR30" s="74"/>
    </row>
    <row r="31" spans="1:70" ht="15.6">
      <c r="A31" s="57" t="s">
        <v>191</v>
      </c>
      <c r="B31" s="57"/>
      <c r="C31" s="57" t="s">
        <v>228</v>
      </c>
      <c r="D31" s="58" t="s">
        <v>229</v>
      </c>
      <c r="E31" s="11"/>
      <c r="F31" s="66"/>
      <c r="G31" s="66"/>
      <c r="H31" s="11"/>
      <c r="I31" s="57"/>
      <c r="J31" s="11"/>
      <c r="K31" s="57"/>
      <c r="L31" s="11"/>
      <c r="M31" s="62"/>
      <c r="N31" s="63"/>
      <c r="O31" s="62"/>
      <c r="P31" s="57"/>
      <c r="Q31" s="11"/>
      <c r="R31" s="72"/>
      <c r="S31" s="73"/>
      <c r="T31" s="72"/>
      <c r="U31" s="74"/>
      <c r="V31" s="11"/>
      <c r="W31" s="72"/>
      <c r="X31" s="73"/>
      <c r="Y31" s="72"/>
      <c r="Z31" s="74"/>
      <c r="AA31" s="11"/>
      <c r="AB31" s="72"/>
      <c r="AC31" s="73"/>
      <c r="AD31" s="72">
        <v>3.9295006682607867E-4</v>
      </c>
      <c r="AE31" s="74"/>
      <c r="AF31" s="11"/>
      <c r="AG31" s="72"/>
      <c r="AH31" s="73"/>
      <c r="AI31" s="72">
        <v>2.5652299120015962E-2</v>
      </c>
      <c r="AJ31" s="74"/>
      <c r="AK31" s="11"/>
      <c r="AL31" s="66"/>
      <c r="AM31" s="66"/>
      <c r="AN31" s="11"/>
      <c r="AO31" s="62"/>
      <c r="AP31" s="62"/>
      <c r="AQ31" s="11"/>
      <c r="AR31" s="62"/>
      <c r="AS31" s="62"/>
      <c r="AT31" s="11"/>
      <c r="AU31" s="62"/>
      <c r="AV31" s="62"/>
      <c r="AW31" s="11"/>
      <c r="AX31" s="62"/>
      <c r="AY31" s="63"/>
      <c r="AZ31" s="62"/>
      <c r="BA31" s="57"/>
      <c r="BB31" s="11"/>
      <c r="BC31" s="62"/>
      <c r="BD31" s="63"/>
      <c r="BE31" s="62"/>
      <c r="BF31" s="57"/>
      <c r="BG31" s="11"/>
      <c r="BH31" s="71"/>
      <c r="BI31" s="11"/>
      <c r="BJ31" s="71"/>
      <c r="BK31" s="11"/>
      <c r="BL31" s="74" t="s">
        <v>154</v>
      </c>
      <c r="BM31" s="11"/>
      <c r="BN31" s="74" t="s">
        <v>154</v>
      </c>
      <c r="BO31" s="11"/>
      <c r="BP31" s="74" t="s">
        <v>154</v>
      </c>
      <c r="BQ31" s="11"/>
      <c r="BR31" s="74"/>
    </row>
    <row r="32" spans="1:70" ht="15.6">
      <c r="A32" s="57" t="s">
        <v>191</v>
      </c>
      <c r="B32" s="57"/>
      <c r="C32" s="57" t="s">
        <v>228</v>
      </c>
      <c r="D32" s="58" t="s">
        <v>230</v>
      </c>
      <c r="E32" s="3"/>
      <c r="F32" s="62"/>
      <c r="G32" s="63"/>
      <c r="H32" s="3"/>
      <c r="I32" s="57"/>
      <c r="J32" s="3"/>
      <c r="K32" s="57"/>
      <c r="L32" s="3"/>
      <c r="M32" s="62"/>
      <c r="N32" s="63"/>
      <c r="O32" s="62"/>
      <c r="P32" s="57"/>
      <c r="Q32" s="3"/>
      <c r="R32" s="72"/>
      <c r="S32" s="73"/>
      <c r="T32" s="72"/>
      <c r="U32" s="74"/>
      <c r="V32" s="3"/>
      <c r="W32" s="72"/>
      <c r="X32" s="73"/>
      <c r="Y32" s="72"/>
      <c r="Z32" s="74"/>
      <c r="AA32" s="3"/>
      <c r="AB32" s="72"/>
      <c r="AC32" s="73"/>
      <c r="AD32" s="72"/>
      <c r="AE32" s="74"/>
      <c r="AF32" s="3"/>
      <c r="AG32" s="72"/>
      <c r="AH32" s="73"/>
      <c r="AI32" s="72"/>
      <c r="AJ32" s="74"/>
      <c r="AK32" s="3"/>
      <c r="AL32" s="62"/>
      <c r="AM32" s="63"/>
      <c r="AN32" s="3"/>
      <c r="AO32" s="62"/>
      <c r="AP32" s="63"/>
      <c r="AQ32" s="3"/>
      <c r="AR32" s="62"/>
      <c r="AS32" s="63"/>
      <c r="AT32" s="3"/>
      <c r="AU32" s="62"/>
      <c r="AV32" s="63"/>
      <c r="AW32" s="3"/>
      <c r="AX32" s="62"/>
      <c r="AY32" s="63"/>
      <c r="AZ32" s="62"/>
      <c r="BA32" s="57"/>
      <c r="BB32" s="3"/>
      <c r="BC32" s="62"/>
      <c r="BD32" s="63"/>
      <c r="BE32" s="62"/>
      <c r="BF32" s="57"/>
      <c r="BG32" s="3"/>
      <c r="BH32" s="71"/>
      <c r="BI32" s="3"/>
      <c r="BJ32" s="71"/>
      <c r="BK32" s="3"/>
      <c r="BL32" s="74"/>
      <c r="BM32" s="3"/>
      <c r="BN32" s="74"/>
      <c r="BO32" s="3"/>
      <c r="BP32" s="74"/>
      <c r="BQ32" s="3"/>
      <c r="BR32" s="74"/>
    </row>
    <row r="33" spans="1:70" ht="15.6">
      <c r="A33" s="55" t="s">
        <v>191</v>
      </c>
      <c r="B33" s="55"/>
      <c r="C33" s="55" t="s">
        <v>231</v>
      </c>
      <c r="D33" s="56" t="s">
        <v>232</v>
      </c>
      <c r="E33" s="5"/>
      <c r="F33" s="64"/>
      <c r="G33" s="65"/>
      <c r="H33" s="5"/>
      <c r="I33" s="55"/>
      <c r="J33" s="5"/>
      <c r="K33" s="55"/>
      <c r="L33" s="5"/>
      <c r="M33" s="64">
        <v>0.25</v>
      </c>
      <c r="N33" s="65">
        <v>0.26</v>
      </c>
      <c r="O33" s="64">
        <v>0.15</v>
      </c>
      <c r="P33" s="55">
        <v>6.8000000000000005E-2</v>
      </c>
      <c r="Q33" s="5"/>
      <c r="R33" s="110"/>
      <c r="S33" s="109"/>
      <c r="T33" s="110"/>
      <c r="U33" s="111"/>
      <c r="V33" s="5"/>
      <c r="W33" s="110"/>
      <c r="X33" s="109"/>
      <c r="Y33" s="110"/>
      <c r="Z33" s="111"/>
      <c r="AA33" s="5"/>
      <c r="AB33" s="110"/>
      <c r="AC33" s="109"/>
      <c r="AD33" s="110">
        <v>1.6582417320142998E-2</v>
      </c>
      <c r="AE33" s="111"/>
      <c r="AF33" s="5"/>
      <c r="AG33" s="110"/>
      <c r="AH33" s="109"/>
      <c r="AI33" s="110">
        <v>8.7823750006537533E-3</v>
      </c>
      <c r="AJ33" s="111"/>
      <c r="AK33" s="5"/>
      <c r="AL33" s="64"/>
      <c r="AM33" s="65"/>
      <c r="AN33" s="5"/>
      <c r="AO33" s="64">
        <v>4.3200000000000002E-2</v>
      </c>
      <c r="AP33" s="65">
        <v>4.3200000000000002E-2</v>
      </c>
      <c r="AQ33" s="5"/>
      <c r="AR33" s="64">
        <v>0.2</v>
      </c>
      <c r="AS33" s="65">
        <v>0.2</v>
      </c>
      <c r="AT33" s="5"/>
      <c r="AU33" s="64">
        <v>0.313</v>
      </c>
      <c r="AV33" s="65">
        <v>0.313</v>
      </c>
      <c r="AW33" s="5"/>
      <c r="AX33" s="64"/>
      <c r="AY33" s="65"/>
      <c r="AZ33" s="64"/>
      <c r="BA33" s="55"/>
      <c r="BB33" s="5"/>
      <c r="BC33" s="64"/>
      <c r="BD33" s="65"/>
      <c r="BE33" s="64"/>
      <c r="BF33" s="55"/>
      <c r="BG33" s="5"/>
      <c r="BH33" s="75" t="s">
        <v>154</v>
      </c>
      <c r="BI33" s="5"/>
      <c r="BJ33" s="75"/>
      <c r="BK33" s="5"/>
      <c r="BL33" s="111">
        <v>2.8732934852169459E-3</v>
      </c>
      <c r="BM33" s="5"/>
      <c r="BN33" s="111" t="s">
        <v>154</v>
      </c>
      <c r="BO33" s="5"/>
      <c r="BP33" s="111">
        <v>2.1201423654530618E-2</v>
      </c>
      <c r="BQ33" s="5"/>
      <c r="BR33" s="111"/>
    </row>
    <row r="34" spans="1:70">
      <c r="A34" s="55" t="s">
        <v>191</v>
      </c>
      <c r="B34" s="55"/>
      <c r="C34" s="55" t="s">
        <v>233</v>
      </c>
      <c r="D34" s="56" t="s">
        <v>234</v>
      </c>
      <c r="E34" s="5"/>
      <c r="F34" s="64"/>
      <c r="G34" s="65"/>
      <c r="H34" s="5"/>
      <c r="I34" s="55"/>
      <c r="J34" s="5"/>
      <c r="K34" s="55"/>
      <c r="L34" s="5"/>
      <c r="M34" s="64"/>
      <c r="N34" s="65"/>
      <c r="O34" s="64"/>
      <c r="P34" s="55"/>
      <c r="Q34" s="5"/>
      <c r="R34" s="110"/>
      <c r="S34" s="109"/>
      <c r="T34" s="110"/>
      <c r="U34" s="111"/>
      <c r="V34" s="5"/>
      <c r="W34" s="110"/>
      <c r="X34" s="109"/>
      <c r="Y34" s="110"/>
      <c r="Z34" s="111"/>
      <c r="AA34" s="5"/>
      <c r="AB34" s="110"/>
      <c r="AC34" s="109"/>
      <c r="AD34" s="110">
        <v>3.236083710798819E-3</v>
      </c>
      <c r="AE34" s="111"/>
      <c r="AF34" s="5"/>
      <c r="AG34" s="110"/>
      <c r="AH34" s="109"/>
      <c r="AI34" s="110">
        <v>1.1313093873723232E-2</v>
      </c>
      <c r="AJ34" s="111"/>
      <c r="AK34" s="5"/>
      <c r="AL34" s="64"/>
      <c r="AM34" s="65"/>
      <c r="AN34" s="5"/>
      <c r="AO34" s="64"/>
      <c r="AP34" s="65"/>
      <c r="AQ34" s="5"/>
      <c r="AR34" s="64"/>
      <c r="AS34" s="65"/>
      <c r="AT34" s="5"/>
      <c r="AU34" s="64"/>
      <c r="AV34" s="65"/>
      <c r="AW34" s="5"/>
      <c r="AX34" s="64"/>
      <c r="AY34" s="65"/>
      <c r="AZ34" s="64"/>
      <c r="BA34" s="55"/>
      <c r="BB34" s="5"/>
      <c r="BC34" s="64"/>
      <c r="BD34" s="65"/>
      <c r="BE34" s="64"/>
      <c r="BF34" s="55"/>
      <c r="BG34" s="5"/>
      <c r="BH34" s="75"/>
      <c r="BI34" s="5"/>
      <c r="BJ34" s="75"/>
      <c r="BK34" s="5"/>
      <c r="BL34" s="111" t="s">
        <v>154</v>
      </c>
      <c r="BM34" s="5"/>
      <c r="BN34" s="111" t="s">
        <v>154</v>
      </c>
      <c r="BO34" s="5"/>
      <c r="BP34" s="111" t="s">
        <v>154</v>
      </c>
      <c r="BQ34" s="5"/>
      <c r="BR34" s="111"/>
    </row>
    <row r="35" spans="1:70" ht="15.6">
      <c r="A35" s="55" t="s">
        <v>191</v>
      </c>
      <c r="B35" s="55"/>
      <c r="C35" s="55" t="s">
        <v>235</v>
      </c>
      <c r="D35" s="56" t="s">
        <v>236</v>
      </c>
      <c r="E35" s="5"/>
      <c r="F35" s="64"/>
      <c r="G35" s="65"/>
      <c r="H35" s="5"/>
      <c r="I35" s="55"/>
      <c r="J35" s="5"/>
      <c r="K35" s="55"/>
      <c r="L35" s="5"/>
      <c r="M35" s="64"/>
      <c r="N35" s="65"/>
      <c r="O35" s="64"/>
      <c r="P35" s="55"/>
      <c r="Q35" s="5"/>
      <c r="R35" s="110"/>
      <c r="S35" s="109"/>
      <c r="T35" s="110"/>
      <c r="U35" s="111"/>
      <c r="V35" s="5"/>
      <c r="W35" s="110"/>
      <c r="X35" s="109"/>
      <c r="Y35" s="110"/>
      <c r="Z35" s="111"/>
      <c r="AA35" s="5"/>
      <c r="AB35" s="110"/>
      <c r="AC35" s="109"/>
      <c r="AD35" s="110">
        <v>7.2678128077249468E-4</v>
      </c>
      <c r="AE35" s="111"/>
      <c r="AF35" s="5"/>
      <c r="AG35" s="110"/>
      <c r="AH35" s="109"/>
      <c r="AI35" s="110" t="s">
        <v>154</v>
      </c>
      <c r="AJ35" s="111"/>
      <c r="AK35" s="5"/>
      <c r="AL35" s="64"/>
      <c r="AM35" s="65"/>
      <c r="AN35" s="5"/>
      <c r="AO35" s="64"/>
      <c r="AP35" s="65"/>
      <c r="AQ35" s="5"/>
      <c r="AR35" s="64"/>
      <c r="AS35" s="65"/>
      <c r="AT35" s="5"/>
      <c r="AU35" s="64"/>
      <c r="AV35" s="65"/>
      <c r="AW35" s="5"/>
      <c r="AX35" s="64"/>
      <c r="AY35" s="65"/>
      <c r="AZ35" s="64"/>
      <c r="BA35" s="55"/>
      <c r="BB35" s="5"/>
      <c r="BC35" s="64"/>
      <c r="BD35" s="65"/>
      <c r="BE35" s="64"/>
      <c r="BF35" s="55"/>
      <c r="BG35" s="5"/>
      <c r="BH35" s="75" t="s">
        <v>154</v>
      </c>
      <c r="BI35" s="5"/>
      <c r="BJ35" s="75"/>
      <c r="BK35" s="5"/>
      <c r="BL35" s="111" t="s">
        <v>154</v>
      </c>
      <c r="BM35" s="5"/>
      <c r="BN35" s="111" t="s">
        <v>154</v>
      </c>
      <c r="BO35" s="5"/>
      <c r="BP35" s="111">
        <v>2.4818110110360558E-2</v>
      </c>
      <c r="BQ35" s="5"/>
      <c r="BR35" s="111"/>
    </row>
    <row r="36" spans="1:70" ht="15.6">
      <c r="A36" s="55" t="s">
        <v>191</v>
      </c>
      <c r="B36" s="55"/>
      <c r="C36" s="55" t="s">
        <v>235</v>
      </c>
      <c r="D36" s="56" t="s">
        <v>237</v>
      </c>
      <c r="E36" s="5"/>
      <c r="F36" s="64"/>
      <c r="G36" s="65"/>
      <c r="H36" s="5"/>
      <c r="I36" s="55"/>
      <c r="J36" s="5"/>
      <c r="K36" s="55"/>
      <c r="L36" s="5"/>
      <c r="M36" s="64"/>
      <c r="N36" s="65"/>
      <c r="O36" s="64"/>
      <c r="P36" s="55"/>
      <c r="Q36" s="5"/>
      <c r="R36" s="110"/>
      <c r="S36" s="109"/>
      <c r="T36" s="110"/>
      <c r="U36" s="111"/>
      <c r="V36" s="5"/>
      <c r="W36" s="110"/>
      <c r="X36" s="109"/>
      <c r="Y36" s="110"/>
      <c r="Z36" s="111"/>
      <c r="AA36" s="5"/>
      <c r="AB36" s="110"/>
      <c r="AC36" s="109"/>
      <c r="AD36" s="110"/>
      <c r="AE36" s="111"/>
      <c r="AF36" s="5"/>
      <c r="AG36" s="110"/>
      <c r="AH36" s="109"/>
      <c r="AI36" s="110"/>
      <c r="AJ36" s="111"/>
      <c r="AK36" s="5"/>
      <c r="AL36" s="64"/>
      <c r="AM36" s="65"/>
      <c r="AN36" s="5"/>
      <c r="AO36" s="64"/>
      <c r="AP36" s="65"/>
      <c r="AQ36" s="5"/>
      <c r="AR36" s="64"/>
      <c r="AS36" s="65"/>
      <c r="AT36" s="5"/>
      <c r="AU36" s="64"/>
      <c r="AV36" s="65"/>
      <c r="AW36" s="5"/>
      <c r="AX36" s="64"/>
      <c r="AY36" s="65"/>
      <c r="AZ36" s="64"/>
      <c r="BA36" s="55"/>
      <c r="BB36" s="5"/>
      <c r="BC36" s="64"/>
      <c r="BD36" s="65"/>
      <c r="BE36" s="64"/>
      <c r="BF36" s="55"/>
      <c r="BG36" s="5"/>
      <c r="BH36" s="75"/>
      <c r="BI36" s="5"/>
      <c r="BJ36" s="75"/>
      <c r="BK36" s="5"/>
      <c r="BL36" s="111"/>
      <c r="BM36" s="5"/>
      <c r="BN36" s="111"/>
      <c r="BO36" s="5"/>
      <c r="BP36" s="111"/>
      <c r="BQ36" s="5"/>
      <c r="BR36" s="111"/>
    </row>
    <row r="37" spans="1:70" ht="15.6">
      <c r="A37" s="55" t="s">
        <v>191</v>
      </c>
      <c r="B37" s="55"/>
      <c r="C37" s="55" t="s">
        <v>235</v>
      </c>
      <c r="D37" s="56" t="s">
        <v>238</v>
      </c>
      <c r="E37" s="5"/>
      <c r="F37" s="64"/>
      <c r="G37" s="65"/>
      <c r="H37" s="5"/>
      <c r="I37" s="55"/>
      <c r="J37" s="5"/>
      <c r="K37" s="55"/>
      <c r="L37" s="5"/>
      <c r="M37" s="64"/>
      <c r="N37" s="65"/>
      <c r="O37" s="64"/>
      <c r="P37" s="55"/>
      <c r="Q37" s="5"/>
      <c r="R37" s="110"/>
      <c r="S37" s="109"/>
      <c r="T37" s="110"/>
      <c r="U37" s="111"/>
      <c r="V37" s="5"/>
      <c r="W37" s="110"/>
      <c r="X37" s="109"/>
      <c r="Y37" s="110"/>
      <c r="Z37" s="111"/>
      <c r="AA37" s="5"/>
      <c r="AB37" s="110"/>
      <c r="AC37" s="109"/>
      <c r="AD37" s="110">
        <v>1.9915052473984105E-3</v>
      </c>
      <c r="AE37" s="111"/>
      <c r="AF37" s="5"/>
      <c r="AG37" s="110"/>
      <c r="AH37" s="109"/>
      <c r="AI37" s="110">
        <v>3.7517424680705092E-3</v>
      </c>
      <c r="AJ37" s="111"/>
      <c r="AK37" s="5"/>
      <c r="AL37" s="64"/>
      <c r="AM37" s="65"/>
      <c r="AN37" s="5"/>
      <c r="AO37" s="64">
        <v>8.8099999999999998E-2</v>
      </c>
      <c r="AP37" s="65">
        <v>8.8099999999999998E-2</v>
      </c>
      <c r="AQ37" s="5"/>
      <c r="AR37" s="64">
        <v>0.443</v>
      </c>
      <c r="AS37" s="65">
        <v>0.443</v>
      </c>
      <c r="AT37" s="5"/>
      <c r="AU37" s="64">
        <v>0.126</v>
      </c>
      <c r="AV37" s="65">
        <v>0.126</v>
      </c>
      <c r="AW37" s="5"/>
      <c r="AX37" s="64"/>
      <c r="AY37" s="65"/>
      <c r="AZ37" s="64"/>
      <c r="BA37" s="55"/>
      <c r="BB37" s="5"/>
      <c r="BC37" s="64"/>
      <c r="BD37" s="65"/>
      <c r="BE37" s="64"/>
      <c r="BF37" s="55"/>
      <c r="BG37" s="5"/>
      <c r="BH37" s="75"/>
      <c r="BI37" s="5"/>
      <c r="BJ37" s="75"/>
      <c r="BK37" s="5"/>
      <c r="BL37" s="111" t="s">
        <v>154</v>
      </c>
      <c r="BM37" s="5"/>
      <c r="BN37" s="111" t="s">
        <v>154</v>
      </c>
      <c r="BO37" s="5"/>
      <c r="BP37" s="111">
        <v>2.5395533362896731E-3</v>
      </c>
      <c r="BQ37" s="5"/>
      <c r="BR37" s="111"/>
    </row>
    <row r="38" spans="1:70" ht="15.6">
      <c r="A38" s="55" t="s">
        <v>191</v>
      </c>
      <c r="B38" s="55"/>
      <c r="C38" s="55" t="s">
        <v>235</v>
      </c>
      <c r="D38" s="56" t="s">
        <v>239</v>
      </c>
      <c r="E38" s="5"/>
      <c r="F38" s="67"/>
      <c r="G38" s="67"/>
      <c r="H38" s="5"/>
      <c r="I38" s="55"/>
      <c r="J38" s="5"/>
      <c r="K38" s="55"/>
      <c r="L38" s="5"/>
      <c r="M38" s="64"/>
      <c r="N38" s="65"/>
      <c r="O38" s="64"/>
      <c r="P38" s="55"/>
      <c r="Q38" s="5"/>
      <c r="R38" s="110"/>
      <c r="S38" s="109"/>
      <c r="T38" s="110"/>
      <c r="U38" s="111"/>
      <c r="V38" s="5"/>
      <c r="W38" s="110"/>
      <c r="X38" s="109"/>
      <c r="Y38" s="110"/>
      <c r="Z38" s="111"/>
      <c r="AA38" s="5"/>
      <c r="AB38" s="110"/>
      <c r="AC38" s="109"/>
      <c r="AD38" s="110"/>
      <c r="AE38" s="111"/>
      <c r="AF38" s="5"/>
      <c r="AG38" s="110"/>
      <c r="AH38" s="109"/>
      <c r="AI38" s="110"/>
      <c r="AJ38" s="111"/>
      <c r="AK38" s="5"/>
      <c r="AL38" s="67"/>
      <c r="AM38" s="67"/>
      <c r="AN38" s="5"/>
      <c r="AO38" s="67"/>
      <c r="AP38" s="67"/>
      <c r="AQ38" s="5"/>
      <c r="AR38" s="67"/>
      <c r="AS38" s="67"/>
      <c r="AT38" s="5"/>
      <c r="AU38" s="67"/>
      <c r="AV38" s="67"/>
      <c r="AW38" s="5"/>
      <c r="AX38" s="64"/>
      <c r="AY38" s="65"/>
      <c r="AZ38" s="64"/>
      <c r="BA38" s="55"/>
      <c r="BB38" s="5"/>
      <c r="BC38" s="64"/>
      <c r="BD38" s="65"/>
      <c r="BE38" s="64"/>
      <c r="BF38" s="55"/>
      <c r="BG38" s="5"/>
      <c r="BH38" s="75"/>
      <c r="BI38" s="5"/>
      <c r="BJ38" s="75"/>
      <c r="BK38" s="5"/>
      <c r="BL38" s="111"/>
      <c r="BM38" s="5"/>
      <c r="BN38" s="111"/>
      <c r="BO38" s="5"/>
      <c r="BP38" s="111"/>
      <c r="BQ38" s="5"/>
      <c r="BR38" s="111"/>
    </row>
    <row r="39" spans="1:70" ht="15.6">
      <c r="A39" s="55" t="s">
        <v>191</v>
      </c>
      <c r="B39" s="55"/>
      <c r="C39" s="55" t="s">
        <v>235</v>
      </c>
      <c r="D39" s="55" t="s">
        <v>240</v>
      </c>
      <c r="E39" s="5"/>
      <c r="F39" s="67"/>
      <c r="G39" s="67"/>
      <c r="H39" s="5"/>
      <c r="I39" s="55"/>
      <c r="J39" s="5"/>
      <c r="K39" s="55"/>
      <c r="L39" s="5"/>
      <c r="M39" s="64">
        <v>0.05</v>
      </c>
      <c r="N39" s="65">
        <v>0.6</v>
      </c>
      <c r="O39" s="64">
        <v>0.27</v>
      </c>
      <c r="P39" s="55">
        <v>0.24199999999999999</v>
      </c>
      <c r="Q39" s="5"/>
      <c r="R39" s="110"/>
      <c r="S39" s="109"/>
      <c r="T39" s="110"/>
      <c r="U39" s="111"/>
      <c r="V39" s="5"/>
      <c r="W39" s="110"/>
      <c r="X39" s="109"/>
      <c r="Y39" s="110"/>
      <c r="Z39" s="111"/>
      <c r="AA39" s="5"/>
      <c r="AB39" s="110"/>
      <c r="AC39" s="109"/>
      <c r="AD39" s="110"/>
      <c r="AE39" s="111"/>
      <c r="AF39" s="5"/>
      <c r="AG39" s="110"/>
      <c r="AH39" s="109"/>
      <c r="AI39" s="110"/>
      <c r="AJ39" s="111"/>
      <c r="AK39" s="5"/>
      <c r="AL39" s="67"/>
      <c r="AM39" s="67"/>
      <c r="AN39" s="5"/>
      <c r="AO39" s="67"/>
      <c r="AP39" s="67"/>
      <c r="AQ39" s="5"/>
      <c r="AR39" s="67"/>
      <c r="AS39" s="67"/>
      <c r="AT39" s="5"/>
      <c r="AU39" s="67"/>
      <c r="AV39" s="67"/>
      <c r="AW39" s="5"/>
      <c r="AX39" s="64"/>
      <c r="AY39" s="65"/>
      <c r="AZ39" s="64"/>
      <c r="BA39" s="55"/>
      <c r="BB39" s="5"/>
      <c r="BC39" s="64"/>
      <c r="BD39" s="65"/>
      <c r="BE39" s="64"/>
      <c r="BF39" s="55"/>
      <c r="BG39" s="5"/>
      <c r="BH39" s="75"/>
      <c r="BI39" s="5"/>
      <c r="BJ39" s="75"/>
      <c r="BK39" s="5"/>
      <c r="BL39" s="111"/>
      <c r="BM39" s="5"/>
      <c r="BN39" s="111"/>
      <c r="BO39" s="5"/>
      <c r="BP39" s="111"/>
      <c r="BQ39" s="5"/>
      <c r="BR39" s="111"/>
    </row>
    <row r="40" spans="1:70" ht="15.6">
      <c r="A40" s="55" t="s">
        <v>191</v>
      </c>
      <c r="B40" s="55"/>
      <c r="C40" s="55" t="s">
        <v>235</v>
      </c>
      <c r="D40" s="56" t="s">
        <v>241</v>
      </c>
      <c r="E40" s="5"/>
      <c r="F40" s="67"/>
      <c r="G40" s="67"/>
      <c r="H40" s="5"/>
      <c r="I40" s="55"/>
      <c r="J40" s="5"/>
      <c r="K40" s="55"/>
      <c r="L40" s="5"/>
      <c r="M40" s="64"/>
      <c r="N40" s="65"/>
      <c r="O40" s="64"/>
      <c r="P40" s="55"/>
      <c r="Q40" s="5"/>
      <c r="R40" s="110"/>
      <c r="S40" s="109"/>
      <c r="T40" s="110"/>
      <c r="U40" s="111"/>
      <c r="V40" s="5"/>
      <c r="W40" s="110"/>
      <c r="X40" s="109"/>
      <c r="Y40" s="110"/>
      <c r="Z40" s="111"/>
      <c r="AA40" s="5"/>
      <c r="AB40" s="110"/>
      <c r="AC40" s="109"/>
      <c r="AD40" s="110"/>
      <c r="AE40" s="111"/>
      <c r="AF40" s="5"/>
      <c r="AG40" s="110"/>
      <c r="AH40" s="109"/>
      <c r="AI40" s="110"/>
      <c r="AJ40" s="111"/>
      <c r="AK40" s="5"/>
      <c r="AL40" s="67"/>
      <c r="AM40" s="67"/>
      <c r="AN40" s="5"/>
      <c r="AO40" s="67"/>
      <c r="AP40" s="67"/>
      <c r="AQ40" s="5"/>
      <c r="AR40" s="67"/>
      <c r="AS40" s="67"/>
      <c r="AT40" s="5"/>
      <c r="AU40" s="67"/>
      <c r="AV40" s="67"/>
      <c r="AW40" s="5"/>
      <c r="AX40" s="64"/>
      <c r="AY40" s="65"/>
      <c r="AZ40" s="64"/>
      <c r="BA40" s="55"/>
      <c r="BB40" s="5"/>
      <c r="BC40" s="64"/>
      <c r="BD40" s="65"/>
      <c r="BE40" s="64"/>
      <c r="BF40" s="55"/>
      <c r="BG40" s="5"/>
      <c r="BH40" s="75" t="s">
        <v>154</v>
      </c>
      <c r="BI40" s="5"/>
      <c r="BJ40" s="75"/>
      <c r="BK40" s="5"/>
      <c r="BL40" s="111"/>
      <c r="BM40" s="5"/>
      <c r="BN40" s="111"/>
      <c r="BO40" s="5"/>
      <c r="BP40" s="111"/>
      <c r="BQ40" s="5"/>
      <c r="BR40" s="111"/>
    </row>
    <row r="41" spans="1:70" ht="15.6">
      <c r="A41" s="55" t="s">
        <v>191</v>
      </c>
      <c r="B41" s="55"/>
      <c r="C41" s="55" t="s">
        <v>235</v>
      </c>
      <c r="D41" s="56" t="s">
        <v>242</v>
      </c>
      <c r="E41" s="3"/>
      <c r="F41" s="67"/>
      <c r="G41" s="67"/>
      <c r="H41" s="3"/>
      <c r="I41" s="55"/>
      <c r="J41" s="3"/>
      <c r="K41" s="55"/>
      <c r="L41" s="3"/>
      <c r="M41" s="64"/>
      <c r="N41" s="65"/>
      <c r="O41" s="64"/>
      <c r="P41" s="55"/>
      <c r="Q41" s="3"/>
      <c r="R41" s="110"/>
      <c r="S41" s="109"/>
      <c r="T41" s="110">
        <v>0.40300000000000002</v>
      </c>
      <c r="U41" s="111"/>
      <c r="V41" s="3"/>
      <c r="W41" s="110"/>
      <c r="X41" s="109"/>
      <c r="Y41" s="110">
        <v>0.151</v>
      </c>
      <c r="Z41" s="111"/>
      <c r="AA41" s="3"/>
      <c r="AB41" s="110"/>
      <c r="AC41" s="109"/>
      <c r="AD41" s="110">
        <v>5.0666390015103452E-3</v>
      </c>
      <c r="AE41" s="111"/>
      <c r="AF41" s="3"/>
      <c r="AG41" s="110"/>
      <c r="AH41" s="109"/>
      <c r="AI41" s="110">
        <v>1.86430844697558</v>
      </c>
      <c r="AJ41" s="111"/>
      <c r="AK41" s="3"/>
      <c r="AL41" s="67"/>
      <c r="AM41" s="67"/>
      <c r="AN41" s="3"/>
      <c r="AO41" s="64">
        <v>0.19900000000000001</v>
      </c>
      <c r="AP41" s="64">
        <v>0.19900000000000001</v>
      </c>
      <c r="AQ41" s="3"/>
      <c r="AR41" s="64">
        <v>1.17</v>
      </c>
      <c r="AS41" s="64">
        <v>1.17</v>
      </c>
      <c r="AT41" s="3"/>
      <c r="AU41" s="64">
        <v>0.19900000000000001</v>
      </c>
      <c r="AV41" s="64">
        <v>0.19900000000000001</v>
      </c>
      <c r="AW41" s="3"/>
      <c r="AX41" s="64"/>
      <c r="AY41" s="65"/>
      <c r="AZ41" s="64"/>
      <c r="BA41" s="55"/>
      <c r="BB41" s="3"/>
      <c r="BC41" s="64"/>
      <c r="BD41" s="65"/>
      <c r="BE41" s="64"/>
      <c r="BF41" s="55"/>
      <c r="BG41" s="3"/>
      <c r="BH41" s="75"/>
      <c r="BI41" s="3"/>
      <c r="BJ41" s="75"/>
      <c r="BK41" s="3"/>
      <c r="BL41" s="111">
        <v>3.1226097602937552E-3</v>
      </c>
      <c r="BM41" s="3"/>
      <c r="BN41" s="111" t="s">
        <v>154</v>
      </c>
      <c r="BO41" s="3"/>
      <c r="BP41" s="111">
        <v>0.1435572134441023</v>
      </c>
      <c r="BQ41" s="3"/>
      <c r="BR41" s="111"/>
    </row>
    <row r="42" spans="1:70" ht="15.6">
      <c r="A42" s="55" t="s">
        <v>191</v>
      </c>
      <c r="B42" s="55"/>
      <c r="C42" s="55" t="s">
        <v>243</v>
      </c>
      <c r="D42" s="56" t="s">
        <v>244</v>
      </c>
      <c r="E42" s="3"/>
      <c r="F42" s="67"/>
      <c r="G42" s="67"/>
      <c r="H42" s="3"/>
      <c r="I42" s="55"/>
      <c r="J42" s="3"/>
      <c r="K42" s="55"/>
      <c r="L42" s="3"/>
      <c r="M42" s="64">
        <f>0.15*2</f>
        <v>0.3</v>
      </c>
      <c r="N42" s="64">
        <f>0.15*2</f>
        <v>0.3</v>
      </c>
      <c r="O42" s="64">
        <f>0.15*2</f>
        <v>0.3</v>
      </c>
      <c r="P42" s="55">
        <v>0</v>
      </c>
      <c r="Q42" s="3"/>
      <c r="R42" s="110"/>
      <c r="S42" s="109"/>
      <c r="T42" s="110"/>
      <c r="U42" s="111"/>
      <c r="V42" s="3"/>
      <c r="W42" s="110"/>
      <c r="X42" s="109"/>
      <c r="Y42" s="110"/>
      <c r="Z42" s="111"/>
      <c r="AA42" s="3"/>
      <c r="AB42" s="110"/>
      <c r="AC42" s="109"/>
      <c r="AD42" s="110">
        <v>5.3004678123065391E-2</v>
      </c>
      <c r="AE42" s="111"/>
      <c r="AF42" s="3"/>
      <c r="AG42" s="110"/>
      <c r="AH42" s="109"/>
      <c r="AI42" s="110">
        <v>1.4069034255264411E-2</v>
      </c>
      <c r="AJ42" s="111"/>
      <c r="AK42" s="3"/>
      <c r="AL42" s="67"/>
      <c r="AM42" s="67"/>
      <c r="AN42" s="3"/>
      <c r="AO42" s="64"/>
      <c r="AP42" s="64"/>
      <c r="AQ42" s="3"/>
      <c r="AR42" s="64"/>
      <c r="AS42" s="64"/>
      <c r="AT42" s="3"/>
      <c r="AU42" s="64"/>
      <c r="AV42" s="64"/>
      <c r="AW42" s="3"/>
      <c r="AX42" s="64"/>
      <c r="AY42" s="65"/>
      <c r="AZ42" s="64"/>
      <c r="BA42" s="55"/>
      <c r="BB42" s="3"/>
      <c r="BC42" s="64"/>
      <c r="BD42" s="65"/>
      <c r="BE42" s="64"/>
      <c r="BF42" s="55"/>
      <c r="BG42" s="3"/>
      <c r="BH42" s="75" t="s">
        <v>154</v>
      </c>
      <c r="BI42" s="3"/>
      <c r="BJ42" s="75"/>
      <c r="BK42" s="3"/>
      <c r="BL42" s="111"/>
      <c r="BM42" s="3"/>
      <c r="BN42" s="111"/>
      <c r="BO42" s="3"/>
      <c r="BP42" s="111"/>
      <c r="BQ42" s="3"/>
      <c r="BR42" s="111"/>
    </row>
    <row r="43" spans="1:70" ht="15.6">
      <c r="A43" s="57" t="s">
        <v>191</v>
      </c>
      <c r="B43" s="57"/>
      <c r="C43" s="57" t="s">
        <v>245</v>
      </c>
      <c r="D43" s="58" t="s">
        <v>246</v>
      </c>
      <c r="E43" s="3"/>
      <c r="F43" s="62"/>
      <c r="G43" s="63"/>
      <c r="H43" s="3"/>
      <c r="I43" s="57"/>
      <c r="J43" s="3"/>
      <c r="K43" s="57"/>
      <c r="L43" s="3"/>
      <c r="M43" s="62"/>
      <c r="N43" s="63"/>
      <c r="O43" s="62"/>
      <c r="P43" s="57"/>
      <c r="Q43" s="3"/>
      <c r="R43" s="72"/>
      <c r="S43" s="73"/>
      <c r="T43" s="72"/>
      <c r="U43" s="74"/>
      <c r="V43" s="3"/>
      <c r="W43" s="72"/>
      <c r="X43" s="73"/>
      <c r="Y43" s="72"/>
      <c r="Z43" s="74"/>
      <c r="AA43" s="3"/>
      <c r="AB43" s="72"/>
      <c r="AC43" s="73"/>
      <c r="AD43" s="72">
        <v>9.453151961175886E-2</v>
      </c>
      <c r="AE43" s="74"/>
      <c r="AF43" s="3"/>
      <c r="AG43" s="72"/>
      <c r="AH43" s="73"/>
      <c r="AI43" s="72">
        <v>2.6605979820560174E-2</v>
      </c>
      <c r="AJ43" s="74"/>
      <c r="AK43" s="3"/>
      <c r="AL43" s="62"/>
      <c r="AM43" s="63"/>
      <c r="AN43" s="3"/>
      <c r="AO43" s="62"/>
      <c r="AP43" s="63"/>
      <c r="AQ43" s="3"/>
      <c r="AR43" s="62"/>
      <c r="AS43" s="63"/>
      <c r="AT43" s="3"/>
      <c r="AU43" s="62"/>
      <c r="AV43" s="63"/>
      <c r="AW43" s="3"/>
      <c r="AX43" s="62"/>
      <c r="AY43" s="63"/>
      <c r="AZ43" s="62"/>
      <c r="BA43" s="57"/>
      <c r="BB43" s="3"/>
      <c r="BC43" s="62"/>
      <c r="BD43" s="63"/>
      <c r="BE43" s="62"/>
      <c r="BF43" s="57"/>
      <c r="BG43" s="3"/>
      <c r="BH43" s="71" t="s">
        <v>154</v>
      </c>
      <c r="BI43" s="3"/>
      <c r="BJ43" s="71"/>
      <c r="BK43" s="3"/>
      <c r="BL43" s="74" t="s">
        <v>154</v>
      </c>
      <c r="BM43" s="3"/>
      <c r="BN43" s="74" t="s">
        <v>154</v>
      </c>
      <c r="BO43" s="3"/>
      <c r="BP43" s="74">
        <v>1.6516102316484323E-2</v>
      </c>
      <c r="BQ43" s="3"/>
      <c r="BR43" s="74"/>
    </row>
    <row r="44" spans="1:70" ht="15.6">
      <c r="A44" s="57" t="s">
        <v>191</v>
      </c>
      <c r="B44" s="57"/>
      <c r="C44" s="57" t="s">
        <v>245</v>
      </c>
      <c r="D44" s="58" t="s">
        <v>247</v>
      </c>
      <c r="E44" s="3"/>
      <c r="F44" s="62"/>
      <c r="G44" s="63"/>
      <c r="H44" s="3"/>
      <c r="I44" s="57"/>
      <c r="J44" s="3"/>
      <c r="K44" s="57"/>
      <c r="L44" s="3"/>
      <c r="M44" s="62"/>
      <c r="N44" s="63"/>
      <c r="O44" s="62"/>
      <c r="P44" s="57"/>
      <c r="Q44" s="3"/>
      <c r="R44" s="72"/>
      <c r="S44" s="73"/>
      <c r="T44" s="72"/>
      <c r="U44" s="74"/>
      <c r="V44" s="3"/>
      <c r="W44" s="72"/>
      <c r="X44" s="73"/>
      <c r="Y44" s="72"/>
      <c r="Z44" s="74"/>
      <c r="AA44" s="3"/>
      <c r="AB44" s="72"/>
      <c r="AC44" s="73"/>
      <c r="AD44" s="72">
        <v>0.21147969624547874</v>
      </c>
      <c r="AE44" s="74"/>
      <c r="AF44" s="3"/>
      <c r="AG44" s="72"/>
      <c r="AH44" s="73"/>
      <c r="AI44" s="72">
        <v>8.604763229771413E-2</v>
      </c>
      <c r="AJ44" s="74"/>
      <c r="AK44" s="3"/>
      <c r="AL44" s="62"/>
      <c r="AM44" s="63"/>
      <c r="AN44" s="3"/>
      <c r="AO44" s="62"/>
      <c r="AP44" s="63"/>
      <c r="AQ44" s="3"/>
      <c r="AR44" s="62"/>
      <c r="AS44" s="63"/>
      <c r="AT44" s="3"/>
      <c r="AU44" s="62"/>
      <c r="AV44" s="63"/>
      <c r="AW44" s="3"/>
      <c r="AX44" s="62"/>
      <c r="AY44" s="63"/>
      <c r="AZ44" s="62"/>
      <c r="BA44" s="57"/>
      <c r="BB44" s="3"/>
      <c r="BC44" s="62"/>
      <c r="BD44" s="63"/>
      <c r="BE44" s="62"/>
      <c r="BF44" s="57"/>
      <c r="BG44" s="3"/>
      <c r="BH44" s="71"/>
      <c r="BI44" s="3"/>
      <c r="BJ44" s="71"/>
      <c r="BK44" s="3"/>
      <c r="BL44" s="74">
        <v>8.988912592429019E-3</v>
      </c>
      <c r="BM44" s="3"/>
      <c r="BN44" s="74">
        <v>8.0544764780282607E-3</v>
      </c>
      <c r="BO44" s="3"/>
      <c r="BP44" s="74">
        <v>2.8881185058319228E-2</v>
      </c>
      <c r="BQ44" s="3"/>
      <c r="BR44" s="74"/>
    </row>
    <row r="45" spans="1:70" ht="15.6">
      <c r="A45" s="57" t="s">
        <v>191</v>
      </c>
      <c r="B45" s="57"/>
      <c r="C45" s="57" t="s">
        <v>248</v>
      </c>
      <c r="D45" s="58" t="s">
        <v>249</v>
      </c>
      <c r="E45" s="11"/>
      <c r="F45" s="62"/>
      <c r="G45" s="63"/>
      <c r="H45" s="11"/>
      <c r="I45" s="57"/>
      <c r="J45" s="11"/>
      <c r="K45" s="57"/>
      <c r="L45" s="11"/>
      <c r="M45" s="62"/>
      <c r="N45" s="63"/>
      <c r="O45" s="62"/>
      <c r="P45" s="57"/>
      <c r="Q45" s="11"/>
      <c r="R45" s="72"/>
      <c r="S45" s="73"/>
      <c r="T45" s="72"/>
      <c r="U45" s="74"/>
      <c r="V45" s="11"/>
      <c r="W45" s="72"/>
      <c r="X45" s="73"/>
      <c r="Y45" s="72"/>
      <c r="Z45" s="74"/>
      <c r="AA45" s="11"/>
      <c r="AB45" s="72"/>
      <c r="AC45" s="73"/>
      <c r="AD45" s="72"/>
      <c r="AE45" s="74"/>
      <c r="AF45" s="11"/>
      <c r="AG45" s="72"/>
      <c r="AH45" s="73"/>
      <c r="AI45" s="72"/>
      <c r="AJ45" s="74"/>
      <c r="AK45" s="11"/>
      <c r="AL45" s="62"/>
      <c r="AM45" s="63"/>
      <c r="AN45" s="11"/>
      <c r="AO45" s="62"/>
      <c r="AP45" s="63"/>
      <c r="AQ45" s="11"/>
      <c r="AR45" s="62"/>
      <c r="AS45" s="63"/>
      <c r="AT45" s="11"/>
      <c r="AU45" s="62"/>
      <c r="AV45" s="63"/>
      <c r="AW45" s="11"/>
      <c r="AX45" s="62"/>
      <c r="AY45" s="63"/>
      <c r="AZ45" s="62"/>
      <c r="BA45" s="57"/>
      <c r="BB45" s="11"/>
      <c r="BC45" s="62"/>
      <c r="BD45" s="63"/>
      <c r="BE45" s="62"/>
      <c r="BF45" s="57"/>
      <c r="BG45" s="11"/>
      <c r="BH45" s="71"/>
      <c r="BI45" s="11"/>
      <c r="BJ45" s="71"/>
      <c r="BK45" s="11"/>
      <c r="BL45" s="74"/>
      <c r="BM45" s="11"/>
      <c r="BN45" s="74"/>
      <c r="BO45" s="11"/>
      <c r="BP45" s="74"/>
      <c r="BQ45" s="11"/>
      <c r="BR45" s="74"/>
    </row>
    <row r="46" spans="1:70" ht="15.6">
      <c r="A46" s="57" t="s">
        <v>191</v>
      </c>
      <c r="B46" s="57"/>
      <c r="C46" s="57" t="s">
        <v>248</v>
      </c>
      <c r="D46" s="58" t="s">
        <v>250</v>
      </c>
      <c r="E46" s="11"/>
      <c r="F46" s="62"/>
      <c r="G46" s="63"/>
      <c r="H46" s="11"/>
      <c r="I46" s="57"/>
      <c r="J46" s="11"/>
      <c r="K46" s="57"/>
      <c r="L46" s="11"/>
      <c r="M46" s="62"/>
      <c r="N46" s="63"/>
      <c r="O46" s="62"/>
      <c r="P46" s="57"/>
      <c r="Q46" s="11"/>
      <c r="R46" s="72"/>
      <c r="S46" s="73"/>
      <c r="T46" s="72"/>
      <c r="U46" s="74"/>
      <c r="V46" s="11"/>
      <c r="W46" s="72"/>
      <c r="X46" s="73"/>
      <c r="Y46" s="72"/>
      <c r="Z46" s="74"/>
      <c r="AA46" s="11"/>
      <c r="AB46" s="72"/>
      <c r="AC46" s="73"/>
      <c r="AD46" s="72">
        <v>3.7048840844922308E-3</v>
      </c>
      <c r="AE46" s="74"/>
      <c r="AF46" s="11"/>
      <c r="AG46" s="72"/>
      <c r="AH46" s="73"/>
      <c r="AI46" s="72"/>
      <c r="AJ46" s="74"/>
      <c r="AK46" s="11"/>
      <c r="AL46" s="62"/>
      <c r="AM46" s="63"/>
      <c r="AN46" s="11"/>
      <c r="AO46" s="62"/>
      <c r="AP46" s="63"/>
      <c r="AQ46" s="11"/>
      <c r="AR46" s="62"/>
      <c r="AS46" s="63"/>
      <c r="AT46" s="11"/>
      <c r="AU46" s="62"/>
      <c r="AV46" s="63"/>
      <c r="AW46" s="11"/>
      <c r="AX46" s="62"/>
      <c r="AY46" s="63"/>
      <c r="AZ46" s="62"/>
      <c r="BA46" s="57"/>
      <c r="BB46" s="11"/>
      <c r="BC46" s="62"/>
      <c r="BD46" s="63"/>
      <c r="BE46" s="62"/>
      <c r="BF46" s="57"/>
      <c r="BG46" s="11"/>
      <c r="BH46" s="71"/>
      <c r="BI46" s="11"/>
      <c r="BJ46" s="71"/>
      <c r="BK46" s="11"/>
      <c r="BL46" s="74" t="s">
        <v>154</v>
      </c>
      <c r="BM46" s="11"/>
      <c r="BN46" s="74" t="s">
        <v>154</v>
      </c>
      <c r="BO46" s="11"/>
      <c r="BP46" s="74">
        <v>9.4669649522320862E-3</v>
      </c>
      <c r="BQ46" s="11"/>
      <c r="BR46" s="74"/>
    </row>
    <row r="47" spans="1:70" ht="15.6">
      <c r="A47" s="55" t="s">
        <v>191</v>
      </c>
      <c r="B47" s="55"/>
      <c r="C47" s="55" t="s">
        <v>251</v>
      </c>
      <c r="D47" s="56" t="s">
        <v>252</v>
      </c>
      <c r="E47" s="11"/>
      <c r="F47" s="64"/>
      <c r="G47" s="65"/>
      <c r="H47" s="11"/>
      <c r="I47" s="55"/>
      <c r="J47" s="11"/>
      <c r="K47" s="55"/>
      <c r="L47" s="11"/>
      <c r="M47" s="64"/>
      <c r="N47" s="65"/>
      <c r="O47" s="64"/>
      <c r="P47" s="55"/>
      <c r="Q47" s="11"/>
      <c r="R47" s="110"/>
      <c r="S47" s="109"/>
      <c r="T47" s="110"/>
      <c r="U47" s="111"/>
      <c r="V47" s="11"/>
      <c r="W47" s="110"/>
      <c r="X47" s="109"/>
      <c r="Y47" s="110"/>
      <c r="Z47" s="111"/>
      <c r="AA47" s="11"/>
      <c r="AB47" s="110"/>
      <c r="AC47" s="109"/>
      <c r="AD47" s="110"/>
      <c r="AE47" s="111"/>
      <c r="AF47" s="11"/>
      <c r="AG47" s="110"/>
      <c r="AH47" s="109"/>
      <c r="AI47" s="110"/>
      <c r="AJ47" s="111"/>
      <c r="AK47" s="11"/>
      <c r="AL47" s="64"/>
      <c r="AM47" s="65"/>
      <c r="AN47" s="11"/>
      <c r="AO47" s="64"/>
      <c r="AP47" s="65"/>
      <c r="AQ47" s="11"/>
      <c r="AR47" s="64"/>
      <c r="AS47" s="65"/>
      <c r="AT47" s="11"/>
      <c r="AU47" s="64"/>
      <c r="AV47" s="65"/>
      <c r="AW47" s="11"/>
      <c r="AX47" s="64"/>
      <c r="AY47" s="65"/>
      <c r="AZ47" s="64"/>
      <c r="BA47" s="55"/>
      <c r="BB47" s="11"/>
      <c r="BC47" s="64"/>
      <c r="BD47" s="65"/>
      <c r="BE47" s="64"/>
      <c r="BF47" s="55"/>
      <c r="BG47" s="11"/>
      <c r="BH47" s="75"/>
      <c r="BI47" s="11"/>
      <c r="BJ47" s="75"/>
      <c r="BK47" s="11"/>
      <c r="BL47" s="111"/>
      <c r="BM47" s="11"/>
      <c r="BN47" s="111"/>
      <c r="BO47" s="11"/>
      <c r="BP47" s="111"/>
      <c r="BQ47" s="11"/>
      <c r="BR47" s="111"/>
    </row>
    <row r="48" spans="1:70" ht="15.6">
      <c r="A48" s="55" t="s">
        <v>191</v>
      </c>
      <c r="B48" s="55"/>
      <c r="C48" s="55" t="s">
        <v>251</v>
      </c>
      <c r="D48" s="56" t="s">
        <v>253</v>
      </c>
      <c r="E48" s="11"/>
      <c r="F48" s="64"/>
      <c r="G48" s="65"/>
      <c r="H48" s="11"/>
      <c r="I48" s="55"/>
      <c r="J48" s="11"/>
      <c r="K48" s="55"/>
      <c r="L48" s="11"/>
      <c r="M48" s="64"/>
      <c r="N48" s="65"/>
      <c r="O48" s="64"/>
      <c r="P48" s="55"/>
      <c r="Q48" s="11"/>
      <c r="R48" s="110"/>
      <c r="S48" s="109"/>
      <c r="T48" s="110"/>
      <c r="U48" s="111"/>
      <c r="V48" s="11"/>
      <c r="W48" s="110"/>
      <c r="X48" s="109"/>
      <c r="Y48" s="110"/>
      <c r="Z48" s="111"/>
      <c r="AA48" s="11"/>
      <c r="AB48" s="110"/>
      <c r="AC48" s="109"/>
      <c r="AD48" s="110">
        <v>0.34453869738083054</v>
      </c>
      <c r="AE48" s="111"/>
      <c r="AF48" s="11"/>
      <c r="AG48" s="110"/>
      <c r="AH48" s="109"/>
      <c r="AI48" s="110">
        <v>7.5516590814578372E-2</v>
      </c>
      <c r="AJ48" s="111"/>
      <c r="AK48" s="11"/>
      <c r="AL48" s="64"/>
      <c r="AM48" s="65"/>
      <c r="AN48" s="11"/>
      <c r="AO48" s="64"/>
      <c r="AP48" s="65"/>
      <c r="AQ48" s="11"/>
      <c r="AR48" s="64"/>
      <c r="AS48" s="65"/>
      <c r="AT48" s="11"/>
      <c r="AU48" s="64"/>
      <c r="AV48" s="65"/>
      <c r="AW48" s="11"/>
      <c r="AX48" s="64"/>
      <c r="AY48" s="65"/>
      <c r="AZ48" s="64"/>
      <c r="BA48" s="55"/>
      <c r="BB48" s="11"/>
      <c r="BC48" s="64"/>
      <c r="BD48" s="65"/>
      <c r="BE48" s="64"/>
      <c r="BF48" s="55"/>
      <c r="BG48" s="11"/>
      <c r="BH48" s="75"/>
      <c r="BI48" s="11"/>
      <c r="BJ48" s="75"/>
      <c r="BK48" s="11"/>
      <c r="BL48" s="111" t="s">
        <v>154</v>
      </c>
      <c r="BM48" s="11"/>
      <c r="BN48" s="111" t="s">
        <v>154</v>
      </c>
      <c r="BO48" s="11"/>
      <c r="BP48" s="111" t="s">
        <v>154</v>
      </c>
      <c r="BQ48" s="11"/>
      <c r="BR48" s="111"/>
    </row>
    <row r="49" spans="1:70">
      <c r="A49" s="55" t="s">
        <v>191</v>
      </c>
      <c r="B49" s="55"/>
      <c r="C49" s="55" t="s">
        <v>254</v>
      </c>
      <c r="D49" s="56" t="s">
        <v>255</v>
      </c>
      <c r="E49" s="11"/>
      <c r="F49" s="64"/>
      <c r="G49" s="65"/>
      <c r="H49" s="11"/>
      <c r="I49" s="55"/>
      <c r="J49" s="11"/>
      <c r="K49" s="55"/>
      <c r="L49" s="11"/>
      <c r="M49" s="64"/>
      <c r="N49" s="65"/>
      <c r="O49" s="64"/>
      <c r="P49" s="55"/>
      <c r="Q49" s="11"/>
      <c r="R49" s="110"/>
      <c r="S49" s="109"/>
      <c r="T49" s="110"/>
      <c r="U49" s="111"/>
      <c r="V49" s="11"/>
      <c r="W49" s="110"/>
      <c r="X49" s="109"/>
      <c r="Y49" s="110"/>
      <c r="Z49" s="111"/>
      <c r="AA49" s="11"/>
      <c r="AB49" s="110"/>
      <c r="AC49" s="109"/>
      <c r="AD49" s="110"/>
      <c r="AE49" s="111"/>
      <c r="AF49" s="11"/>
      <c r="AG49" s="110"/>
      <c r="AH49" s="109"/>
      <c r="AI49" s="110"/>
      <c r="AJ49" s="111"/>
      <c r="AK49" s="11"/>
      <c r="AL49" s="64"/>
      <c r="AM49" s="65"/>
      <c r="AN49" s="11"/>
      <c r="AO49" s="64"/>
      <c r="AP49" s="64"/>
      <c r="AQ49" s="11"/>
      <c r="AR49" s="64"/>
      <c r="AS49" s="64"/>
      <c r="AT49" s="11"/>
      <c r="AU49" s="64"/>
      <c r="AV49" s="64"/>
      <c r="AW49" s="11"/>
      <c r="AX49" s="64"/>
      <c r="AY49" s="65"/>
      <c r="AZ49" s="64"/>
      <c r="BA49" s="55"/>
      <c r="BB49" s="11"/>
      <c r="BC49" s="64"/>
      <c r="BD49" s="65"/>
      <c r="BE49" s="64"/>
      <c r="BF49" s="55"/>
      <c r="BG49" s="11"/>
      <c r="BH49" s="75" t="s">
        <v>256</v>
      </c>
      <c r="BI49" s="11"/>
      <c r="BJ49" s="75"/>
      <c r="BK49" s="11"/>
      <c r="BL49" s="111"/>
      <c r="BM49" s="11"/>
      <c r="BN49" s="111"/>
      <c r="BO49" s="11"/>
      <c r="BP49" s="111"/>
      <c r="BQ49" s="11"/>
      <c r="BR49" s="111"/>
    </row>
    <row r="50" spans="1:70">
      <c r="A50" s="55" t="s">
        <v>191</v>
      </c>
      <c r="B50" s="55"/>
      <c r="C50" s="55" t="s">
        <v>257</v>
      </c>
      <c r="D50" s="56" t="s">
        <v>258</v>
      </c>
      <c r="E50" s="11"/>
      <c r="F50" s="64"/>
      <c r="G50" s="65"/>
      <c r="H50" s="11"/>
      <c r="I50" s="55"/>
      <c r="J50" s="11"/>
      <c r="K50" s="55"/>
      <c r="L50" s="11"/>
      <c r="M50" s="64"/>
      <c r="N50" s="65"/>
      <c r="O50" s="64"/>
      <c r="P50" s="55"/>
      <c r="Q50" s="11"/>
      <c r="R50" s="110"/>
      <c r="S50" s="109"/>
      <c r="T50" s="110"/>
      <c r="U50" s="111"/>
      <c r="V50" s="11"/>
      <c r="W50" s="110"/>
      <c r="X50" s="109"/>
      <c r="Y50" s="110"/>
      <c r="Z50" s="111"/>
      <c r="AA50" s="11"/>
      <c r="AB50" s="110"/>
      <c r="AC50" s="109"/>
      <c r="AD50" s="110"/>
      <c r="AE50" s="111"/>
      <c r="AF50" s="11"/>
      <c r="AG50" s="110"/>
      <c r="AH50" s="109"/>
      <c r="AI50" s="110"/>
      <c r="AJ50" s="111"/>
      <c r="AK50" s="11"/>
      <c r="AL50" s="64"/>
      <c r="AM50" s="65"/>
      <c r="AN50" s="11"/>
      <c r="AO50" s="64">
        <f>0.115*2</f>
        <v>0.23</v>
      </c>
      <c r="AP50" s="64">
        <f>0.115*2</f>
        <v>0.23</v>
      </c>
      <c r="AQ50" s="11"/>
      <c r="AR50" s="64">
        <f>0.249*2</f>
        <v>0.498</v>
      </c>
      <c r="AS50" s="64">
        <f>0.249*2</f>
        <v>0.498</v>
      </c>
      <c r="AT50" s="11"/>
      <c r="AU50" s="64">
        <f>0.477*2</f>
        <v>0.95399999999999996</v>
      </c>
      <c r="AV50" s="64">
        <f>0.477*2</f>
        <v>0.95399999999999996</v>
      </c>
      <c r="AW50" s="11"/>
      <c r="AX50" s="64"/>
      <c r="AY50" s="65"/>
      <c r="AZ50" s="64"/>
      <c r="BA50" s="55"/>
      <c r="BB50" s="11"/>
      <c r="BC50" s="64"/>
      <c r="BD50" s="65"/>
      <c r="BE50" s="64"/>
      <c r="BF50" s="55"/>
      <c r="BG50" s="11"/>
      <c r="BH50" s="75"/>
      <c r="BI50" s="11"/>
      <c r="BJ50" s="75"/>
      <c r="BK50" s="11"/>
      <c r="BL50" s="111"/>
      <c r="BM50" s="11"/>
      <c r="BN50" s="111"/>
      <c r="BO50" s="11"/>
      <c r="BP50" s="111"/>
      <c r="BQ50" s="11"/>
      <c r="BR50" s="111"/>
    </row>
    <row r="51" spans="1:70" ht="15.95" thickBot="1">
      <c r="A51" s="103" t="s">
        <v>191</v>
      </c>
      <c r="B51" s="103"/>
      <c r="C51" s="103" t="s">
        <v>259</v>
      </c>
      <c r="D51" s="104" t="s">
        <v>260</v>
      </c>
      <c r="E51" s="11"/>
      <c r="F51" s="105"/>
      <c r="G51" s="106"/>
      <c r="H51" s="11"/>
      <c r="I51" s="103"/>
      <c r="J51" s="11"/>
      <c r="K51" s="103"/>
      <c r="L51" s="11"/>
      <c r="M51" s="105"/>
      <c r="N51" s="106"/>
      <c r="O51" s="105"/>
      <c r="P51" s="103"/>
      <c r="Q51" s="11"/>
      <c r="R51" s="140"/>
      <c r="S51" s="141"/>
      <c r="T51" s="140"/>
      <c r="U51" s="139"/>
      <c r="V51" s="11"/>
      <c r="W51" s="140"/>
      <c r="X51" s="141"/>
      <c r="Y51" s="140"/>
      <c r="Z51" s="139"/>
      <c r="AA51" s="11"/>
      <c r="AB51" s="140"/>
      <c r="AC51" s="141"/>
      <c r="AD51" s="140"/>
      <c r="AE51" s="139"/>
      <c r="AF51" s="11"/>
      <c r="AG51" s="140"/>
      <c r="AH51" s="141"/>
      <c r="AI51" s="140"/>
      <c r="AJ51" s="139"/>
      <c r="AK51" s="11"/>
      <c r="AL51" s="105"/>
      <c r="AM51" s="106"/>
      <c r="AN51" s="11"/>
      <c r="AO51" s="105"/>
      <c r="AP51" s="106"/>
      <c r="AQ51" s="11"/>
      <c r="AR51" s="105"/>
      <c r="AS51" s="106"/>
      <c r="AT51" s="11"/>
      <c r="AU51" s="105"/>
      <c r="AV51" s="106"/>
      <c r="AW51" s="11"/>
      <c r="AX51" s="105"/>
      <c r="AY51" s="106"/>
      <c r="AZ51" s="105"/>
      <c r="BA51" s="103"/>
      <c r="BB51" s="11"/>
      <c r="BC51" s="105"/>
      <c r="BD51" s="106"/>
      <c r="BE51" s="105"/>
      <c r="BF51" s="103"/>
      <c r="BG51" s="11"/>
      <c r="BH51" s="164"/>
      <c r="BI51" s="11"/>
      <c r="BJ51" s="164"/>
      <c r="BK51" s="11"/>
      <c r="BL51" s="139"/>
      <c r="BM51" s="11"/>
      <c r="BN51" s="139"/>
      <c r="BO51" s="11"/>
      <c r="BP51" s="139"/>
      <c r="BQ51" s="11"/>
      <c r="BR51" s="139"/>
    </row>
    <row r="52" spans="1:70" ht="15" thickBot="1">
      <c r="A52" s="240" t="s">
        <v>261</v>
      </c>
      <c r="B52" s="240"/>
      <c r="C52" s="240"/>
      <c r="D52" s="240"/>
      <c r="E52" s="39"/>
      <c r="F52" s="38">
        <f>SUM(F17:F51)</f>
        <v>32</v>
      </c>
      <c r="G52" s="38">
        <f>SUM(G17:G51)</f>
        <v>169</v>
      </c>
      <c r="H52" s="39"/>
      <c r="I52" s="38">
        <f>SUM(I17:I51)</f>
        <v>300</v>
      </c>
      <c r="J52" s="39"/>
      <c r="K52" s="38">
        <f>SUM(K17:K51)</f>
        <v>300</v>
      </c>
      <c r="L52" s="39"/>
      <c r="M52" s="38">
        <f>SUM(M17:M51)</f>
        <v>1482.2699999999995</v>
      </c>
      <c r="N52" s="38">
        <f>SUM(N17:N51)</f>
        <v>6592.1400000000012</v>
      </c>
      <c r="O52" s="38">
        <f>SUM(O17:O51)</f>
        <v>3092.52</v>
      </c>
      <c r="P52" s="38"/>
      <c r="Q52" s="39"/>
      <c r="R52" s="38">
        <f>SUM(R17:R51)</f>
        <v>0</v>
      </c>
      <c r="S52" s="38">
        <f>SUM(S17:S51)</f>
        <v>0</v>
      </c>
      <c r="T52" s="38">
        <f>SUM(T17:T51)</f>
        <v>65.703000000000003</v>
      </c>
      <c r="U52" s="38"/>
      <c r="V52" s="39"/>
      <c r="W52" s="38">
        <f>SUM(W17:W51)</f>
        <v>0</v>
      </c>
      <c r="X52" s="38">
        <f>SUM(X17:X51)</f>
        <v>0</v>
      </c>
      <c r="Y52" s="38">
        <f>SUM(Y17:Y51)</f>
        <v>0.151</v>
      </c>
      <c r="Z52" s="38"/>
      <c r="AA52" s="39"/>
      <c r="AB52" s="38">
        <f>SUM(AB17:AB51)</f>
        <v>400</v>
      </c>
      <c r="AC52" s="38">
        <f>SUM(AC17:AC51)</f>
        <v>1000</v>
      </c>
      <c r="AD52" s="38">
        <f>SUM(AD17:AD51)</f>
        <v>701.12288101002889</v>
      </c>
      <c r="AE52" s="38"/>
      <c r="AF52" s="39"/>
      <c r="AG52" s="38">
        <f>SUM(AG17:AG51)</f>
        <v>4</v>
      </c>
      <c r="AH52" s="38">
        <f>SUM(AH17:AH51)</f>
        <v>10</v>
      </c>
      <c r="AI52" s="38">
        <f>SUM(AI17:AI51)</f>
        <v>9.8947526338464051</v>
      </c>
      <c r="AJ52" s="38"/>
      <c r="AK52" s="39"/>
      <c r="AL52" s="38">
        <f>SUM(AL17:AL51)</f>
        <v>500</v>
      </c>
      <c r="AM52" s="38">
        <f>SUM(AM17:AM51)</f>
        <v>1000</v>
      </c>
      <c r="AN52" s="39"/>
      <c r="AO52" s="38">
        <f>SUM(AO17:AO51)</f>
        <v>272.28930000000008</v>
      </c>
      <c r="AP52" s="38">
        <f>SUM(AP17:AP51)</f>
        <v>3178.2892999999999</v>
      </c>
      <c r="AQ52" s="39"/>
      <c r="AR52" s="38">
        <f>SUM(AR17:AR51)</f>
        <v>19.174000000000003</v>
      </c>
      <c r="AS52" s="38">
        <f>SUM(AS17:AS51)</f>
        <v>1580.174</v>
      </c>
      <c r="AT52" s="39"/>
      <c r="AU52" s="38">
        <f>SUM(AU17:AU51)</f>
        <v>31.916000000000007</v>
      </c>
      <c r="AV52" s="38">
        <f>SUM(AV17:AV51)</f>
        <v>74.915999999999983</v>
      </c>
      <c r="AW52" s="39"/>
      <c r="AX52" s="38">
        <f>SUM(AX17:AX51)</f>
        <v>620</v>
      </c>
      <c r="AY52" s="38">
        <f>SUM(AY17:AY51)</f>
        <v>1270</v>
      </c>
      <c r="AZ52" s="38">
        <f>SUM(AZ17:AZ51)</f>
        <v>904.99999999999966</v>
      </c>
      <c r="BA52" s="38"/>
      <c r="BB52" s="39"/>
      <c r="BC52" s="38">
        <f>SUM(BC17:BC51)</f>
        <v>0</v>
      </c>
      <c r="BD52" s="38">
        <f>SUM(BD17:BD51)</f>
        <v>0</v>
      </c>
      <c r="BE52" s="38">
        <f>SUM(BE17:BE51)</f>
        <v>0</v>
      </c>
      <c r="BF52" s="38"/>
      <c r="BG52" s="39"/>
      <c r="BH52" s="38">
        <f>SUM(BH17:BH51)</f>
        <v>460</v>
      </c>
      <c r="BI52" s="39"/>
      <c r="BJ52" s="38">
        <f>SUM(BJ17:BJ51)</f>
        <v>250</v>
      </c>
      <c r="BK52" s="39"/>
      <c r="BL52" s="38">
        <f>SUM(BL17:BL51)</f>
        <v>18.700755427785204</v>
      </c>
      <c r="BM52" s="39"/>
      <c r="BN52" s="38">
        <f>SUM(BN17:BN51)</f>
        <v>2.3317666029656721</v>
      </c>
      <c r="BO52" s="39"/>
      <c r="BP52" s="38">
        <f>SUM(BP17:BP51)</f>
        <v>62.354887287482043</v>
      </c>
      <c r="BQ52" s="39"/>
      <c r="BR52" s="38">
        <f>SUM(BR17:BR51)</f>
        <v>18.600000000000001</v>
      </c>
    </row>
    <row r="53" spans="1:70" ht="15" thickBot="1">
      <c r="A53" s="240" t="s">
        <v>262</v>
      </c>
      <c r="B53" s="240"/>
      <c r="C53" s="240"/>
      <c r="D53" s="240"/>
      <c r="E53" s="17"/>
      <c r="F53" s="165">
        <f>F52-F17</f>
        <v>0</v>
      </c>
      <c r="G53" s="165">
        <f t="shared" ref="G53:BP53" si="0">G52-G17</f>
        <v>0</v>
      </c>
      <c r="H53" s="165"/>
      <c r="I53" s="165">
        <f t="shared" si="0"/>
        <v>0</v>
      </c>
      <c r="J53" s="165"/>
      <c r="K53" s="165">
        <f t="shared" si="0"/>
        <v>0</v>
      </c>
      <c r="L53" s="165"/>
      <c r="M53" s="165">
        <f t="shared" si="0"/>
        <v>2.2699999999995271</v>
      </c>
      <c r="N53" s="165">
        <f t="shared" si="0"/>
        <v>22.140000000001237</v>
      </c>
      <c r="O53" s="165">
        <f t="shared" si="0"/>
        <v>7.5199999999999818</v>
      </c>
      <c r="P53" s="165"/>
      <c r="Q53" s="165"/>
      <c r="R53" s="165">
        <f t="shared" si="0"/>
        <v>0</v>
      </c>
      <c r="S53" s="165">
        <f t="shared" si="0"/>
        <v>0</v>
      </c>
      <c r="T53" s="165">
        <f t="shared" si="0"/>
        <v>0.4030000000000058</v>
      </c>
      <c r="U53" s="165">
        <f t="shared" si="0"/>
        <v>0</v>
      </c>
      <c r="V53" s="165"/>
      <c r="W53" s="165">
        <f t="shared" si="0"/>
        <v>0</v>
      </c>
      <c r="X53" s="165">
        <f t="shared" si="0"/>
        <v>0</v>
      </c>
      <c r="Y53" s="165">
        <f t="shared" si="0"/>
        <v>0.151</v>
      </c>
      <c r="Z53" s="165">
        <f t="shared" si="0"/>
        <v>0</v>
      </c>
      <c r="AA53" s="165"/>
      <c r="AB53" s="165">
        <f t="shared" si="0"/>
        <v>0</v>
      </c>
      <c r="AC53" s="165">
        <f t="shared" si="0"/>
        <v>0</v>
      </c>
      <c r="AD53" s="165">
        <f t="shared" si="0"/>
        <v>1.1228810100288911</v>
      </c>
      <c r="AE53" s="165">
        <f t="shared" si="0"/>
        <v>0</v>
      </c>
      <c r="AF53" s="165"/>
      <c r="AG53" s="165">
        <f t="shared" si="0"/>
        <v>0</v>
      </c>
      <c r="AH53" s="165">
        <f t="shared" si="0"/>
        <v>0</v>
      </c>
      <c r="AI53" s="165">
        <f t="shared" si="0"/>
        <v>2.8947526338464051</v>
      </c>
      <c r="AJ53" s="165">
        <f t="shared" si="0"/>
        <v>0</v>
      </c>
      <c r="AK53" s="165"/>
      <c r="AL53" s="165">
        <f t="shared" si="0"/>
        <v>0</v>
      </c>
      <c r="AM53" s="165">
        <f t="shared" si="0"/>
        <v>0</v>
      </c>
      <c r="AN53" s="165"/>
      <c r="AO53" s="165">
        <f t="shared" si="0"/>
        <v>4.2893000000000825</v>
      </c>
      <c r="AP53" s="165">
        <f t="shared" si="0"/>
        <v>4.289299999999912</v>
      </c>
      <c r="AQ53" s="165"/>
      <c r="AR53" s="165">
        <f t="shared" si="0"/>
        <v>8.174000000000003</v>
      </c>
      <c r="AS53" s="165">
        <f t="shared" si="0"/>
        <v>8.1739999999999782</v>
      </c>
      <c r="AT53" s="165"/>
      <c r="AU53" s="165">
        <f t="shared" si="0"/>
        <v>10.916000000000007</v>
      </c>
      <c r="AV53" s="165">
        <f t="shared" si="0"/>
        <v>10.915999999999983</v>
      </c>
      <c r="AW53" s="165"/>
      <c r="AX53" s="165">
        <f t="shared" si="0"/>
        <v>0</v>
      </c>
      <c r="AY53" s="165">
        <f t="shared" si="0"/>
        <v>0</v>
      </c>
      <c r="AZ53" s="165">
        <f t="shared" si="0"/>
        <v>0</v>
      </c>
      <c r="BA53" s="165"/>
      <c r="BB53" s="165"/>
      <c r="BC53" s="165"/>
      <c r="BD53" s="165"/>
      <c r="BE53" s="165"/>
      <c r="BF53" s="165"/>
      <c r="BG53" s="165"/>
      <c r="BH53" s="165">
        <f t="shared" si="0"/>
        <v>0</v>
      </c>
      <c r="BI53" s="165"/>
      <c r="BJ53" s="165">
        <f t="shared" si="0"/>
        <v>0</v>
      </c>
      <c r="BK53" s="165"/>
      <c r="BL53" s="165">
        <f t="shared" si="0"/>
        <v>0.70075542778520372</v>
      </c>
      <c r="BM53" s="165"/>
      <c r="BN53" s="165">
        <f t="shared" si="0"/>
        <v>0.33176660296567206</v>
      </c>
      <c r="BO53" s="165"/>
      <c r="BP53" s="165">
        <f t="shared" si="0"/>
        <v>1.5548872874820461</v>
      </c>
      <c r="BQ53" s="165"/>
      <c r="BR53" s="165">
        <f t="shared" ref="BR53" si="1">BR52-BR17</f>
        <v>0</v>
      </c>
    </row>
    <row r="54" spans="1:70">
      <c r="J54" s="18"/>
      <c r="K54" s="19"/>
      <c r="L54" s="18"/>
      <c r="M54" s="19"/>
      <c r="N54" s="19"/>
      <c r="O54" s="19"/>
      <c r="P54" s="19"/>
      <c r="Q54" s="18"/>
      <c r="R54" s="37"/>
      <c r="S54" s="37"/>
      <c r="T54" s="37"/>
      <c r="U54" s="37"/>
      <c r="V54" s="18"/>
      <c r="W54" s="37"/>
      <c r="X54" s="37"/>
      <c r="Y54" s="37"/>
      <c r="Z54" s="37"/>
      <c r="AA54" s="18"/>
      <c r="AB54" s="37"/>
      <c r="AC54" s="37"/>
      <c r="AD54" s="37"/>
      <c r="AE54" s="37"/>
      <c r="AF54" s="18"/>
      <c r="AG54" s="37"/>
      <c r="AH54" s="37"/>
      <c r="AI54" s="37"/>
      <c r="AJ54" s="37"/>
      <c r="AK54" s="18"/>
      <c r="AL54" s="19"/>
      <c r="AM54" s="19"/>
      <c r="AN54" s="18"/>
      <c r="AO54" s="19"/>
      <c r="AP54" s="19"/>
      <c r="AQ54" s="18"/>
      <c r="AR54" s="19"/>
      <c r="AS54" s="19"/>
      <c r="AT54" s="18"/>
      <c r="AU54" s="19"/>
      <c r="AV54" s="19"/>
      <c r="AW54" s="18"/>
      <c r="AX54" s="19"/>
      <c r="AY54" s="19"/>
      <c r="AZ54" s="19"/>
      <c r="BA54" s="19"/>
      <c r="BB54" s="18"/>
      <c r="BC54" s="37"/>
      <c r="BD54" s="37"/>
      <c r="BE54" s="37"/>
      <c r="BF54" s="37"/>
      <c r="BG54" s="18"/>
      <c r="BH54" s="19"/>
      <c r="BI54" s="18"/>
      <c r="BJ54" s="19"/>
      <c r="BK54" s="18"/>
      <c r="BL54" s="19"/>
      <c r="BM54" s="18"/>
      <c r="BN54" s="19"/>
      <c r="BO54" s="18"/>
      <c r="BP54" s="19"/>
      <c r="BQ54" s="18"/>
    </row>
    <row r="55" spans="1:70">
      <c r="J55" s="18"/>
      <c r="K55" s="19"/>
      <c r="L55" s="18"/>
      <c r="M55" s="19"/>
      <c r="N55" s="19"/>
      <c r="O55" s="19"/>
      <c r="P55" s="19"/>
      <c r="Q55" s="18"/>
      <c r="R55" s="19"/>
      <c r="S55" s="19"/>
      <c r="T55" s="19"/>
      <c r="U55" s="19"/>
      <c r="V55" s="18"/>
      <c r="W55" s="19"/>
      <c r="X55" s="19"/>
      <c r="Y55" s="19"/>
      <c r="Z55" s="19"/>
      <c r="AA55" s="18"/>
      <c r="AB55" s="19"/>
      <c r="AC55" s="19"/>
      <c r="AD55" s="19"/>
      <c r="AE55" s="19"/>
      <c r="AF55" s="18"/>
      <c r="AG55" s="19"/>
      <c r="AH55" s="19"/>
      <c r="AI55" s="19"/>
      <c r="AJ55" s="19"/>
      <c r="AK55" s="18"/>
      <c r="AL55" s="19"/>
      <c r="AM55" s="19"/>
      <c r="AN55" s="18"/>
      <c r="AO55" s="19"/>
      <c r="AP55" s="19"/>
      <c r="AQ55" s="18"/>
      <c r="AR55" s="19"/>
      <c r="AS55" s="19"/>
      <c r="AT55" s="18"/>
      <c r="AU55" s="19"/>
      <c r="AV55" s="19"/>
      <c r="AW55" s="18"/>
      <c r="AX55" s="19"/>
      <c r="AY55" s="19"/>
      <c r="AZ55" s="19"/>
      <c r="BA55" s="19"/>
      <c r="BB55" s="18"/>
      <c r="BC55" s="19"/>
      <c r="BD55" s="19"/>
      <c r="BE55" s="19"/>
      <c r="BF55" s="19"/>
      <c r="BG55" s="18"/>
      <c r="BH55" s="19"/>
      <c r="BI55" s="18"/>
      <c r="BJ55" s="19"/>
      <c r="BK55" s="18"/>
      <c r="BL55" s="19"/>
      <c r="BM55" s="18"/>
      <c r="BN55" s="19"/>
      <c r="BO55" s="18"/>
      <c r="BP55" s="19"/>
      <c r="BQ55" s="18"/>
    </row>
    <row r="56" spans="1:70">
      <c r="J56" s="18"/>
      <c r="K56" s="19"/>
      <c r="L56" s="18"/>
      <c r="M56" s="19"/>
      <c r="N56" s="19"/>
      <c r="O56" s="19"/>
      <c r="P56" s="19"/>
      <c r="Q56" s="18"/>
      <c r="R56" s="19"/>
      <c r="S56" s="19"/>
      <c r="T56" s="19"/>
      <c r="U56" s="19"/>
      <c r="V56" s="18"/>
      <c r="W56" s="19"/>
      <c r="X56" s="19"/>
      <c r="Y56" s="19"/>
      <c r="Z56" s="19"/>
      <c r="AA56" s="18"/>
      <c r="AB56" s="19"/>
      <c r="AC56" s="19"/>
      <c r="AD56" s="19"/>
      <c r="AE56" s="19"/>
      <c r="AF56" s="18"/>
      <c r="AG56" s="19"/>
      <c r="AH56" s="19"/>
      <c r="AI56" s="19"/>
      <c r="AJ56" s="19"/>
      <c r="AK56" s="18"/>
      <c r="AL56" s="19"/>
      <c r="AM56" s="19"/>
      <c r="AN56" s="18"/>
      <c r="AO56" s="19"/>
      <c r="AP56" s="19"/>
      <c r="AQ56" s="18"/>
      <c r="AR56" s="19"/>
      <c r="AS56" s="19"/>
      <c r="AT56" s="18"/>
      <c r="AU56" s="19"/>
      <c r="AV56" s="19"/>
      <c r="AW56" s="18"/>
      <c r="AX56" s="19"/>
      <c r="AY56" s="19"/>
      <c r="AZ56" s="19"/>
      <c r="BA56" s="19"/>
      <c r="BB56" s="18"/>
      <c r="BC56" s="19"/>
      <c r="BD56" s="19"/>
      <c r="BE56" s="19"/>
      <c r="BF56" s="19"/>
      <c r="BG56" s="18"/>
      <c r="BH56" s="19"/>
      <c r="BI56" s="18"/>
      <c r="BJ56" s="19"/>
      <c r="BK56" s="18"/>
      <c r="BL56" s="19"/>
      <c r="BM56" s="18"/>
      <c r="BN56" s="19"/>
      <c r="BO56" s="18"/>
      <c r="BP56" s="19"/>
      <c r="BQ56" s="18"/>
    </row>
    <row r="57" spans="1:70">
      <c r="J57" s="18"/>
      <c r="K57" s="19"/>
      <c r="L57" s="18"/>
      <c r="M57" s="19"/>
      <c r="N57" s="19"/>
      <c r="O57" s="19"/>
      <c r="P57" s="19"/>
      <c r="Q57" s="18"/>
      <c r="R57" s="19"/>
      <c r="S57" s="19"/>
      <c r="T57" s="19"/>
      <c r="U57" s="19"/>
      <c r="V57" s="18"/>
      <c r="W57" s="19"/>
      <c r="X57" s="19"/>
      <c r="Y57" s="19"/>
      <c r="Z57" s="19"/>
      <c r="AA57" s="18"/>
      <c r="AB57" s="19"/>
      <c r="AC57" s="19"/>
      <c r="AD57" s="19"/>
      <c r="AE57" s="19"/>
      <c r="AF57" s="18"/>
      <c r="AG57" s="19"/>
      <c r="AH57" s="19"/>
      <c r="AI57" s="19"/>
      <c r="AJ57" s="19"/>
      <c r="AK57" s="18"/>
      <c r="AL57" s="19"/>
      <c r="AM57" s="19"/>
      <c r="AN57" s="18"/>
      <c r="AO57" s="19"/>
      <c r="AP57" s="19"/>
      <c r="AQ57" s="18"/>
      <c r="AR57" s="19"/>
      <c r="AS57" s="19"/>
      <c r="AT57" s="18"/>
      <c r="AU57" s="19"/>
      <c r="AV57" s="19"/>
      <c r="AW57" s="18"/>
      <c r="AX57" s="19"/>
      <c r="AY57" s="19"/>
      <c r="AZ57" s="19"/>
      <c r="BA57" s="19"/>
      <c r="BB57" s="18"/>
      <c r="BC57" s="19"/>
      <c r="BD57" s="19"/>
      <c r="BE57" s="19"/>
      <c r="BF57" s="19"/>
      <c r="BG57" s="18"/>
      <c r="BH57" s="19"/>
      <c r="BI57" s="18"/>
      <c r="BJ57" s="19"/>
      <c r="BK57" s="18"/>
      <c r="BL57" s="19"/>
      <c r="BM57" s="18"/>
      <c r="BN57" s="19"/>
      <c r="BO57" s="18"/>
      <c r="BP57" s="19"/>
      <c r="BQ57" s="18"/>
    </row>
    <row r="58" spans="1:70">
      <c r="J58" s="18"/>
      <c r="K58" s="19"/>
      <c r="L58" s="18"/>
      <c r="M58" s="19"/>
      <c r="N58" s="19"/>
      <c r="O58" s="19"/>
      <c r="P58" s="19"/>
      <c r="Q58" s="18"/>
      <c r="R58" s="19"/>
      <c r="S58" s="19"/>
      <c r="T58" s="19"/>
      <c r="U58" s="19"/>
      <c r="V58" s="18"/>
      <c r="W58" s="19"/>
      <c r="X58" s="19"/>
      <c r="Y58" s="19"/>
      <c r="Z58" s="19"/>
      <c r="AA58" s="18"/>
      <c r="AB58" s="19"/>
      <c r="AC58" s="19"/>
      <c r="AD58" s="19"/>
      <c r="AE58" s="19"/>
      <c r="AF58" s="18"/>
      <c r="AG58" s="19"/>
      <c r="AH58" s="19"/>
      <c r="AI58" s="19"/>
      <c r="AJ58" s="19"/>
      <c r="AK58" s="18"/>
      <c r="AL58" s="19"/>
      <c r="AM58" s="19"/>
      <c r="AN58" s="18"/>
      <c r="AO58" s="19"/>
      <c r="AP58" s="19"/>
      <c r="AQ58" s="18"/>
      <c r="AR58" s="19"/>
      <c r="AS58" s="19"/>
      <c r="AT58" s="18"/>
      <c r="AU58" s="19"/>
      <c r="AV58" s="19"/>
      <c r="AW58" s="18"/>
      <c r="AX58" s="19"/>
      <c r="AY58" s="19"/>
      <c r="AZ58" s="19"/>
      <c r="BA58" s="19"/>
      <c r="BB58" s="18"/>
      <c r="BC58" s="19"/>
      <c r="BD58" s="19"/>
      <c r="BE58" s="19"/>
      <c r="BF58" s="19"/>
      <c r="BG58" s="18"/>
      <c r="BH58" s="19"/>
      <c r="BI58" s="18"/>
      <c r="BJ58" s="19"/>
      <c r="BK58" s="18"/>
      <c r="BL58" s="19"/>
      <c r="BM58" s="18"/>
      <c r="BN58" s="19"/>
      <c r="BO58" s="18"/>
      <c r="BP58" s="19"/>
      <c r="BQ58" s="18"/>
    </row>
    <row r="59" spans="1:70">
      <c r="J59" s="18"/>
      <c r="L59" s="18"/>
      <c r="Q59" s="18"/>
      <c r="V59" s="18"/>
      <c r="AA59" s="18"/>
      <c r="AF59" s="18"/>
      <c r="AK59" s="18"/>
      <c r="AN59" s="18"/>
      <c r="AQ59" s="18"/>
      <c r="AT59" s="18"/>
      <c r="AW59" s="18"/>
      <c r="BB59" s="18"/>
      <c r="BG59" s="18"/>
      <c r="BI59" s="18"/>
      <c r="BK59" s="18"/>
      <c r="BM59" s="18"/>
      <c r="BO59" s="18"/>
      <c r="BQ59" s="18"/>
    </row>
    <row r="60" spans="1:70">
      <c r="E60" s="18"/>
      <c r="H60" s="18"/>
      <c r="J60" s="18"/>
      <c r="L60" s="18"/>
      <c r="Q60" s="18"/>
      <c r="V60" s="18"/>
      <c r="AA60" s="18"/>
      <c r="AF60" s="18"/>
      <c r="AK60" s="18"/>
      <c r="AN60" s="18"/>
      <c r="AQ60" s="18"/>
      <c r="AT60" s="18"/>
      <c r="AW60" s="18"/>
      <c r="BB60" s="18"/>
      <c r="BG60" s="18"/>
      <c r="BI60" s="18"/>
      <c r="BK60" s="18"/>
      <c r="BM60" s="18"/>
      <c r="BO60" s="18"/>
      <c r="BQ60" s="18"/>
    </row>
    <row r="61" spans="1:70">
      <c r="E61" s="18"/>
      <c r="H61" s="18"/>
      <c r="J61" s="18"/>
      <c r="L61" s="18"/>
      <c r="Q61" s="18"/>
      <c r="V61" s="18"/>
      <c r="AA61" s="18"/>
      <c r="AF61" s="18"/>
      <c r="AK61" s="18"/>
      <c r="AN61" s="18"/>
      <c r="AQ61" s="18"/>
      <c r="AT61" s="18"/>
      <c r="AW61" s="18"/>
      <c r="BB61" s="18"/>
      <c r="BG61" s="18"/>
      <c r="BI61" s="18"/>
      <c r="BK61" s="18"/>
      <c r="BM61" s="18"/>
      <c r="BO61" s="18"/>
      <c r="BQ61" s="18"/>
    </row>
    <row r="62" spans="1:70">
      <c r="E62" s="18"/>
      <c r="H62" s="18"/>
      <c r="J62" s="18"/>
      <c r="L62" s="18"/>
      <c r="Q62" s="18"/>
      <c r="V62" s="18"/>
      <c r="AA62" s="18"/>
      <c r="AF62" s="18"/>
      <c r="AK62" s="18"/>
      <c r="AN62" s="18"/>
      <c r="AQ62" s="18"/>
      <c r="AT62" s="18"/>
      <c r="AW62" s="18"/>
      <c r="BB62" s="18"/>
      <c r="BG62" s="18"/>
      <c r="BI62" s="18"/>
      <c r="BK62" s="18"/>
      <c r="BM62" s="18"/>
      <c r="BO62" s="18"/>
      <c r="BQ62" s="18"/>
    </row>
    <row r="63" spans="1:70">
      <c r="E63" s="18"/>
      <c r="H63" s="18"/>
      <c r="J63" s="18"/>
      <c r="L63" s="18"/>
      <c r="Q63" s="18"/>
      <c r="V63" s="18"/>
      <c r="AA63" s="18"/>
      <c r="AF63" s="18"/>
      <c r="AK63" s="18"/>
      <c r="AN63" s="18"/>
      <c r="AQ63" s="18"/>
      <c r="AT63" s="18"/>
      <c r="AW63" s="18"/>
      <c r="BB63" s="18"/>
      <c r="BG63" s="18"/>
      <c r="BI63" s="18"/>
      <c r="BK63" s="18"/>
      <c r="BM63" s="18"/>
      <c r="BO63" s="18"/>
      <c r="BQ63" s="18"/>
    </row>
    <row r="64" spans="1:70">
      <c r="E64" s="18"/>
      <c r="H64" s="18"/>
      <c r="J64" s="18"/>
      <c r="L64" s="18"/>
      <c r="Q64" s="18"/>
      <c r="V64" s="18"/>
      <c r="AA64" s="18"/>
      <c r="AF64" s="18"/>
      <c r="AK64" s="18"/>
      <c r="AN64" s="18"/>
      <c r="AQ64" s="18"/>
      <c r="AT64" s="18"/>
      <c r="AW64" s="18"/>
      <c r="BB64" s="18"/>
      <c r="BG64" s="18"/>
      <c r="BI64" s="18"/>
      <c r="BK64" s="18"/>
      <c r="BM64" s="18"/>
      <c r="BO64" s="18"/>
      <c r="BQ64" s="18"/>
    </row>
    <row r="65" spans="5:69">
      <c r="E65" s="18"/>
      <c r="H65" s="18"/>
      <c r="J65" s="18"/>
      <c r="L65" s="18"/>
      <c r="Q65" s="18"/>
      <c r="V65" s="18"/>
      <c r="AA65" s="18"/>
      <c r="AF65" s="18"/>
      <c r="AK65" s="18"/>
      <c r="AN65" s="18"/>
      <c r="AQ65" s="18"/>
      <c r="AT65" s="18"/>
      <c r="AW65" s="18"/>
      <c r="BB65" s="18"/>
      <c r="BG65" s="18"/>
      <c r="BI65" s="18"/>
      <c r="BK65" s="18"/>
      <c r="BM65" s="18"/>
      <c r="BO65" s="18"/>
      <c r="BQ65" s="18"/>
    </row>
    <row r="66" spans="5:69">
      <c r="E66" s="18"/>
      <c r="H66" s="18"/>
      <c r="J66" s="18"/>
      <c r="L66" s="18"/>
      <c r="Q66" s="18"/>
      <c r="V66" s="18"/>
      <c r="AA66" s="18"/>
      <c r="AF66" s="18"/>
      <c r="AK66" s="18"/>
      <c r="AN66" s="18"/>
      <c r="AQ66" s="18"/>
      <c r="AT66" s="18"/>
      <c r="AW66" s="18"/>
      <c r="BB66" s="18"/>
      <c r="BG66" s="18"/>
      <c r="BI66" s="18"/>
      <c r="BK66" s="18"/>
      <c r="BM66" s="18"/>
      <c r="BO66" s="18"/>
      <c r="BQ66" s="18"/>
    </row>
    <row r="67" spans="5:69">
      <c r="E67" s="18"/>
      <c r="H67" s="18"/>
      <c r="J67" s="18"/>
      <c r="L67" s="18"/>
      <c r="Q67" s="18"/>
      <c r="V67" s="18"/>
      <c r="AA67" s="18"/>
      <c r="AF67" s="18"/>
      <c r="AK67" s="18"/>
      <c r="AN67" s="18"/>
      <c r="AQ67" s="18"/>
      <c r="AT67" s="18"/>
      <c r="AW67" s="18"/>
      <c r="BB67" s="18"/>
      <c r="BG67" s="18"/>
      <c r="BI67" s="18"/>
      <c r="BK67" s="18"/>
      <c r="BM67" s="18"/>
      <c r="BO67" s="18"/>
      <c r="BQ67" s="18"/>
    </row>
    <row r="68" spans="5:69">
      <c r="E68" s="18"/>
      <c r="H68" s="18"/>
      <c r="J68" s="18"/>
      <c r="L68" s="18"/>
      <c r="Q68" s="18"/>
      <c r="V68" s="18"/>
      <c r="AA68" s="18"/>
      <c r="AF68" s="18"/>
      <c r="AK68" s="18"/>
      <c r="AN68" s="18"/>
      <c r="AQ68" s="18"/>
      <c r="AT68" s="18"/>
      <c r="AW68" s="18"/>
      <c r="BB68" s="18"/>
      <c r="BG68" s="18"/>
      <c r="BI68" s="18"/>
      <c r="BK68" s="18"/>
      <c r="BM68" s="18"/>
      <c r="BO68" s="18"/>
      <c r="BQ68" s="18"/>
    </row>
    <row r="69" spans="5:69">
      <c r="E69" s="18"/>
      <c r="H69" s="18"/>
      <c r="J69" s="18"/>
      <c r="L69" s="18"/>
      <c r="Q69" s="18"/>
      <c r="V69" s="18"/>
      <c r="AA69" s="18"/>
      <c r="AF69" s="18"/>
      <c r="AK69" s="18"/>
      <c r="AN69" s="18"/>
      <c r="AQ69" s="18"/>
      <c r="AT69" s="18"/>
      <c r="AW69" s="18"/>
      <c r="BB69" s="18"/>
      <c r="BG69" s="18"/>
      <c r="BI69" s="18"/>
      <c r="BK69" s="18"/>
      <c r="BM69" s="18"/>
      <c r="BO69" s="18"/>
      <c r="BQ69" s="18"/>
    </row>
    <row r="70" spans="5:69">
      <c r="E70" s="18"/>
      <c r="H70" s="18"/>
      <c r="J70" s="18"/>
      <c r="L70" s="18"/>
      <c r="Q70" s="18"/>
      <c r="V70" s="18"/>
      <c r="AA70" s="18"/>
      <c r="AF70" s="18"/>
      <c r="AK70" s="18"/>
      <c r="AN70" s="18"/>
      <c r="AQ70" s="18"/>
      <c r="AT70" s="18"/>
      <c r="AW70" s="18"/>
      <c r="BB70" s="18"/>
      <c r="BG70" s="18"/>
      <c r="BI70" s="18"/>
      <c r="BK70" s="18"/>
      <c r="BM70" s="18"/>
      <c r="BO70" s="18"/>
      <c r="BQ70" s="18"/>
    </row>
    <row r="71" spans="5:69">
      <c r="E71" s="18"/>
      <c r="H71" s="18"/>
      <c r="J71" s="18"/>
      <c r="L71" s="18"/>
      <c r="Q71" s="18"/>
      <c r="V71" s="18"/>
      <c r="AA71" s="18"/>
      <c r="AF71" s="18"/>
      <c r="AK71" s="18"/>
      <c r="AN71" s="18"/>
      <c r="AQ71" s="18"/>
      <c r="AT71" s="18"/>
      <c r="AW71" s="18"/>
      <c r="BB71" s="18"/>
      <c r="BG71" s="18"/>
      <c r="BI71" s="18"/>
      <c r="BK71" s="18"/>
      <c r="BM71" s="18"/>
      <c r="BO71" s="18"/>
      <c r="BQ71" s="18"/>
    </row>
    <row r="72" spans="5:69">
      <c r="E72" s="18"/>
      <c r="H72" s="18"/>
      <c r="J72" s="18"/>
      <c r="L72" s="18"/>
      <c r="Q72" s="18"/>
      <c r="V72" s="18"/>
      <c r="AA72" s="18"/>
      <c r="AF72" s="18"/>
      <c r="AK72" s="18"/>
      <c r="AN72" s="18"/>
      <c r="AQ72" s="18"/>
      <c r="AT72" s="18"/>
      <c r="AW72" s="18"/>
      <c r="BB72" s="18"/>
      <c r="BG72" s="18"/>
      <c r="BI72" s="18"/>
      <c r="BK72" s="18"/>
      <c r="BM72" s="18"/>
      <c r="BO72" s="18"/>
      <c r="BQ72" s="18"/>
    </row>
    <row r="73" spans="5:69">
      <c r="E73" s="18"/>
      <c r="H73" s="18"/>
      <c r="J73" s="18"/>
      <c r="L73" s="18"/>
      <c r="Q73" s="18"/>
      <c r="V73" s="18"/>
      <c r="AA73" s="18"/>
      <c r="AF73" s="18"/>
      <c r="AK73" s="18"/>
      <c r="AN73" s="18"/>
      <c r="AQ73" s="18"/>
      <c r="AT73" s="18"/>
      <c r="AW73" s="18"/>
      <c r="BB73" s="18"/>
      <c r="BG73" s="18"/>
      <c r="BI73" s="18"/>
      <c r="BK73" s="18"/>
      <c r="BM73" s="18"/>
      <c r="BO73" s="18"/>
      <c r="BQ73" s="18"/>
    </row>
    <row r="74" spans="5:69">
      <c r="E74" s="18"/>
      <c r="H74" s="18"/>
      <c r="J74" s="18"/>
      <c r="L74" s="18"/>
      <c r="Q74" s="18"/>
      <c r="V74" s="18"/>
      <c r="AA74" s="18"/>
      <c r="AF74" s="18"/>
      <c r="AK74" s="18"/>
      <c r="AN74" s="18"/>
      <c r="AQ74" s="18"/>
      <c r="AT74" s="18"/>
      <c r="AW74" s="18"/>
      <c r="BB74" s="18"/>
      <c r="BG74" s="18"/>
      <c r="BI74" s="18"/>
      <c r="BK74" s="18"/>
      <c r="BM74" s="18"/>
      <c r="BO74" s="18"/>
      <c r="BQ74" s="18"/>
    </row>
    <row r="75" spans="5:69">
      <c r="E75" s="18"/>
      <c r="H75" s="18"/>
      <c r="J75" s="18"/>
      <c r="L75" s="18"/>
      <c r="Q75" s="18"/>
      <c r="V75" s="18"/>
      <c r="AA75" s="18"/>
      <c r="AF75" s="18"/>
      <c r="AK75" s="18"/>
      <c r="AN75" s="18"/>
      <c r="AQ75" s="18"/>
      <c r="AT75" s="18"/>
      <c r="AW75" s="18"/>
      <c r="BB75" s="18"/>
      <c r="BG75" s="18"/>
      <c r="BI75" s="18"/>
      <c r="BK75" s="18"/>
      <c r="BM75" s="18"/>
      <c r="BO75" s="18"/>
      <c r="BQ75" s="18"/>
    </row>
    <row r="76" spans="5:69">
      <c r="E76" s="18"/>
      <c r="H76" s="18"/>
      <c r="J76" s="18"/>
      <c r="L76" s="18"/>
      <c r="Q76" s="18"/>
      <c r="V76" s="18"/>
      <c r="AA76" s="18"/>
      <c r="AF76" s="18"/>
      <c r="AK76" s="18"/>
      <c r="AN76" s="18"/>
      <c r="AQ76" s="18"/>
      <c r="AT76" s="18"/>
      <c r="AW76" s="18"/>
      <c r="BB76" s="18"/>
      <c r="BG76" s="18"/>
      <c r="BI76" s="18"/>
      <c r="BK76" s="18"/>
      <c r="BM76" s="18"/>
      <c r="BO76" s="18"/>
      <c r="BQ76" s="18"/>
    </row>
    <row r="77" spans="5:69">
      <c r="E77" s="18"/>
      <c r="H77" s="18"/>
      <c r="J77" s="18"/>
      <c r="L77" s="18"/>
      <c r="Q77" s="18"/>
      <c r="V77" s="18"/>
      <c r="AA77" s="18"/>
      <c r="AF77" s="18"/>
      <c r="AK77" s="18"/>
      <c r="AN77" s="18"/>
      <c r="AQ77" s="18"/>
      <c r="AT77" s="18"/>
      <c r="AW77" s="18"/>
      <c r="BB77" s="18"/>
      <c r="BG77" s="18"/>
      <c r="BI77" s="18"/>
      <c r="BK77" s="18"/>
      <c r="BM77" s="18"/>
      <c r="BO77" s="18"/>
      <c r="BQ77" s="18"/>
    </row>
    <row r="78" spans="5:69">
      <c r="E78" s="18"/>
      <c r="H78" s="18"/>
      <c r="J78" s="18"/>
      <c r="L78" s="18"/>
      <c r="Q78" s="18"/>
      <c r="V78" s="18"/>
      <c r="AA78" s="18"/>
      <c r="AF78" s="18"/>
      <c r="AK78" s="18"/>
      <c r="AN78" s="18"/>
      <c r="AQ78" s="18"/>
      <c r="AT78" s="18"/>
      <c r="AW78" s="18"/>
      <c r="BB78" s="18"/>
      <c r="BG78" s="18"/>
      <c r="BI78" s="18"/>
      <c r="BK78" s="18"/>
      <c r="BM78" s="18"/>
      <c r="BO78" s="18"/>
      <c r="BQ78" s="18"/>
    </row>
    <row r="79" spans="5:69">
      <c r="E79" s="18"/>
      <c r="H79" s="18"/>
      <c r="J79" s="18"/>
      <c r="L79" s="18"/>
      <c r="Q79" s="18"/>
      <c r="V79" s="18"/>
      <c r="AA79" s="18"/>
      <c r="AF79" s="18"/>
      <c r="AK79" s="18"/>
      <c r="AN79" s="18"/>
      <c r="AQ79" s="18"/>
      <c r="AT79" s="18"/>
      <c r="AW79" s="18"/>
      <c r="BB79" s="18"/>
      <c r="BG79" s="18"/>
      <c r="BI79" s="18"/>
      <c r="BK79" s="18"/>
      <c r="BM79" s="18"/>
      <c r="BO79" s="18"/>
      <c r="BQ79" s="18"/>
    </row>
    <row r="80" spans="5:69">
      <c r="E80" s="18"/>
      <c r="H80" s="18"/>
      <c r="J80" s="18"/>
      <c r="L80" s="18"/>
      <c r="Q80" s="18"/>
      <c r="V80" s="18"/>
      <c r="AA80" s="18"/>
      <c r="AF80" s="18"/>
      <c r="AK80" s="18"/>
      <c r="AN80" s="18"/>
      <c r="AQ80" s="18"/>
      <c r="AT80" s="18"/>
      <c r="AW80" s="18"/>
      <c r="BB80" s="18"/>
      <c r="BG80" s="18"/>
      <c r="BI80" s="18"/>
      <c r="BK80" s="18"/>
      <c r="BM80" s="18"/>
      <c r="BO80" s="18"/>
      <c r="BQ80" s="18"/>
    </row>
    <row r="81" spans="5:69">
      <c r="E81" s="18"/>
      <c r="H81" s="18"/>
      <c r="J81" s="18"/>
      <c r="L81" s="18"/>
      <c r="Q81" s="18"/>
      <c r="V81" s="18"/>
      <c r="AA81" s="18"/>
      <c r="AF81" s="18"/>
      <c r="AK81" s="18"/>
      <c r="AN81" s="18"/>
      <c r="AQ81" s="18"/>
      <c r="AT81" s="18"/>
      <c r="AW81" s="18"/>
      <c r="BB81" s="18"/>
      <c r="BG81" s="18"/>
      <c r="BI81" s="18"/>
      <c r="BK81" s="18"/>
      <c r="BM81" s="18"/>
      <c r="BO81" s="18"/>
      <c r="BQ81" s="18"/>
    </row>
    <row r="82" spans="5:69">
      <c r="E82" s="18"/>
      <c r="H82" s="18"/>
      <c r="J82" s="18"/>
      <c r="L82" s="18"/>
      <c r="Q82" s="18"/>
      <c r="V82" s="18"/>
      <c r="AA82" s="18"/>
      <c r="AF82" s="18"/>
      <c r="AK82" s="18"/>
      <c r="AN82" s="18"/>
      <c r="AQ82" s="18"/>
      <c r="AT82" s="18"/>
      <c r="AW82" s="18"/>
      <c r="BB82" s="18"/>
      <c r="BG82" s="18"/>
      <c r="BI82" s="18"/>
      <c r="BK82" s="18"/>
      <c r="BM82" s="18"/>
      <c r="BO82" s="18"/>
      <c r="BQ82" s="18"/>
    </row>
    <row r="83" spans="5:69">
      <c r="E83" s="18"/>
      <c r="H83" s="18"/>
      <c r="J83" s="18"/>
      <c r="L83" s="18"/>
      <c r="Q83" s="18"/>
      <c r="V83" s="18"/>
      <c r="AA83" s="18"/>
      <c r="AF83" s="18"/>
      <c r="AK83" s="18"/>
      <c r="AN83" s="18"/>
      <c r="AQ83" s="18"/>
      <c r="AT83" s="18"/>
      <c r="AW83" s="18"/>
      <c r="BB83" s="18"/>
      <c r="BG83" s="18"/>
      <c r="BI83" s="18"/>
      <c r="BK83" s="18"/>
      <c r="BM83" s="18"/>
      <c r="BO83" s="18"/>
      <c r="BQ83" s="18"/>
    </row>
    <row r="84" spans="5:69">
      <c r="E84" s="18"/>
      <c r="H84" s="18"/>
      <c r="J84" s="18"/>
      <c r="L84" s="18"/>
      <c r="Q84" s="18"/>
      <c r="V84" s="18"/>
      <c r="AA84" s="18"/>
      <c r="AF84" s="18"/>
      <c r="AK84" s="18"/>
      <c r="AN84" s="18"/>
      <c r="AQ84" s="18"/>
      <c r="AT84" s="18"/>
      <c r="AW84" s="18"/>
      <c r="BB84" s="18"/>
      <c r="BG84" s="18"/>
      <c r="BI84" s="18"/>
      <c r="BK84" s="18"/>
      <c r="BM84" s="18"/>
      <c r="BO84" s="18"/>
      <c r="BQ84" s="18"/>
    </row>
    <row r="85" spans="5:69">
      <c r="E85" s="18"/>
      <c r="H85" s="18"/>
      <c r="J85" s="18"/>
      <c r="L85" s="18"/>
      <c r="Q85" s="18"/>
      <c r="V85" s="18"/>
      <c r="AA85" s="18"/>
      <c r="AF85" s="18"/>
      <c r="AK85" s="18"/>
      <c r="AN85" s="18"/>
      <c r="AQ85" s="18"/>
      <c r="AT85" s="18"/>
      <c r="AW85" s="18"/>
      <c r="BB85" s="18"/>
      <c r="BG85" s="18"/>
      <c r="BI85" s="18"/>
      <c r="BK85" s="18"/>
      <c r="BM85" s="18"/>
      <c r="BO85" s="18"/>
      <c r="BQ85" s="18"/>
    </row>
    <row r="86" spans="5:69">
      <c r="E86" s="18"/>
      <c r="H86" s="18"/>
      <c r="J86" s="18"/>
      <c r="L86" s="18"/>
      <c r="Q86" s="18"/>
      <c r="V86" s="18"/>
      <c r="AA86" s="18"/>
      <c r="AF86" s="18"/>
      <c r="AK86" s="18"/>
      <c r="AN86" s="18"/>
      <c r="AQ86" s="18"/>
      <c r="AT86" s="18"/>
      <c r="AW86" s="18"/>
      <c r="BB86" s="18"/>
      <c r="BG86" s="18"/>
      <c r="BI86" s="18"/>
      <c r="BK86" s="18"/>
      <c r="BM86" s="18"/>
      <c r="BO86" s="18"/>
      <c r="BQ86" s="18"/>
    </row>
    <row r="87" spans="5:69">
      <c r="E87" s="18"/>
      <c r="H87" s="18"/>
      <c r="J87" s="18"/>
      <c r="L87" s="18"/>
      <c r="Q87" s="18"/>
      <c r="V87" s="18"/>
      <c r="AA87" s="18"/>
      <c r="AF87" s="18"/>
      <c r="AK87" s="18"/>
      <c r="AN87" s="18"/>
      <c r="AQ87" s="18"/>
      <c r="AT87" s="18"/>
      <c r="AW87" s="18"/>
      <c r="BB87" s="18"/>
      <c r="BG87" s="18"/>
      <c r="BI87" s="18"/>
      <c r="BK87" s="18"/>
      <c r="BM87" s="18"/>
      <c r="BO87" s="18"/>
      <c r="BQ87" s="18"/>
    </row>
    <row r="88" spans="5:69">
      <c r="E88" s="18"/>
      <c r="H88" s="18"/>
      <c r="J88" s="18"/>
      <c r="L88" s="18"/>
      <c r="Q88" s="18"/>
      <c r="V88" s="18"/>
      <c r="AA88" s="18"/>
      <c r="AF88" s="18"/>
      <c r="AK88" s="18"/>
      <c r="AN88" s="18"/>
      <c r="AQ88" s="18"/>
      <c r="AT88" s="18"/>
      <c r="AW88" s="18"/>
      <c r="BB88" s="18"/>
      <c r="BG88" s="18"/>
      <c r="BI88" s="18"/>
      <c r="BK88" s="18"/>
      <c r="BM88" s="18"/>
      <c r="BO88" s="18"/>
      <c r="BQ88" s="18"/>
    </row>
    <row r="89" spans="5:69">
      <c r="E89" s="18"/>
      <c r="H89" s="18"/>
      <c r="J89" s="18"/>
      <c r="L89" s="18"/>
      <c r="Q89" s="18"/>
      <c r="V89" s="18"/>
      <c r="AA89" s="18"/>
      <c r="AF89" s="18"/>
      <c r="AK89" s="18"/>
      <c r="AN89" s="18"/>
      <c r="AQ89" s="18"/>
      <c r="AT89" s="18"/>
      <c r="AW89" s="18"/>
      <c r="BB89" s="18"/>
      <c r="BG89" s="18"/>
      <c r="BI89" s="18"/>
      <c r="BK89" s="18"/>
      <c r="BM89" s="18"/>
      <c r="BO89" s="18"/>
      <c r="BQ89" s="18"/>
    </row>
    <row r="90" spans="5:69">
      <c r="E90" s="18"/>
      <c r="H90" s="18"/>
      <c r="J90" s="18"/>
      <c r="L90" s="18"/>
      <c r="Q90" s="18"/>
      <c r="V90" s="18"/>
      <c r="AA90" s="18"/>
      <c r="AF90" s="18"/>
      <c r="AK90" s="18"/>
      <c r="AN90" s="18"/>
      <c r="AQ90" s="18"/>
      <c r="AT90" s="18"/>
      <c r="AW90" s="18"/>
      <c r="BB90" s="18"/>
      <c r="BG90" s="18"/>
      <c r="BI90" s="18"/>
      <c r="BK90" s="18"/>
      <c r="BM90" s="18"/>
      <c r="BO90" s="18"/>
      <c r="BQ90" s="18"/>
    </row>
    <row r="91" spans="5:69">
      <c r="E91" s="18"/>
      <c r="H91" s="18"/>
      <c r="J91" s="18"/>
      <c r="L91" s="18"/>
      <c r="Q91" s="18"/>
      <c r="V91" s="18"/>
      <c r="AA91" s="18"/>
      <c r="AF91" s="18"/>
      <c r="AK91" s="18"/>
      <c r="AN91" s="18"/>
      <c r="AQ91" s="18"/>
      <c r="AT91" s="18"/>
      <c r="AW91" s="18"/>
      <c r="BB91" s="18"/>
      <c r="BG91" s="18"/>
      <c r="BI91" s="18"/>
      <c r="BK91" s="18"/>
      <c r="BM91" s="18"/>
      <c r="BO91" s="18"/>
      <c r="BQ91" s="18"/>
    </row>
    <row r="92" spans="5:69">
      <c r="E92" s="18"/>
      <c r="H92" s="18"/>
      <c r="J92" s="18"/>
      <c r="L92" s="18"/>
      <c r="Q92" s="18"/>
      <c r="V92" s="18"/>
      <c r="AA92" s="18"/>
      <c r="AF92" s="18"/>
      <c r="AK92" s="18"/>
      <c r="AN92" s="18"/>
      <c r="AQ92" s="18"/>
      <c r="AT92" s="18"/>
      <c r="AW92" s="18"/>
      <c r="BB92" s="18"/>
      <c r="BG92" s="18"/>
      <c r="BI92" s="18"/>
      <c r="BK92" s="18"/>
      <c r="BM92" s="18"/>
      <c r="BO92" s="18"/>
      <c r="BQ92" s="18"/>
    </row>
    <row r="93" spans="5:69">
      <c r="E93" s="18"/>
      <c r="H93" s="18"/>
      <c r="J93" s="18"/>
      <c r="L93" s="18"/>
      <c r="Q93" s="18"/>
      <c r="V93" s="18"/>
      <c r="AA93" s="18"/>
      <c r="AF93" s="18"/>
      <c r="AK93" s="18"/>
      <c r="AN93" s="18"/>
      <c r="AQ93" s="18"/>
      <c r="AT93" s="18"/>
      <c r="AW93" s="18"/>
      <c r="BB93" s="18"/>
      <c r="BG93" s="18"/>
      <c r="BI93" s="18"/>
      <c r="BK93" s="18"/>
      <c r="BM93" s="18"/>
      <c r="BO93" s="18"/>
      <c r="BQ93" s="18"/>
    </row>
    <row r="94" spans="5:69">
      <c r="E94" s="18"/>
      <c r="H94" s="18"/>
      <c r="J94" s="18"/>
      <c r="L94" s="18"/>
      <c r="Q94" s="18"/>
      <c r="V94" s="18"/>
      <c r="AA94" s="18"/>
      <c r="AF94" s="18"/>
      <c r="AK94" s="18"/>
      <c r="AN94" s="18"/>
      <c r="AQ94" s="18"/>
      <c r="AT94" s="18"/>
      <c r="AW94" s="18"/>
      <c r="BB94" s="18"/>
      <c r="BG94" s="18"/>
      <c r="BI94" s="18"/>
      <c r="BK94" s="18"/>
      <c r="BM94" s="18"/>
      <c r="BO94" s="18"/>
      <c r="BQ94" s="18"/>
    </row>
    <row r="95" spans="5:69">
      <c r="E95" s="18"/>
      <c r="H95" s="18"/>
      <c r="J95" s="18"/>
      <c r="L95" s="18"/>
      <c r="Q95" s="18"/>
      <c r="V95" s="18"/>
      <c r="AA95" s="18"/>
      <c r="AF95" s="18"/>
      <c r="AK95" s="18"/>
      <c r="AN95" s="18"/>
      <c r="AQ95" s="18"/>
      <c r="AT95" s="18"/>
      <c r="AW95" s="18"/>
      <c r="BB95" s="18"/>
      <c r="BG95" s="18"/>
      <c r="BI95" s="18"/>
      <c r="BK95" s="18"/>
      <c r="BM95" s="18"/>
      <c r="BO95" s="18"/>
      <c r="BQ95" s="18"/>
    </row>
    <row r="96" spans="5:69">
      <c r="E96" s="18"/>
      <c r="H96" s="18"/>
      <c r="J96" s="18"/>
      <c r="L96" s="18"/>
      <c r="Q96" s="18"/>
      <c r="V96" s="18"/>
      <c r="AA96" s="18"/>
      <c r="AF96" s="18"/>
      <c r="AK96" s="18"/>
      <c r="AN96" s="18"/>
      <c r="AQ96" s="18"/>
      <c r="AT96" s="18"/>
      <c r="AW96" s="18"/>
      <c r="BB96" s="18"/>
      <c r="BG96" s="18"/>
      <c r="BI96" s="18"/>
      <c r="BK96" s="18"/>
      <c r="BM96" s="18"/>
      <c r="BO96" s="18"/>
      <c r="BQ96" s="18"/>
    </row>
    <row r="97" spans="5:69">
      <c r="E97" s="18"/>
      <c r="H97" s="18"/>
      <c r="J97" s="18"/>
      <c r="L97" s="18"/>
      <c r="Q97" s="18"/>
      <c r="V97" s="18"/>
      <c r="AA97" s="18"/>
      <c r="AF97" s="18"/>
      <c r="AK97" s="18"/>
      <c r="AN97" s="18"/>
      <c r="AQ97" s="18"/>
      <c r="AT97" s="18"/>
      <c r="AW97" s="18"/>
      <c r="BB97" s="18"/>
      <c r="BG97" s="18"/>
      <c r="BI97" s="18"/>
      <c r="BK97" s="18"/>
      <c r="BM97" s="18"/>
      <c r="BO97" s="18"/>
      <c r="BQ97" s="18"/>
    </row>
    <row r="98" spans="5:69">
      <c r="E98" s="18"/>
      <c r="H98" s="18"/>
      <c r="J98" s="18"/>
      <c r="L98" s="18"/>
      <c r="Q98" s="18"/>
      <c r="V98" s="18"/>
      <c r="AA98" s="18"/>
      <c r="AF98" s="18"/>
      <c r="AK98" s="18"/>
      <c r="AN98" s="18"/>
      <c r="AQ98" s="18"/>
      <c r="AT98" s="18"/>
      <c r="AW98" s="18"/>
      <c r="BB98" s="18"/>
      <c r="BG98" s="18"/>
      <c r="BI98" s="18"/>
      <c r="BK98" s="18"/>
      <c r="BM98" s="18"/>
      <c r="BO98" s="18"/>
      <c r="BQ98" s="18"/>
    </row>
    <row r="99" spans="5:69">
      <c r="E99" s="18"/>
      <c r="H99" s="18"/>
      <c r="J99" s="18"/>
      <c r="L99" s="18"/>
      <c r="Q99" s="18"/>
      <c r="V99" s="18"/>
      <c r="AA99" s="18"/>
      <c r="AF99" s="18"/>
      <c r="AK99" s="18"/>
      <c r="AN99" s="18"/>
      <c r="AQ99" s="18"/>
      <c r="AT99" s="18"/>
      <c r="AW99" s="18"/>
      <c r="BB99" s="18"/>
      <c r="BG99" s="18"/>
      <c r="BI99" s="18"/>
      <c r="BK99" s="18"/>
      <c r="BM99" s="18"/>
      <c r="BO99" s="18"/>
      <c r="BQ99" s="18"/>
    </row>
    <row r="100" spans="5:69">
      <c r="E100" s="18"/>
      <c r="H100" s="18"/>
      <c r="J100" s="18"/>
      <c r="L100" s="18"/>
      <c r="Q100" s="18"/>
      <c r="V100" s="18"/>
      <c r="AA100" s="18"/>
      <c r="AF100" s="18"/>
      <c r="AK100" s="18"/>
      <c r="AN100" s="18"/>
      <c r="AQ100" s="18"/>
      <c r="AT100" s="18"/>
      <c r="AW100" s="18"/>
      <c r="BB100" s="18"/>
      <c r="BG100" s="18"/>
      <c r="BI100" s="18"/>
      <c r="BK100" s="18"/>
      <c r="BM100" s="18"/>
      <c r="BO100" s="18"/>
      <c r="BQ100" s="18"/>
    </row>
    <row r="101" spans="5:69">
      <c r="E101" s="18"/>
      <c r="H101" s="18"/>
      <c r="J101" s="18"/>
      <c r="L101" s="18"/>
      <c r="Q101" s="18"/>
      <c r="V101" s="18"/>
      <c r="AA101" s="18"/>
      <c r="AF101" s="18"/>
      <c r="AK101" s="18"/>
      <c r="AN101" s="18"/>
      <c r="AQ101" s="18"/>
      <c r="AT101" s="18"/>
      <c r="AW101" s="18"/>
      <c r="BB101" s="18"/>
      <c r="BG101" s="18"/>
      <c r="BI101" s="18"/>
      <c r="BK101" s="18"/>
      <c r="BM101" s="18"/>
      <c r="BO101" s="18"/>
      <c r="BQ101" s="18"/>
    </row>
    <row r="102" spans="5:69">
      <c r="E102" s="18"/>
      <c r="H102" s="18"/>
      <c r="J102" s="18"/>
      <c r="L102" s="18"/>
      <c r="Q102" s="18"/>
      <c r="V102" s="18"/>
      <c r="AA102" s="18"/>
      <c r="AF102" s="18"/>
      <c r="AK102" s="18"/>
      <c r="AN102" s="18"/>
      <c r="AQ102" s="18"/>
      <c r="AT102" s="18"/>
      <c r="AW102" s="18"/>
      <c r="BB102" s="18"/>
      <c r="BG102" s="18"/>
      <c r="BI102" s="18"/>
      <c r="BK102" s="18"/>
      <c r="BM102" s="18"/>
      <c r="BO102" s="18"/>
      <c r="BQ102" s="18"/>
    </row>
    <row r="103" spans="5:69">
      <c r="E103" s="18"/>
      <c r="H103" s="18"/>
      <c r="J103" s="18"/>
      <c r="L103" s="18"/>
      <c r="Q103" s="18"/>
      <c r="V103" s="18"/>
      <c r="AA103" s="18"/>
      <c r="AF103" s="18"/>
      <c r="AK103" s="18"/>
      <c r="AN103" s="18"/>
      <c r="AQ103" s="18"/>
      <c r="AT103" s="18"/>
      <c r="AW103" s="18"/>
      <c r="BB103" s="18"/>
      <c r="BG103" s="18"/>
      <c r="BI103" s="18"/>
      <c r="BK103" s="18"/>
      <c r="BM103" s="18"/>
      <c r="BO103" s="18"/>
      <c r="BQ103" s="18"/>
    </row>
    <row r="104" spans="5:69">
      <c r="E104" s="18"/>
      <c r="H104" s="18"/>
      <c r="J104" s="18"/>
      <c r="L104" s="18"/>
      <c r="Q104" s="18"/>
      <c r="V104" s="18"/>
      <c r="AA104" s="18"/>
      <c r="AF104" s="18"/>
      <c r="AK104" s="18"/>
      <c r="AN104" s="18"/>
      <c r="AQ104" s="18"/>
      <c r="AT104" s="18"/>
      <c r="AW104" s="18"/>
      <c r="BB104" s="18"/>
      <c r="BG104" s="18"/>
      <c r="BI104" s="18"/>
      <c r="BK104" s="18"/>
      <c r="BM104" s="18"/>
      <c r="BO104" s="18"/>
      <c r="BQ104" s="18"/>
    </row>
    <row r="105" spans="5:69">
      <c r="E105" s="18"/>
      <c r="H105" s="18"/>
      <c r="J105" s="18"/>
      <c r="L105" s="18"/>
      <c r="Q105" s="18"/>
      <c r="V105" s="18"/>
      <c r="AA105" s="18"/>
      <c r="AF105" s="18"/>
      <c r="AK105" s="18"/>
      <c r="AN105" s="18"/>
      <c r="AQ105" s="18"/>
      <c r="AT105" s="18"/>
      <c r="AW105" s="18"/>
      <c r="BB105" s="18"/>
      <c r="BG105" s="18"/>
      <c r="BI105" s="18"/>
      <c r="BK105" s="18"/>
      <c r="BM105" s="18"/>
      <c r="BO105" s="18"/>
      <c r="BQ105" s="18"/>
    </row>
    <row r="106" spans="5:69">
      <c r="E106" s="18"/>
      <c r="H106" s="18"/>
      <c r="J106" s="18"/>
      <c r="L106" s="18"/>
      <c r="Q106" s="18"/>
      <c r="V106" s="18"/>
      <c r="AA106" s="18"/>
      <c r="AF106" s="18"/>
      <c r="AK106" s="18"/>
      <c r="AN106" s="18"/>
      <c r="AQ106" s="18"/>
      <c r="AT106" s="18"/>
      <c r="AW106" s="18"/>
      <c r="BB106" s="18"/>
      <c r="BG106" s="18"/>
      <c r="BI106" s="18"/>
      <c r="BK106" s="18"/>
      <c r="BM106" s="18"/>
      <c r="BO106" s="18"/>
      <c r="BQ106" s="18"/>
    </row>
    <row r="107" spans="5:69">
      <c r="E107" s="18"/>
      <c r="H107" s="18"/>
      <c r="J107" s="18"/>
      <c r="L107" s="18"/>
      <c r="Q107" s="18"/>
      <c r="V107" s="18"/>
      <c r="AA107" s="18"/>
      <c r="AF107" s="18"/>
      <c r="AK107" s="18"/>
      <c r="AN107" s="18"/>
      <c r="AQ107" s="18"/>
      <c r="AT107" s="18"/>
      <c r="AW107" s="18"/>
      <c r="BB107" s="18"/>
      <c r="BG107" s="18"/>
      <c r="BI107" s="18"/>
      <c r="BK107" s="18"/>
      <c r="BM107" s="18"/>
      <c r="BO107" s="18"/>
      <c r="BQ107" s="18"/>
    </row>
    <row r="108" spans="5:69">
      <c r="E108" s="18"/>
      <c r="H108" s="18"/>
      <c r="J108" s="18"/>
      <c r="L108" s="18"/>
      <c r="Q108" s="18"/>
      <c r="V108" s="18"/>
      <c r="AA108" s="18"/>
      <c r="AF108" s="18"/>
      <c r="AK108" s="18"/>
      <c r="AN108" s="18"/>
      <c r="AQ108" s="18"/>
      <c r="AT108" s="18"/>
      <c r="AW108" s="18"/>
      <c r="BB108" s="18"/>
      <c r="BG108" s="18"/>
      <c r="BI108" s="18"/>
      <c r="BK108" s="18"/>
      <c r="BM108" s="18"/>
      <c r="BO108" s="18"/>
      <c r="BQ108" s="18"/>
    </row>
    <row r="109" spans="5:69">
      <c r="E109" s="18"/>
      <c r="H109" s="18"/>
      <c r="J109" s="18"/>
      <c r="L109" s="18"/>
      <c r="Q109" s="18"/>
      <c r="V109" s="18"/>
      <c r="AA109" s="18"/>
      <c r="AF109" s="18"/>
      <c r="AK109" s="18"/>
      <c r="AN109" s="18"/>
      <c r="AQ109" s="18"/>
      <c r="AT109" s="18"/>
      <c r="AW109" s="18"/>
      <c r="BB109" s="18"/>
      <c r="BG109" s="18"/>
      <c r="BI109" s="18"/>
      <c r="BK109" s="18"/>
      <c r="BM109" s="18"/>
      <c r="BO109" s="18"/>
      <c r="BQ109" s="18"/>
    </row>
    <row r="110" spans="5:69">
      <c r="E110" s="18"/>
      <c r="H110" s="18"/>
      <c r="J110" s="18"/>
      <c r="L110" s="18"/>
      <c r="Q110" s="18"/>
      <c r="V110" s="18"/>
      <c r="AA110" s="18"/>
      <c r="AF110" s="18"/>
      <c r="AK110" s="18"/>
      <c r="AN110" s="18"/>
      <c r="AQ110" s="18"/>
      <c r="AT110" s="18"/>
      <c r="AW110" s="18"/>
      <c r="BB110" s="18"/>
      <c r="BG110" s="18"/>
      <c r="BI110" s="18"/>
      <c r="BK110" s="18"/>
      <c r="BM110" s="18"/>
      <c r="BO110" s="18"/>
      <c r="BQ110" s="18"/>
    </row>
    <row r="111" spans="5:69">
      <c r="E111" s="18"/>
      <c r="H111" s="18"/>
      <c r="J111" s="18"/>
      <c r="L111" s="18"/>
      <c r="Q111" s="18"/>
      <c r="V111" s="18"/>
      <c r="AA111" s="18"/>
      <c r="AF111" s="18"/>
      <c r="AK111" s="18"/>
      <c r="AN111" s="18"/>
      <c r="AQ111" s="18"/>
      <c r="AT111" s="18"/>
      <c r="AW111" s="18"/>
      <c r="BB111" s="18"/>
      <c r="BG111" s="18"/>
      <c r="BI111" s="18"/>
      <c r="BK111" s="18"/>
      <c r="BM111" s="18"/>
      <c r="BO111" s="18"/>
      <c r="BQ111" s="18"/>
    </row>
    <row r="112" spans="5:69">
      <c r="E112" s="18"/>
      <c r="H112" s="18"/>
      <c r="J112" s="18"/>
      <c r="L112" s="18"/>
      <c r="Q112" s="18"/>
      <c r="V112" s="18"/>
      <c r="AA112" s="18"/>
      <c r="AF112" s="18"/>
      <c r="AK112" s="18"/>
      <c r="AN112" s="18"/>
      <c r="AQ112" s="18"/>
      <c r="AT112" s="18"/>
      <c r="AW112" s="18"/>
      <c r="BB112" s="18"/>
      <c r="BG112" s="18"/>
      <c r="BI112" s="18"/>
      <c r="BK112" s="18"/>
      <c r="BM112" s="18"/>
      <c r="BO112" s="18"/>
      <c r="BQ112" s="18"/>
    </row>
    <row r="113" spans="5:69">
      <c r="E113" s="18"/>
      <c r="H113" s="18"/>
      <c r="J113" s="18"/>
      <c r="L113" s="18"/>
      <c r="Q113" s="18"/>
      <c r="V113" s="18"/>
      <c r="AA113" s="18"/>
      <c r="AF113" s="18"/>
      <c r="AK113" s="18"/>
      <c r="AN113" s="18"/>
      <c r="AQ113" s="18"/>
      <c r="AT113" s="18"/>
      <c r="AW113" s="18"/>
      <c r="BB113" s="18"/>
      <c r="BG113" s="18"/>
      <c r="BI113" s="18"/>
      <c r="BK113" s="18"/>
      <c r="BM113" s="18"/>
      <c r="BO113" s="18"/>
      <c r="BQ113" s="18"/>
    </row>
    <row r="114" spans="5:69">
      <c r="E114" s="18"/>
      <c r="H114" s="18"/>
      <c r="J114" s="18"/>
      <c r="L114" s="18"/>
      <c r="Q114" s="18"/>
      <c r="V114" s="18"/>
      <c r="AA114" s="18"/>
      <c r="AF114" s="18"/>
      <c r="AK114" s="18"/>
      <c r="AN114" s="18"/>
      <c r="AQ114" s="18"/>
      <c r="AT114" s="18"/>
      <c r="AW114" s="18"/>
      <c r="BB114" s="18"/>
      <c r="BG114" s="18"/>
      <c r="BI114" s="18"/>
      <c r="BK114" s="18"/>
      <c r="BM114" s="18"/>
      <c r="BO114" s="18"/>
      <c r="BQ114" s="18"/>
    </row>
    <row r="115" spans="5:69">
      <c r="E115" s="18"/>
      <c r="H115" s="18"/>
      <c r="J115" s="18"/>
      <c r="L115" s="18"/>
      <c r="Q115" s="18"/>
      <c r="V115" s="18"/>
      <c r="AA115" s="18"/>
      <c r="AF115" s="18"/>
      <c r="AK115" s="18"/>
      <c r="AN115" s="18"/>
      <c r="AQ115" s="18"/>
      <c r="AT115" s="18"/>
      <c r="AW115" s="18"/>
      <c r="BB115" s="18"/>
      <c r="BG115" s="18"/>
      <c r="BI115" s="18"/>
      <c r="BK115" s="18"/>
      <c r="BM115" s="18"/>
      <c r="BO115" s="18"/>
      <c r="BQ115" s="18"/>
    </row>
    <row r="116" spans="5:69">
      <c r="E116" s="18"/>
      <c r="H116" s="18"/>
      <c r="J116" s="18"/>
      <c r="L116" s="18"/>
      <c r="Q116" s="18"/>
      <c r="V116" s="18"/>
      <c r="AA116" s="18"/>
      <c r="AF116" s="18"/>
      <c r="AK116" s="18"/>
      <c r="AN116" s="18"/>
      <c r="AQ116" s="18"/>
      <c r="AT116" s="18"/>
      <c r="AW116" s="18"/>
      <c r="BB116" s="18"/>
      <c r="BG116" s="18"/>
      <c r="BI116" s="18"/>
      <c r="BK116" s="18"/>
      <c r="BM116" s="18"/>
      <c r="BO116" s="18"/>
      <c r="BQ116" s="18"/>
    </row>
    <row r="117" spans="5:69">
      <c r="E117" s="18"/>
      <c r="H117" s="18"/>
      <c r="J117" s="18"/>
      <c r="L117" s="18"/>
      <c r="Q117" s="18"/>
      <c r="V117" s="18"/>
      <c r="AA117" s="18"/>
      <c r="AF117" s="18"/>
      <c r="AK117" s="18"/>
      <c r="AN117" s="18"/>
      <c r="AQ117" s="18"/>
      <c r="AT117" s="18"/>
      <c r="AW117" s="18"/>
      <c r="BB117" s="18"/>
      <c r="BG117" s="18"/>
      <c r="BI117" s="18"/>
      <c r="BK117" s="18"/>
      <c r="BM117" s="18"/>
      <c r="BO117" s="18"/>
      <c r="BQ117" s="18"/>
    </row>
    <row r="118" spans="5:69">
      <c r="E118" s="18"/>
      <c r="H118" s="18"/>
      <c r="J118" s="18"/>
      <c r="L118" s="18"/>
      <c r="Q118" s="18"/>
      <c r="V118" s="18"/>
      <c r="AA118" s="18"/>
      <c r="AF118" s="18"/>
      <c r="AK118" s="18"/>
      <c r="AN118" s="18"/>
      <c r="AQ118" s="18"/>
      <c r="AT118" s="18"/>
      <c r="AW118" s="18"/>
      <c r="BB118" s="18"/>
      <c r="BG118" s="18"/>
      <c r="BI118" s="18"/>
      <c r="BK118" s="18"/>
      <c r="BM118" s="18"/>
      <c r="BO118" s="18"/>
      <c r="BQ118" s="18"/>
    </row>
    <row r="119" spans="5:69">
      <c r="E119" s="18"/>
      <c r="H119" s="18"/>
      <c r="J119" s="18"/>
      <c r="L119" s="18"/>
      <c r="Q119" s="18"/>
      <c r="V119" s="18"/>
      <c r="AA119" s="18"/>
      <c r="AF119" s="18"/>
      <c r="AK119" s="18"/>
      <c r="AN119" s="18"/>
      <c r="AQ119" s="18"/>
      <c r="AT119" s="18"/>
      <c r="AW119" s="18"/>
      <c r="BB119" s="18"/>
      <c r="BG119" s="18"/>
      <c r="BI119" s="18"/>
      <c r="BK119" s="18"/>
      <c r="BM119" s="18"/>
      <c r="BO119" s="18"/>
      <c r="BQ119" s="18"/>
    </row>
    <row r="120" spans="5:69">
      <c r="E120" s="18"/>
      <c r="H120" s="18"/>
      <c r="J120" s="18"/>
      <c r="L120" s="18"/>
      <c r="Q120" s="18"/>
      <c r="V120" s="18"/>
      <c r="AA120" s="18"/>
      <c r="AF120" s="18"/>
      <c r="AK120" s="18"/>
      <c r="AN120" s="18"/>
      <c r="AQ120" s="18"/>
      <c r="AT120" s="18"/>
      <c r="AW120" s="18"/>
      <c r="BB120" s="18"/>
      <c r="BG120" s="18"/>
      <c r="BI120" s="18"/>
      <c r="BK120" s="18"/>
      <c r="BM120" s="18"/>
      <c r="BO120" s="18"/>
      <c r="BQ120" s="18"/>
    </row>
    <row r="121" spans="5:69">
      <c r="E121" s="18"/>
      <c r="H121" s="18"/>
      <c r="J121" s="18"/>
      <c r="L121" s="18"/>
      <c r="Q121" s="18"/>
      <c r="V121" s="18"/>
      <c r="AA121" s="18"/>
      <c r="AF121" s="18"/>
      <c r="AK121" s="18"/>
      <c r="AN121" s="18"/>
      <c r="AQ121" s="18"/>
      <c r="AT121" s="18"/>
      <c r="AW121" s="18"/>
      <c r="BB121" s="18"/>
      <c r="BG121" s="18"/>
      <c r="BI121" s="18"/>
      <c r="BK121" s="18"/>
      <c r="BM121" s="18"/>
      <c r="BO121" s="18"/>
      <c r="BQ121" s="18"/>
    </row>
    <row r="122" spans="5:69">
      <c r="E122" s="18"/>
      <c r="H122" s="18"/>
      <c r="J122" s="18"/>
      <c r="L122" s="18"/>
      <c r="Q122" s="18"/>
      <c r="V122" s="18"/>
      <c r="AA122" s="18"/>
      <c r="AF122" s="18"/>
      <c r="AK122" s="18"/>
      <c r="AN122" s="18"/>
      <c r="AQ122" s="18"/>
      <c r="AT122" s="18"/>
      <c r="AW122" s="18"/>
      <c r="BB122" s="18"/>
      <c r="BG122" s="18"/>
      <c r="BI122" s="18"/>
      <c r="BK122" s="18"/>
      <c r="BM122" s="18"/>
      <c r="BO122" s="18"/>
      <c r="BQ122" s="18"/>
    </row>
    <row r="123" spans="5:69">
      <c r="E123" s="18"/>
      <c r="H123" s="18"/>
      <c r="J123" s="18"/>
      <c r="L123" s="18"/>
      <c r="Q123" s="18"/>
      <c r="V123" s="18"/>
      <c r="AA123" s="18"/>
      <c r="AF123" s="18"/>
      <c r="AK123" s="18"/>
      <c r="AN123" s="18"/>
      <c r="AQ123" s="18"/>
      <c r="AT123" s="18"/>
      <c r="AW123" s="18"/>
      <c r="BB123" s="18"/>
      <c r="BG123" s="18"/>
      <c r="BI123" s="18"/>
      <c r="BK123" s="18"/>
      <c r="BM123" s="18"/>
      <c r="BO123" s="18"/>
      <c r="BQ123" s="18"/>
    </row>
    <row r="124" spans="5:69">
      <c r="E124" s="18"/>
      <c r="H124" s="18"/>
      <c r="J124" s="18"/>
      <c r="L124" s="18"/>
      <c r="Q124" s="18"/>
      <c r="V124" s="18"/>
      <c r="AA124" s="18"/>
      <c r="AF124" s="18"/>
      <c r="AK124" s="18"/>
      <c r="AN124" s="18"/>
      <c r="AQ124" s="18"/>
      <c r="AT124" s="18"/>
      <c r="AW124" s="18"/>
      <c r="BB124" s="18"/>
      <c r="BG124" s="18"/>
      <c r="BI124" s="18"/>
      <c r="BK124" s="18"/>
      <c r="BM124" s="18"/>
      <c r="BO124" s="18"/>
      <c r="BQ124" s="18"/>
    </row>
    <row r="125" spans="5:69">
      <c r="E125" s="18"/>
      <c r="H125" s="18"/>
      <c r="J125" s="18"/>
      <c r="L125" s="18"/>
      <c r="Q125" s="18"/>
      <c r="V125" s="18"/>
      <c r="AA125" s="18"/>
      <c r="AF125" s="18"/>
      <c r="AK125" s="18"/>
      <c r="AN125" s="18"/>
      <c r="AQ125" s="18"/>
      <c r="AT125" s="18"/>
      <c r="AW125" s="18"/>
      <c r="BB125" s="18"/>
      <c r="BG125" s="18"/>
      <c r="BI125" s="18"/>
      <c r="BK125" s="18"/>
      <c r="BM125" s="18"/>
      <c r="BO125" s="18"/>
      <c r="BQ125" s="18"/>
    </row>
    <row r="126" spans="5:69">
      <c r="E126" s="18"/>
      <c r="H126" s="18"/>
      <c r="J126" s="18"/>
      <c r="L126" s="18"/>
      <c r="Q126" s="18"/>
      <c r="V126" s="18"/>
      <c r="AA126" s="18"/>
      <c r="AF126" s="18"/>
      <c r="AK126" s="18"/>
      <c r="AN126" s="18"/>
      <c r="AQ126" s="18"/>
      <c r="AT126" s="18"/>
      <c r="AW126" s="18"/>
      <c r="BB126" s="18"/>
      <c r="BG126" s="18"/>
      <c r="BI126" s="18"/>
      <c r="BK126" s="18"/>
      <c r="BM126" s="18"/>
      <c r="BO126" s="18"/>
      <c r="BQ126" s="18"/>
    </row>
    <row r="127" spans="5:69">
      <c r="E127" s="18"/>
      <c r="H127" s="18"/>
      <c r="J127" s="18"/>
      <c r="L127" s="18"/>
      <c r="Q127" s="18"/>
      <c r="V127" s="18"/>
      <c r="AA127" s="18"/>
      <c r="AF127" s="18"/>
      <c r="AK127" s="18"/>
      <c r="AN127" s="18"/>
      <c r="AQ127" s="18"/>
      <c r="AT127" s="18"/>
      <c r="AW127" s="18"/>
      <c r="BB127" s="18"/>
      <c r="BG127" s="18"/>
      <c r="BI127" s="18"/>
      <c r="BK127" s="18"/>
      <c r="BM127" s="18"/>
      <c r="BO127" s="18"/>
      <c r="BQ127" s="18"/>
    </row>
    <row r="128" spans="5:69">
      <c r="E128" s="18"/>
      <c r="H128" s="18"/>
      <c r="J128" s="18"/>
      <c r="L128" s="18"/>
      <c r="Q128" s="18"/>
      <c r="V128" s="18"/>
      <c r="AA128" s="18"/>
      <c r="AF128" s="18"/>
      <c r="AK128" s="18"/>
      <c r="AN128" s="18"/>
      <c r="AQ128" s="18"/>
      <c r="AT128" s="18"/>
      <c r="AW128" s="18"/>
      <c r="BB128" s="18"/>
      <c r="BG128" s="18"/>
      <c r="BI128" s="18"/>
      <c r="BK128" s="18"/>
      <c r="BM128" s="18"/>
      <c r="BO128" s="18"/>
      <c r="BQ128" s="18"/>
    </row>
    <row r="129" spans="5:69">
      <c r="E129" s="18"/>
      <c r="H129" s="18"/>
      <c r="J129" s="18"/>
      <c r="L129" s="18"/>
      <c r="Q129" s="18"/>
      <c r="V129" s="18"/>
      <c r="AA129" s="18"/>
      <c r="AF129" s="18"/>
      <c r="AK129" s="18"/>
      <c r="AN129" s="18"/>
      <c r="AQ129" s="18"/>
      <c r="AT129" s="18"/>
      <c r="AW129" s="18"/>
      <c r="BB129" s="18"/>
      <c r="BG129" s="18"/>
      <c r="BI129" s="18"/>
      <c r="BK129" s="18"/>
      <c r="BM129" s="18"/>
      <c r="BO129" s="18"/>
      <c r="BQ129" s="18"/>
    </row>
    <row r="130" spans="5:69">
      <c r="E130" s="18"/>
      <c r="H130" s="18"/>
      <c r="J130" s="18"/>
      <c r="L130" s="18"/>
      <c r="Q130" s="18"/>
      <c r="V130" s="18"/>
      <c r="AA130" s="18"/>
      <c r="AF130" s="18"/>
      <c r="AK130" s="18"/>
      <c r="AN130" s="18"/>
      <c r="AQ130" s="18"/>
      <c r="AT130" s="18"/>
      <c r="AW130" s="18"/>
      <c r="BB130" s="18"/>
      <c r="BG130" s="18"/>
      <c r="BI130" s="18"/>
      <c r="BK130" s="18"/>
      <c r="BM130" s="18"/>
      <c r="BO130" s="18"/>
      <c r="BQ130" s="18"/>
    </row>
    <row r="131" spans="5:69">
      <c r="E131" s="18"/>
      <c r="H131" s="18"/>
      <c r="J131" s="18"/>
      <c r="L131" s="18"/>
      <c r="Q131" s="18"/>
      <c r="V131" s="18"/>
      <c r="AA131" s="18"/>
      <c r="AF131" s="18"/>
      <c r="AK131" s="18"/>
      <c r="AN131" s="18"/>
      <c r="AQ131" s="18"/>
      <c r="AT131" s="18"/>
      <c r="AW131" s="18"/>
      <c r="BB131" s="18"/>
      <c r="BG131" s="18"/>
      <c r="BI131" s="18"/>
      <c r="BK131" s="18"/>
      <c r="BM131" s="18"/>
      <c r="BO131" s="18"/>
      <c r="BQ131" s="18"/>
    </row>
    <row r="132" spans="5:69">
      <c r="E132" s="18"/>
      <c r="H132" s="18"/>
      <c r="J132" s="18"/>
      <c r="L132" s="18"/>
      <c r="Q132" s="18"/>
      <c r="V132" s="18"/>
      <c r="AA132" s="18"/>
      <c r="AF132" s="18"/>
      <c r="AK132" s="18"/>
      <c r="AN132" s="18"/>
      <c r="AQ132" s="18"/>
      <c r="AT132" s="18"/>
      <c r="AW132" s="18"/>
      <c r="BB132" s="18"/>
      <c r="BG132" s="18"/>
      <c r="BI132" s="18"/>
      <c r="BK132" s="18"/>
      <c r="BM132" s="18"/>
      <c r="BO132" s="18"/>
      <c r="BQ132" s="18"/>
    </row>
    <row r="133" spans="5:69">
      <c r="E133" s="18"/>
      <c r="H133" s="18"/>
      <c r="J133" s="18"/>
      <c r="L133" s="18"/>
      <c r="Q133" s="18"/>
      <c r="V133" s="18"/>
      <c r="AA133" s="18"/>
      <c r="AF133" s="18"/>
      <c r="AK133" s="18"/>
      <c r="AN133" s="18"/>
      <c r="AQ133" s="18"/>
      <c r="AT133" s="18"/>
      <c r="AW133" s="18"/>
      <c r="BB133" s="18"/>
      <c r="BG133" s="18"/>
      <c r="BI133" s="18"/>
      <c r="BK133" s="18"/>
      <c r="BM133" s="18"/>
      <c r="BO133" s="18"/>
      <c r="BQ133" s="18"/>
    </row>
    <row r="134" spans="5:69">
      <c r="E134" s="18"/>
      <c r="H134" s="18"/>
      <c r="J134" s="18"/>
      <c r="L134" s="18"/>
      <c r="Q134" s="18"/>
      <c r="V134" s="18"/>
      <c r="AA134" s="18"/>
      <c r="AF134" s="18"/>
      <c r="AK134" s="18"/>
      <c r="AN134" s="18"/>
      <c r="AQ134" s="18"/>
      <c r="AT134" s="18"/>
      <c r="AW134" s="18"/>
      <c r="BB134" s="18"/>
      <c r="BG134" s="18"/>
      <c r="BI134" s="18"/>
      <c r="BK134" s="18"/>
      <c r="BM134" s="18"/>
      <c r="BO134" s="18"/>
      <c r="BQ134" s="18"/>
    </row>
    <row r="135" spans="5:69">
      <c r="E135" s="18"/>
      <c r="H135" s="18"/>
      <c r="J135" s="18"/>
      <c r="L135" s="18"/>
      <c r="Q135" s="18"/>
      <c r="V135" s="18"/>
      <c r="AA135" s="18"/>
      <c r="AF135" s="18"/>
      <c r="AK135" s="18"/>
      <c r="AN135" s="18"/>
      <c r="AQ135" s="18"/>
      <c r="AT135" s="18"/>
      <c r="AW135" s="18"/>
      <c r="BB135" s="18"/>
      <c r="BG135" s="18"/>
      <c r="BI135" s="18"/>
      <c r="BK135" s="18"/>
      <c r="BM135" s="18"/>
      <c r="BO135" s="18"/>
      <c r="BQ135" s="18"/>
    </row>
    <row r="136" spans="5:69">
      <c r="E136" s="18"/>
      <c r="H136" s="18"/>
      <c r="J136" s="18"/>
      <c r="L136" s="18"/>
      <c r="Q136" s="18"/>
      <c r="V136" s="18"/>
      <c r="AA136" s="18"/>
      <c r="AF136" s="18"/>
      <c r="AK136" s="18"/>
      <c r="AN136" s="18"/>
      <c r="AQ136" s="18"/>
      <c r="AT136" s="18"/>
      <c r="AW136" s="18"/>
      <c r="BB136" s="18"/>
      <c r="BG136" s="18"/>
      <c r="BI136" s="18"/>
      <c r="BK136" s="18"/>
      <c r="BM136" s="18"/>
      <c r="BO136" s="18"/>
      <c r="BQ136" s="18"/>
    </row>
    <row r="137" spans="5:69">
      <c r="E137" s="18"/>
      <c r="H137" s="18"/>
      <c r="J137" s="18"/>
      <c r="L137" s="18"/>
      <c r="Q137" s="18"/>
      <c r="V137" s="18"/>
      <c r="AA137" s="18"/>
      <c r="AF137" s="18"/>
      <c r="AK137" s="18"/>
      <c r="AN137" s="18"/>
      <c r="AQ137" s="18"/>
      <c r="AT137" s="18"/>
      <c r="AW137" s="18"/>
      <c r="BB137" s="18"/>
      <c r="BG137" s="18"/>
      <c r="BI137" s="18"/>
      <c r="BK137" s="18"/>
      <c r="BM137" s="18"/>
      <c r="BO137" s="18"/>
      <c r="BQ137" s="18"/>
    </row>
    <row r="138" spans="5:69">
      <c r="E138" s="18"/>
      <c r="H138" s="18"/>
      <c r="J138" s="18"/>
      <c r="L138" s="18"/>
      <c r="Q138" s="18"/>
      <c r="V138" s="18"/>
      <c r="AA138" s="18"/>
      <c r="AF138" s="18"/>
      <c r="AK138" s="18"/>
      <c r="AN138" s="18"/>
      <c r="AQ138" s="18"/>
      <c r="AT138" s="18"/>
      <c r="AW138" s="18"/>
      <c r="BB138" s="18"/>
      <c r="BG138" s="18"/>
      <c r="BI138" s="18"/>
      <c r="BK138" s="18"/>
      <c r="BM138" s="18"/>
      <c r="BO138" s="18"/>
      <c r="BQ138" s="18"/>
    </row>
  </sheetData>
  <mergeCells count="127">
    <mergeCell ref="BP9:BP10"/>
    <mergeCell ref="BL9:BL10"/>
    <mergeCell ref="BN9:BN10"/>
    <mergeCell ref="AB9:AE10"/>
    <mergeCell ref="BH9:BH10"/>
    <mergeCell ref="BJ9:BJ10"/>
    <mergeCell ref="A52:D52"/>
    <mergeCell ref="AX9:BA10"/>
    <mergeCell ref="R9:U10"/>
    <mergeCell ref="BC9:BF10"/>
    <mergeCell ref="K9:K10"/>
    <mergeCell ref="A9:D10"/>
    <mergeCell ref="F9:G10"/>
    <mergeCell ref="AL9:AM10"/>
    <mergeCell ref="I9:I10"/>
    <mergeCell ref="AO9:AP10"/>
    <mergeCell ref="AR9:AS10"/>
    <mergeCell ref="AU9:AV10"/>
    <mergeCell ref="M9:P10"/>
    <mergeCell ref="W9:Z10"/>
    <mergeCell ref="A8:C8"/>
    <mergeCell ref="F8:G8"/>
    <mergeCell ref="AX8:BA8"/>
    <mergeCell ref="R8:U8"/>
    <mergeCell ref="BC8:BF8"/>
    <mergeCell ref="AL8:AM8"/>
    <mergeCell ref="AO8:AP8"/>
    <mergeCell ref="AR8:AS8"/>
    <mergeCell ref="AU8:AV8"/>
    <mergeCell ref="M8:P8"/>
    <mergeCell ref="W8:Z8"/>
    <mergeCell ref="AB8:AE8"/>
    <mergeCell ref="R6:U6"/>
    <mergeCell ref="BC6:BF6"/>
    <mergeCell ref="AU6:AV6"/>
    <mergeCell ref="AL6:AM6"/>
    <mergeCell ref="AO6:AP6"/>
    <mergeCell ref="AR6:AS6"/>
    <mergeCell ref="W6:Z6"/>
    <mergeCell ref="AX6:BA6"/>
    <mergeCell ref="A7:C7"/>
    <mergeCell ref="F7:G7"/>
    <mergeCell ref="AX7:BA7"/>
    <mergeCell ref="R7:U7"/>
    <mergeCell ref="BC7:BF7"/>
    <mergeCell ref="AU7:AV7"/>
    <mergeCell ref="AL7:AM7"/>
    <mergeCell ref="AO7:AP7"/>
    <mergeCell ref="AR7:AS7"/>
    <mergeCell ref="M7:P7"/>
    <mergeCell ref="W7:Z7"/>
    <mergeCell ref="AB7:AE7"/>
    <mergeCell ref="A3:C3"/>
    <mergeCell ref="F3:G3"/>
    <mergeCell ref="AX3:BA3"/>
    <mergeCell ref="M4:P4"/>
    <mergeCell ref="BC5:BF5"/>
    <mergeCell ref="AL5:AM5"/>
    <mergeCell ref="AU5:AV5"/>
    <mergeCell ref="AO5:AP5"/>
    <mergeCell ref="AR5:AS5"/>
    <mergeCell ref="A4:C4"/>
    <mergeCell ref="F4:G4"/>
    <mergeCell ref="AX4:BA4"/>
    <mergeCell ref="R4:U4"/>
    <mergeCell ref="BC4:BF4"/>
    <mergeCell ref="AL4:AM4"/>
    <mergeCell ref="AU4:AV4"/>
    <mergeCell ref="AO4:AP4"/>
    <mergeCell ref="AR4:AS4"/>
    <mergeCell ref="AX5:BA5"/>
    <mergeCell ref="R5:U5"/>
    <mergeCell ref="W3:Z3"/>
    <mergeCell ref="W4:Z4"/>
    <mergeCell ref="W5:Z5"/>
    <mergeCell ref="AO3:AP3"/>
    <mergeCell ref="A2:C2"/>
    <mergeCell ref="F2:G2"/>
    <mergeCell ref="AX2:BA2"/>
    <mergeCell ref="R2:U2"/>
    <mergeCell ref="BC2:BF2"/>
    <mergeCell ref="AL2:AM2"/>
    <mergeCell ref="AU2:AV2"/>
    <mergeCell ref="AR2:AS2"/>
    <mergeCell ref="A1:C1"/>
    <mergeCell ref="F1:G1"/>
    <mergeCell ref="AX1:BA1"/>
    <mergeCell ref="R1:U1"/>
    <mergeCell ref="W1:Z1"/>
    <mergeCell ref="W2:Z2"/>
    <mergeCell ref="AO1:AP1"/>
    <mergeCell ref="AO2:AP2"/>
    <mergeCell ref="M1:P1"/>
    <mergeCell ref="M2:P2"/>
    <mergeCell ref="M3:P3"/>
    <mergeCell ref="BC1:BF1"/>
    <mergeCell ref="AL1:AM1"/>
    <mergeCell ref="AU1:AV1"/>
    <mergeCell ref="AR1:AS1"/>
    <mergeCell ref="BC3:BF3"/>
    <mergeCell ref="AL3:AM3"/>
    <mergeCell ref="AU3:AV3"/>
    <mergeCell ref="AR3:AS3"/>
    <mergeCell ref="BR9:BR10"/>
    <mergeCell ref="A53:D53"/>
    <mergeCell ref="AG6:AJ6"/>
    <mergeCell ref="AG7:AJ7"/>
    <mergeCell ref="AG8:AJ8"/>
    <mergeCell ref="AG9:AJ10"/>
    <mergeCell ref="AG1:AJ1"/>
    <mergeCell ref="AG2:AJ2"/>
    <mergeCell ref="AG3:AJ3"/>
    <mergeCell ref="AG4:AJ4"/>
    <mergeCell ref="AG5:AJ5"/>
    <mergeCell ref="AB1:AE1"/>
    <mergeCell ref="AB2:AE2"/>
    <mergeCell ref="AB3:AE3"/>
    <mergeCell ref="AB4:AE4"/>
    <mergeCell ref="AB5:AE5"/>
    <mergeCell ref="AB6:AE6"/>
    <mergeCell ref="A6:C6"/>
    <mergeCell ref="F6:G6"/>
    <mergeCell ref="M5:P5"/>
    <mergeCell ref="M6:P6"/>
    <mergeCell ref="R3:U3"/>
    <mergeCell ref="A5:C5"/>
    <mergeCell ref="F5:G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14"/>
  <sheetViews>
    <sheetView zoomScale="80" zoomScaleNormal="80" workbookViewId="0">
      <pane xSplit="4" topLeftCell="E1" activePane="topRight" state="frozen"/>
      <selection pane="topRight" activeCell="B11" sqref="B11:B21"/>
    </sheetView>
  </sheetViews>
  <sheetFormatPr defaultRowHeight="14.45"/>
  <cols>
    <col min="1" max="1" width="13.42578125" customWidth="1"/>
    <col min="2" max="2" width="3.85546875" customWidth="1"/>
    <col min="3" max="3" width="19.140625" customWidth="1"/>
    <col min="4" max="4" width="40.85546875" customWidth="1"/>
    <col min="5" max="5" width="2" customWidth="1"/>
    <col min="6" max="6" width="35.140625" customWidth="1"/>
    <col min="7" max="7" width="2" customWidth="1"/>
    <col min="8" max="8" width="17.5703125" customWidth="1"/>
    <col min="9" max="9" width="15.85546875" customWidth="1"/>
    <col min="10" max="10" width="2" customWidth="1"/>
    <col min="11" max="11" width="15.85546875" customWidth="1"/>
    <col min="12" max="12" width="15.5703125" customWidth="1"/>
    <col min="13" max="13" width="2" customWidth="1"/>
    <col min="14" max="14" width="15.85546875" customWidth="1"/>
    <col min="15" max="15" width="15.5703125" customWidth="1"/>
    <col min="16" max="16" width="2" customWidth="1"/>
    <col min="17" max="17" width="16" customWidth="1"/>
    <col min="18" max="18" width="15.42578125" customWidth="1"/>
    <col min="19" max="19" width="2" customWidth="1"/>
    <col min="20" max="20" width="28.140625" bestFit="1" customWidth="1"/>
    <col min="21" max="21" width="2" customWidth="1"/>
    <col min="22" max="22" width="28.140625" bestFit="1" customWidth="1"/>
    <col min="23" max="23" width="2" customWidth="1"/>
    <col min="24" max="24" width="28.140625" bestFit="1" customWidth="1"/>
    <col min="25" max="25" width="2" customWidth="1"/>
    <col min="26" max="26" width="25.85546875" customWidth="1"/>
    <col min="27" max="27" width="2" customWidth="1"/>
    <col min="28" max="28" width="25.42578125" bestFit="1" customWidth="1"/>
    <col min="29" max="29" width="2" customWidth="1"/>
  </cols>
  <sheetData>
    <row r="1" spans="1:29">
      <c r="A1" s="319" t="s">
        <v>24</v>
      </c>
      <c r="B1" s="319"/>
      <c r="C1" s="319"/>
      <c r="D1" s="2" t="s">
        <v>25</v>
      </c>
      <c r="E1" s="4"/>
      <c r="F1" s="179" t="s">
        <v>26</v>
      </c>
      <c r="G1" s="4"/>
      <c r="H1" s="299" t="s">
        <v>27</v>
      </c>
      <c r="I1" s="299"/>
      <c r="J1" s="4"/>
      <c r="K1" s="299" t="s">
        <v>27</v>
      </c>
      <c r="L1" s="299"/>
      <c r="M1" s="4"/>
      <c r="N1" s="299" t="s">
        <v>33</v>
      </c>
      <c r="O1" s="299"/>
      <c r="P1" s="4"/>
      <c r="Q1" s="299" t="s">
        <v>27</v>
      </c>
      <c r="R1" s="299"/>
      <c r="S1" s="4"/>
      <c r="T1" s="185" t="s">
        <v>34</v>
      </c>
      <c r="U1" s="4"/>
      <c r="V1" s="185" t="s">
        <v>34</v>
      </c>
      <c r="W1" s="4"/>
      <c r="X1" s="185" t="s">
        <v>34</v>
      </c>
      <c r="Y1" s="4"/>
      <c r="Z1" s="32" t="s">
        <v>37</v>
      </c>
      <c r="AA1" s="4"/>
      <c r="AB1" s="32" t="s">
        <v>41</v>
      </c>
      <c r="AC1" s="4"/>
    </row>
    <row r="2" spans="1:29">
      <c r="A2" s="302" t="s">
        <v>42</v>
      </c>
      <c r="B2" s="302"/>
      <c r="C2" s="303"/>
      <c r="D2" s="115" t="s">
        <v>43</v>
      </c>
      <c r="E2" s="6"/>
      <c r="F2" s="178" t="s">
        <v>44</v>
      </c>
      <c r="G2" s="6"/>
      <c r="H2" s="320" t="s">
        <v>45</v>
      </c>
      <c r="I2" s="320"/>
      <c r="J2" s="6"/>
      <c r="K2" s="320" t="s">
        <v>46</v>
      </c>
      <c r="L2" s="320"/>
      <c r="M2" s="6"/>
      <c r="N2" s="320" t="s">
        <v>52</v>
      </c>
      <c r="O2" s="320"/>
      <c r="P2" s="6"/>
      <c r="Q2" s="321" t="s">
        <v>53</v>
      </c>
      <c r="R2" s="318"/>
      <c r="S2" s="6"/>
      <c r="T2" s="184" t="s">
        <v>54</v>
      </c>
      <c r="U2" s="6"/>
      <c r="V2" s="48" t="s">
        <v>55</v>
      </c>
      <c r="W2" s="44"/>
      <c r="X2" s="48" t="s">
        <v>56</v>
      </c>
      <c r="Y2" s="6"/>
      <c r="Z2" s="170" t="s">
        <v>59</v>
      </c>
      <c r="AA2" s="6"/>
      <c r="AB2" s="170" t="s">
        <v>64</v>
      </c>
      <c r="AC2" s="6"/>
    </row>
    <row r="3" spans="1:29" ht="37.5">
      <c r="A3" s="302"/>
      <c r="B3" s="302"/>
      <c r="C3" s="303"/>
      <c r="D3" s="115" t="s">
        <v>65</v>
      </c>
      <c r="E3" s="6"/>
      <c r="F3" s="172" t="s">
        <v>66</v>
      </c>
      <c r="G3" s="6"/>
      <c r="H3" s="293" t="s">
        <v>67</v>
      </c>
      <c r="I3" s="293"/>
      <c r="J3" s="6"/>
      <c r="K3" s="293" t="s">
        <v>68</v>
      </c>
      <c r="L3" s="293"/>
      <c r="M3" s="6"/>
      <c r="N3" s="293" t="s">
        <v>73</v>
      </c>
      <c r="O3" s="293"/>
      <c r="P3" s="6"/>
      <c r="Q3" s="234" t="s">
        <v>74</v>
      </c>
      <c r="R3" s="235"/>
      <c r="S3" s="6"/>
      <c r="T3" s="187" t="s">
        <v>75</v>
      </c>
      <c r="U3" s="6"/>
      <c r="V3" s="187" t="s">
        <v>76</v>
      </c>
      <c r="W3" s="44"/>
      <c r="X3" s="187" t="s">
        <v>77</v>
      </c>
      <c r="Y3" s="6"/>
      <c r="Z3" s="177" t="s">
        <v>80</v>
      </c>
      <c r="AA3" s="6"/>
      <c r="AB3" s="177" t="s">
        <v>83</v>
      </c>
      <c r="AC3" s="6"/>
    </row>
    <row r="4" spans="1:29">
      <c r="A4" s="316"/>
      <c r="B4" s="316"/>
      <c r="C4" s="317"/>
      <c r="D4" s="115" t="s">
        <v>84</v>
      </c>
      <c r="E4" s="6"/>
      <c r="F4" s="178" t="s">
        <v>85</v>
      </c>
      <c r="G4" s="6"/>
      <c r="H4" s="292"/>
      <c r="I4" s="292"/>
      <c r="J4" s="6"/>
      <c r="K4" s="292"/>
      <c r="L4" s="292"/>
      <c r="M4" s="6"/>
      <c r="N4" s="292"/>
      <c r="O4" s="292"/>
      <c r="P4" s="6"/>
      <c r="Q4" s="318"/>
      <c r="R4" s="318"/>
      <c r="S4" s="6"/>
      <c r="T4" s="187"/>
      <c r="U4" s="6"/>
      <c r="V4" s="187"/>
      <c r="W4" s="44"/>
      <c r="X4" s="187"/>
      <c r="Y4" s="6"/>
      <c r="Z4" s="171"/>
      <c r="AA4" s="6"/>
      <c r="AB4" s="171"/>
      <c r="AC4" s="6"/>
    </row>
    <row r="5" spans="1:29" ht="50.1">
      <c r="A5" s="302" t="s">
        <v>263</v>
      </c>
      <c r="B5" s="302"/>
      <c r="C5" s="303"/>
      <c r="D5" s="115" t="s">
        <v>87</v>
      </c>
      <c r="E5" s="6"/>
      <c r="F5" s="172" t="s">
        <v>168</v>
      </c>
      <c r="G5" s="6"/>
      <c r="H5" s="293" t="s">
        <v>89</v>
      </c>
      <c r="I5" s="293"/>
      <c r="J5" s="6"/>
      <c r="K5" s="315" t="s">
        <v>90</v>
      </c>
      <c r="L5" s="315"/>
      <c r="M5" s="6"/>
      <c r="N5" s="293" t="s">
        <v>94</v>
      </c>
      <c r="O5" s="293"/>
      <c r="P5" s="6"/>
      <c r="Q5" s="234" t="s">
        <v>95</v>
      </c>
      <c r="R5" s="235"/>
      <c r="S5" s="6"/>
      <c r="T5" s="187" t="s">
        <v>96</v>
      </c>
      <c r="U5" s="6"/>
      <c r="V5" s="187" t="s">
        <v>97</v>
      </c>
      <c r="W5" s="44"/>
      <c r="X5" s="187" t="s">
        <v>98</v>
      </c>
      <c r="Y5" s="6"/>
      <c r="Z5" s="177" t="s">
        <v>101</v>
      </c>
      <c r="AA5" s="6"/>
      <c r="AB5" s="177" t="s">
        <v>106</v>
      </c>
      <c r="AC5" s="6"/>
    </row>
    <row r="6" spans="1:29" ht="31.7" customHeight="1">
      <c r="A6" s="302" t="s">
        <v>86</v>
      </c>
      <c r="B6" s="302"/>
      <c r="C6" s="303"/>
      <c r="D6" s="115" t="s">
        <v>107</v>
      </c>
      <c r="E6" s="6"/>
      <c r="F6" s="178" t="s">
        <v>264</v>
      </c>
      <c r="G6" s="6"/>
      <c r="H6" s="292" t="s">
        <v>109</v>
      </c>
      <c r="I6" s="292"/>
      <c r="J6" s="6"/>
      <c r="K6" s="292" t="s">
        <v>108</v>
      </c>
      <c r="L6" s="292"/>
      <c r="M6" s="6"/>
      <c r="N6" s="292"/>
      <c r="O6" s="292"/>
      <c r="P6" s="6"/>
      <c r="Q6" s="234" t="s">
        <v>111</v>
      </c>
      <c r="R6" s="304"/>
      <c r="S6" s="6"/>
      <c r="T6" s="187" t="s">
        <v>112</v>
      </c>
      <c r="U6" s="6"/>
      <c r="V6" s="187" t="s">
        <v>113</v>
      </c>
      <c r="W6" s="44"/>
      <c r="X6" s="187" t="s">
        <v>114</v>
      </c>
      <c r="Y6" s="6"/>
      <c r="Z6" s="171"/>
      <c r="AA6" s="6"/>
      <c r="AB6" s="171"/>
      <c r="AC6" s="6"/>
    </row>
    <row r="7" spans="1:29" ht="18" customHeight="1">
      <c r="A7" s="295" t="s">
        <v>265</v>
      </c>
      <c r="B7" s="295"/>
      <c r="C7" s="296"/>
      <c r="D7" s="186" t="s">
        <v>115</v>
      </c>
      <c r="E7" s="6"/>
      <c r="F7" s="117" t="s">
        <v>116</v>
      </c>
      <c r="G7" s="6"/>
      <c r="H7" s="292" t="s">
        <v>108</v>
      </c>
      <c r="I7" s="292"/>
      <c r="J7" s="6"/>
      <c r="K7" s="292" t="s">
        <v>108</v>
      </c>
      <c r="L7" s="292"/>
      <c r="M7" s="6"/>
      <c r="N7" s="292"/>
      <c r="O7" s="292"/>
      <c r="P7" s="6"/>
      <c r="Q7" s="301" t="s">
        <v>108</v>
      </c>
      <c r="R7" s="301"/>
      <c r="S7" s="6"/>
      <c r="T7" s="187" t="s">
        <v>117</v>
      </c>
      <c r="U7" s="6"/>
      <c r="V7" s="187" t="s">
        <v>117</v>
      </c>
      <c r="W7" s="44"/>
      <c r="X7" s="187" t="s">
        <v>117</v>
      </c>
      <c r="Y7" s="6"/>
      <c r="Z7" s="171"/>
      <c r="AA7" s="6"/>
      <c r="AB7" s="171"/>
      <c r="AC7" s="6"/>
    </row>
    <row r="8" spans="1:29" ht="49.35" customHeight="1">
      <c r="A8" s="297"/>
      <c r="B8" s="297"/>
      <c r="C8" s="298"/>
      <c r="D8" s="116" t="s">
        <v>118</v>
      </c>
      <c r="E8" s="7"/>
      <c r="F8" s="181" t="s">
        <v>266</v>
      </c>
      <c r="G8" s="7"/>
      <c r="H8" s="294" t="s">
        <v>266</v>
      </c>
      <c r="I8" s="294"/>
      <c r="J8" s="7"/>
      <c r="K8" s="294" t="s">
        <v>266</v>
      </c>
      <c r="L8" s="294"/>
      <c r="M8" s="7"/>
      <c r="N8" s="294" t="s">
        <v>267</v>
      </c>
      <c r="O8" s="294"/>
      <c r="P8" s="7"/>
      <c r="Q8" s="300" t="s">
        <v>266</v>
      </c>
      <c r="R8" s="300"/>
      <c r="S8" s="7"/>
      <c r="T8" s="188" t="s">
        <v>268</v>
      </c>
      <c r="U8" s="7"/>
      <c r="V8" s="188" t="s">
        <v>268</v>
      </c>
      <c r="W8" s="45"/>
      <c r="X8" s="188" t="s">
        <v>268</v>
      </c>
      <c r="Y8" s="7"/>
      <c r="Z8" s="183"/>
      <c r="AA8" s="7"/>
      <c r="AB8" s="183"/>
      <c r="AC8" s="7"/>
    </row>
    <row r="9" spans="1:29" ht="14.45" customHeight="1">
      <c r="A9" s="307" t="s">
        <v>128</v>
      </c>
      <c r="B9" s="307"/>
      <c r="C9" s="307"/>
      <c r="D9" s="307"/>
      <c r="E9" s="8"/>
      <c r="F9" s="308"/>
      <c r="G9" s="8"/>
      <c r="H9" s="310" t="s">
        <v>269</v>
      </c>
      <c r="I9" s="310"/>
      <c r="J9" s="8"/>
      <c r="K9" s="310" t="s">
        <v>269</v>
      </c>
      <c r="L9" s="310"/>
      <c r="M9" s="8"/>
      <c r="N9" s="310"/>
      <c r="O9" s="310"/>
      <c r="P9" s="8"/>
      <c r="Q9" s="312" t="s">
        <v>269</v>
      </c>
      <c r="R9" s="312"/>
      <c r="S9" s="8"/>
      <c r="T9" s="306"/>
      <c r="U9" s="8"/>
      <c r="V9" s="314"/>
      <c r="W9" s="44"/>
      <c r="X9" s="314"/>
      <c r="Y9" s="8"/>
      <c r="Z9" s="232"/>
      <c r="AA9" s="8"/>
      <c r="AB9" s="232"/>
      <c r="AC9" s="8"/>
    </row>
    <row r="10" spans="1:29">
      <c r="A10" s="307"/>
      <c r="B10" s="307"/>
      <c r="C10" s="307"/>
      <c r="D10" s="307"/>
      <c r="E10" s="8"/>
      <c r="F10" s="309"/>
      <c r="G10" s="8"/>
      <c r="H10" s="311"/>
      <c r="I10" s="311"/>
      <c r="J10" s="8"/>
      <c r="K10" s="311"/>
      <c r="L10" s="311"/>
      <c r="M10" s="8"/>
      <c r="N10" s="311"/>
      <c r="O10" s="311"/>
      <c r="P10" s="8"/>
      <c r="Q10" s="313"/>
      <c r="R10" s="313"/>
      <c r="S10" s="8"/>
      <c r="T10" s="306"/>
      <c r="U10" s="8"/>
      <c r="V10" s="314"/>
      <c r="W10" s="44"/>
      <c r="X10" s="314"/>
      <c r="Y10" s="8"/>
      <c r="Z10" s="233"/>
      <c r="AA10" s="8"/>
      <c r="AB10" s="233"/>
      <c r="AC10" s="8"/>
    </row>
    <row r="11" spans="1:29">
      <c r="A11" s="9" t="s">
        <v>134</v>
      </c>
      <c r="B11" s="9"/>
      <c r="C11" s="10" t="s">
        <v>136</v>
      </c>
      <c r="D11" s="10" t="s">
        <v>137</v>
      </c>
      <c r="E11" s="11"/>
      <c r="F11" s="12" t="s">
        <v>270</v>
      </c>
      <c r="G11" s="11"/>
      <c r="H11" s="12" t="s">
        <v>271</v>
      </c>
      <c r="I11" s="13" t="s">
        <v>272</v>
      </c>
      <c r="J11" s="11"/>
      <c r="K11" s="12" t="s">
        <v>271</v>
      </c>
      <c r="L11" s="13" t="s">
        <v>272</v>
      </c>
      <c r="M11" s="11"/>
      <c r="N11" s="12" t="s">
        <v>271</v>
      </c>
      <c r="O11" s="13" t="s">
        <v>272</v>
      </c>
      <c r="P11" s="11"/>
      <c r="Q11" s="12" t="s">
        <v>271</v>
      </c>
      <c r="R11" s="13" t="s">
        <v>272</v>
      </c>
      <c r="S11" s="11"/>
      <c r="T11" s="10" t="s">
        <v>273</v>
      </c>
      <c r="U11" s="11"/>
      <c r="V11" s="10" t="s">
        <v>273</v>
      </c>
      <c r="W11" s="11"/>
      <c r="X11" s="10" t="s">
        <v>273</v>
      </c>
      <c r="Y11" s="11"/>
      <c r="Z11" s="26" t="s">
        <v>273</v>
      </c>
      <c r="AA11" s="11"/>
      <c r="AB11" s="26" t="s">
        <v>273</v>
      </c>
      <c r="AC11" s="11"/>
    </row>
    <row r="12" spans="1:29" ht="15.6">
      <c r="A12" s="81" t="s">
        <v>274</v>
      </c>
      <c r="B12" s="81"/>
      <c r="C12" s="143" t="s">
        <v>275</v>
      </c>
      <c r="D12" s="83" t="s">
        <v>276</v>
      </c>
      <c r="E12" s="11"/>
      <c r="F12" s="144" t="s">
        <v>194</v>
      </c>
      <c r="G12" s="11"/>
      <c r="H12" s="145">
        <f>6.5454*(3*28.0855)/222.4618</f>
        <v>2.4790435710760228</v>
      </c>
      <c r="I12" s="84">
        <f>11.636*(3*28.0855)/222.4618</f>
        <v>4.4070875718887468</v>
      </c>
      <c r="J12" s="11"/>
      <c r="K12" s="146">
        <f>12.364*(3*28.0855)/222.4618</f>
        <v>4.6828146045748076</v>
      </c>
      <c r="L12" s="86">
        <f>20.364*(3*28.0855)/222.4618</f>
        <v>7.7127819967293263</v>
      </c>
      <c r="M12" s="11"/>
      <c r="N12" s="146"/>
      <c r="O12" s="97" t="s">
        <v>277</v>
      </c>
      <c r="P12" s="11"/>
      <c r="Q12" s="146">
        <f>0*(3*28.0855)/222.4618</f>
        <v>0</v>
      </c>
      <c r="R12" s="86">
        <f>4.364*(3*28.0855)/222.4618</f>
        <v>1.6528472124202895</v>
      </c>
      <c r="S12" s="11"/>
      <c r="T12" s="84">
        <f>340*(3*28.0855)/222.4618</f>
        <v>128.773614166567</v>
      </c>
      <c r="U12" s="11"/>
      <c r="V12" s="85">
        <f>830*(3*28.0855)/222.4618</f>
        <v>314.35911693603128</v>
      </c>
      <c r="W12" s="11"/>
      <c r="X12" s="85">
        <f>930*(3*28.0855)/222.4618</f>
        <v>352.23370933796269</v>
      </c>
      <c r="Y12" s="11"/>
      <c r="Z12" s="85" t="s">
        <v>278</v>
      </c>
      <c r="AA12" s="11"/>
      <c r="AB12" s="166"/>
      <c r="AC12" s="11"/>
    </row>
    <row r="13" spans="1:29" ht="15.6">
      <c r="A13" s="81" t="s">
        <v>274</v>
      </c>
      <c r="B13" s="81"/>
      <c r="C13" s="143" t="s">
        <v>279</v>
      </c>
      <c r="D13" s="83" t="s">
        <v>280</v>
      </c>
      <c r="E13" s="11"/>
      <c r="F13" s="144" t="s">
        <v>194</v>
      </c>
      <c r="G13" s="11"/>
      <c r="H13" s="145"/>
      <c r="I13" s="84"/>
      <c r="J13" s="11"/>
      <c r="K13" s="146"/>
      <c r="L13" s="86"/>
      <c r="M13" s="11"/>
      <c r="N13" s="146"/>
      <c r="O13" s="97" t="s">
        <v>277</v>
      </c>
      <c r="P13" s="11"/>
      <c r="Q13" s="146">
        <f>44.5545*(4*28.0855/296.6158)</f>
        <v>16.874831478970439</v>
      </c>
      <c r="R13" s="86">
        <f>252.4752*(4*28.0855/296.6158)</f>
        <v>95.623931423747493</v>
      </c>
      <c r="S13" s="11"/>
      <c r="T13" s="84">
        <f>430*(4*28.0855/296.6158)</f>
        <v>162.86071072410846</v>
      </c>
      <c r="U13" s="11"/>
      <c r="V13" s="85">
        <f>1360*(4*28.0855/296.6158)</f>
        <v>515.09434089485467</v>
      </c>
      <c r="W13" s="11"/>
      <c r="X13" s="85">
        <f>1850*(4*28.0855/296.6158)</f>
        <v>700.67980195255961</v>
      </c>
      <c r="Y13" s="11"/>
      <c r="Z13" s="85" t="s">
        <v>154</v>
      </c>
      <c r="AA13" s="11"/>
      <c r="AB13" s="166">
        <v>2500</v>
      </c>
      <c r="AC13" s="11"/>
    </row>
    <row r="14" spans="1:29" ht="15.6">
      <c r="A14" s="81" t="s">
        <v>274</v>
      </c>
      <c r="B14" s="81"/>
      <c r="C14" s="143" t="s">
        <v>281</v>
      </c>
      <c r="D14" s="83" t="s">
        <v>282</v>
      </c>
      <c r="E14" s="11"/>
      <c r="F14" s="144"/>
      <c r="G14" s="11"/>
      <c r="H14" s="145">
        <f>9.43242*(5*28.0855/370.7697)</f>
        <v>3.5724903074603995</v>
      </c>
      <c r="I14" s="84">
        <f>9.43242*(5*28.0855/370.7697)</f>
        <v>3.5724903074603995</v>
      </c>
      <c r="J14" s="11"/>
      <c r="K14" s="146"/>
      <c r="L14" s="86"/>
      <c r="M14" s="11"/>
      <c r="N14" s="146"/>
      <c r="O14" s="86">
        <v>200</v>
      </c>
      <c r="P14" s="11"/>
      <c r="Q14" s="146">
        <f>265.64753*(5*28.0855/370.7697)</f>
        <v>100.6129101678886</v>
      </c>
      <c r="R14" s="86">
        <f>534.3199*(5*28.0855/370.7697)</f>
        <v>202.37146605359067</v>
      </c>
      <c r="S14" s="11"/>
      <c r="T14" s="84">
        <f>680*(5*28.0855/370.7697)</f>
        <v>257.54720517884823</v>
      </c>
      <c r="U14" s="11"/>
      <c r="V14" s="85">
        <f>6700*(5*28.0855/370.7697)</f>
        <v>2537.597462791593</v>
      </c>
      <c r="W14" s="11"/>
      <c r="X14" s="85">
        <f>700*(5*28.0855/370.7697)</f>
        <v>265.12212297822612</v>
      </c>
      <c r="Y14" s="11"/>
      <c r="Z14" s="85" t="s">
        <v>154</v>
      </c>
      <c r="AA14" s="11"/>
      <c r="AB14" s="166">
        <v>11000</v>
      </c>
      <c r="AC14" s="11"/>
    </row>
    <row r="15" spans="1:29" ht="15.6">
      <c r="A15" s="81" t="s">
        <v>274</v>
      </c>
      <c r="B15" s="81"/>
      <c r="C15" s="143" t="s">
        <v>283</v>
      </c>
      <c r="D15" s="83" t="s">
        <v>284</v>
      </c>
      <c r="E15" s="11"/>
      <c r="F15" s="144"/>
      <c r="G15" s="11"/>
      <c r="H15" s="145"/>
      <c r="I15" s="84"/>
      <c r="J15" s="11"/>
      <c r="K15" s="146"/>
      <c r="L15" s="86"/>
      <c r="M15" s="11"/>
      <c r="N15" s="146"/>
      <c r="O15" s="86"/>
      <c r="P15" s="11"/>
      <c r="Q15" s="146"/>
      <c r="R15" s="86"/>
      <c r="S15" s="11"/>
      <c r="T15" s="84"/>
      <c r="U15" s="11"/>
      <c r="V15" s="85"/>
      <c r="W15" s="11"/>
      <c r="X15" s="85"/>
      <c r="Y15" s="11"/>
      <c r="Z15" s="85" t="s">
        <v>154</v>
      </c>
      <c r="AA15" s="11"/>
      <c r="AB15" s="166">
        <v>700</v>
      </c>
      <c r="AC15" s="11"/>
    </row>
    <row r="16" spans="1:29" ht="15.6">
      <c r="A16" s="93" t="s">
        <v>274</v>
      </c>
      <c r="B16" s="93"/>
      <c r="C16" s="149" t="s">
        <v>285</v>
      </c>
      <c r="D16" s="94" t="s">
        <v>286</v>
      </c>
      <c r="E16" s="11"/>
      <c r="F16" s="150"/>
      <c r="G16" s="11"/>
      <c r="H16" s="151"/>
      <c r="I16" s="95"/>
      <c r="J16" s="11"/>
      <c r="K16" s="152"/>
      <c r="L16" s="97"/>
      <c r="M16" s="11"/>
      <c r="N16" s="152"/>
      <c r="O16" s="97" t="s">
        <v>277</v>
      </c>
      <c r="P16" s="11"/>
      <c r="Q16" s="152">
        <f>2.128*(2*28.0855/162.3775)</f>
        <v>0.73613578235900912</v>
      </c>
      <c r="R16" s="97">
        <f>4.2553*(2*28.0855/162.3775)</f>
        <v>1.4720294147896107</v>
      </c>
      <c r="S16" s="11"/>
      <c r="T16" s="95" t="s">
        <v>154</v>
      </c>
      <c r="U16" s="11"/>
      <c r="V16" s="96" t="s">
        <v>154</v>
      </c>
      <c r="W16" s="11"/>
      <c r="X16" s="96">
        <f>40*(2*28.0855/162.3775)</f>
        <v>13.837138766146788</v>
      </c>
      <c r="Y16" s="11"/>
      <c r="Z16" s="96" t="s">
        <v>278</v>
      </c>
      <c r="AA16" s="11"/>
      <c r="AB16" s="167"/>
      <c r="AC16" s="11"/>
    </row>
    <row r="17" spans="1:29" ht="15.6">
      <c r="A17" s="93" t="s">
        <v>274</v>
      </c>
      <c r="B17" s="93"/>
      <c r="C17" s="149" t="s">
        <v>287</v>
      </c>
      <c r="D17" s="94" t="s">
        <v>288</v>
      </c>
      <c r="E17" s="11"/>
      <c r="F17" s="150"/>
      <c r="G17" s="11"/>
      <c r="H17" s="151"/>
      <c r="I17" s="95"/>
      <c r="J17" s="11"/>
      <c r="K17" s="152"/>
      <c r="L17" s="97"/>
      <c r="M17" s="11"/>
      <c r="N17" s="152"/>
      <c r="O17" s="97" t="s">
        <v>277</v>
      </c>
      <c r="P17" s="11"/>
      <c r="Q17" s="152">
        <f>1.6393*(3*28.0855/236.5315)</f>
        <v>0.58394624162109487</v>
      </c>
      <c r="R17" s="97">
        <f>13.11475*(3*28.0855/236.5315)</f>
        <v>4.671694608857595</v>
      </c>
      <c r="S17" s="11"/>
      <c r="T17" s="95" t="s">
        <v>154</v>
      </c>
      <c r="U17" s="11"/>
      <c r="V17" s="95" t="s">
        <v>154</v>
      </c>
      <c r="W17" s="11"/>
      <c r="X17" s="95" t="s">
        <v>154</v>
      </c>
      <c r="Y17" s="11"/>
      <c r="Z17" s="96" t="s">
        <v>154</v>
      </c>
      <c r="AA17" s="11"/>
      <c r="AB17" s="167">
        <v>200</v>
      </c>
      <c r="AC17" s="11"/>
    </row>
    <row r="18" spans="1:29" ht="15.6">
      <c r="A18" s="93" t="s">
        <v>274</v>
      </c>
      <c r="B18" s="93"/>
      <c r="C18" s="149" t="s">
        <v>289</v>
      </c>
      <c r="D18" s="94" t="s">
        <v>290</v>
      </c>
      <c r="E18" s="11"/>
      <c r="F18" s="150" t="s">
        <v>194</v>
      </c>
      <c r="G18" s="11"/>
      <c r="H18" s="151"/>
      <c r="I18" s="95"/>
      <c r="J18" s="11"/>
      <c r="K18" s="152"/>
      <c r="L18" s="97"/>
      <c r="M18" s="11"/>
      <c r="N18" s="152"/>
      <c r="O18" s="97" t="s">
        <v>277</v>
      </c>
      <c r="P18" s="11"/>
      <c r="Q18" s="152"/>
      <c r="R18" s="97"/>
      <c r="S18" s="11"/>
      <c r="T18" s="95">
        <f>10*(4*28.0855/310.6854)</f>
        <v>3.6159407555037988</v>
      </c>
      <c r="U18" s="11"/>
      <c r="V18" s="95" t="s">
        <v>154</v>
      </c>
      <c r="W18" s="11"/>
      <c r="X18" s="95" t="s">
        <v>154</v>
      </c>
      <c r="Y18" s="11"/>
      <c r="Z18" s="96" t="s">
        <v>154</v>
      </c>
      <c r="AA18" s="11"/>
      <c r="AB18" s="167"/>
      <c r="AC18" s="11"/>
    </row>
    <row r="19" spans="1:29" ht="15.6">
      <c r="A19" s="93" t="s">
        <v>274</v>
      </c>
      <c r="B19" s="93"/>
      <c r="C19" s="149" t="s">
        <v>291</v>
      </c>
      <c r="D19" s="94" t="s">
        <v>292</v>
      </c>
      <c r="E19" s="11"/>
      <c r="F19" s="150"/>
      <c r="G19" s="11"/>
      <c r="H19" s="151"/>
      <c r="I19" s="95"/>
      <c r="J19" s="11"/>
      <c r="K19" s="152"/>
      <c r="L19" s="97"/>
      <c r="M19" s="11"/>
      <c r="N19" s="152"/>
      <c r="O19" s="97" t="s">
        <v>277</v>
      </c>
      <c r="P19" s="11"/>
      <c r="Q19" s="152"/>
      <c r="R19" s="97"/>
      <c r="S19" s="11"/>
      <c r="T19" s="95"/>
      <c r="U19" s="11"/>
      <c r="V19" s="96"/>
      <c r="W19" s="11"/>
      <c r="X19" s="96"/>
      <c r="Y19" s="11"/>
      <c r="Z19" s="96" t="s">
        <v>154</v>
      </c>
      <c r="AA19" s="11"/>
      <c r="AB19" s="167"/>
      <c r="AC19" s="11"/>
    </row>
    <row r="20" spans="1:29" ht="15.6">
      <c r="A20" s="81" t="s">
        <v>274</v>
      </c>
      <c r="B20" s="81"/>
      <c r="C20" s="82" t="s">
        <v>293</v>
      </c>
      <c r="D20" s="83" t="s">
        <v>294</v>
      </c>
      <c r="E20" s="11"/>
      <c r="F20" s="144"/>
      <c r="G20" s="11"/>
      <c r="H20" s="145"/>
      <c r="I20" s="84"/>
      <c r="J20" s="11"/>
      <c r="K20" s="146"/>
      <c r="L20" s="86"/>
      <c r="M20" s="11"/>
      <c r="N20" s="146"/>
      <c r="O20" s="86"/>
      <c r="P20" s="11"/>
      <c r="Q20" s="146"/>
      <c r="R20" s="86"/>
      <c r="S20" s="11"/>
      <c r="T20" s="84"/>
      <c r="U20" s="11"/>
      <c r="V20" s="85"/>
      <c r="W20" s="11"/>
      <c r="X20" s="85"/>
      <c r="Y20" s="11"/>
      <c r="Z20" s="85" t="s">
        <v>154</v>
      </c>
      <c r="AA20" s="11"/>
      <c r="AB20" s="166"/>
      <c r="AC20" s="11"/>
    </row>
    <row r="21" spans="1:29" ht="15.95" thickBot="1">
      <c r="A21" s="87" t="s">
        <v>274</v>
      </c>
      <c r="B21" s="87"/>
      <c r="C21" s="88" t="s">
        <v>295</v>
      </c>
      <c r="D21" s="89" t="s">
        <v>296</v>
      </c>
      <c r="E21" s="11"/>
      <c r="F21" s="148" t="s">
        <v>194</v>
      </c>
      <c r="G21" s="11"/>
      <c r="H21" s="147">
        <f>8.676*(1*28.0855/90.1964)</f>
        <v>2.7015468244852348</v>
      </c>
      <c r="I21" s="92">
        <f>19.6347*(1*28.0855/90.1964)</f>
        <v>6.1138844438358957</v>
      </c>
      <c r="J21" s="11"/>
      <c r="K21" s="147">
        <f>14.15525*(1*28.0855/90.1964)</f>
        <v>4.4076844959998409</v>
      </c>
      <c r="L21" s="92">
        <f>23.288*(1*28.0855/90.1964)</f>
        <v>7.2514548695956824</v>
      </c>
      <c r="M21" s="11"/>
      <c r="N21" s="147"/>
      <c r="O21" s="92">
        <v>200</v>
      </c>
      <c r="P21" s="11"/>
      <c r="Q21" s="147">
        <f>19.635*(1*28.0855/90.1964)</f>
        <v>6.1139778583180711</v>
      </c>
      <c r="R21" s="92">
        <f>63.47*(1*28.0855/90.1964)</f>
        <v>19.763390612042166</v>
      </c>
      <c r="S21" s="11"/>
      <c r="T21" s="90">
        <f>70*(1*28.0855/90.1964)</f>
        <v>21.796712507372799</v>
      </c>
      <c r="U21" s="11"/>
      <c r="V21" s="91">
        <f>40*(1*28.0855/90.1964)</f>
        <v>12.455264289927314</v>
      </c>
      <c r="W21" s="11"/>
      <c r="X21" s="91">
        <f>170*(1*28.0855/90.1964)</f>
        <v>52.934873232191087</v>
      </c>
      <c r="Y21" s="11"/>
      <c r="Z21" s="91" t="s">
        <v>154</v>
      </c>
      <c r="AA21" s="11"/>
      <c r="AB21" s="168"/>
      <c r="AC21" s="11"/>
    </row>
    <row r="22" spans="1:29" ht="15" thickBot="1">
      <c r="A22" s="305" t="s">
        <v>297</v>
      </c>
      <c r="B22" s="305"/>
      <c r="C22" s="305"/>
      <c r="D22" s="305"/>
      <c r="E22" s="14"/>
      <c r="F22" s="16" t="s">
        <v>298</v>
      </c>
      <c r="G22" s="14"/>
      <c r="H22" s="16">
        <f>SUM(H12:H21)</f>
        <v>8.7530807030216575</v>
      </c>
      <c r="I22" s="15">
        <f>SUM(I12:I21)</f>
        <v>14.093462323185042</v>
      </c>
      <c r="J22" s="14"/>
      <c r="K22" s="16">
        <f>SUM(K12:K21)</f>
        <v>9.0904991005746485</v>
      </c>
      <c r="L22" s="15">
        <f>SUM(L12:L21)</f>
        <v>14.96423686632501</v>
      </c>
      <c r="M22" s="14"/>
      <c r="N22" s="16">
        <f>SUM(N12:N21)</f>
        <v>0</v>
      </c>
      <c r="O22" s="15">
        <f>SUM(O12:O21)</f>
        <v>400</v>
      </c>
      <c r="P22" s="14"/>
      <c r="Q22" s="16">
        <f>SUM(Q12:Q21)</f>
        <v>124.92180152915721</v>
      </c>
      <c r="R22" s="15">
        <f>SUM(R12:R21)</f>
        <v>325.5553593254478</v>
      </c>
      <c r="S22" s="14"/>
      <c r="T22" s="15">
        <f>SUM(T12:T21)</f>
        <v>574.59418333240023</v>
      </c>
      <c r="U22" s="14"/>
      <c r="V22" s="15">
        <f>SUM(V12:V21)</f>
        <v>3379.5061849124063</v>
      </c>
      <c r="W22" s="14"/>
      <c r="X22" s="15">
        <f>SUM(X12:X21)</f>
        <v>1384.8076462670865</v>
      </c>
      <c r="Y22" s="14"/>
      <c r="Z22" s="15">
        <f>SUM(Z12:Z21)</f>
        <v>0</v>
      </c>
      <c r="AA22" s="14"/>
      <c r="AB22" s="15">
        <f>SUM(AB12:AB21)</f>
        <v>14400</v>
      </c>
      <c r="AC22" s="14"/>
    </row>
    <row r="23" spans="1:29">
      <c r="D23" s="1"/>
      <c r="E23" s="17"/>
      <c r="G23" s="17"/>
      <c r="J23" s="17"/>
      <c r="M23" s="17"/>
      <c r="P23" s="17"/>
      <c r="S23" s="17"/>
      <c r="U23" s="17"/>
      <c r="W23" s="17"/>
      <c r="Y23" s="17"/>
      <c r="AA23" s="17"/>
      <c r="AC23" s="17"/>
    </row>
    <row r="24" spans="1:29">
      <c r="D24" s="1"/>
      <c r="E24" s="17"/>
      <c r="G24" s="17"/>
      <c r="J24" s="17"/>
      <c r="M24" s="17"/>
      <c r="P24" s="17"/>
      <c r="S24" s="17"/>
      <c r="U24" s="17"/>
      <c r="W24" s="17"/>
      <c r="Y24" s="17"/>
      <c r="AA24" s="17"/>
      <c r="AC24" s="17"/>
    </row>
    <row r="25" spans="1:29">
      <c r="D25" s="1"/>
      <c r="E25" s="17"/>
      <c r="G25" s="17"/>
      <c r="J25" s="17"/>
      <c r="M25" s="17"/>
      <c r="P25" s="17"/>
      <c r="S25" s="17"/>
      <c r="U25" s="17"/>
      <c r="W25" s="17"/>
      <c r="Y25" s="17"/>
      <c r="AA25" s="17"/>
      <c r="AC25" s="17"/>
    </row>
    <row r="26" spans="1:29">
      <c r="E26" s="18"/>
      <c r="G26" s="18"/>
      <c r="J26" s="18"/>
      <c r="M26" s="18"/>
      <c r="P26" s="18"/>
      <c r="S26" s="18"/>
      <c r="U26" s="18"/>
      <c r="W26" s="18"/>
      <c r="Y26" s="18"/>
      <c r="AA26" s="18"/>
      <c r="AC26" s="18"/>
    </row>
    <row r="27" spans="1:29">
      <c r="E27" s="18"/>
      <c r="G27" s="18"/>
      <c r="J27" s="18"/>
      <c r="M27" s="18"/>
      <c r="P27" s="18"/>
      <c r="S27" s="18"/>
      <c r="U27" s="18"/>
      <c r="W27" s="18"/>
      <c r="Y27" s="18"/>
      <c r="AA27" s="18"/>
      <c r="AC27" s="18"/>
    </row>
    <row r="28" spans="1:29">
      <c r="E28" s="18"/>
      <c r="G28" s="18"/>
      <c r="J28" s="18"/>
      <c r="M28" s="18"/>
      <c r="P28" s="18"/>
      <c r="S28" s="18"/>
      <c r="U28" s="18"/>
      <c r="W28" s="18"/>
      <c r="Y28" s="18"/>
      <c r="AA28" s="18"/>
      <c r="AC28" s="18"/>
    </row>
    <row r="29" spans="1:29">
      <c r="E29" s="18"/>
      <c r="G29" s="18"/>
      <c r="J29" s="18"/>
      <c r="M29" s="18"/>
      <c r="P29" s="18"/>
      <c r="S29" s="18"/>
      <c r="U29" s="18"/>
      <c r="W29" s="18"/>
      <c r="Y29" s="18"/>
      <c r="AA29" s="18"/>
      <c r="AC29" s="18"/>
    </row>
    <row r="30" spans="1:29">
      <c r="E30" s="18"/>
      <c r="G30" s="18"/>
      <c r="J30" s="18"/>
      <c r="M30" s="18"/>
      <c r="P30" s="18"/>
      <c r="S30" s="18"/>
      <c r="U30" s="18"/>
      <c r="W30" s="18"/>
      <c r="Y30" s="18"/>
      <c r="AA30" s="18"/>
      <c r="AC30" s="18"/>
    </row>
    <row r="31" spans="1:29">
      <c r="E31" s="18"/>
      <c r="G31" s="18"/>
      <c r="J31" s="18"/>
      <c r="M31" s="18"/>
      <c r="P31" s="18"/>
      <c r="S31" s="18"/>
      <c r="U31" s="18"/>
      <c r="W31" s="18"/>
      <c r="Y31" s="18"/>
      <c r="AA31" s="18"/>
      <c r="AC31" s="18"/>
    </row>
    <row r="32" spans="1:29">
      <c r="E32" s="18"/>
      <c r="G32" s="18"/>
      <c r="J32" s="18"/>
      <c r="M32" s="18"/>
      <c r="P32" s="18"/>
      <c r="S32" s="18"/>
      <c r="U32" s="18"/>
      <c r="W32" s="18"/>
      <c r="Y32" s="18"/>
      <c r="AA32" s="18"/>
      <c r="AC32" s="18"/>
    </row>
    <row r="33" spans="5:29">
      <c r="E33" s="18"/>
      <c r="G33" s="18"/>
      <c r="J33" s="18"/>
      <c r="M33" s="18"/>
      <c r="P33" s="18"/>
      <c r="S33" s="18"/>
      <c r="U33" s="18"/>
      <c r="W33" s="18"/>
      <c r="Y33" s="18"/>
      <c r="AA33" s="18"/>
      <c r="AC33" s="18"/>
    </row>
    <row r="34" spans="5:29">
      <c r="E34" s="18"/>
      <c r="G34" s="18"/>
      <c r="J34" s="18"/>
      <c r="M34" s="18"/>
      <c r="P34" s="18"/>
      <c r="S34" s="18"/>
      <c r="U34" s="18"/>
      <c r="W34" s="18"/>
      <c r="Y34" s="18"/>
      <c r="AA34" s="18"/>
      <c r="AC34" s="18"/>
    </row>
    <row r="35" spans="5:29">
      <c r="E35" s="18"/>
      <c r="G35" s="18"/>
      <c r="J35" s="18"/>
      <c r="M35" s="18"/>
      <c r="P35" s="18"/>
      <c r="S35" s="18"/>
      <c r="U35" s="18"/>
      <c r="W35" s="18"/>
      <c r="Y35" s="18"/>
      <c r="AA35" s="18"/>
      <c r="AC35" s="18"/>
    </row>
    <row r="36" spans="5:29">
      <c r="E36" s="18"/>
      <c r="G36" s="18"/>
      <c r="J36" s="18"/>
      <c r="M36" s="18"/>
      <c r="P36" s="18"/>
      <c r="S36" s="18"/>
      <c r="U36" s="18"/>
      <c r="W36" s="18"/>
      <c r="Y36" s="18"/>
      <c r="AA36" s="18"/>
      <c r="AC36" s="18"/>
    </row>
    <row r="37" spans="5:29">
      <c r="E37" s="18"/>
      <c r="G37" s="18"/>
      <c r="J37" s="18"/>
      <c r="M37" s="18"/>
      <c r="P37" s="18"/>
      <c r="S37" s="18"/>
      <c r="U37" s="18"/>
      <c r="W37" s="18"/>
      <c r="Y37" s="18"/>
      <c r="AA37" s="18"/>
      <c r="AC37" s="18"/>
    </row>
    <row r="38" spans="5:29">
      <c r="E38" s="18"/>
      <c r="G38" s="18"/>
      <c r="J38" s="18"/>
      <c r="M38" s="18"/>
      <c r="P38" s="18"/>
      <c r="S38" s="18"/>
      <c r="U38" s="18"/>
      <c r="W38" s="18"/>
      <c r="Y38" s="18"/>
      <c r="AA38" s="18"/>
      <c r="AC38" s="18"/>
    </row>
    <row r="39" spans="5:29">
      <c r="E39" s="18"/>
      <c r="G39" s="18"/>
      <c r="J39" s="18"/>
      <c r="M39" s="18"/>
      <c r="P39" s="18"/>
      <c r="S39" s="18"/>
      <c r="U39" s="18"/>
      <c r="W39" s="18"/>
      <c r="Y39" s="18"/>
      <c r="AA39" s="18"/>
      <c r="AC39" s="18"/>
    </row>
    <row r="40" spans="5:29">
      <c r="E40" s="18"/>
      <c r="G40" s="18"/>
      <c r="J40" s="18"/>
      <c r="M40" s="18"/>
      <c r="P40" s="18"/>
      <c r="S40" s="18"/>
      <c r="U40" s="18"/>
      <c r="W40" s="18"/>
      <c r="Y40" s="18"/>
      <c r="AA40" s="18"/>
      <c r="AC40" s="18"/>
    </row>
    <row r="41" spans="5:29">
      <c r="E41" s="18"/>
      <c r="G41" s="18"/>
      <c r="J41" s="18"/>
      <c r="M41" s="18"/>
      <c r="P41" s="18"/>
      <c r="S41" s="18"/>
      <c r="U41" s="18"/>
      <c r="W41" s="18"/>
      <c r="Y41" s="18"/>
      <c r="AA41" s="18"/>
      <c r="AC41" s="18"/>
    </row>
    <row r="42" spans="5:29">
      <c r="E42" s="18"/>
      <c r="G42" s="18"/>
      <c r="J42" s="18"/>
      <c r="M42" s="18"/>
      <c r="P42" s="18"/>
      <c r="S42" s="18"/>
      <c r="U42" s="18"/>
      <c r="W42" s="18"/>
      <c r="Y42" s="18"/>
      <c r="AA42" s="18"/>
      <c r="AC42" s="18"/>
    </row>
    <row r="43" spans="5:29">
      <c r="E43" s="18"/>
      <c r="G43" s="18"/>
      <c r="J43" s="18"/>
      <c r="M43" s="18"/>
      <c r="P43" s="18"/>
      <c r="S43" s="18"/>
      <c r="U43" s="18"/>
      <c r="W43" s="18"/>
      <c r="Y43" s="18"/>
      <c r="AA43" s="18"/>
      <c r="AC43" s="18"/>
    </row>
    <row r="44" spans="5:29">
      <c r="E44" s="18"/>
      <c r="G44" s="18"/>
      <c r="J44" s="18"/>
      <c r="M44" s="18"/>
      <c r="P44" s="18"/>
      <c r="S44" s="18"/>
      <c r="U44" s="18"/>
      <c r="W44" s="18"/>
      <c r="Y44" s="18"/>
      <c r="AA44" s="18"/>
      <c r="AC44" s="18"/>
    </row>
    <row r="45" spans="5:29">
      <c r="E45" s="18"/>
      <c r="G45" s="18"/>
      <c r="J45" s="18"/>
      <c r="M45" s="18"/>
      <c r="P45" s="18"/>
      <c r="S45" s="18"/>
      <c r="U45" s="18"/>
      <c r="W45" s="18"/>
      <c r="Y45" s="18"/>
      <c r="AA45" s="18"/>
      <c r="AC45" s="18"/>
    </row>
    <row r="46" spans="5:29">
      <c r="E46" s="18"/>
      <c r="G46" s="18"/>
      <c r="J46" s="18"/>
      <c r="M46" s="18"/>
      <c r="P46" s="18"/>
      <c r="S46" s="18"/>
      <c r="U46" s="18"/>
      <c r="W46" s="18"/>
      <c r="Y46" s="18"/>
      <c r="AA46" s="18"/>
      <c r="AC46" s="18"/>
    </row>
    <row r="47" spans="5:29">
      <c r="E47" s="18"/>
      <c r="G47" s="18"/>
      <c r="J47" s="18"/>
      <c r="M47" s="18"/>
      <c r="P47" s="18"/>
      <c r="S47" s="18"/>
      <c r="U47" s="18"/>
      <c r="W47" s="18"/>
      <c r="Y47" s="18"/>
      <c r="AA47" s="18"/>
      <c r="AC47" s="18"/>
    </row>
    <row r="48" spans="5:29">
      <c r="E48" s="18"/>
      <c r="G48" s="18"/>
      <c r="J48" s="18"/>
      <c r="M48" s="18"/>
      <c r="P48" s="18"/>
      <c r="S48" s="18"/>
      <c r="U48" s="18"/>
      <c r="W48" s="18"/>
      <c r="Y48" s="18"/>
      <c r="AA48" s="18"/>
      <c r="AC48" s="18"/>
    </row>
    <row r="49" spans="5:29">
      <c r="E49" s="18"/>
      <c r="G49" s="18"/>
      <c r="J49" s="18"/>
      <c r="M49" s="18"/>
      <c r="P49" s="18"/>
      <c r="S49" s="18"/>
      <c r="U49" s="18"/>
      <c r="W49" s="18"/>
      <c r="Y49" s="18"/>
      <c r="AA49" s="18"/>
      <c r="AC49" s="18"/>
    </row>
    <row r="50" spans="5:29">
      <c r="E50" s="18"/>
      <c r="G50" s="18"/>
      <c r="J50" s="18"/>
      <c r="M50" s="18"/>
      <c r="P50" s="18"/>
      <c r="S50" s="18"/>
      <c r="U50" s="18"/>
      <c r="W50" s="18"/>
      <c r="Y50" s="18"/>
      <c r="AA50" s="18"/>
      <c r="AC50" s="18"/>
    </row>
    <row r="51" spans="5:29">
      <c r="E51" s="18"/>
      <c r="G51" s="18"/>
      <c r="J51" s="18"/>
      <c r="M51" s="18"/>
      <c r="P51" s="18"/>
      <c r="S51" s="18"/>
      <c r="U51" s="18"/>
      <c r="W51" s="18"/>
      <c r="Y51" s="18"/>
      <c r="AA51" s="18"/>
      <c r="AC51" s="18"/>
    </row>
    <row r="52" spans="5:29">
      <c r="E52" s="18"/>
      <c r="G52" s="18"/>
      <c r="J52" s="18"/>
      <c r="M52" s="18"/>
      <c r="P52" s="18"/>
      <c r="S52" s="18"/>
      <c r="U52" s="18"/>
      <c r="W52" s="18"/>
      <c r="Y52" s="18"/>
      <c r="AA52" s="18"/>
      <c r="AC52" s="18"/>
    </row>
    <row r="53" spans="5:29">
      <c r="E53" s="18"/>
      <c r="G53" s="18"/>
      <c r="J53" s="18"/>
      <c r="M53" s="18"/>
      <c r="P53" s="18"/>
      <c r="S53" s="18"/>
      <c r="U53" s="18"/>
      <c r="W53" s="18"/>
      <c r="Y53" s="18"/>
      <c r="AA53" s="18"/>
      <c r="AC53" s="18"/>
    </row>
    <row r="54" spans="5:29">
      <c r="E54" s="18"/>
      <c r="G54" s="18"/>
      <c r="J54" s="18"/>
      <c r="M54" s="18"/>
      <c r="P54" s="18"/>
      <c r="S54" s="18"/>
      <c r="U54" s="18"/>
      <c r="W54" s="18"/>
      <c r="Y54" s="18"/>
      <c r="AA54" s="18"/>
      <c r="AC54" s="18"/>
    </row>
    <row r="55" spans="5:29">
      <c r="E55" s="18"/>
      <c r="G55" s="18"/>
      <c r="J55" s="18"/>
      <c r="M55" s="18"/>
      <c r="P55" s="18"/>
      <c r="S55" s="18"/>
      <c r="U55" s="18"/>
      <c r="W55" s="18"/>
      <c r="Y55" s="18"/>
      <c r="AA55" s="18"/>
      <c r="AC55" s="18"/>
    </row>
    <row r="56" spans="5:29">
      <c r="E56" s="18"/>
      <c r="G56" s="18"/>
      <c r="J56" s="18"/>
      <c r="M56" s="18"/>
      <c r="P56" s="18"/>
      <c r="S56" s="18"/>
      <c r="U56" s="18"/>
      <c r="W56" s="18"/>
      <c r="Y56" s="18"/>
      <c r="AA56" s="18"/>
      <c r="AC56" s="18"/>
    </row>
    <row r="57" spans="5:29">
      <c r="E57" s="18"/>
      <c r="G57" s="18"/>
      <c r="J57" s="18"/>
      <c r="M57" s="18"/>
      <c r="P57" s="18"/>
      <c r="S57" s="18"/>
      <c r="U57" s="18"/>
      <c r="W57" s="18"/>
      <c r="Y57" s="18"/>
      <c r="AA57" s="18"/>
      <c r="AC57" s="18"/>
    </row>
    <row r="58" spans="5:29">
      <c r="E58" s="18"/>
      <c r="G58" s="18"/>
      <c r="J58" s="18"/>
      <c r="M58" s="18"/>
      <c r="P58" s="18"/>
      <c r="S58" s="18"/>
      <c r="U58" s="18"/>
      <c r="W58" s="18"/>
      <c r="Y58" s="18"/>
      <c r="AA58" s="18"/>
      <c r="AC58" s="18"/>
    </row>
    <row r="59" spans="5:29">
      <c r="E59" s="18"/>
      <c r="G59" s="18"/>
      <c r="J59" s="18"/>
      <c r="M59" s="18"/>
      <c r="P59" s="18"/>
      <c r="S59" s="18"/>
      <c r="U59" s="18"/>
      <c r="W59" s="18"/>
      <c r="Y59" s="18"/>
      <c r="AA59" s="18"/>
      <c r="AC59" s="18"/>
    </row>
    <row r="60" spans="5:29">
      <c r="E60" s="18"/>
      <c r="G60" s="18"/>
      <c r="J60" s="18"/>
      <c r="M60" s="18"/>
      <c r="P60" s="18"/>
      <c r="S60" s="18"/>
      <c r="U60" s="18"/>
      <c r="W60" s="18"/>
      <c r="Y60" s="18"/>
      <c r="AA60" s="18"/>
      <c r="AC60" s="18"/>
    </row>
    <row r="61" spans="5:29">
      <c r="E61" s="18"/>
      <c r="G61" s="18"/>
      <c r="J61" s="18"/>
      <c r="M61" s="18"/>
      <c r="P61" s="18"/>
      <c r="S61" s="18"/>
      <c r="U61" s="18"/>
      <c r="W61" s="18"/>
      <c r="Y61" s="18"/>
      <c r="AA61" s="18"/>
      <c r="AC61" s="18"/>
    </row>
    <row r="62" spans="5:29">
      <c r="E62" s="18"/>
      <c r="G62" s="18"/>
      <c r="J62" s="18"/>
      <c r="M62" s="18"/>
      <c r="P62" s="18"/>
      <c r="S62" s="18"/>
      <c r="U62" s="18"/>
      <c r="W62" s="18"/>
      <c r="Y62" s="18"/>
      <c r="AA62" s="18"/>
      <c r="AC62" s="18"/>
    </row>
    <row r="63" spans="5:29">
      <c r="E63" s="18"/>
      <c r="G63" s="18"/>
      <c r="J63" s="18"/>
      <c r="M63" s="18"/>
      <c r="P63" s="18"/>
      <c r="S63" s="18"/>
      <c r="U63" s="18"/>
      <c r="W63" s="18"/>
      <c r="Y63" s="18"/>
      <c r="AA63" s="18"/>
      <c r="AC63" s="18"/>
    </row>
    <row r="64" spans="5:29">
      <c r="E64" s="18"/>
      <c r="G64" s="18"/>
      <c r="J64" s="18"/>
      <c r="M64" s="18"/>
      <c r="P64" s="18"/>
      <c r="S64" s="18"/>
      <c r="U64" s="18"/>
      <c r="W64" s="18"/>
      <c r="Y64" s="18"/>
      <c r="AA64" s="18"/>
      <c r="AC64" s="18"/>
    </row>
    <row r="65" spans="5:29">
      <c r="E65" s="18"/>
      <c r="G65" s="18"/>
      <c r="J65" s="18"/>
      <c r="M65" s="18"/>
      <c r="P65" s="18"/>
      <c r="S65" s="18"/>
      <c r="U65" s="18"/>
      <c r="W65" s="18"/>
      <c r="Y65" s="18"/>
      <c r="AA65" s="18"/>
      <c r="AC65" s="18"/>
    </row>
    <row r="66" spans="5:29">
      <c r="E66" s="18"/>
      <c r="G66" s="18"/>
      <c r="J66" s="18"/>
      <c r="M66" s="18"/>
      <c r="P66" s="18"/>
      <c r="S66" s="18"/>
      <c r="U66" s="18"/>
      <c r="W66" s="18"/>
      <c r="Y66" s="18"/>
      <c r="AA66" s="18"/>
      <c r="AC66" s="18"/>
    </row>
    <row r="67" spans="5:29">
      <c r="E67" s="18"/>
      <c r="G67" s="18"/>
      <c r="J67" s="18"/>
      <c r="M67" s="18"/>
      <c r="P67" s="18"/>
      <c r="S67" s="18"/>
      <c r="U67" s="18"/>
      <c r="W67" s="18"/>
      <c r="Y67" s="18"/>
      <c r="AA67" s="18"/>
      <c r="AC67" s="18"/>
    </row>
    <row r="68" spans="5:29">
      <c r="E68" s="18"/>
      <c r="G68" s="18"/>
      <c r="J68" s="18"/>
      <c r="M68" s="18"/>
      <c r="P68" s="18"/>
      <c r="S68" s="18"/>
      <c r="U68" s="18"/>
      <c r="W68" s="18"/>
      <c r="Y68" s="18"/>
      <c r="AA68" s="18"/>
      <c r="AC68" s="18"/>
    </row>
    <row r="69" spans="5:29">
      <c r="E69" s="18"/>
      <c r="G69" s="18"/>
      <c r="J69" s="18"/>
      <c r="M69" s="18"/>
      <c r="P69" s="18"/>
      <c r="S69" s="18"/>
      <c r="U69" s="18"/>
      <c r="W69" s="18"/>
      <c r="Y69" s="18"/>
      <c r="AA69" s="18"/>
      <c r="AC69" s="18"/>
    </row>
    <row r="70" spans="5:29">
      <c r="E70" s="18"/>
      <c r="G70" s="18"/>
      <c r="J70" s="18"/>
      <c r="M70" s="18"/>
      <c r="P70" s="18"/>
      <c r="S70" s="18"/>
      <c r="U70" s="18"/>
      <c r="W70" s="18"/>
      <c r="Y70" s="18"/>
      <c r="AA70" s="18"/>
      <c r="AC70" s="18"/>
    </row>
    <row r="71" spans="5:29">
      <c r="E71" s="18"/>
      <c r="G71" s="18"/>
      <c r="J71" s="18"/>
      <c r="M71" s="18"/>
      <c r="P71" s="18"/>
      <c r="S71" s="18"/>
      <c r="U71" s="18"/>
      <c r="W71" s="18"/>
      <c r="Y71" s="18"/>
      <c r="AA71" s="18"/>
      <c r="AC71" s="18"/>
    </row>
    <row r="72" spans="5:29">
      <c r="E72" s="18"/>
      <c r="G72" s="18"/>
      <c r="J72" s="18"/>
      <c r="M72" s="18"/>
      <c r="P72" s="18"/>
      <c r="S72" s="18"/>
      <c r="U72" s="18"/>
      <c r="W72" s="18"/>
      <c r="Y72" s="18"/>
      <c r="AA72" s="18"/>
      <c r="AC72" s="18"/>
    </row>
    <row r="73" spans="5:29">
      <c r="E73" s="18"/>
      <c r="G73" s="18"/>
      <c r="J73" s="18"/>
      <c r="M73" s="18"/>
      <c r="P73" s="18"/>
      <c r="S73" s="18"/>
      <c r="U73" s="18"/>
      <c r="W73" s="18"/>
      <c r="Y73" s="18"/>
      <c r="AA73" s="18"/>
      <c r="AC73" s="18"/>
    </row>
    <row r="74" spans="5:29">
      <c r="E74" s="18"/>
      <c r="G74" s="18"/>
      <c r="J74" s="18"/>
      <c r="M74" s="18"/>
      <c r="P74" s="18"/>
      <c r="S74" s="18"/>
      <c r="U74" s="18"/>
      <c r="W74" s="18"/>
      <c r="Y74" s="18"/>
      <c r="AA74" s="18"/>
      <c r="AC74" s="18"/>
    </row>
    <row r="75" spans="5:29">
      <c r="E75" s="18"/>
      <c r="G75" s="18"/>
      <c r="J75" s="18"/>
      <c r="M75" s="18"/>
      <c r="P75" s="18"/>
      <c r="S75" s="18"/>
      <c r="U75" s="18"/>
      <c r="W75" s="18"/>
      <c r="Y75" s="18"/>
      <c r="AA75" s="18"/>
      <c r="AC75" s="18"/>
    </row>
    <row r="76" spans="5:29">
      <c r="E76" s="18"/>
      <c r="G76" s="18"/>
      <c r="J76" s="18"/>
      <c r="M76" s="18"/>
      <c r="P76" s="18"/>
      <c r="S76" s="18"/>
      <c r="U76" s="18"/>
      <c r="W76" s="18"/>
      <c r="Y76" s="18"/>
      <c r="AA76" s="18"/>
      <c r="AC76" s="18"/>
    </row>
    <row r="77" spans="5:29">
      <c r="E77" s="18"/>
      <c r="G77" s="18"/>
      <c r="J77" s="18"/>
      <c r="M77" s="18"/>
      <c r="P77" s="18"/>
      <c r="S77" s="18"/>
      <c r="U77" s="18"/>
      <c r="W77" s="18"/>
      <c r="Y77" s="18"/>
      <c r="AA77" s="18"/>
      <c r="AC77" s="18"/>
    </row>
    <row r="78" spans="5:29">
      <c r="E78" s="18"/>
      <c r="G78" s="18"/>
      <c r="J78" s="18"/>
      <c r="M78" s="18"/>
      <c r="P78" s="18"/>
      <c r="S78" s="18"/>
      <c r="U78" s="18"/>
      <c r="W78" s="18"/>
      <c r="Y78" s="18"/>
      <c r="AA78" s="18"/>
      <c r="AC78" s="18"/>
    </row>
    <row r="79" spans="5:29">
      <c r="E79" s="18"/>
      <c r="G79" s="18"/>
      <c r="J79" s="18"/>
      <c r="M79" s="18"/>
      <c r="P79" s="18"/>
      <c r="S79" s="18"/>
      <c r="U79" s="18"/>
      <c r="W79" s="18"/>
      <c r="Y79" s="18"/>
      <c r="AA79" s="18"/>
      <c r="AC79" s="18"/>
    </row>
    <row r="80" spans="5:29">
      <c r="E80" s="18"/>
      <c r="G80" s="18"/>
      <c r="J80" s="18"/>
      <c r="M80" s="18"/>
      <c r="P80" s="18"/>
      <c r="S80" s="18"/>
      <c r="U80" s="18"/>
      <c r="W80" s="18"/>
      <c r="Y80" s="18"/>
      <c r="AA80" s="18"/>
      <c r="AC80" s="18"/>
    </row>
    <row r="81" spans="5:29">
      <c r="E81" s="18"/>
      <c r="G81" s="18"/>
      <c r="J81" s="18"/>
      <c r="M81" s="18"/>
      <c r="P81" s="18"/>
      <c r="S81" s="18"/>
      <c r="U81" s="18"/>
      <c r="W81" s="18"/>
      <c r="Y81" s="18"/>
      <c r="AA81" s="18"/>
      <c r="AC81" s="18"/>
    </row>
    <row r="82" spans="5:29">
      <c r="E82" s="18"/>
      <c r="G82" s="18"/>
      <c r="J82" s="18"/>
      <c r="M82" s="18"/>
      <c r="P82" s="18"/>
      <c r="S82" s="18"/>
      <c r="U82" s="18"/>
      <c r="W82" s="18"/>
      <c r="Y82" s="18"/>
      <c r="AA82" s="18"/>
      <c r="AC82" s="18"/>
    </row>
    <row r="83" spans="5:29">
      <c r="E83" s="18"/>
      <c r="G83" s="18"/>
      <c r="J83" s="18"/>
      <c r="M83" s="18"/>
      <c r="P83" s="18"/>
      <c r="S83" s="18"/>
      <c r="U83" s="18"/>
      <c r="W83" s="18"/>
      <c r="Y83" s="18"/>
      <c r="AA83" s="18"/>
      <c r="AC83" s="18"/>
    </row>
    <row r="84" spans="5:29">
      <c r="E84" s="18"/>
      <c r="G84" s="18"/>
      <c r="J84" s="18"/>
      <c r="M84" s="18"/>
      <c r="P84" s="18"/>
      <c r="S84" s="18"/>
      <c r="U84" s="18"/>
      <c r="W84" s="18"/>
      <c r="Y84" s="18"/>
      <c r="AA84" s="18"/>
      <c r="AC84" s="18"/>
    </row>
    <row r="85" spans="5:29">
      <c r="E85" s="18"/>
      <c r="G85" s="18"/>
      <c r="J85" s="18"/>
      <c r="M85" s="18"/>
      <c r="P85" s="18"/>
      <c r="S85" s="18"/>
      <c r="U85" s="18"/>
      <c r="W85" s="18"/>
      <c r="Y85" s="18"/>
      <c r="AA85" s="18"/>
      <c r="AC85" s="18"/>
    </row>
    <row r="86" spans="5:29">
      <c r="E86" s="18"/>
      <c r="G86" s="18"/>
      <c r="J86" s="18"/>
      <c r="M86" s="18"/>
      <c r="P86" s="18"/>
      <c r="S86" s="18"/>
      <c r="U86" s="18"/>
      <c r="W86" s="18"/>
      <c r="Y86" s="18"/>
      <c r="AA86" s="18"/>
      <c r="AC86" s="18"/>
    </row>
    <row r="87" spans="5:29">
      <c r="E87" s="18"/>
      <c r="G87" s="18"/>
      <c r="J87" s="18"/>
      <c r="M87" s="18"/>
      <c r="P87" s="18"/>
      <c r="S87" s="18"/>
      <c r="U87" s="18"/>
      <c r="W87" s="18"/>
      <c r="Y87" s="18"/>
      <c r="AA87" s="18"/>
      <c r="AC87" s="18"/>
    </row>
    <row r="88" spans="5:29">
      <c r="E88" s="18"/>
      <c r="G88" s="18"/>
      <c r="J88" s="18"/>
      <c r="M88" s="18"/>
      <c r="P88" s="18"/>
      <c r="S88" s="18"/>
      <c r="U88" s="18"/>
      <c r="W88" s="18"/>
      <c r="Y88" s="18"/>
      <c r="AA88" s="18"/>
      <c r="AC88" s="18"/>
    </row>
    <row r="89" spans="5:29">
      <c r="E89" s="18"/>
      <c r="G89" s="18"/>
      <c r="J89" s="18"/>
      <c r="M89" s="18"/>
      <c r="P89" s="18"/>
      <c r="S89" s="18"/>
      <c r="U89" s="18"/>
      <c r="W89" s="18"/>
      <c r="Y89" s="18"/>
      <c r="AA89" s="18"/>
      <c r="AC89" s="18"/>
    </row>
    <row r="90" spans="5:29">
      <c r="E90" s="18"/>
      <c r="G90" s="18"/>
      <c r="J90" s="18"/>
      <c r="M90" s="18"/>
      <c r="P90" s="18"/>
      <c r="S90" s="18"/>
      <c r="U90" s="18"/>
      <c r="W90" s="18"/>
      <c r="Y90" s="18"/>
      <c r="AA90" s="18"/>
      <c r="AC90" s="18"/>
    </row>
    <row r="91" spans="5:29">
      <c r="E91" s="18"/>
      <c r="G91" s="18"/>
      <c r="J91" s="18"/>
      <c r="M91" s="18"/>
      <c r="P91" s="18"/>
      <c r="S91" s="18"/>
      <c r="U91" s="18"/>
      <c r="W91" s="18"/>
      <c r="Y91" s="18"/>
      <c r="AA91" s="18"/>
      <c r="AC91" s="18"/>
    </row>
    <row r="92" spans="5:29">
      <c r="E92" s="18"/>
      <c r="G92" s="18"/>
      <c r="J92" s="18"/>
      <c r="M92" s="18"/>
      <c r="P92" s="18"/>
      <c r="S92" s="18"/>
      <c r="U92" s="18"/>
      <c r="W92" s="18"/>
      <c r="Y92" s="18"/>
      <c r="AA92" s="18"/>
      <c r="AC92" s="18"/>
    </row>
    <row r="93" spans="5:29">
      <c r="E93" s="18"/>
      <c r="G93" s="18"/>
      <c r="J93" s="18"/>
      <c r="M93" s="18"/>
      <c r="P93" s="18"/>
      <c r="S93" s="18"/>
      <c r="U93" s="18"/>
      <c r="W93" s="18"/>
      <c r="Y93" s="18"/>
      <c r="AA93" s="18"/>
      <c r="AC93" s="18"/>
    </row>
    <row r="94" spans="5:29">
      <c r="E94" s="18"/>
      <c r="G94" s="18"/>
      <c r="J94" s="18"/>
      <c r="M94" s="18"/>
      <c r="P94" s="18"/>
      <c r="S94" s="18"/>
      <c r="U94" s="18"/>
      <c r="W94" s="18"/>
      <c r="Y94" s="18"/>
      <c r="AA94" s="18"/>
      <c r="AC94" s="18"/>
    </row>
    <row r="95" spans="5:29">
      <c r="E95" s="18"/>
      <c r="G95" s="18"/>
      <c r="J95" s="18"/>
      <c r="M95" s="18"/>
      <c r="P95" s="18"/>
      <c r="S95" s="18"/>
      <c r="U95" s="18"/>
      <c r="W95" s="18"/>
      <c r="Y95" s="18"/>
      <c r="AA95" s="18"/>
      <c r="AC95" s="18"/>
    </row>
    <row r="96" spans="5:29">
      <c r="E96" s="18"/>
      <c r="G96" s="18"/>
      <c r="J96" s="18"/>
      <c r="M96" s="18"/>
      <c r="P96" s="18"/>
      <c r="S96" s="18"/>
      <c r="U96" s="18"/>
      <c r="W96" s="18"/>
      <c r="Y96" s="18"/>
      <c r="AA96" s="18"/>
      <c r="AC96" s="18"/>
    </row>
    <row r="97" spans="5:29">
      <c r="E97" s="18"/>
      <c r="G97" s="18"/>
      <c r="J97" s="18"/>
      <c r="M97" s="18"/>
      <c r="P97" s="18"/>
      <c r="S97" s="18"/>
      <c r="U97" s="18"/>
      <c r="W97" s="18"/>
      <c r="Y97" s="18"/>
      <c r="AA97" s="18"/>
      <c r="AC97" s="18"/>
    </row>
    <row r="98" spans="5:29">
      <c r="E98" s="18"/>
      <c r="G98" s="18"/>
      <c r="J98" s="18"/>
      <c r="M98" s="18"/>
      <c r="P98" s="18"/>
      <c r="S98" s="18"/>
      <c r="U98" s="18"/>
      <c r="W98" s="18"/>
      <c r="Y98" s="18"/>
      <c r="AA98" s="18"/>
      <c r="AC98" s="18"/>
    </row>
    <row r="99" spans="5:29">
      <c r="E99" s="18"/>
      <c r="G99" s="18"/>
      <c r="J99" s="18"/>
      <c r="M99" s="18"/>
      <c r="P99" s="18"/>
      <c r="S99" s="18"/>
      <c r="U99" s="18"/>
      <c r="W99" s="18"/>
      <c r="Y99" s="18"/>
      <c r="AA99" s="18"/>
      <c r="AC99" s="18"/>
    </row>
    <row r="100" spans="5:29">
      <c r="E100" s="18"/>
      <c r="G100" s="18"/>
      <c r="J100" s="18"/>
      <c r="M100" s="18"/>
      <c r="P100" s="18"/>
      <c r="S100" s="18"/>
      <c r="U100" s="18"/>
      <c r="W100" s="18"/>
      <c r="Y100" s="18"/>
      <c r="AA100" s="18"/>
      <c r="AC100" s="18"/>
    </row>
    <row r="101" spans="5:29">
      <c r="E101" s="18"/>
      <c r="G101" s="18"/>
      <c r="J101" s="18"/>
      <c r="M101" s="18"/>
      <c r="P101" s="18"/>
      <c r="S101" s="18"/>
      <c r="U101" s="18"/>
      <c r="W101" s="18"/>
      <c r="Y101" s="18"/>
      <c r="AA101" s="18"/>
      <c r="AC101" s="18"/>
    </row>
    <row r="102" spans="5:29">
      <c r="E102" s="18"/>
      <c r="G102" s="18"/>
      <c r="J102" s="18"/>
      <c r="M102" s="18"/>
      <c r="P102" s="18"/>
      <c r="S102" s="18"/>
      <c r="U102" s="18"/>
      <c r="W102" s="18"/>
      <c r="Y102" s="18"/>
      <c r="AA102" s="18"/>
      <c r="AC102" s="18"/>
    </row>
    <row r="103" spans="5:29">
      <c r="E103" s="18"/>
      <c r="G103" s="18"/>
      <c r="J103" s="18"/>
      <c r="M103" s="18"/>
      <c r="P103" s="18"/>
      <c r="S103" s="18"/>
      <c r="U103" s="18"/>
      <c r="W103" s="18"/>
      <c r="Y103" s="18"/>
      <c r="AA103" s="18"/>
      <c r="AC103" s="18"/>
    </row>
    <row r="104" spans="5:29">
      <c r="E104" s="18"/>
      <c r="G104" s="18"/>
      <c r="J104" s="18"/>
      <c r="M104" s="18"/>
      <c r="P104" s="18"/>
      <c r="S104" s="18"/>
      <c r="U104" s="18"/>
      <c r="W104" s="18"/>
      <c r="Y104" s="18"/>
      <c r="AA104" s="18"/>
      <c r="AC104" s="18"/>
    </row>
    <row r="105" spans="5:29">
      <c r="E105" s="18"/>
      <c r="G105" s="18"/>
      <c r="J105" s="18"/>
      <c r="M105" s="18"/>
      <c r="P105" s="18"/>
      <c r="S105" s="18"/>
      <c r="U105" s="18"/>
      <c r="W105" s="18"/>
      <c r="Y105" s="18"/>
      <c r="AA105" s="18"/>
      <c r="AC105" s="18"/>
    </row>
    <row r="106" spans="5:29">
      <c r="E106" s="18"/>
      <c r="G106" s="18"/>
      <c r="J106" s="18"/>
      <c r="M106" s="18"/>
      <c r="P106" s="18"/>
      <c r="S106" s="18"/>
      <c r="U106" s="18"/>
      <c r="W106" s="18"/>
      <c r="Y106" s="18"/>
      <c r="AA106" s="18"/>
      <c r="AC106" s="18"/>
    </row>
    <row r="107" spans="5:29">
      <c r="E107" s="18"/>
      <c r="G107" s="18"/>
      <c r="J107" s="18"/>
      <c r="M107" s="18"/>
      <c r="P107" s="18"/>
      <c r="S107" s="18"/>
      <c r="U107" s="18"/>
      <c r="W107" s="18"/>
      <c r="Y107" s="18"/>
      <c r="AA107" s="18"/>
      <c r="AC107" s="18"/>
    </row>
    <row r="108" spans="5:29">
      <c r="E108" s="18"/>
      <c r="G108" s="18"/>
      <c r="J108" s="18"/>
      <c r="M108" s="18"/>
      <c r="P108" s="18"/>
      <c r="S108" s="18"/>
      <c r="U108" s="18"/>
      <c r="W108" s="18"/>
      <c r="Y108" s="18"/>
      <c r="AA108" s="18"/>
      <c r="AC108" s="18"/>
    </row>
    <row r="109" spans="5:29">
      <c r="E109" s="18"/>
      <c r="G109" s="18"/>
      <c r="J109" s="18"/>
      <c r="M109" s="18"/>
      <c r="P109" s="18"/>
      <c r="S109" s="18"/>
      <c r="U109" s="18"/>
      <c r="W109" s="18"/>
      <c r="Y109" s="18"/>
      <c r="AA109" s="18"/>
      <c r="AC109" s="18"/>
    </row>
    <row r="110" spans="5:29">
      <c r="E110" s="18"/>
      <c r="G110" s="18"/>
      <c r="J110" s="18"/>
      <c r="M110" s="18"/>
      <c r="P110" s="18"/>
      <c r="S110" s="18"/>
      <c r="U110" s="18"/>
      <c r="W110" s="18"/>
      <c r="Y110" s="18"/>
      <c r="AA110" s="18"/>
      <c r="AC110" s="18"/>
    </row>
    <row r="111" spans="5:29">
      <c r="E111" s="18"/>
      <c r="G111" s="18"/>
      <c r="J111" s="18"/>
      <c r="M111" s="18"/>
      <c r="P111" s="18"/>
      <c r="S111" s="18"/>
      <c r="U111" s="18"/>
      <c r="W111" s="18"/>
      <c r="Y111" s="18"/>
      <c r="AA111" s="18"/>
      <c r="AC111" s="18"/>
    </row>
    <row r="112" spans="5:29">
      <c r="E112" s="18"/>
      <c r="G112" s="18"/>
      <c r="J112" s="18"/>
      <c r="M112" s="18"/>
      <c r="P112" s="18"/>
      <c r="S112" s="18"/>
      <c r="U112" s="18"/>
      <c r="W112" s="18"/>
      <c r="Y112" s="18"/>
      <c r="AA112" s="18"/>
      <c r="AC112" s="18"/>
    </row>
    <row r="113" spans="5:29">
      <c r="E113" s="18"/>
      <c r="G113" s="18"/>
      <c r="J113" s="18"/>
      <c r="M113" s="18"/>
      <c r="P113" s="18"/>
      <c r="S113" s="18"/>
      <c r="U113" s="18"/>
      <c r="W113" s="18"/>
      <c r="Y113" s="18"/>
      <c r="AA113" s="18"/>
      <c r="AC113" s="18"/>
    </row>
    <row r="114" spans="5:29">
      <c r="E114" s="18"/>
      <c r="G114" s="18"/>
      <c r="J114" s="18"/>
      <c r="M114" s="18"/>
      <c r="P114" s="18"/>
      <c r="S114" s="18"/>
      <c r="U114" s="18"/>
      <c r="W114" s="18"/>
      <c r="Y114" s="18"/>
      <c r="AA114" s="18"/>
      <c r="AC114" s="18"/>
    </row>
  </sheetData>
  <mergeCells count="51">
    <mergeCell ref="A4:C4"/>
    <mergeCell ref="H4:I4"/>
    <mergeCell ref="K4:L4"/>
    <mergeCell ref="Q4:R4"/>
    <mergeCell ref="A1:C1"/>
    <mergeCell ref="A3:C3"/>
    <mergeCell ref="H3:I3"/>
    <mergeCell ref="K3:L3"/>
    <mergeCell ref="Q3:R3"/>
    <mergeCell ref="A2:C2"/>
    <mergeCell ref="H2:I2"/>
    <mergeCell ref="K2:L2"/>
    <mergeCell ref="Q2:R2"/>
    <mergeCell ref="N1:O1"/>
    <mergeCell ref="N2:O2"/>
    <mergeCell ref="N3:O3"/>
    <mergeCell ref="H5:I5"/>
    <mergeCell ref="A22:D22"/>
    <mergeCell ref="T9:T10"/>
    <mergeCell ref="Z9:Z10"/>
    <mergeCell ref="A9:D10"/>
    <mergeCell ref="F9:F10"/>
    <mergeCell ref="H9:I10"/>
    <mergeCell ref="K9:L10"/>
    <mergeCell ref="Q9:R10"/>
    <mergeCell ref="X9:X10"/>
    <mergeCell ref="V9:V10"/>
    <mergeCell ref="K5:L5"/>
    <mergeCell ref="Q5:R5"/>
    <mergeCell ref="N9:O10"/>
    <mergeCell ref="AB9:AB10"/>
    <mergeCell ref="A7:C8"/>
    <mergeCell ref="H1:I1"/>
    <mergeCell ref="K1:L1"/>
    <mergeCell ref="Q1:R1"/>
    <mergeCell ref="H8:I8"/>
    <mergeCell ref="K8:L8"/>
    <mergeCell ref="Q8:R8"/>
    <mergeCell ref="H7:I7"/>
    <mergeCell ref="K7:L7"/>
    <mergeCell ref="Q7:R7"/>
    <mergeCell ref="A6:C6"/>
    <mergeCell ref="H6:I6"/>
    <mergeCell ref="K6:L6"/>
    <mergeCell ref="Q6:R6"/>
    <mergeCell ref="A5:C5"/>
    <mergeCell ref="N4:O4"/>
    <mergeCell ref="N5:O5"/>
    <mergeCell ref="N6:O6"/>
    <mergeCell ref="N7:O7"/>
    <mergeCell ref="N8:O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29"/>
  <sheetViews>
    <sheetView topLeftCell="A43" zoomScale="80" zoomScaleNormal="80" workbookViewId="0">
      <selection activeCell="B11" sqref="B11:B65"/>
    </sheetView>
  </sheetViews>
  <sheetFormatPr defaultRowHeight="14.45"/>
  <cols>
    <col min="1" max="1" width="9.5703125" bestFit="1" customWidth="1"/>
    <col min="3" max="3" width="11.42578125" customWidth="1"/>
    <col min="5" max="5" width="45" bestFit="1" customWidth="1"/>
    <col min="6" max="6" width="2" customWidth="1"/>
    <col min="7" max="7" width="9.85546875" customWidth="1"/>
    <col min="8" max="8" width="10.85546875" customWidth="1"/>
    <col min="9" max="9" width="10.140625" customWidth="1"/>
    <col min="10" max="10" width="10.42578125" customWidth="1"/>
    <col min="11" max="11" width="2" customWidth="1"/>
    <col min="12" max="12" width="28" customWidth="1"/>
    <col min="13" max="13" width="2" customWidth="1"/>
    <col min="14" max="14" width="32.5703125" customWidth="1"/>
    <col min="15" max="15" width="2" customWidth="1"/>
    <col min="16" max="16" width="31.85546875" customWidth="1"/>
    <col min="17" max="17" width="2" customWidth="1"/>
    <col min="18" max="18" width="28.85546875" customWidth="1"/>
    <col min="19" max="19" width="2" customWidth="1"/>
    <col min="20" max="20" width="29.140625" customWidth="1"/>
    <col min="21" max="21" width="2" customWidth="1"/>
    <col min="22" max="22" width="32.5703125" customWidth="1"/>
    <col min="23" max="23" width="2" customWidth="1"/>
  </cols>
  <sheetData>
    <row r="1" spans="1:23">
      <c r="A1" s="231" t="s">
        <v>24</v>
      </c>
      <c r="B1" s="231"/>
      <c r="C1" s="231"/>
      <c r="D1" s="231"/>
      <c r="E1" s="25" t="s">
        <v>25</v>
      </c>
      <c r="F1" s="3"/>
      <c r="G1" s="263" t="s">
        <v>28</v>
      </c>
      <c r="H1" s="263"/>
      <c r="I1" s="263"/>
      <c r="J1" s="263"/>
      <c r="K1" s="3"/>
      <c r="L1" s="180" t="s">
        <v>29</v>
      </c>
      <c r="M1" s="3"/>
      <c r="N1" s="180" t="s">
        <v>30</v>
      </c>
      <c r="O1" s="3"/>
      <c r="P1" s="185" t="s">
        <v>34</v>
      </c>
      <c r="Q1" s="4"/>
      <c r="R1" s="185" t="s">
        <v>34</v>
      </c>
      <c r="S1" s="4"/>
      <c r="T1" s="185" t="s">
        <v>34</v>
      </c>
      <c r="U1" s="3"/>
      <c r="V1" s="32" t="s">
        <v>37</v>
      </c>
      <c r="W1" s="3"/>
    </row>
    <row r="2" spans="1:23">
      <c r="A2" s="282" t="s">
        <v>42</v>
      </c>
      <c r="B2" s="282"/>
      <c r="C2" s="282"/>
      <c r="D2" s="283"/>
      <c r="E2" s="98" t="s">
        <v>43</v>
      </c>
      <c r="F2" s="5"/>
      <c r="G2" s="268" t="s">
        <v>47</v>
      </c>
      <c r="H2" s="268"/>
      <c r="I2" s="268"/>
      <c r="J2" s="268"/>
      <c r="K2" s="5"/>
      <c r="L2" s="175" t="s">
        <v>48</v>
      </c>
      <c r="M2" s="5"/>
      <c r="N2" s="175" t="s">
        <v>49</v>
      </c>
      <c r="O2" s="5"/>
      <c r="P2" s="184" t="s">
        <v>54</v>
      </c>
      <c r="Q2" s="6"/>
      <c r="R2" s="48" t="s">
        <v>55</v>
      </c>
      <c r="S2" s="44"/>
      <c r="T2" s="48" t="s">
        <v>56</v>
      </c>
      <c r="U2" s="5"/>
      <c r="V2" s="170" t="s">
        <v>59</v>
      </c>
      <c r="W2" s="5"/>
    </row>
    <row r="3" spans="1:23" ht="39.6" customHeight="1">
      <c r="A3" s="282"/>
      <c r="B3" s="282"/>
      <c r="C3" s="282"/>
      <c r="D3" s="283"/>
      <c r="E3" s="98" t="s">
        <v>65</v>
      </c>
      <c r="F3" s="5"/>
      <c r="G3" s="270" t="s">
        <v>299</v>
      </c>
      <c r="H3" s="270"/>
      <c r="I3" s="270"/>
      <c r="J3" s="270"/>
      <c r="K3" s="5"/>
      <c r="L3" s="175" t="s">
        <v>70</v>
      </c>
      <c r="M3" s="5"/>
      <c r="N3" s="175" t="s">
        <v>70</v>
      </c>
      <c r="O3" s="5"/>
      <c r="P3" s="187" t="s">
        <v>75</v>
      </c>
      <c r="Q3" s="6"/>
      <c r="R3" s="187" t="s">
        <v>76</v>
      </c>
      <c r="S3" s="44"/>
      <c r="T3" s="187" t="s">
        <v>77</v>
      </c>
      <c r="U3" s="5"/>
      <c r="V3" s="177" t="s">
        <v>80</v>
      </c>
      <c r="W3" s="5"/>
    </row>
    <row r="4" spans="1:23">
      <c r="A4" s="282"/>
      <c r="B4" s="282"/>
      <c r="C4" s="282"/>
      <c r="D4" s="283"/>
      <c r="E4" s="98" t="s">
        <v>84</v>
      </c>
      <c r="F4" s="5"/>
      <c r="G4" s="260"/>
      <c r="H4" s="260"/>
      <c r="I4" s="260"/>
      <c r="J4" s="260"/>
      <c r="K4" s="5"/>
      <c r="L4" s="175"/>
      <c r="M4" s="5"/>
      <c r="N4" s="175"/>
      <c r="O4" s="5"/>
      <c r="P4" s="187"/>
      <c r="Q4" s="6"/>
      <c r="R4" s="187"/>
      <c r="S4" s="44"/>
      <c r="T4" s="187"/>
      <c r="U4" s="5"/>
      <c r="V4" s="171"/>
      <c r="W4" s="5"/>
    </row>
    <row r="5" spans="1:23" ht="52.7" customHeight="1">
      <c r="A5" s="322" t="s">
        <v>300</v>
      </c>
      <c r="B5" s="322"/>
      <c r="C5" s="322"/>
      <c r="D5" s="283"/>
      <c r="E5" s="98" t="s">
        <v>87</v>
      </c>
      <c r="F5" s="5"/>
      <c r="G5" s="245" t="s">
        <v>299</v>
      </c>
      <c r="H5" s="245"/>
      <c r="I5" s="245"/>
      <c r="J5" s="245"/>
      <c r="K5" s="5"/>
      <c r="L5" s="175" t="s">
        <v>91</v>
      </c>
      <c r="M5" s="5"/>
      <c r="N5" s="175" t="s">
        <v>91</v>
      </c>
      <c r="O5" s="5"/>
      <c r="P5" s="187" t="s">
        <v>96</v>
      </c>
      <c r="Q5" s="6"/>
      <c r="R5" s="187" t="s">
        <v>97</v>
      </c>
      <c r="S5" s="44"/>
      <c r="T5" s="187" t="s">
        <v>98</v>
      </c>
      <c r="U5" s="5"/>
      <c r="V5" s="177" t="s">
        <v>101</v>
      </c>
      <c r="W5" s="5"/>
    </row>
    <row r="6" spans="1:23">
      <c r="A6" s="282" t="s">
        <v>86</v>
      </c>
      <c r="B6" s="282"/>
      <c r="C6" s="282"/>
      <c r="D6" s="283"/>
      <c r="E6" s="98" t="s">
        <v>107</v>
      </c>
      <c r="F6" s="5"/>
      <c r="G6" s="260" t="s">
        <v>110</v>
      </c>
      <c r="H6" s="260"/>
      <c r="I6" s="260"/>
      <c r="J6" s="260"/>
      <c r="K6" s="5"/>
      <c r="L6" s="175"/>
      <c r="M6" s="5"/>
      <c r="N6" s="175"/>
      <c r="O6" s="5"/>
      <c r="P6" s="187" t="s">
        <v>112</v>
      </c>
      <c r="Q6" s="6"/>
      <c r="R6" s="187" t="s">
        <v>113</v>
      </c>
      <c r="S6" s="44"/>
      <c r="T6" s="187" t="s">
        <v>114</v>
      </c>
      <c r="U6" s="5"/>
      <c r="V6" s="171"/>
      <c r="W6" s="5"/>
    </row>
    <row r="7" spans="1:23">
      <c r="A7" s="323"/>
      <c r="B7" s="323"/>
      <c r="C7" s="323"/>
      <c r="D7" s="324"/>
      <c r="E7" s="98" t="s">
        <v>115</v>
      </c>
      <c r="F7" s="5"/>
      <c r="G7" s="260" t="s">
        <v>110</v>
      </c>
      <c r="H7" s="260"/>
      <c r="I7" s="260"/>
      <c r="J7" s="260"/>
      <c r="K7" s="5"/>
      <c r="L7" s="176"/>
      <c r="M7" s="5"/>
      <c r="N7" s="176"/>
      <c r="O7" s="5"/>
      <c r="P7" s="187" t="s">
        <v>117</v>
      </c>
      <c r="Q7" s="6"/>
      <c r="R7" s="187" t="s">
        <v>117</v>
      </c>
      <c r="S7" s="44"/>
      <c r="T7" s="187" t="s">
        <v>117</v>
      </c>
      <c r="U7" s="5"/>
      <c r="V7" s="171"/>
      <c r="W7" s="5"/>
    </row>
    <row r="8" spans="1:23" ht="26.45" customHeight="1">
      <c r="A8" s="325"/>
      <c r="B8" s="325"/>
      <c r="C8" s="325"/>
      <c r="D8" s="326"/>
      <c r="E8" s="99" t="s">
        <v>118</v>
      </c>
      <c r="F8" s="5"/>
      <c r="G8" s="250" t="s">
        <v>301</v>
      </c>
      <c r="H8" s="250"/>
      <c r="I8" s="250"/>
      <c r="J8" s="250"/>
      <c r="K8" s="5"/>
      <c r="L8" s="182" t="s">
        <v>302</v>
      </c>
      <c r="M8" s="5"/>
      <c r="N8" s="182" t="s">
        <v>302</v>
      </c>
      <c r="O8" s="5"/>
      <c r="P8" s="188" t="s">
        <v>268</v>
      </c>
      <c r="Q8" s="7"/>
      <c r="R8" s="188" t="s">
        <v>268</v>
      </c>
      <c r="S8" s="45"/>
      <c r="T8" s="188" t="s">
        <v>268</v>
      </c>
      <c r="U8" s="5"/>
      <c r="V8" s="183"/>
      <c r="W8" s="5"/>
    </row>
    <row r="9" spans="1:23" ht="11.45" customHeight="1">
      <c r="A9" s="323"/>
      <c r="B9" s="323"/>
      <c r="C9" s="189"/>
      <c r="D9" s="289" t="s">
        <v>128</v>
      </c>
      <c r="E9" s="328"/>
      <c r="F9" s="3"/>
      <c r="G9" s="244" t="s">
        <v>178</v>
      </c>
      <c r="H9" s="244"/>
      <c r="I9" s="244"/>
      <c r="J9" s="244"/>
      <c r="K9" s="3"/>
      <c r="L9" s="327"/>
      <c r="M9" s="3"/>
      <c r="N9" s="255"/>
      <c r="O9" s="3"/>
      <c r="P9" s="279"/>
      <c r="Q9" s="3"/>
      <c r="R9" s="232"/>
      <c r="S9" s="3"/>
      <c r="T9" s="232"/>
      <c r="U9" s="3"/>
      <c r="V9" s="232"/>
      <c r="W9" s="3"/>
    </row>
    <row r="10" spans="1:23" ht="29.45" customHeight="1">
      <c r="A10" s="323"/>
      <c r="B10" s="323"/>
      <c r="C10" s="189"/>
      <c r="D10" s="329"/>
      <c r="E10" s="329"/>
      <c r="F10" s="3"/>
      <c r="G10" s="284"/>
      <c r="H10" s="284"/>
      <c r="I10" s="284"/>
      <c r="J10" s="284"/>
      <c r="K10" s="3"/>
      <c r="L10" s="327"/>
      <c r="M10" s="3"/>
      <c r="N10" s="284"/>
      <c r="O10" s="3"/>
      <c r="P10" s="304"/>
      <c r="Q10" s="3"/>
      <c r="R10" s="234"/>
      <c r="S10" s="3"/>
      <c r="T10" s="304"/>
      <c r="U10" s="3"/>
      <c r="V10" s="304"/>
      <c r="W10" s="3"/>
    </row>
    <row r="11" spans="1:23" ht="26.1">
      <c r="A11" s="22" t="s">
        <v>134</v>
      </c>
      <c r="B11" s="22"/>
      <c r="C11" s="22" t="s">
        <v>303</v>
      </c>
      <c r="D11" s="26" t="s">
        <v>136</v>
      </c>
      <c r="E11" s="26" t="s">
        <v>137</v>
      </c>
      <c r="F11" s="11"/>
      <c r="G11" s="28" t="s">
        <v>304</v>
      </c>
      <c r="H11" s="30" t="s">
        <v>305</v>
      </c>
      <c r="I11" s="28" t="s">
        <v>306</v>
      </c>
      <c r="J11" s="33" t="s">
        <v>307</v>
      </c>
      <c r="K11" s="11"/>
      <c r="L11" s="29" t="s">
        <v>306</v>
      </c>
      <c r="M11" s="11"/>
      <c r="N11" s="29" t="s">
        <v>306</v>
      </c>
      <c r="O11" s="11"/>
      <c r="P11" s="29" t="s">
        <v>306</v>
      </c>
      <c r="Q11" s="11"/>
      <c r="R11" s="29" t="s">
        <v>306</v>
      </c>
      <c r="S11" s="11"/>
      <c r="T11" s="29" t="s">
        <v>306</v>
      </c>
      <c r="U11" s="11"/>
      <c r="V11" s="29" t="s">
        <v>306</v>
      </c>
      <c r="W11" s="11"/>
    </row>
    <row r="12" spans="1:23">
      <c r="A12" s="58" t="s">
        <v>308</v>
      </c>
      <c r="B12" s="132"/>
      <c r="C12" s="132"/>
      <c r="D12" s="57" t="s">
        <v>309</v>
      </c>
      <c r="E12" s="155" t="s">
        <v>310</v>
      </c>
      <c r="F12" s="11"/>
      <c r="G12" s="72"/>
      <c r="H12" s="72"/>
      <c r="I12" s="72"/>
      <c r="J12" s="72"/>
      <c r="K12" s="11"/>
      <c r="L12" s="130">
        <v>2</v>
      </c>
      <c r="M12" s="11"/>
      <c r="N12" s="130"/>
      <c r="O12" s="11"/>
      <c r="P12" s="132"/>
      <c r="Q12" s="11"/>
      <c r="R12" s="130"/>
      <c r="S12" s="11"/>
      <c r="T12" s="130"/>
      <c r="U12" s="11"/>
      <c r="V12" s="130"/>
      <c r="W12" s="11"/>
    </row>
    <row r="13" spans="1:23" ht="15.6">
      <c r="A13" s="125" t="s">
        <v>308</v>
      </c>
      <c r="B13" s="118"/>
      <c r="C13" s="118"/>
      <c r="D13" s="55" t="s">
        <v>311</v>
      </c>
      <c r="E13" s="153" t="s">
        <v>312</v>
      </c>
      <c r="F13" s="11"/>
      <c r="G13" s="154"/>
      <c r="H13" s="154"/>
      <c r="I13" s="154"/>
      <c r="J13" s="123"/>
      <c r="K13" s="11"/>
      <c r="L13" s="123"/>
      <c r="M13" s="11"/>
      <c r="N13" s="123"/>
      <c r="O13" s="11"/>
      <c r="P13" s="118"/>
      <c r="Q13" s="11"/>
      <c r="R13" s="123"/>
      <c r="S13" s="11"/>
      <c r="T13" s="123"/>
      <c r="U13" s="11"/>
      <c r="V13" s="123"/>
      <c r="W13" s="11"/>
    </row>
    <row r="14" spans="1:23" ht="15.6">
      <c r="A14" s="125" t="s">
        <v>308</v>
      </c>
      <c r="B14" s="118"/>
      <c r="C14" s="118"/>
      <c r="D14" s="55" t="s">
        <v>313</v>
      </c>
      <c r="E14" s="153" t="s">
        <v>314</v>
      </c>
      <c r="F14" s="11"/>
      <c r="G14" s="154"/>
      <c r="H14" s="154"/>
      <c r="I14" s="154"/>
      <c r="J14" s="123"/>
      <c r="K14" s="11"/>
      <c r="L14" s="123"/>
      <c r="M14" s="11"/>
      <c r="N14" s="123"/>
      <c r="O14" s="11"/>
      <c r="P14" s="118"/>
      <c r="Q14" s="11"/>
      <c r="R14" s="123"/>
      <c r="S14" s="11"/>
      <c r="T14" s="123"/>
      <c r="U14" s="11"/>
      <c r="V14" s="123"/>
      <c r="W14" s="11"/>
    </row>
    <row r="15" spans="1:23" ht="15.6">
      <c r="A15" s="125" t="s">
        <v>308</v>
      </c>
      <c r="B15" s="118"/>
      <c r="C15" s="118"/>
      <c r="D15" s="55" t="s">
        <v>313</v>
      </c>
      <c r="E15" s="153" t="s">
        <v>315</v>
      </c>
      <c r="F15" s="11"/>
      <c r="G15" s="154"/>
      <c r="H15" s="154"/>
      <c r="I15" s="154"/>
      <c r="J15" s="123"/>
      <c r="K15" s="11"/>
      <c r="L15" s="123"/>
      <c r="M15" s="11"/>
      <c r="N15" s="123"/>
      <c r="O15" s="11"/>
      <c r="P15" s="118"/>
      <c r="Q15" s="11"/>
      <c r="R15" s="123"/>
      <c r="S15" s="11"/>
      <c r="T15" s="123"/>
      <c r="U15" s="11"/>
      <c r="V15" s="123"/>
      <c r="W15" s="11"/>
    </row>
    <row r="16" spans="1:23" ht="13.35" customHeight="1">
      <c r="A16" s="125" t="s">
        <v>308</v>
      </c>
      <c r="B16" s="118"/>
      <c r="C16" s="118"/>
      <c r="D16" s="55" t="s">
        <v>316</v>
      </c>
      <c r="E16" s="153" t="s">
        <v>317</v>
      </c>
      <c r="F16" s="11"/>
      <c r="G16" s="154"/>
      <c r="H16" s="154"/>
      <c r="I16" s="154"/>
      <c r="J16" s="123"/>
      <c r="K16" s="11"/>
      <c r="L16" s="123"/>
      <c r="M16" s="11"/>
      <c r="N16" s="123"/>
      <c r="O16" s="11"/>
      <c r="P16" s="118">
        <v>1.96</v>
      </c>
      <c r="Q16" s="11"/>
      <c r="R16" s="123">
        <v>31.1</v>
      </c>
      <c r="S16" s="11"/>
      <c r="T16" s="123">
        <v>5.22</v>
      </c>
      <c r="U16" s="11"/>
      <c r="V16" s="123"/>
      <c r="W16" s="11"/>
    </row>
    <row r="17" spans="1:23" ht="13.35" customHeight="1">
      <c r="A17" s="125" t="s">
        <v>308</v>
      </c>
      <c r="B17" s="118"/>
      <c r="C17" s="118"/>
      <c r="D17" s="55" t="s">
        <v>318</v>
      </c>
      <c r="E17" s="153" t="s">
        <v>319</v>
      </c>
      <c r="F17" s="11"/>
      <c r="G17" s="154"/>
      <c r="H17" s="154"/>
      <c r="I17" s="154"/>
      <c r="J17" s="123"/>
      <c r="K17" s="11"/>
      <c r="L17" s="123">
        <v>0.7</v>
      </c>
      <c r="M17" s="11"/>
      <c r="N17" s="123"/>
      <c r="O17" s="11"/>
      <c r="P17" s="118"/>
      <c r="Q17" s="11"/>
      <c r="R17" s="123"/>
      <c r="S17" s="11"/>
      <c r="T17" s="123"/>
      <c r="U17" s="11"/>
      <c r="V17" s="123"/>
      <c r="W17" s="11"/>
    </row>
    <row r="18" spans="1:23" ht="12.6" customHeight="1">
      <c r="A18" s="56" t="s">
        <v>308</v>
      </c>
      <c r="B18" s="118"/>
      <c r="C18" s="118">
        <v>94.111000000000004</v>
      </c>
      <c r="D18" s="55" t="s">
        <v>320</v>
      </c>
      <c r="E18" s="153" t="s">
        <v>321</v>
      </c>
      <c r="F18" s="11"/>
      <c r="G18" s="154">
        <f>2*$C18/22.711/1000</f>
        <v>8.2877019946281539E-3</v>
      </c>
      <c r="H18" s="154">
        <f>28.14*$C18/22.711/1000</f>
        <v>0.11660796706441814</v>
      </c>
      <c r="I18" s="154">
        <f>9.68*$C18/22.711/1000</f>
        <v>4.0112477654000271E-2</v>
      </c>
      <c r="J18" s="123">
        <f>9.97*$C18/22.711/1000</f>
        <v>4.1314194443221354E-2</v>
      </c>
      <c r="K18" s="11"/>
      <c r="L18" s="123"/>
      <c r="M18" s="11"/>
      <c r="N18" s="123"/>
      <c r="O18" s="11"/>
      <c r="P18" s="118"/>
      <c r="Q18" s="11"/>
      <c r="R18" s="123"/>
      <c r="S18" s="11"/>
      <c r="T18" s="123"/>
      <c r="U18" s="11"/>
      <c r="V18" s="111" t="s">
        <v>154</v>
      </c>
      <c r="W18" s="11"/>
    </row>
    <row r="19" spans="1:23" ht="12.6" customHeight="1">
      <c r="A19" s="56" t="s">
        <v>322</v>
      </c>
      <c r="B19" s="118"/>
      <c r="C19" s="118">
        <v>108.13800000000001</v>
      </c>
      <c r="D19" s="55" t="s">
        <v>323</v>
      </c>
      <c r="E19" s="153" t="s">
        <v>324</v>
      </c>
      <c r="F19" s="11"/>
      <c r="G19" s="154">
        <f>0.46*$C19/22.711/1000</f>
        <v>2.1902813614548019E-3</v>
      </c>
      <c r="H19" s="154">
        <f>13.76*$C19/22.711/1000</f>
        <v>6.5517981594821903E-2</v>
      </c>
      <c r="I19" s="154">
        <f>5.08*$C19/22.711/1000</f>
        <v>2.41883246004139E-2</v>
      </c>
      <c r="J19" s="123">
        <f>7.52*$C19/22.711/1000</f>
        <v>3.5806338778565455E-2</v>
      </c>
      <c r="K19" s="11"/>
      <c r="L19" s="123"/>
      <c r="M19" s="11"/>
      <c r="N19" s="123"/>
      <c r="O19" s="11"/>
      <c r="P19" s="118"/>
      <c r="Q19" s="11"/>
      <c r="R19" s="123"/>
      <c r="S19" s="11"/>
      <c r="T19" s="123"/>
      <c r="U19" s="11"/>
      <c r="V19" s="123"/>
      <c r="W19" s="11"/>
    </row>
    <row r="20" spans="1:23" ht="12.6" customHeight="1">
      <c r="A20" s="56" t="s">
        <v>308</v>
      </c>
      <c r="B20" s="118"/>
      <c r="C20" s="118">
        <v>108.13800000000001</v>
      </c>
      <c r="D20" s="55" t="s">
        <v>323</v>
      </c>
      <c r="E20" s="153" t="s">
        <v>325</v>
      </c>
      <c r="F20" s="11"/>
      <c r="G20" s="154">
        <f>0.54*$C20/22.711/1000</f>
        <v>2.5711998590991153E-3</v>
      </c>
      <c r="H20" s="154">
        <f>82.07*$C20/22.711/1000</f>
        <v>0.39077476377085996</v>
      </c>
      <c r="I20" s="154">
        <f>17.97*$C20/22.711/1000</f>
        <v>8.5563817533353889E-2</v>
      </c>
      <c r="J20" s="123">
        <f>31.48*$C20/22.711/1000</f>
        <v>0.1498914288230373</v>
      </c>
      <c r="K20" s="11"/>
      <c r="L20" s="123"/>
      <c r="M20" s="11"/>
      <c r="N20" s="123"/>
      <c r="O20" s="11"/>
      <c r="P20" s="118"/>
      <c r="Q20" s="11"/>
      <c r="R20" s="123"/>
      <c r="S20" s="11"/>
      <c r="T20" s="123"/>
      <c r="U20" s="11"/>
      <c r="V20" s="123"/>
      <c r="W20" s="11"/>
    </row>
    <row r="21" spans="1:23" ht="15.6">
      <c r="A21" s="133" t="s">
        <v>326</v>
      </c>
      <c r="B21" s="132"/>
      <c r="C21" s="132"/>
      <c r="D21" s="57" t="s">
        <v>327</v>
      </c>
      <c r="E21" s="155" t="s">
        <v>328</v>
      </c>
      <c r="F21" s="11"/>
      <c r="G21" s="72"/>
      <c r="H21" s="72"/>
      <c r="I21" s="72"/>
      <c r="J21" s="72"/>
      <c r="K21" s="11"/>
      <c r="L21" s="130"/>
      <c r="M21" s="11"/>
      <c r="N21" s="130"/>
      <c r="O21" s="11"/>
      <c r="P21" s="132"/>
      <c r="Q21" s="11"/>
      <c r="R21" s="130"/>
      <c r="S21" s="11"/>
      <c r="T21" s="130"/>
      <c r="U21" s="11"/>
      <c r="V21" s="130"/>
      <c r="W21" s="11"/>
    </row>
    <row r="22" spans="1:23" ht="15.6">
      <c r="A22" s="133" t="s">
        <v>326</v>
      </c>
      <c r="B22" s="132"/>
      <c r="C22" s="132"/>
      <c r="D22" s="57" t="s">
        <v>329</v>
      </c>
      <c r="E22" s="155" t="s">
        <v>330</v>
      </c>
      <c r="F22" s="11"/>
      <c r="G22" s="156"/>
      <c r="H22" s="156"/>
      <c r="I22" s="156"/>
      <c r="J22" s="130"/>
      <c r="K22" s="11"/>
      <c r="L22" s="130"/>
      <c r="M22" s="11"/>
      <c r="N22" s="130"/>
      <c r="O22" s="11"/>
      <c r="P22" s="132"/>
      <c r="Q22" s="11"/>
      <c r="R22" s="130"/>
      <c r="S22" s="11"/>
      <c r="T22" s="130"/>
      <c r="U22" s="11"/>
      <c r="V22" s="130"/>
      <c r="W22" s="11"/>
    </row>
    <row r="23" spans="1:23" ht="15.6">
      <c r="A23" s="125" t="s">
        <v>331</v>
      </c>
      <c r="B23" s="118"/>
      <c r="C23" s="118"/>
      <c r="D23" s="55" t="s">
        <v>332</v>
      </c>
      <c r="E23" s="153" t="s">
        <v>333</v>
      </c>
      <c r="F23" s="11"/>
      <c r="G23" s="154"/>
      <c r="H23" s="154"/>
      <c r="I23" s="154"/>
      <c r="J23" s="123"/>
      <c r="K23" s="11"/>
      <c r="L23" s="123"/>
      <c r="M23" s="11"/>
      <c r="N23" s="123"/>
      <c r="O23" s="11"/>
      <c r="P23" s="118"/>
      <c r="Q23" s="11"/>
      <c r="R23" s="123"/>
      <c r="S23" s="11"/>
      <c r="T23" s="123"/>
      <c r="U23" s="11"/>
      <c r="V23" s="123"/>
      <c r="W23" s="11"/>
    </row>
    <row r="24" spans="1:23" ht="15.6">
      <c r="A24" s="133" t="s">
        <v>334</v>
      </c>
      <c r="B24" s="132"/>
      <c r="C24" s="132"/>
      <c r="D24" s="57" t="s">
        <v>335</v>
      </c>
      <c r="E24" s="155" t="s">
        <v>336</v>
      </c>
      <c r="F24" s="11"/>
      <c r="G24" s="156"/>
      <c r="H24" s="156"/>
      <c r="I24" s="156"/>
      <c r="J24" s="130"/>
      <c r="K24" s="11"/>
      <c r="L24" s="130"/>
      <c r="M24" s="11"/>
      <c r="N24" s="130"/>
      <c r="O24" s="11"/>
      <c r="P24" s="132"/>
      <c r="Q24" s="11"/>
      <c r="R24" s="130"/>
      <c r="S24" s="11"/>
      <c r="T24" s="130"/>
      <c r="U24" s="11"/>
      <c r="V24" s="130"/>
      <c r="W24" s="11"/>
    </row>
    <row r="25" spans="1:23" ht="15.6">
      <c r="A25" s="133" t="s">
        <v>334</v>
      </c>
      <c r="B25" s="132"/>
      <c r="C25" s="132"/>
      <c r="D25" s="57" t="s">
        <v>337</v>
      </c>
      <c r="E25" s="155" t="s">
        <v>338</v>
      </c>
      <c r="F25" s="11"/>
      <c r="G25" s="156"/>
      <c r="H25" s="156"/>
      <c r="I25" s="156"/>
      <c r="J25" s="130"/>
      <c r="K25" s="11"/>
      <c r="L25" s="130"/>
      <c r="M25" s="11"/>
      <c r="N25" s="130"/>
      <c r="O25" s="11"/>
      <c r="P25" s="132"/>
      <c r="Q25" s="11"/>
      <c r="R25" s="130"/>
      <c r="S25" s="11"/>
      <c r="T25" s="130"/>
      <c r="U25" s="11"/>
      <c r="V25" s="130"/>
      <c r="W25" s="11"/>
    </row>
    <row r="26" spans="1:23" ht="12.6" customHeight="1">
      <c r="A26" s="133" t="s">
        <v>334</v>
      </c>
      <c r="B26" s="132"/>
      <c r="C26" s="132"/>
      <c r="D26" s="57" t="s">
        <v>339</v>
      </c>
      <c r="E26" s="58" t="s">
        <v>340</v>
      </c>
      <c r="F26" s="11"/>
      <c r="G26" s="156"/>
      <c r="H26" s="156"/>
      <c r="I26" s="156"/>
      <c r="J26" s="130"/>
      <c r="K26" s="11"/>
      <c r="L26" s="130"/>
      <c r="M26" s="11"/>
      <c r="N26" s="130"/>
      <c r="O26" s="11"/>
      <c r="P26" s="132">
        <v>0.88</v>
      </c>
      <c r="Q26" s="11"/>
      <c r="R26" s="130">
        <v>0.04</v>
      </c>
      <c r="S26" s="11"/>
      <c r="T26" s="74" t="s">
        <v>154</v>
      </c>
      <c r="U26" s="11"/>
      <c r="V26" s="130"/>
      <c r="W26" s="11"/>
    </row>
    <row r="27" spans="1:23" ht="15.6">
      <c r="A27" s="133" t="s">
        <v>334</v>
      </c>
      <c r="B27" s="132"/>
      <c r="C27" s="132"/>
      <c r="D27" s="57" t="s">
        <v>339</v>
      </c>
      <c r="E27" s="155" t="s">
        <v>341</v>
      </c>
      <c r="F27" s="3"/>
      <c r="G27" s="156"/>
      <c r="H27" s="156"/>
      <c r="I27" s="156"/>
      <c r="J27" s="130"/>
      <c r="K27" s="3"/>
      <c r="L27" s="130"/>
      <c r="M27" s="3"/>
      <c r="N27" s="130"/>
      <c r="O27" s="3"/>
      <c r="P27" s="132"/>
      <c r="Q27" s="3"/>
      <c r="R27" s="130"/>
      <c r="S27" s="3"/>
      <c r="T27" s="130"/>
      <c r="U27" s="3"/>
      <c r="V27" s="74" t="s">
        <v>154</v>
      </c>
      <c r="W27" s="3"/>
    </row>
    <row r="28" spans="1:23" ht="12.6" customHeight="1">
      <c r="A28" s="133" t="s">
        <v>334</v>
      </c>
      <c r="B28" s="132"/>
      <c r="C28" s="132"/>
      <c r="D28" s="57" t="s">
        <v>342</v>
      </c>
      <c r="E28" s="155" t="s">
        <v>343</v>
      </c>
      <c r="F28" s="5"/>
      <c r="G28" s="156"/>
      <c r="H28" s="156"/>
      <c r="I28" s="156"/>
      <c r="J28" s="130"/>
      <c r="K28" s="5"/>
      <c r="L28" s="130"/>
      <c r="M28" s="5"/>
      <c r="N28" s="130"/>
      <c r="O28" s="5"/>
      <c r="P28" s="132">
        <v>0.73</v>
      </c>
      <c r="Q28" s="5"/>
      <c r="R28" s="130">
        <v>0.15</v>
      </c>
      <c r="S28" s="5"/>
      <c r="T28" s="74" t="s">
        <v>154</v>
      </c>
      <c r="U28" s="5"/>
      <c r="V28" s="130"/>
      <c r="W28" s="5"/>
    </row>
    <row r="29" spans="1:23" ht="15.6">
      <c r="A29" s="133" t="s">
        <v>334</v>
      </c>
      <c r="B29" s="132"/>
      <c r="C29" s="132"/>
      <c r="D29" s="57" t="s">
        <v>342</v>
      </c>
      <c r="E29" s="155" t="s">
        <v>344</v>
      </c>
      <c r="F29" s="5"/>
      <c r="G29" s="156"/>
      <c r="H29" s="156"/>
      <c r="I29" s="156"/>
      <c r="J29" s="130"/>
      <c r="K29" s="5"/>
      <c r="L29" s="130"/>
      <c r="M29" s="5"/>
      <c r="N29" s="130"/>
      <c r="O29" s="5"/>
      <c r="P29" s="132"/>
      <c r="Q29" s="5"/>
      <c r="R29" s="130"/>
      <c r="S29" s="5"/>
      <c r="T29" s="130"/>
      <c r="U29" s="5"/>
      <c r="V29" s="130"/>
      <c r="W29" s="5"/>
    </row>
    <row r="30" spans="1:23" ht="15.6">
      <c r="A30" s="133" t="s">
        <v>334</v>
      </c>
      <c r="B30" s="132"/>
      <c r="C30" s="132"/>
      <c r="D30" s="57" t="s">
        <v>342</v>
      </c>
      <c r="E30" s="155" t="s">
        <v>345</v>
      </c>
      <c r="F30" s="5"/>
      <c r="G30" s="156"/>
      <c r="H30" s="156"/>
      <c r="I30" s="156"/>
      <c r="J30" s="130"/>
      <c r="K30" s="5"/>
      <c r="L30" s="130"/>
      <c r="M30" s="5"/>
      <c r="N30" s="130"/>
      <c r="O30" s="5"/>
      <c r="P30" s="132"/>
      <c r="Q30" s="5"/>
      <c r="R30" s="130"/>
      <c r="S30" s="5"/>
      <c r="T30" s="130"/>
      <c r="U30" s="5"/>
      <c r="V30" s="130"/>
      <c r="W30" s="5"/>
    </row>
    <row r="31" spans="1:23" ht="15.6">
      <c r="A31" s="133" t="s">
        <v>334</v>
      </c>
      <c r="B31" s="132"/>
      <c r="C31" s="132"/>
      <c r="D31" s="57" t="s">
        <v>342</v>
      </c>
      <c r="E31" s="155" t="s">
        <v>346</v>
      </c>
      <c r="F31" s="5"/>
      <c r="G31" s="156"/>
      <c r="H31" s="156"/>
      <c r="I31" s="156"/>
      <c r="J31" s="130"/>
      <c r="K31" s="5"/>
      <c r="L31" s="130"/>
      <c r="M31" s="5"/>
      <c r="N31" s="130"/>
      <c r="O31" s="5"/>
      <c r="P31" s="132"/>
      <c r="Q31" s="5"/>
      <c r="R31" s="130"/>
      <c r="S31" s="5"/>
      <c r="T31" s="130"/>
      <c r="U31" s="5"/>
      <c r="V31" s="74" t="s">
        <v>154</v>
      </c>
      <c r="W31" s="5"/>
    </row>
    <row r="32" spans="1:23" ht="15.6">
      <c r="A32" s="133" t="s">
        <v>334</v>
      </c>
      <c r="B32" s="132"/>
      <c r="C32" s="132"/>
      <c r="D32" s="57" t="s">
        <v>347</v>
      </c>
      <c r="E32" s="58" t="s">
        <v>348</v>
      </c>
      <c r="F32" s="5"/>
      <c r="G32" s="156"/>
      <c r="H32" s="156"/>
      <c r="I32" s="156"/>
      <c r="J32" s="130"/>
      <c r="K32" s="5"/>
      <c r="L32" s="130"/>
      <c r="M32" s="5"/>
      <c r="N32" s="130"/>
      <c r="O32" s="5"/>
      <c r="P32" s="132"/>
      <c r="Q32" s="5"/>
      <c r="R32" s="130"/>
      <c r="S32" s="5"/>
      <c r="T32" s="130"/>
      <c r="U32" s="5"/>
      <c r="V32" s="74" t="s">
        <v>154</v>
      </c>
      <c r="W32" s="5"/>
    </row>
    <row r="33" spans="1:23" ht="15.6">
      <c r="A33" s="133" t="s">
        <v>334</v>
      </c>
      <c r="B33" s="132"/>
      <c r="C33" s="132"/>
      <c r="D33" s="57" t="s">
        <v>347</v>
      </c>
      <c r="E33" s="133" t="s">
        <v>349</v>
      </c>
      <c r="F33" s="5"/>
      <c r="G33" s="156"/>
      <c r="H33" s="156"/>
      <c r="I33" s="156"/>
      <c r="J33" s="130"/>
      <c r="K33" s="5"/>
      <c r="L33" s="130"/>
      <c r="M33" s="5"/>
      <c r="N33" s="130"/>
      <c r="O33" s="5"/>
      <c r="P33" s="132"/>
      <c r="Q33" s="5"/>
      <c r="R33" s="130"/>
      <c r="S33" s="5"/>
      <c r="T33" s="130"/>
      <c r="U33" s="5"/>
      <c r="V33" s="130"/>
      <c r="W33" s="5"/>
    </row>
    <row r="34" spans="1:23" ht="15.6">
      <c r="A34" s="133" t="s">
        <v>334</v>
      </c>
      <c r="B34" s="132"/>
      <c r="C34" s="132"/>
      <c r="D34" s="57" t="s">
        <v>347</v>
      </c>
      <c r="E34" s="133" t="s">
        <v>350</v>
      </c>
      <c r="F34" s="5"/>
      <c r="G34" s="156"/>
      <c r="H34" s="156"/>
      <c r="I34" s="156"/>
      <c r="J34" s="130"/>
      <c r="K34" s="5"/>
      <c r="L34" s="130"/>
      <c r="M34" s="5"/>
      <c r="N34" s="130"/>
      <c r="O34" s="5"/>
      <c r="P34" s="132">
        <v>1.1000000000000001</v>
      </c>
      <c r="Q34" s="5"/>
      <c r="R34" s="130">
        <v>0.06</v>
      </c>
      <c r="S34" s="5"/>
      <c r="T34" s="74" t="s">
        <v>154</v>
      </c>
      <c r="U34" s="5"/>
      <c r="V34" s="130"/>
      <c r="W34" s="5"/>
    </row>
    <row r="35" spans="1:23" ht="15.6">
      <c r="A35" s="133" t="s">
        <v>334</v>
      </c>
      <c r="B35" s="132"/>
      <c r="C35" s="132"/>
      <c r="D35" s="57" t="s">
        <v>351</v>
      </c>
      <c r="E35" s="133" t="s">
        <v>352</v>
      </c>
      <c r="F35" s="5"/>
      <c r="G35" s="156"/>
      <c r="H35" s="156"/>
      <c r="I35" s="156"/>
      <c r="J35" s="130"/>
      <c r="K35" s="5"/>
      <c r="L35" s="130"/>
      <c r="M35" s="5"/>
      <c r="N35" s="130"/>
      <c r="O35" s="5"/>
      <c r="P35" s="132">
        <v>0.46</v>
      </c>
      <c r="Q35" s="5"/>
      <c r="R35" s="130">
        <v>0.22</v>
      </c>
      <c r="S35" s="5"/>
      <c r="T35" s="74">
        <v>0.1</v>
      </c>
      <c r="U35" s="5"/>
      <c r="V35" s="130"/>
      <c r="W35" s="5"/>
    </row>
    <row r="36" spans="1:23" ht="15.6">
      <c r="A36" s="133" t="s">
        <v>334</v>
      </c>
      <c r="B36" s="132"/>
      <c r="C36" s="132"/>
      <c r="D36" s="57" t="s">
        <v>351</v>
      </c>
      <c r="E36" s="133" t="s">
        <v>353</v>
      </c>
      <c r="F36" s="3"/>
      <c r="G36" s="156"/>
      <c r="H36" s="156"/>
      <c r="I36" s="156"/>
      <c r="J36" s="130"/>
      <c r="K36" s="3"/>
      <c r="L36" s="130"/>
      <c r="M36" s="3"/>
      <c r="N36" s="130"/>
      <c r="O36" s="3"/>
      <c r="P36" s="132"/>
      <c r="Q36" s="3"/>
      <c r="R36" s="130"/>
      <c r="S36" s="3"/>
      <c r="T36" s="130"/>
      <c r="U36" s="3"/>
      <c r="V36" s="130"/>
      <c r="W36" s="3"/>
    </row>
    <row r="37" spans="1:23" ht="15.6">
      <c r="A37" s="133" t="s">
        <v>334</v>
      </c>
      <c r="B37" s="132"/>
      <c r="C37" s="132"/>
      <c r="D37" s="57" t="s">
        <v>351</v>
      </c>
      <c r="E37" s="133" t="s">
        <v>354</v>
      </c>
      <c r="F37" s="3"/>
      <c r="G37" s="156"/>
      <c r="H37" s="156"/>
      <c r="I37" s="156"/>
      <c r="J37" s="130"/>
      <c r="K37" s="3"/>
      <c r="L37" s="130"/>
      <c r="M37" s="3"/>
      <c r="N37" s="130"/>
      <c r="O37" s="3"/>
      <c r="P37" s="132"/>
      <c r="Q37" s="3"/>
      <c r="R37" s="130"/>
      <c r="S37" s="3"/>
      <c r="T37" s="130"/>
      <c r="U37" s="3"/>
      <c r="V37" s="130"/>
      <c r="W37" s="3"/>
    </row>
    <row r="38" spans="1:23" ht="15.6">
      <c r="A38" s="133" t="s">
        <v>334</v>
      </c>
      <c r="B38" s="132"/>
      <c r="C38" s="132"/>
      <c r="D38" s="57" t="s">
        <v>351</v>
      </c>
      <c r="E38" s="133" t="s">
        <v>355</v>
      </c>
      <c r="F38" s="11"/>
      <c r="G38" s="156"/>
      <c r="H38" s="156"/>
      <c r="I38" s="156"/>
      <c r="J38" s="130"/>
      <c r="K38" s="11"/>
      <c r="L38" s="130"/>
      <c r="M38" s="11"/>
      <c r="N38" s="130"/>
      <c r="O38" s="11"/>
      <c r="P38" s="132"/>
      <c r="Q38" s="11"/>
      <c r="R38" s="130"/>
      <c r="S38" s="11"/>
      <c r="T38" s="130"/>
      <c r="U38" s="11"/>
      <c r="V38" s="130"/>
      <c r="W38" s="11"/>
    </row>
    <row r="39" spans="1:23" ht="15.6">
      <c r="A39" s="133" t="s">
        <v>334</v>
      </c>
      <c r="B39" s="132"/>
      <c r="C39" s="132"/>
      <c r="D39" s="57" t="s">
        <v>351</v>
      </c>
      <c r="E39" s="133" t="s">
        <v>356</v>
      </c>
      <c r="F39" s="11"/>
      <c r="G39" s="156"/>
      <c r="H39" s="156"/>
      <c r="I39" s="156"/>
      <c r="J39" s="130"/>
      <c r="K39" s="11"/>
      <c r="L39" s="130"/>
      <c r="M39" s="11"/>
      <c r="N39" s="130"/>
      <c r="O39" s="11"/>
      <c r="P39" s="132"/>
      <c r="Q39" s="11"/>
      <c r="R39" s="130"/>
      <c r="S39" s="11"/>
      <c r="T39" s="130"/>
      <c r="U39" s="11"/>
      <c r="V39" s="130"/>
      <c r="W39" s="11"/>
    </row>
    <row r="40" spans="1:23" ht="15.6">
      <c r="A40" s="133" t="s">
        <v>334</v>
      </c>
      <c r="B40" s="132"/>
      <c r="C40" s="132"/>
      <c r="D40" s="57" t="s">
        <v>357</v>
      </c>
      <c r="E40" s="133" t="s">
        <v>358</v>
      </c>
      <c r="F40" s="11"/>
      <c r="G40" s="156"/>
      <c r="H40" s="156"/>
      <c r="I40" s="156"/>
      <c r="J40" s="130"/>
      <c r="K40" s="11"/>
      <c r="L40" s="130"/>
      <c r="M40" s="11"/>
      <c r="N40" s="130"/>
      <c r="O40" s="11"/>
      <c r="P40" s="132"/>
      <c r="Q40" s="11"/>
      <c r="R40" s="130"/>
      <c r="S40" s="11"/>
      <c r="T40" s="130"/>
      <c r="U40" s="11"/>
      <c r="V40" s="130"/>
      <c r="W40" s="11"/>
    </row>
    <row r="41" spans="1:23" ht="15.6">
      <c r="A41" s="133" t="s">
        <v>334</v>
      </c>
      <c r="B41" s="132"/>
      <c r="C41" s="132"/>
      <c r="D41" s="57" t="s">
        <v>359</v>
      </c>
      <c r="E41" s="133" t="s">
        <v>360</v>
      </c>
      <c r="F41" s="11"/>
      <c r="G41" s="156"/>
      <c r="H41" s="156"/>
      <c r="I41" s="156"/>
      <c r="J41" s="130"/>
      <c r="K41" s="11"/>
      <c r="L41" s="130"/>
      <c r="M41" s="11"/>
      <c r="N41" s="130"/>
      <c r="O41" s="11"/>
      <c r="P41" s="132"/>
      <c r="Q41" s="11"/>
      <c r="R41" s="130"/>
      <c r="S41" s="11"/>
      <c r="T41" s="130"/>
      <c r="U41" s="11"/>
      <c r="V41" s="130"/>
      <c r="W41" s="11"/>
    </row>
    <row r="42" spans="1:23" ht="15.6">
      <c r="A42" s="58" t="s">
        <v>334</v>
      </c>
      <c r="B42" s="132"/>
      <c r="C42" s="132">
        <v>222.23699999999999</v>
      </c>
      <c r="D42" s="57" t="s">
        <v>361</v>
      </c>
      <c r="E42" s="58" t="s">
        <v>362</v>
      </c>
      <c r="F42" s="11"/>
      <c r="G42" s="156">
        <f>0.21*$C42/22.711/1000</f>
        <v>2.054941217912025E-3</v>
      </c>
      <c r="H42" s="156">
        <f>0.21*$C42/22.711/1000</f>
        <v>2.054941217912025E-3</v>
      </c>
      <c r="I42" s="156">
        <f>0.21*$C42/22.711/1000</f>
        <v>2.054941217912025E-3</v>
      </c>
      <c r="J42" s="130">
        <v>0</v>
      </c>
      <c r="K42" s="11"/>
      <c r="L42" s="130"/>
      <c r="M42" s="11"/>
      <c r="N42" s="130"/>
      <c r="O42" s="11"/>
      <c r="P42" s="132"/>
      <c r="Q42" s="11"/>
      <c r="R42" s="130"/>
      <c r="S42" s="11"/>
      <c r="T42" s="130"/>
      <c r="U42" s="11"/>
      <c r="V42" s="130"/>
      <c r="W42" s="11"/>
    </row>
    <row r="43" spans="1:23" ht="15.6">
      <c r="A43" s="58" t="s">
        <v>334</v>
      </c>
      <c r="B43" s="132"/>
      <c r="C43" s="132">
        <v>278.34399999999999</v>
      </c>
      <c r="D43" s="57" t="s">
        <v>363</v>
      </c>
      <c r="E43" s="58" t="s">
        <v>364</v>
      </c>
      <c r="F43" s="11"/>
      <c r="G43" s="156">
        <f>0.42*$C43/22.711/1000</f>
        <v>5.14748271762582E-3</v>
      </c>
      <c r="H43" s="156">
        <f>1.06*$C43/22.711/1000</f>
        <v>1.2991265906388976E-2</v>
      </c>
      <c r="I43" s="156">
        <f>0.75*$C43/22.711/1000</f>
        <v>9.1919334243318225E-3</v>
      </c>
      <c r="J43" s="156">
        <f>0.25*$C43/22.711/1000</f>
        <v>3.0639778081106074E-3</v>
      </c>
      <c r="K43" s="11"/>
      <c r="L43" s="130"/>
      <c r="M43" s="11"/>
      <c r="N43" s="130"/>
      <c r="O43" s="11"/>
      <c r="P43" s="132"/>
      <c r="Q43" s="11"/>
      <c r="R43" s="130"/>
      <c r="S43" s="11"/>
      <c r="T43" s="130"/>
      <c r="U43" s="11"/>
      <c r="V43" s="130"/>
      <c r="W43" s="11"/>
    </row>
    <row r="44" spans="1:23" ht="15.6">
      <c r="A44" s="58" t="s">
        <v>334</v>
      </c>
      <c r="B44" s="132"/>
      <c r="C44" s="132">
        <v>390.55599999999998</v>
      </c>
      <c r="D44" s="57" t="s">
        <v>365</v>
      </c>
      <c r="E44" s="58" t="s">
        <v>366</v>
      </c>
      <c r="F44" s="11"/>
      <c r="G44" s="156">
        <f>0.21*$C44/22.711/1000</f>
        <v>3.6113231473735193E-3</v>
      </c>
      <c r="H44" s="156">
        <f>0.65*$C44/22.711/1000</f>
        <v>1.1177904979965656E-2</v>
      </c>
      <c r="I44" s="156">
        <f>0.39*$C44/22.711/1000</f>
        <v>6.7067429879793927E-3</v>
      </c>
      <c r="J44" s="156">
        <f>0.14*$C44/22.711/1000</f>
        <v>2.4075487649156801E-3</v>
      </c>
      <c r="K44" s="11"/>
      <c r="L44" s="130"/>
      <c r="M44" s="11"/>
      <c r="N44" s="130"/>
      <c r="O44" s="11"/>
      <c r="P44" s="132"/>
      <c r="Q44" s="11"/>
      <c r="R44" s="130"/>
      <c r="S44" s="11"/>
      <c r="T44" s="130"/>
      <c r="U44" s="11"/>
      <c r="V44" s="130"/>
      <c r="W44" s="11"/>
    </row>
    <row r="45" spans="1:23" ht="15.6">
      <c r="A45" s="125" t="s">
        <v>367</v>
      </c>
      <c r="B45" s="118"/>
      <c r="C45" s="118"/>
      <c r="D45" s="55" t="s">
        <v>311</v>
      </c>
      <c r="E45" s="153" t="s">
        <v>368</v>
      </c>
      <c r="F45" s="3"/>
      <c r="G45" s="154"/>
      <c r="H45" s="154"/>
      <c r="I45" s="154"/>
      <c r="J45" s="123"/>
      <c r="K45" s="3"/>
      <c r="L45" s="123"/>
      <c r="M45" s="3"/>
      <c r="N45" s="123"/>
      <c r="O45" s="3"/>
      <c r="P45" s="118"/>
      <c r="Q45" s="3"/>
      <c r="R45" s="123"/>
      <c r="S45" s="3"/>
      <c r="T45" s="123"/>
      <c r="U45" s="3"/>
      <c r="V45" s="123"/>
      <c r="W45" s="3"/>
    </row>
    <row r="46" spans="1:23" ht="15.6">
      <c r="A46" s="125" t="s">
        <v>367</v>
      </c>
      <c r="B46" s="118"/>
      <c r="C46" s="118"/>
      <c r="D46" s="55" t="s">
        <v>316</v>
      </c>
      <c r="E46" s="153" t="s">
        <v>369</v>
      </c>
      <c r="F46" s="11"/>
      <c r="G46" s="154"/>
      <c r="H46" s="154"/>
      <c r="I46" s="154"/>
      <c r="J46" s="123"/>
      <c r="K46" s="11"/>
      <c r="L46" s="123"/>
      <c r="M46" s="11"/>
      <c r="N46" s="123"/>
      <c r="O46" s="11"/>
      <c r="P46" s="118"/>
      <c r="Q46" s="11"/>
      <c r="R46" s="123"/>
      <c r="S46" s="11"/>
      <c r="T46" s="123"/>
      <c r="U46" s="11"/>
      <c r="V46" s="123"/>
      <c r="W46" s="11"/>
    </row>
    <row r="47" spans="1:23" ht="15.6">
      <c r="A47" s="125" t="s">
        <v>367</v>
      </c>
      <c r="B47" s="118"/>
      <c r="C47" s="118"/>
      <c r="D47" s="55" t="s">
        <v>370</v>
      </c>
      <c r="E47" s="153" t="s">
        <v>371</v>
      </c>
      <c r="F47" s="11"/>
      <c r="G47" s="154"/>
      <c r="H47" s="154"/>
      <c r="I47" s="154"/>
      <c r="J47" s="123"/>
      <c r="K47" s="11"/>
      <c r="L47" s="123"/>
      <c r="M47" s="11"/>
      <c r="N47" s="123"/>
      <c r="O47" s="11"/>
      <c r="P47" s="118"/>
      <c r="Q47" s="11"/>
      <c r="R47" s="123"/>
      <c r="S47" s="11"/>
      <c r="T47" s="123"/>
      <c r="U47" s="11"/>
      <c r="V47" s="123"/>
      <c r="W47" s="11"/>
    </row>
    <row r="48" spans="1:23" ht="15.6">
      <c r="A48" s="133" t="s">
        <v>372</v>
      </c>
      <c r="B48" s="132"/>
      <c r="C48" s="132"/>
      <c r="D48" s="57" t="s">
        <v>373</v>
      </c>
      <c r="E48" s="155" t="s">
        <v>374</v>
      </c>
      <c r="F48" s="11"/>
      <c r="G48" s="156"/>
      <c r="H48" s="156"/>
      <c r="I48" s="156"/>
      <c r="J48" s="130"/>
      <c r="K48" s="11"/>
      <c r="L48" s="130">
        <v>0.8</v>
      </c>
      <c r="M48" s="11"/>
      <c r="N48" s="130">
        <v>1.3</v>
      </c>
      <c r="O48" s="11"/>
      <c r="P48" s="132">
        <v>26.96</v>
      </c>
      <c r="Q48" s="11"/>
      <c r="R48" s="130">
        <v>79.040000000000006</v>
      </c>
      <c r="S48" s="11"/>
      <c r="T48" s="130">
        <v>47.07</v>
      </c>
      <c r="U48" s="11"/>
      <c r="V48" s="130"/>
      <c r="W48" s="11"/>
    </row>
    <row r="49" spans="1:23" ht="15.6">
      <c r="A49" s="133" t="s">
        <v>372</v>
      </c>
      <c r="B49" s="132"/>
      <c r="C49" s="132"/>
      <c r="D49" s="57" t="s">
        <v>375</v>
      </c>
      <c r="E49" s="155" t="s">
        <v>376</v>
      </c>
      <c r="F49" s="11"/>
      <c r="G49" s="156"/>
      <c r="H49" s="156"/>
      <c r="I49" s="156"/>
      <c r="J49" s="130"/>
      <c r="K49" s="11"/>
      <c r="L49" s="130">
        <v>30.7</v>
      </c>
      <c r="M49" s="11"/>
      <c r="N49" s="130">
        <v>42.3</v>
      </c>
      <c r="O49" s="11"/>
      <c r="P49" s="132">
        <v>21.88</v>
      </c>
      <c r="Q49" s="11"/>
      <c r="R49" s="130">
        <v>111.67</v>
      </c>
      <c r="S49" s="11"/>
      <c r="T49" s="130">
        <v>60.97</v>
      </c>
      <c r="U49" s="11"/>
      <c r="V49" s="130"/>
      <c r="W49" s="11"/>
    </row>
    <row r="50" spans="1:23" ht="15.6">
      <c r="A50" s="58" t="s">
        <v>372</v>
      </c>
      <c r="B50" s="132"/>
      <c r="C50" s="132"/>
      <c r="D50" s="57" t="s">
        <v>377</v>
      </c>
      <c r="E50" s="155" t="s">
        <v>378</v>
      </c>
      <c r="F50" s="11"/>
      <c r="G50" s="156"/>
      <c r="H50" s="156"/>
      <c r="I50" s="156"/>
      <c r="J50" s="130"/>
      <c r="K50" s="11"/>
      <c r="L50" s="130">
        <v>1.4</v>
      </c>
      <c r="M50" s="11"/>
      <c r="N50" s="130">
        <v>1.9</v>
      </c>
      <c r="O50" s="11"/>
      <c r="P50" s="132">
        <v>2.3199999999999998</v>
      </c>
      <c r="Q50" s="11"/>
      <c r="R50" s="130">
        <v>18.3</v>
      </c>
      <c r="S50" s="11"/>
      <c r="T50" s="130">
        <v>1.75</v>
      </c>
      <c r="U50" s="11"/>
      <c r="V50" s="130"/>
      <c r="W50" s="11"/>
    </row>
    <row r="51" spans="1:23" ht="15.6">
      <c r="A51" s="58" t="s">
        <v>372</v>
      </c>
      <c r="B51" s="132"/>
      <c r="C51" s="132"/>
      <c r="D51" s="57" t="s">
        <v>377</v>
      </c>
      <c r="E51" s="155" t="s">
        <v>379</v>
      </c>
      <c r="F51" s="11"/>
      <c r="G51" s="156"/>
      <c r="H51" s="156"/>
      <c r="I51" s="156"/>
      <c r="J51" s="130"/>
      <c r="K51" s="11"/>
      <c r="L51" s="130">
        <v>0.5</v>
      </c>
      <c r="M51" s="11"/>
      <c r="N51" s="130">
        <v>3.8</v>
      </c>
      <c r="O51" s="11"/>
      <c r="P51" s="132">
        <v>1.34</v>
      </c>
      <c r="Q51" s="11"/>
      <c r="R51" s="130">
        <v>9.2200000000000006</v>
      </c>
      <c r="S51" s="11"/>
      <c r="T51" s="130">
        <v>0.97</v>
      </c>
      <c r="U51" s="11"/>
      <c r="V51" s="130"/>
      <c r="W51" s="11"/>
    </row>
    <row r="52" spans="1:23" ht="15.6">
      <c r="A52" s="133" t="s">
        <v>372</v>
      </c>
      <c r="B52" s="132"/>
      <c r="C52" s="132"/>
      <c r="D52" s="57" t="s">
        <v>380</v>
      </c>
      <c r="E52" s="58" t="s">
        <v>381</v>
      </c>
      <c r="F52" s="3"/>
      <c r="G52" s="156"/>
      <c r="H52" s="156"/>
      <c r="I52" s="156"/>
      <c r="J52" s="130"/>
      <c r="K52" s="3"/>
      <c r="L52" s="130"/>
      <c r="M52" s="3"/>
      <c r="N52" s="130"/>
      <c r="O52" s="3"/>
      <c r="P52" s="132"/>
      <c r="Q52" s="3"/>
      <c r="R52" s="130"/>
      <c r="S52" s="3"/>
      <c r="T52" s="130"/>
      <c r="U52" s="3"/>
      <c r="V52" s="130"/>
      <c r="W52" s="3"/>
    </row>
    <row r="53" spans="1:23" ht="15.6">
      <c r="A53" s="133" t="s">
        <v>372</v>
      </c>
      <c r="B53" s="132"/>
      <c r="C53" s="132"/>
      <c r="D53" s="57" t="s">
        <v>380</v>
      </c>
      <c r="E53" s="133" t="s">
        <v>382</v>
      </c>
      <c r="F53" s="3"/>
      <c r="G53" s="156"/>
      <c r="H53" s="156"/>
      <c r="I53" s="156"/>
      <c r="J53" s="130"/>
      <c r="K53" s="3"/>
      <c r="L53" s="130">
        <v>0.6</v>
      </c>
      <c r="M53" s="3"/>
      <c r="N53" s="130"/>
      <c r="O53" s="3"/>
      <c r="P53" s="132"/>
      <c r="Q53" s="3"/>
      <c r="R53" s="130"/>
      <c r="S53" s="3"/>
      <c r="T53" s="130"/>
      <c r="U53" s="3"/>
      <c r="V53" s="130"/>
      <c r="W53" s="3"/>
    </row>
    <row r="54" spans="1:23" ht="15.6">
      <c r="A54" s="133" t="s">
        <v>372</v>
      </c>
      <c r="B54" s="132"/>
      <c r="C54" s="132"/>
      <c r="D54" s="57" t="s">
        <v>383</v>
      </c>
      <c r="E54" s="133" t="s">
        <v>384</v>
      </c>
      <c r="F54" s="3"/>
      <c r="G54" s="156"/>
      <c r="H54" s="156"/>
      <c r="I54" s="156"/>
      <c r="J54" s="130"/>
      <c r="K54" s="3"/>
      <c r="L54" s="130"/>
      <c r="M54" s="3"/>
      <c r="N54" s="130"/>
      <c r="O54" s="3"/>
      <c r="P54" s="132"/>
      <c r="Q54" s="3"/>
      <c r="R54" s="130"/>
      <c r="S54" s="3"/>
      <c r="T54" s="130"/>
      <c r="U54" s="3"/>
      <c r="V54" s="130"/>
      <c r="W54" s="3"/>
    </row>
    <row r="55" spans="1:23" ht="15.6">
      <c r="A55" s="133" t="s">
        <v>372</v>
      </c>
      <c r="B55" s="132"/>
      <c r="C55" s="132"/>
      <c r="D55" s="57" t="s">
        <v>383</v>
      </c>
      <c r="E55" s="133" t="s">
        <v>385</v>
      </c>
      <c r="F55" s="11"/>
      <c r="G55" s="156"/>
      <c r="H55" s="156"/>
      <c r="I55" s="156"/>
      <c r="J55" s="130"/>
      <c r="K55" s="11"/>
      <c r="L55" s="130"/>
      <c r="M55" s="11"/>
      <c r="N55" s="130"/>
      <c r="O55" s="11"/>
      <c r="P55" s="132"/>
      <c r="Q55" s="11"/>
      <c r="R55" s="130"/>
      <c r="S55" s="11"/>
      <c r="T55" s="130"/>
      <c r="U55" s="11"/>
      <c r="V55" s="130"/>
      <c r="W55" s="11"/>
    </row>
    <row r="56" spans="1:23" ht="15.6">
      <c r="A56" s="58" t="s">
        <v>372</v>
      </c>
      <c r="B56" s="132"/>
      <c r="C56" s="132"/>
      <c r="D56" s="57" t="s">
        <v>386</v>
      </c>
      <c r="E56" s="133" t="s">
        <v>387</v>
      </c>
      <c r="F56" s="11"/>
      <c r="G56" s="156"/>
      <c r="H56" s="156"/>
      <c r="I56" s="156"/>
      <c r="J56" s="130"/>
      <c r="K56" s="11"/>
      <c r="L56" s="130"/>
      <c r="M56" s="11"/>
      <c r="N56" s="130"/>
      <c r="O56" s="11"/>
      <c r="P56" s="132">
        <v>1.81</v>
      </c>
      <c r="Q56" s="11"/>
      <c r="R56" s="130">
        <v>14.87</v>
      </c>
      <c r="S56" s="11"/>
      <c r="T56" s="130">
        <v>0.5</v>
      </c>
      <c r="U56" s="11"/>
      <c r="V56" s="130"/>
      <c r="W56" s="11"/>
    </row>
    <row r="57" spans="1:23" ht="15.6">
      <c r="A57" s="125" t="s">
        <v>388</v>
      </c>
      <c r="B57" s="118"/>
      <c r="C57" s="118"/>
      <c r="D57" s="55" t="s">
        <v>335</v>
      </c>
      <c r="E57" s="153" t="s">
        <v>389</v>
      </c>
      <c r="F57" s="11"/>
      <c r="G57" s="154"/>
      <c r="H57" s="154"/>
      <c r="I57" s="154"/>
      <c r="J57" s="123"/>
      <c r="K57" s="11"/>
      <c r="L57" s="123"/>
      <c r="M57" s="11"/>
      <c r="N57" s="123"/>
      <c r="O57" s="11"/>
      <c r="P57" s="118"/>
      <c r="Q57" s="11"/>
      <c r="R57" s="123"/>
      <c r="S57" s="11"/>
      <c r="T57" s="123"/>
      <c r="U57" s="11"/>
      <c r="V57" s="123"/>
      <c r="W57" s="11"/>
    </row>
    <row r="58" spans="1:23" ht="15.6">
      <c r="A58" s="125" t="s">
        <v>388</v>
      </c>
      <c r="B58" s="118"/>
      <c r="C58" s="118"/>
      <c r="D58" s="55" t="s">
        <v>390</v>
      </c>
      <c r="E58" s="153" t="s">
        <v>391</v>
      </c>
      <c r="F58" s="11"/>
      <c r="G58" s="154"/>
      <c r="H58" s="154"/>
      <c r="I58" s="154"/>
      <c r="J58" s="123"/>
      <c r="K58" s="11"/>
      <c r="L58" s="123"/>
      <c r="M58" s="11"/>
      <c r="N58" s="123"/>
      <c r="O58" s="11"/>
      <c r="P58" s="55" t="s">
        <v>154</v>
      </c>
      <c r="Q58" s="11"/>
      <c r="R58" s="123">
        <v>1.49</v>
      </c>
      <c r="S58" s="11"/>
      <c r="T58" s="55" t="s">
        <v>154</v>
      </c>
      <c r="U58" s="11"/>
      <c r="V58" s="111" t="s">
        <v>154</v>
      </c>
      <c r="W58" s="11"/>
    </row>
    <row r="59" spans="1:23" ht="15.6">
      <c r="A59" s="125" t="s">
        <v>388</v>
      </c>
      <c r="B59" s="118"/>
      <c r="C59" s="118"/>
      <c r="D59" s="55" t="s">
        <v>375</v>
      </c>
      <c r="E59" s="153" t="s">
        <v>392</v>
      </c>
      <c r="F59" s="11"/>
      <c r="G59" s="154"/>
      <c r="H59" s="154"/>
      <c r="I59" s="154"/>
      <c r="J59" s="123"/>
      <c r="K59" s="11"/>
      <c r="L59" s="123"/>
      <c r="M59" s="11"/>
      <c r="N59" s="123"/>
      <c r="O59" s="11"/>
      <c r="P59" s="118">
        <v>0.12</v>
      </c>
      <c r="Q59" s="11"/>
      <c r="R59" s="123">
        <v>0.11</v>
      </c>
      <c r="S59" s="11"/>
      <c r="T59" s="123">
        <v>0.14000000000000001</v>
      </c>
      <c r="U59" s="11"/>
      <c r="V59" s="123"/>
      <c r="W59" s="11"/>
    </row>
    <row r="60" spans="1:23" ht="15.6">
      <c r="A60" s="125" t="s">
        <v>388</v>
      </c>
      <c r="B60" s="118"/>
      <c r="C60" s="118"/>
      <c r="D60" s="55" t="s">
        <v>339</v>
      </c>
      <c r="E60" s="56" t="s">
        <v>393</v>
      </c>
      <c r="F60" s="11"/>
      <c r="G60" s="154"/>
      <c r="H60" s="154"/>
      <c r="I60" s="154"/>
      <c r="J60" s="123"/>
      <c r="K60" s="11"/>
      <c r="L60" s="123"/>
      <c r="M60" s="11"/>
      <c r="N60" s="123"/>
      <c r="O60" s="11"/>
      <c r="P60" s="118"/>
      <c r="Q60" s="11"/>
      <c r="R60" s="123"/>
      <c r="S60" s="11"/>
      <c r="T60" s="123"/>
      <c r="U60" s="11"/>
      <c r="V60" s="123"/>
      <c r="W60" s="11"/>
    </row>
    <row r="61" spans="1:23" ht="15.6">
      <c r="A61" s="56" t="s">
        <v>388</v>
      </c>
      <c r="B61" s="118"/>
      <c r="C61" s="118"/>
      <c r="D61" s="55" t="s">
        <v>394</v>
      </c>
      <c r="E61" s="56" t="s">
        <v>395</v>
      </c>
      <c r="F61" s="11"/>
      <c r="G61" s="154"/>
      <c r="H61" s="154"/>
      <c r="I61" s="154"/>
      <c r="J61" s="123"/>
      <c r="K61" s="11"/>
      <c r="L61" s="123">
        <v>2.2999999999999998</v>
      </c>
      <c r="M61" s="11"/>
      <c r="N61" s="123"/>
      <c r="O61" s="11"/>
      <c r="P61" s="118"/>
      <c r="Q61" s="11"/>
      <c r="R61" s="123"/>
      <c r="S61" s="11"/>
      <c r="T61" s="123"/>
      <c r="U61" s="11"/>
      <c r="V61" s="123"/>
      <c r="W61" s="11"/>
    </row>
    <row r="62" spans="1:23" ht="15.6">
      <c r="A62" s="56" t="s">
        <v>388</v>
      </c>
      <c r="B62" s="118"/>
      <c r="C62" s="118"/>
      <c r="D62" s="55" t="s">
        <v>394</v>
      </c>
      <c r="E62" s="56" t="s">
        <v>396</v>
      </c>
      <c r="F62" s="11"/>
      <c r="G62" s="154"/>
      <c r="H62" s="154"/>
      <c r="I62" s="154"/>
      <c r="J62" s="123"/>
      <c r="K62" s="11"/>
      <c r="L62" s="123">
        <v>0.5</v>
      </c>
      <c r="M62" s="11"/>
      <c r="N62" s="123"/>
      <c r="O62" s="11"/>
      <c r="P62" s="118">
        <v>1.43</v>
      </c>
      <c r="Q62" s="11"/>
      <c r="R62" s="123">
        <v>3.06</v>
      </c>
      <c r="S62" s="11"/>
      <c r="T62" s="123">
        <v>4.5999999999999996</v>
      </c>
      <c r="U62" s="11"/>
      <c r="V62" s="123"/>
      <c r="W62" s="11"/>
    </row>
    <row r="63" spans="1:23" ht="15.6">
      <c r="A63" s="125" t="s">
        <v>388</v>
      </c>
      <c r="B63" s="118"/>
      <c r="C63" s="118"/>
      <c r="D63" s="55" t="s">
        <v>397</v>
      </c>
      <c r="E63" s="153" t="s">
        <v>398</v>
      </c>
      <c r="F63" s="11"/>
      <c r="G63" s="154"/>
      <c r="H63" s="154"/>
      <c r="I63" s="154"/>
      <c r="J63" s="123"/>
      <c r="K63" s="11"/>
      <c r="L63" s="123"/>
      <c r="M63" s="11"/>
      <c r="N63" s="123"/>
      <c r="O63" s="11"/>
      <c r="P63" s="118"/>
      <c r="Q63" s="11"/>
      <c r="R63" s="123"/>
      <c r="S63" s="11"/>
      <c r="T63" s="123"/>
      <c r="U63" s="11"/>
      <c r="V63" s="123"/>
      <c r="W63" s="11"/>
    </row>
    <row r="64" spans="1:23">
      <c r="A64" s="125" t="s">
        <v>388</v>
      </c>
      <c r="B64" s="118"/>
      <c r="C64" s="118"/>
      <c r="D64" s="55" t="s">
        <v>399</v>
      </c>
      <c r="E64" s="153" t="s">
        <v>400</v>
      </c>
      <c r="F64" s="11"/>
      <c r="G64" s="154"/>
      <c r="H64" s="154"/>
      <c r="I64" s="154"/>
      <c r="J64" s="123"/>
      <c r="K64" s="11"/>
      <c r="L64" s="123">
        <v>2.2999999999999998</v>
      </c>
      <c r="M64" s="11"/>
      <c r="N64" s="123"/>
      <c r="O64" s="11"/>
      <c r="P64" s="118"/>
      <c r="Q64" s="11"/>
      <c r="R64" s="123"/>
      <c r="S64" s="11"/>
      <c r="T64" s="123"/>
      <c r="U64" s="11"/>
      <c r="V64" s="123"/>
      <c r="W64" s="11"/>
    </row>
    <row r="65" spans="1:23" ht="15" thickBot="1">
      <c r="A65" s="160" t="s">
        <v>388</v>
      </c>
      <c r="B65" s="158"/>
      <c r="C65" s="158"/>
      <c r="D65" s="161" t="s">
        <v>401</v>
      </c>
      <c r="E65" s="162" t="s">
        <v>402</v>
      </c>
      <c r="F65" s="11"/>
      <c r="G65" s="159"/>
      <c r="H65" s="159"/>
      <c r="I65" s="159"/>
      <c r="J65" s="157"/>
      <c r="K65" s="11"/>
      <c r="L65" s="157"/>
      <c r="M65" s="11"/>
      <c r="N65" s="157"/>
      <c r="O65" s="11"/>
      <c r="P65" s="158">
        <v>3.15</v>
      </c>
      <c r="Q65" s="11"/>
      <c r="R65" s="157">
        <v>6.52</v>
      </c>
      <c r="S65" s="11"/>
      <c r="T65" s="157">
        <v>0.5</v>
      </c>
      <c r="U65" s="11"/>
      <c r="V65" s="157"/>
      <c r="W65" s="11"/>
    </row>
    <row r="66" spans="1:23" ht="15" thickBot="1">
      <c r="A66" s="240" t="s">
        <v>403</v>
      </c>
      <c r="B66" s="240"/>
      <c r="C66" s="240"/>
      <c r="D66" s="240"/>
      <c r="E66" s="240"/>
      <c r="F66" s="39"/>
      <c r="G66" s="41">
        <f>SUM(G13:G65)</f>
        <v>2.3862930298093436E-2</v>
      </c>
      <c r="H66" s="41">
        <f>SUM(H13:H65)</f>
        <v>0.59912482453436666</v>
      </c>
      <c r="I66" s="41">
        <f>SUM(I13:I65)</f>
        <v>0.16781823741799129</v>
      </c>
      <c r="J66" s="41">
        <f>SUM(J13:J65)</f>
        <v>0.23248348861785037</v>
      </c>
      <c r="K66" s="39"/>
      <c r="L66" s="41">
        <f>SUM(L13:L65)</f>
        <v>39.799999999999997</v>
      </c>
      <c r="M66" s="39"/>
      <c r="N66" s="41">
        <f>SUM(N13:N65)</f>
        <v>49.29999999999999</v>
      </c>
      <c r="O66" s="39"/>
      <c r="P66" s="41">
        <f>SUM(P13:P65)</f>
        <v>64.14</v>
      </c>
      <c r="Q66" s="39"/>
      <c r="R66" s="41">
        <f>SUM(R13:R65)</f>
        <v>275.85000000000002</v>
      </c>
      <c r="S66" s="39"/>
      <c r="T66" s="41">
        <f>SUM(T13:T65)</f>
        <v>121.82</v>
      </c>
      <c r="U66" s="39"/>
      <c r="V66" s="41">
        <f>SUM(V13:V65)</f>
        <v>0</v>
      </c>
      <c r="W66" s="39"/>
    </row>
    <row r="67" spans="1:23">
      <c r="A67" s="19"/>
      <c r="B67" s="24"/>
      <c r="C67" s="24"/>
      <c r="D67" s="24"/>
      <c r="E67" s="24"/>
      <c r="F67" s="18"/>
      <c r="K67" s="18"/>
      <c r="L67" s="19"/>
      <c r="M67" s="18"/>
      <c r="N67" s="19"/>
      <c r="O67" s="18"/>
      <c r="P67" s="19"/>
      <c r="Q67" s="18"/>
      <c r="R67" s="19"/>
      <c r="S67" s="18"/>
      <c r="T67" s="19"/>
      <c r="U67" s="18"/>
      <c r="V67" s="19"/>
      <c r="W67" s="18"/>
    </row>
    <row r="68" spans="1:23">
      <c r="B68" s="24"/>
      <c r="C68" s="24"/>
      <c r="D68" s="24"/>
      <c r="E68" s="24"/>
      <c r="F68" s="18"/>
      <c r="K68" s="18"/>
      <c r="L68" s="19"/>
      <c r="M68" s="18"/>
      <c r="N68" s="19"/>
      <c r="O68" s="18"/>
      <c r="P68" s="19"/>
      <c r="Q68" s="18"/>
      <c r="R68" s="19"/>
      <c r="S68" s="18"/>
      <c r="T68" s="19"/>
      <c r="U68" s="18"/>
      <c r="V68" s="19"/>
      <c r="W68" s="18"/>
    </row>
    <row r="69" spans="1:23">
      <c r="B69" s="24"/>
      <c r="C69" s="24"/>
      <c r="D69" s="24"/>
      <c r="E69" s="24"/>
      <c r="F69" s="18"/>
      <c r="K69" s="18"/>
      <c r="L69" s="19"/>
      <c r="M69" s="18"/>
      <c r="P69" s="19"/>
      <c r="Q69" s="18"/>
      <c r="R69" s="19"/>
      <c r="S69" s="18"/>
      <c r="T69" s="19"/>
      <c r="U69" s="18"/>
    </row>
    <row r="70" spans="1:23">
      <c r="B70" s="24"/>
      <c r="C70" s="24"/>
      <c r="D70" s="24"/>
      <c r="E70" s="24"/>
      <c r="F70" s="18"/>
      <c r="K70" s="18"/>
      <c r="L70" s="19"/>
      <c r="M70" s="18"/>
      <c r="P70" s="19"/>
      <c r="Q70" s="18"/>
      <c r="R70" s="19"/>
      <c r="S70" s="18"/>
      <c r="T70" s="19"/>
      <c r="U70" s="18"/>
    </row>
    <row r="71" spans="1:23">
      <c r="B71" s="24"/>
      <c r="C71" s="24"/>
      <c r="D71" s="24"/>
      <c r="E71" s="24"/>
      <c r="F71" s="18"/>
      <c r="K71" s="18"/>
      <c r="L71" s="19"/>
      <c r="M71" s="18"/>
      <c r="P71" s="19"/>
      <c r="Q71" s="18"/>
      <c r="R71" s="19"/>
      <c r="S71" s="18"/>
      <c r="T71" s="19"/>
      <c r="U71" s="18"/>
    </row>
    <row r="72" spans="1:23">
      <c r="B72" s="24"/>
      <c r="C72" s="24"/>
      <c r="D72" s="24"/>
      <c r="E72" s="24"/>
      <c r="F72" s="18"/>
      <c r="K72" s="18"/>
      <c r="L72" s="19"/>
      <c r="M72" s="18"/>
      <c r="P72" s="19"/>
      <c r="Q72" s="18"/>
      <c r="R72" s="19"/>
      <c r="S72" s="18"/>
      <c r="T72" s="19"/>
      <c r="U72" s="18"/>
    </row>
    <row r="73" spans="1:23">
      <c r="B73" s="24"/>
      <c r="C73" s="24"/>
      <c r="D73" s="24"/>
      <c r="E73" s="24"/>
      <c r="F73" s="18"/>
      <c r="K73" s="18"/>
      <c r="L73" s="19"/>
      <c r="M73" s="18"/>
      <c r="P73" s="19"/>
      <c r="Q73" s="18"/>
      <c r="R73" s="19"/>
      <c r="S73" s="18"/>
      <c r="T73" s="19"/>
      <c r="U73" s="18"/>
    </row>
    <row r="74" spans="1:23">
      <c r="B74" s="24"/>
      <c r="C74" s="24"/>
      <c r="D74" s="24"/>
      <c r="E74" s="24"/>
      <c r="F74" s="18"/>
      <c r="K74" s="18"/>
      <c r="L74" s="19"/>
      <c r="M74" s="18"/>
      <c r="P74" s="19"/>
      <c r="Q74" s="18"/>
      <c r="R74" s="19"/>
      <c r="S74" s="18"/>
      <c r="T74" s="19"/>
      <c r="U74" s="18"/>
    </row>
    <row r="75" spans="1:23">
      <c r="B75" s="20"/>
      <c r="C75" s="20"/>
      <c r="D75" s="23"/>
      <c r="E75" s="20"/>
      <c r="F75" s="18"/>
      <c r="K75" s="18"/>
      <c r="L75" s="19"/>
      <c r="M75" s="18"/>
      <c r="N75" s="19"/>
      <c r="O75" s="18"/>
      <c r="P75" s="19"/>
      <c r="Q75" s="18"/>
      <c r="R75" s="19"/>
      <c r="S75" s="18"/>
      <c r="T75" s="19"/>
      <c r="U75" s="18"/>
      <c r="V75" s="19"/>
      <c r="W75" s="18"/>
    </row>
    <row r="76" spans="1:23">
      <c r="B76" s="20"/>
      <c r="C76" s="20"/>
      <c r="D76" s="23"/>
      <c r="E76" s="23"/>
      <c r="F76" s="18"/>
      <c r="K76" s="18"/>
      <c r="L76" s="19"/>
      <c r="M76" s="18"/>
      <c r="N76" s="19"/>
      <c r="O76" s="18"/>
      <c r="P76" s="19"/>
      <c r="Q76" s="18"/>
      <c r="R76" s="19"/>
      <c r="S76" s="18"/>
      <c r="T76" s="19"/>
      <c r="U76" s="18"/>
      <c r="V76" s="19"/>
      <c r="W76" s="18"/>
    </row>
    <row r="77" spans="1:23">
      <c r="B77" s="20"/>
      <c r="C77" s="20"/>
      <c r="D77" s="23"/>
      <c r="E77" s="23"/>
      <c r="F77" s="18"/>
      <c r="K77" s="18"/>
      <c r="L77" s="19"/>
      <c r="M77" s="18"/>
      <c r="N77" s="19"/>
      <c r="O77" s="18"/>
      <c r="P77" s="19"/>
      <c r="Q77" s="18"/>
      <c r="R77" s="19"/>
      <c r="S77" s="18"/>
      <c r="T77" s="19"/>
      <c r="U77" s="18"/>
      <c r="V77" s="19"/>
      <c r="W77" s="18"/>
    </row>
    <row r="78" spans="1:23">
      <c r="B78" s="20"/>
      <c r="C78" s="20"/>
      <c r="D78" s="23"/>
      <c r="E78" s="23"/>
      <c r="F78" s="18"/>
      <c r="K78" s="18"/>
      <c r="L78" s="19"/>
      <c r="M78" s="18"/>
      <c r="N78" s="19"/>
      <c r="O78" s="18"/>
      <c r="P78" s="19"/>
      <c r="Q78" s="18"/>
      <c r="R78" s="19"/>
      <c r="S78" s="18"/>
      <c r="T78" s="19"/>
      <c r="U78" s="18"/>
      <c r="V78" s="19"/>
      <c r="W78" s="18"/>
    </row>
    <row r="79" spans="1:23">
      <c r="B79" s="20"/>
      <c r="C79" s="20"/>
      <c r="D79" s="23"/>
      <c r="E79" s="20"/>
      <c r="F79" s="18"/>
      <c r="K79" s="18"/>
      <c r="L79" s="19"/>
      <c r="M79" s="18"/>
      <c r="N79" s="19"/>
      <c r="O79" s="18"/>
      <c r="P79" s="19"/>
      <c r="Q79" s="18"/>
      <c r="R79" s="19"/>
      <c r="S79" s="18"/>
      <c r="T79" s="19"/>
      <c r="U79" s="18"/>
      <c r="V79" s="19"/>
      <c r="W79" s="18"/>
    </row>
    <row r="80" spans="1:23">
      <c r="B80" s="20"/>
      <c r="C80" s="20"/>
      <c r="D80" s="23"/>
      <c r="E80" s="20"/>
      <c r="F80" s="18"/>
      <c r="K80" s="18"/>
      <c r="L80" s="19"/>
      <c r="M80" s="18"/>
      <c r="N80" s="19"/>
      <c r="O80" s="18"/>
      <c r="P80" s="19"/>
      <c r="Q80" s="18"/>
      <c r="R80" s="19"/>
      <c r="S80" s="18"/>
      <c r="T80" s="19"/>
      <c r="U80" s="18"/>
      <c r="V80" s="19"/>
      <c r="W80" s="18"/>
    </row>
    <row r="81" spans="2:23">
      <c r="B81" s="20"/>
      <c r="C81" s="20"/>
      <c r="D81" s="23"/>
      <c r="E81" s="20"/>
      <c r="F81" s="18"/>
      <c r="K81" s="18"/>
      <c r="L81" s="19"/>
      <c r="M81" s="18"/>
      <c r="N81" s="19"/>
      <c r="O81" s="18"/>
      <c r="P81" s="19"/>
      <c r="Q81" s="18"/>
      <c r="R81" s="19"/>
      <c r="S81" s="18"/>
      <c r="T81" s="19"/>
      <c r="U81" s="18"/>
      <c r="V81" s="19"/>
      <c r="W81" s="18"/>
    </row>
    <row r="82" spans="2:23">
      <c r="B82" s="20"/>
      <c r="C82" s="20"/>
      <c r="D82" s="23"/>
      <c r="E82" s="20"/>
      <c r="F82" s="18"/>
      <c r="K82" s="18"/>
      <c r="L82" s="19"/>
      <c r="M82" s="18"/>
      <c r="N82" s="19"/>
      <c r="O82" s="18"/>
      <c r="P82" s="19"/>
      <c r="Q82" s="18"/>
      <c r="R82" s="19"/>
      <c r="S82" s="18"/>
      <c r="T82" s="19"/>
      <c r="U82" s="18"/>
      <c r="V82" s="19"/>
      <c r="W82" s="18"/>
    </row>
    <row r="83" spans="2:23">
      <c r="B83" s="20"/>
      <c r="C83" s="20"/>
      <c r="D83" s="23"/>
      <c r="E83" s="20"/>
      <c r="F83" s="18"/>
      <c r="K83" s="18"/>
      <c r="L83" s="19"/>
      <c r="M83" s="18"/>
      <c r="N83" s="19"/>
      <c r="O83" s="18"/>
      <c r="P83" s="19"/>
      <c r="Q83" s="18"/>
      <c r="R83" s="19"/>
      <c r="S83" s="18"/>
      <c r="T83" s="19"/>
      <c r="U83" s="18"/>
      <c r="V83" s="19"/>
      <c r="W83" s="18"/>
    </row>
    <row r="84" spans="2:23">
      <c r="B84" s="35"/>
      <c r="C84" s="35"/>
      <c r="D84" s="35"/>
      <c r="E84" s="40"/>
      <c r="F84" s="18"/>
      <c r="K84" s="18"/>
      <c r="L84" s="19"/>
      <c r="M84" s="18"/>
      <c r="N84" s="19"/>
      <c r="O84" s="18"/>
      <c r="P84" s="19"/>
      <c r="Q84" s="18"/>
      <c r="R84" s="19"/>
      <c r="S84" s="18"/>
      <c r="T84" s="19"/>
      <c r="U84" s="18"/>
      <c r="V84" s="19"/>
      <c r="W84" s="18"/>
    </row>
    <row r="85" spans="2:23">
      <c r="B85" s="35"/>
      <c r="C85" s="35"/>
      <c r="D85" s="35"/>
      <c r="E85" s="40"/>
      <c r="F85" s="18"/>
      <c r="K85" s="18"/>
      <c r="L85" s="19"/>
      <c r="M85" s="18"/>
      <c r="N85" s="19"/>
      <c r="O85" s="18"/>
      <c r="P85" s="19"/>
      <c r="Q85" s="18"/>
      <c r="R85" s="19"/>
      <c r="S85" s="18"/>
      <c r="T85" s="19"/>
      <c r="U85" s="18"/>
      <c r="V85" s="19"/>
      <c r="W85" s="18"/>
    </row>
    <row r="86" spans="2:23">
      <c r="B86" s="35"/>
      <c r="C86" s="35"/>
      <c r="D86" s="35"/>
      <c r="E86" s="40"/>
      <c r="F86" s="18"/>
      <c r="K86" s="18"/>
      <c r="L86" s="19"/>
      <c r="M86" s="18"/>
      <c r="N86" s="19"/>
      <c r="O86" s="18"/>
      <c r="P86" s="19"/>
      <c r="Q86" s="18"/>
      <c r="R86" s="19"/>
      <c r="S86" s="18"/>
      <c r="T86" s="19"/>
      <c r="U86" s="18"/>
      <c r="V86" s="19"/>
      <c r="W86" s="18"/>
    </row>
    <row r="87" spans="2:23">
      <c r="B87" s="35"/>
      <c r="C87" s="35"/>
      <c r="D87" s="35"/>
      <c r="E87" s="40"/>
      <c r="F87" s="18"/>
      <c r="K87" s="18"/>
      <c r="L87" s="19"/>
      <c r="M87" s="18"/>
      <c r="N87" s="19"/>
      <c r="O87" s="18"/>
      <c r="P87" s="19"/>
      <c r="Q87" s="18"/>
      <c r="R87" s="19"/>
      <c r="S87" s="18"/>
      <c r="T87" s="19"/>
      <c r="U87" s="18"/>
      <c r="V87" s="19"/>
      <c r="W87" s="18"/>
    </row>
    <row r="88" spans="2:23">
      <c r="B88" s="35"/>
      <c r="C88" s="35"/>
      <c r="D88" s="35"/>
      <c r="E88" s="40"/>
      <c r="F88" s="18"/>
      <c r="K88" s="18"/>
      <c r="L88" s="19"/>
      <c r="M88" s="18"/>
      <c r="N88" s="19"/>
      <c r="O88" s="18"/>
      <c r="P88" s="19"/>
      <c r="Q88" s="18"/>
      <c r="R88" s="19"/>
      <c r="S88" s="18"/>
      <c r="T88" s="19"/>
      <c r="U88" s="18"/>
      <c r="V88" s="19"/>
      <c r="W88" s="18"/>
    </row>
    <row r="89" spans="2:23">
      <c r="B89" s="35"/>
      <c r="C89" s="35"/>
      <c r="D89" s="35"/>
      <c r="E89" s="35"/>
      <c r="F89" s="18"/>
      <c r="K89" s="18"/>
      <c r="L89" s="19"/>
      <c r="M89" s="18"/>
      <c r="N89" s="19"/>
      <c r="O89" s="18"/>
      <c r="P89" s="19"/>
      <c r="Q89" s="18"/>
      <c r="R89" s="19"/>
      <c r="S89" s="18"/>
      <c r="T89" s="19"/>
      <c r="U89" s="18"/>
      <c r="V89" s="19"/>
      <c r="W89" s="18"/>
    </row>
    <row r="90" spans="2:23">
      <c r="B90" s="35"/>
      <c r="C90" s="35"/>
      <c r="D90" s="35"/>
      <c r="E90" s="35"/>
      <c r="F90" s="18"/>
      <c r="K90" s="18"/>
      <c r="L90" s="19"/>
      <c r="M90" s="18"/>
      <c r="N90" s="19"/>
      <c r="O90" s="18"/>
      <c r="P90" s="19"/>
      <c r="Q90" s="18"/>
      <c r="R90" s="19"/>
      <c r="S90" s="18"/>
      <c r="T90" s="19"/>
      <c r="U90" s="18"/>
      <c r="V90" s="19"/>
      <c r="W90" s="18"/>
    </row>
    <row r="91" spans="2:23">
      <c r="F91" s="18"/>
      <c r="K91" s="18"/>
      <c r="M91" s="18"/>
      <c r="O91" s="18"/>
      <c r="Q91" s="18"/>
      <c r="S91" s="18"/>
      <c r="U91" s="18"/>
      <c r="W91" s="18"/>
    </row>
    <row r="92" spans="2:23">
      <c r="F92" s="18"/>
      <c r="K92" s="18"/>
      <c r="M92" s="18"/>
      <c r="O92" s="18"/>
      <c r="Q92" s="18"/>
      <c r="S92" s="18"/>
      <c r="U92" s="18"/>
      <c r="W92" s="18"/>
    </row>
    <row r="93" spans="2:23">
      <c r="F93" s="18"/>
      <c r="K93" s="18"/>
      <c r="M93" s="18"/>
      <c r="O93" s="18"/>
      <c r="Q93" s="18"/>
      <c r="S93" s="18"/>
      <c r="U93" s="18"/>
      <c r="W93" s="18"/>
    </row>
    <row r="94" spans="2:23">
      <c r="F94" s="18"/>
      <c r="K94" s="18"/>
      <c r="M94" s="18"/>
      <c r="O94" s="18"/>
      <c r="Q94" s="18"/>
      <c r="S94" s="18"/>
      <c r="U94" s="18"/>
      <c r="W94" s="18"/>
    </row>
    <row r="95" spans="2:23">
      <c r="F95" s="18"/>
      <c r="K95" s="18"/>
      <c r="M95" s="18"/>
      <c r="O95" s="18"/>
      <c r="Q95" s="18"/>
      <c r="S95" s="18"/>
      <c r="U95" s="18"/>
      <c r="W95" s="18"/>
    </row>
    <row r="96" spans="2:23">
      <c r="F96" s="18"/>
      <c r="K96" s="18"/>
      <c r="M96" s="18"/>
      <c r="O96" s="18"/>
      <c r="Q96" s="18"/>
      <c r="S96" s="18"/>
      <c r="U96" s="18"/>
      <c r="W96" s="18"/>
    </row>
    <row r="97" spans="6:23">
      <c r="F97" s="18"/>
      <c r="K97" s="18"/>
      <c r="M97" s="18"/>
      <c r="O97" s="18"/>
      <c r="Q97" s="18"/>
      <c r="S97" s="18"/>
      <c r="U97" s="18"/>
      <c r="W97" s="18"/>
    </row>
    <row r="98" spans="6:23">
      <c r="F98" s="18"/>
      <c r="K98" s="18"/>
      <c r="M98" s="18"/>
      <c r="O98" s="18"/>
      <c r="Q98" s="18"/>
      <c r="S98" s="18"/>
      <c r="U98" s="18"/>
      <c r="W98" s="18"/>
    </row>
    <row r="99" spans="6:23">
      <c r="F99" s="18"/>
      <c r="K99" s="18"/>
      <c r="M99" s="18"/>
      <c r="O99" s="18"/>
      <c r="Q99" s="18"/>
      <c r="S99" s="18"/>
      <c r="U99" s="18"/>
      <c r="W99" s="18"/>
    </row>
    <row r="100" spans="6:23">
      <c r="F100" s="18"/>
      <c r="K100" s="18"/>
      <c r="M100" s="18"/>
      <c r="O100" s="18"/>
      <c r="Q100" s="18"/>
      <c r="S100" s="18"/>
      <c r="U100" s="18"/>
      <c r="W100" s="18"/>
    </row>
    <row r="101" spans="6:23">
      <c r="F101" s="18"/>
      <c r="K101" s="18"/>
      <c r="M101" s="18"/>
      <c r="O101" s="18"/>
      <c r="Q101" s="18"/>
      <c r="S101" s="18"/>
      <c r="U101" s="18"/>
      <c r="W101" s="18"/>
    </row>
    <row r="102" spans="6:23">
      <c r="F102" s="18"/>
      <c r="K102" s="18"/>
      <c r="M102" s="18"/>
      <c r="O102" s="18"/>
      <c r="Q102" s="18"/>
      <c r="S102" s="18"/>
      <c r="U102" s="18"/>
      <c r="W102" s="18"/>
    </row>
    <row r="103" spans="6:23">
      <c r="F103" s="18"/>
      <c r="K103" s="18"/>
      <c r="M103" s="18"/>
      <c r="O103" s="18"/>
      <c r="Q103" s="18"/>
      <c r="S103" s="18"/>
      <c r="U103" s="18"/>
      <c r="W103" s="18"/>
    </row>
    <row r="104" spans="6:23">
      <c r="F104" s="18"/>
      <c r="K104" s="18"/>
      <c r="M104" s="18"/>
      <c r="O104" s="18"/>
      <c r="Q104" s="18"/>
      <c r="S104" s="18"/>
      <c r="U104" s="18"/>
      <c r="W104" s="18"/>
    </row>
    <row r="105" spans="6:23">
      <c r="F105" s="18"/>
      <c r="K105" s="18"/>
      <c r="M105" s="18"/>
      <c r="O105" s="18"/>
      <c r="Q105" s="18"/>
      <c r="S105" s="18"/>
      <c r="U105" s="18"/>
      <c r="W105" s="18"/>
    </row>
    <row r="106" spans="6:23">
      <c r="F106" s="18"/>
      <c r="K106" s="18"/>
      <c r="M106" s="18"/>
      <c r="O106" s="18"/>
      <c r="Q106" s="18"/>
      <c r="S106" s="18"/>
      <c r="U106" s="18"/>
      <c r="W106" s="18"/>
    </row>
    <row r="107" spans="6:23">
      <c r="F107" s="18"/>
      <c r="K107" s="18"/>
      <c r="M107" s="18"/>
      <c r="O107" s="18"/>
      <c r="Q107" s="18"/>
      <c r="S107" s="18"/>
      <c r="U107" s="18"/>
      <c r="W107" s="18"/>
    </row>
    <row r="108" spans="6:23">
      <c r="F108" s="18"/>
      <c r="K108" s="18"/>
      <c r="M108" s="18"/>
      <c r="O108" s="18"/>
      <c r="Q108" s="18"/>
      <c r="S108" s="18"/>
      <c r="U108" s="18"/>
      <c r="W108" s="18"/>
    </row>
    <row r="109" spans="6:23">
      <c r="F109" s="18"/>
      <c r="K109" s="18"/>
      <c r="M109" s="18"/>
      <c r="O109" s="18"/>
      <c r="Q109" s="18"/>
      <c r="S109" s="18"/>
      <c r="U109" s="18"/>
      <c r="W109" s="18"/>
    </row>
    <row r="110" spans="6:23">
      <c r="F110" s="18"/>
      <c r="K110" s="18"/>
      <c r="M110" s="18"/>
      <c r="O110" s="18"/>
      <c r="Q110" s="18"/>
      <c r="S110" s="18"/>
      <c r="U110" s="18"/>
      <c r="W110" s="18"/>
    </row>
    <row r="111" spans="6:23">
      <c r="F111" s="18"/>
      <c r="K111" s="18"/>
      <c r="M111" s="18"/>
      <c r="O111" s="18"/>
      <c r="Q111" s="18"/>
      <c r="S111" s="18"/>
      <c r="U111" s="18"/>
      <c r="W111" s="18"/>
    </row>
    <row r="112" spans="6:23">
      <c r="F112" s="18"/>
      <c r="K112" s="18"/>
      <c r="M112" s="18"/>
      <c r="O112" s="18"/>
      <c r="Q112" s="18"/>
      <c r="S112" s="18"/>
      <c r="U112" s="18"/>
      <c r="W112" s="18"/>
    </row>
    <row r="113" spans="6:23">
      <c r="F113" s="18"/>
      <c r="K113" s="18"/>
      <c r="M113" s="18"/>
      <c r="O113" s="18"/>
      <c r="Q113" s="18"/>
      <c r="S113" s="18"/>
      <c r="U113" s="18"/>
      <c r="W113" s="18"/>
    </row>
    <row r="114" spans="6:23">
      <c r="F114" s="18"/>
      <c r="K114" s="18"/>
      <c r="M114" s="18"/>
      <c r="O114" s="18"/>
      <c r="Q114" s="18"/>
      <c r="S114" s="18"/>
      <c r="U114" s="18"/>
      <c r="W114" s="18"/>
    </row>
    <row r="115" spans="6:23">
      <c r="F115" s="18"/>
      <c r="K115" s="18"/>
      <c r="M115" s="18"/>
      <c r="O115" s="18"/>
      <c r="Q115" s="18"/>
      <c r="S115" s="18"/>
      <c r="U115" s="18"/>
      <c r="W115" s="18"/>
    </row>
    <row r="116" spans="6:23">
      <c r="F116" s="18"/>
      <c r="K116" s="18"/>
      <c r="M116" s="18"/>
      <c r="O116" s="18"/>
      <c r="Q116" s="18"/>
      <c r="S116" s="18"/>
      <c r="U116" s="18"/>
      <c r="W116" s="18"/>
    </row>
    <row r="117" spans="6:23">
      <c r="F117" s="18"/>
      <c r="K117" s="18"/>
      <c r="M117" s="18"/>
      <c r="O117" s="18"/>
      <c r="Q117" s="18"/>
      <c r="S117" s="18"/>
      <c r="U117" s="18"/>
      <c r="W117" s="18"/>
    </row>
    <row r="118" spans="6:23">
      <c r="F118" s="18"/>
      <c r="K118" s="18"/>
      <c r="M118" s="18"/>
      <c r="O118" s="18"/>
      <c r="Q118" s="18"/>
      <c r="S118" s="18"/>
      <c r="U118" s="18"/>
      <c r="W118" s="18"/>
    </row>
    <row r="119" spans="6:23">
      <c r="F119" s="18"/>
      <c r="K119" s="18"/>
      <c r="M119" s="18"/>
      <c r="O119" s="18"/>
      <c r="Q119" s="18"/>
      <c r="S119" s="18"/>
      <c r="U119" s="18"/>
      <c r="W119" s="18"/>
    </row>
    <row r="120" spans="6:23">
      <c r="F120" s="18"/>
      <c r="K120" s="18"/>
      <c r="M120" s="18"/>
      <c r="O120" s="18"/>
      <c r="Q120" s="18"/>
      <c r="S120" s="18"/>
      <c r="U120" s="18"/>
      <c r="W120" s="18"/>
    </row>
    <row r="121" spans="6:23">
      <c r="F121" s="18"/>
      <c r="K121" s="18"/>
      <c r="M121" s="18"/>
      <c r="O121" s="18"/>
      <c r="Q121" s="18"/>
      <c r="S121" s="18"/>
      <c r="U121" s="18"/>
      <c r="W121" s="18"/>
    </row>
    <row r="122" spans="6:23">
      <c r="F122" s="18"/>
      <c r="K122" s="18"/>
      <c r="M122" s="18"/>
      <c r="O122" s="18"/>
      <c r="Q122" s="18"/>
      <c r="S122" s="18"/>
      <c r="U122" s="18"/>
      <c r="W122" s="18"/>
    </row>
    <row r="123" spans="6:23">
      <c r="K123" s="18"/>
    </row>
    <row r="124" spans="6:23">
      <c r="K124" s="18"/>
    </row>
    <row r="125" spans="6:23">
      <c r="K125" s="18"/>
    </row>
    <row r="126" spans="6:23">
      <c r="K126" s="18"/>
    </row>
    <row r="127" spans="6:23">
      <c r="K127" s="18"/>
    </row>
    <row r="128" spans="6:23">
      <c r="K128" s="18"/>
    </row>
    <row r="129" spans="11:11">
      <c r="K129" s="18"/>
    </row>
  </sheetData>
  <mergeCells count="27">
    <mergeCell ref="A10:B10"/>
    <mergeCell ref="A66:E66"/>
    <mergeCell ref="L9:L10"/>
    <mergeCell ref="N9:N10"/>
    <mergeCell ref="A9:B9"/>
    <mergeCell ref="D9:E10"/>
    <mergeCell ref="A7:D7"/>
    <mergeCell ref="A6:D6"/>
    <mergeCell ref="G6:J6"/>
    <mergeCell ref="G7:J7"/>
    <mergeCell ref="A8:D8"/>
    <mergeCell ref="G8:J8"/>
    <mergeCell ref="A1:D1"/>
    <mergeCell ref="A3:D3"/>
    <mergeCell ref="A2:D2"/>
    <mergeCell ref="A4:D4"/>
    <mergeCell ref="A5:D5"/>
    <mergeCell ref="V9:V10"/>
    <mergeCell ref="G9:J10"/>
    <mergeCell ref="G1:J1"/>
    <mergeCell ref="G2:J2"/>
    <mergeCell ref="G3:J3"/>
    <mergeCell ref="G4:J4"/>
    <mergeCell ref="G5:J5"/>
    <mergeCell ref="P9:P10"/>
    <mergeCell ref="R9:R10"/>
    <mergeCell ref="T9:T1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39"/>
  <sheetViews>
    <sheetView topLeftCell="A9" zoomScale="80" zoomScaleNormal="80" workbookViewId="0">
      <selection activeCell="B14" sqref="B14"/>
    </sheetView>
  </sheetViews>
  <sheetFormatPr defaultRowHeight="14.45"/>
  <cols>
    <col min="4" max="4" width="30.140625" bestFit="1" customWidth="1"/>
    <col min="5" max="5" width="2" customWidth="1"/>
    <col min="6" max="6" width="27.42578125" customWidth="1"/>
    <col min="7" max="7" width="2" customWidth="1"/>
    <col min="8" max="8" width="30.85546875" customWidth="1"/>
    <col min="9" max="9" width="2" customWidth="1"/>
    <col min="10" max="10" width="28.140625" customWidth="1"/>
    <col min="11" max="11" width="2" customWidth="1"/>
    <col min="12" max="12" width="30.85546875" customWidth="1"/>
    <col min="13" max="13" width="2" customWidth="1"/>
    <col min="14" max="14" width="32.140625" customWidth="1"/>
    <col min="15" max="15" width="2" customWidth="1"/>
    <col min="16" max="16" width="32.140625" customWidth="1"/>
    <col min="17" max="17" width="2" customWidth="1"/>
    <col min="18" max="18" width="25.42578125" bestFit="1" customWidth="1"/>
  </cols>
  <sheetData>
    <row r="1" spans="1:18">
      <c r="A1" s="231" t="s">
        <v>24</v>
      </c>
      <c r="B1" s="231"/>
      <c r="C1" s="231"/>
      <c r="D1" s="25" t="s">
        <v>25</v>
      </c>
      <c r="E1" s="3"/>
      <c r="F1" s="180" t="s">
        <v>29</v>
      </c>
      <c r="G1" s="3"/>
      <c r="H1" s="180" t="s">
        <v>30</v>
      </c>
      <c r="I1" s="3"/>
      <c r="J1" s="185" t="s">
        <v>34</v>
      </c>
      <c r="K1" s="4"/>
      <c r="L1" s="185" t="s">
        <v>34</v>
      </c>
      <c r="M1" s="4"/>
      <c r="N1" s="185" t="s">
        <v>34</v>
      </c>
      <c r="O1" s="3"/>
      <c r="P1" s="32" t="s">
        <v>37</v>
      </c>
      <c r="Q1" s="3"/>
      <c r="R1" s="32" t="s">
        <v>41</v>
      </c>
    </row>
    <row r="2" spans="1:18">
      <c r="A2" s="282" t="s">
        <v>42</v>
      </c>
      <c r="B2" s="282"/>
      <c r="C2" s="283"/>
      <c r="D2" s="98" t="s">
        <v>43</v>
      </c>
      <c r="E2" s="5"/>
      <c r="F2" s="175" t="s">
        <v>48</v>
      </c>
      <c r="G2" s="5"/>
      <c r="H2" s="175" t="s">
        <v>49</v>
      </c>
      <c r="I2" s="5"/>
      <c r="J2" s="184" t="s">
        <v>54</v>
      </c>
      <c r="K2" s="6"/>
      <c r="L2" s="48" t="s">
        <v>55</v>
      </c>
      <c r="M2" s="44"/>
      <c r="N2" s="48" t="s">
        <v>56</v>
      </c>
      <c r="O2" s="5"/>
      <c r="P2" s="170" t="s">
        <v>59</v>
      </c>
      <c r="Q2" s="5"/>
      <c r="R2" s="170" t="s">
        <v>64</v>
      </c>
    </row>
    <row r="3" spans="1:18" ht="37.5">
      <c r="A3" s="282"/>
      <c r="B3" s="282"/>
      <c r="C3" s="283"/>
      <c r="D3" s="98" t="s">
        <v>65</v>
      </c>
      <c r="E3" s="5"/>
      <c r="F3" s="175" t="s">
        <v>70</v>
      </c>
      <c r="G3" s="5"/>
      <c r="H3" s="175" t="s">
        <v>70</v>
      </c>
      <c r="I3" s="5"/>
      <c r="J3" s="187" t="s">
        <v>75</v>
      </c>
      <c r="K3" s="6"/>
      <c r="L3" s="187" t="s">
        <v>76</v>
      </c>
      <c r="M3" s="44"/>
      <c r="N3" s="187" t="s">
        <v>77</v>
      </c>
      <c r="O3" s="5"/>
      <c r="P3" s="177" t="s">
        <v>80</v>
      </c>
      <c r="Q3" s="5"/>
      <c r="R3" s="177" t="s">
        <v>83</v>
      </c>
    </row>
    <row r="4" spans="1:18">
      <c r="A4" s="282"/>
      <c r="B4" s="282"/>
      <c r="C4" s="283"/>
      <c r="D4" s="98" t="s">
        <v>84</v>
      </c>
      <c r="E4" s="5"/>
      <c r="F4" s="175"/>
      <c r="G4" s="5"/>
      <c r="H4" s="175"/>
      <c r="I4" s="5"/>
      <c r="J4" s="187"/>
      <c r="K4" s="6"/>
      <c r="L4" s="187"/>
      <c r="M4" s="44"/>
      <c r="N4" s="187"/>
      <c r="O4" s="5"/>
      <c r="P4" s="171"/>
      <c r="Q4" s="5"/>
      <c r="R4" s="171"/>
    </row>
    <row r="5" spans="1:18" ht="37.5">
      <c r="A5" s="322" t="s">
        <v>300</v>
      </c>
      <c r="B5" s="322"/>
      <c r="C5" s="283"/>
      <c r="D5" s="98" t="s">
        <v>87</v>
      </c>
      <c r="E5" s="5"/>
      <c r="F5" s="175" t="s">
        <v>91</v>
      </c>
      <c r="G5" s="5"/>
      <c r="H5" s="175" t="s">
        <v>91</v>
      </c>
      <c r="I5" s="5"/>
      <c r="J5" s="187" t="s">
        <v>96</v>
      </c>
      <c r="K5" s="6"/>
      <c r="L5" s="187" t="s">
        <v>97</v>
      </c>
      <c r="M5" s="44"/>
      <c r="N5" s="187" t="s">
        <v>98</v>
      </c>
      <c r="O5" s="5"/>
      <c r="P5" s="177" t="s">
        <v>101</v>
      </c>
      <c r="Q5" s="5"/>
      <c r="R5" s="177" t="s">
        <v>106</v>
      </c>
    </row>
    <row r="6" spans="1:18">
      <c r="A6" s="323"/>
      <c r="B6" s="323"/>
      <c r="C6" s="324"/>
      <c r="D6" s="98" t="s">
        <v>107</v>
      </c>
      <c r="E6" s="5"/>
      <c r="F6" s="175"/>
      <c r="G6" s="5"/>
      <c r="H6" s="175"/>
      <c r="I6" s="5"/>
      <c r="J6" s="187" t="s">
        <v>112</v>
      </c>
      <c r="K6" s="6"/>
      <c r="L6" s="187" t="s">
        <v>113</v>
      </c>
      <c r="M6" s="44"/>
      <c r="N6" s="187" t="s">
        <v>114</v>
      </c>
      <c r="O6" s="5"/>
      <c r="P6" s="171"/>
      <c r="Q6" s="5"/>
      <c r="R6" s="171"/>
    </row>
    <row r="7" spans="1:18">
      <c r="A7" s="323"/>
      <c r="B7" s="323"/>
      <c r="C7" s="324"/>
      <c r="D7" s="98" t="s">
        <v>115</v>
      </c>
      <c r="E7" s="5"/>
      <c r="F7" s="176"/>
      <c r="G7" s="5"/>
      <c r="H7" s="176"/>
      <c r="I7" s="5"/>
      <c r="J7" s="187" t="s">
        <v>117</v>
      </c>
      <c r="K7" s="6"/>
      <c r="L7" s="187" t="s">
        <v>117</v>
      </c>
      <c r="M7" s="44"/>
      <c r="N7" s="187" t="s">
        <v>117</v>
      </c>
      <c r="O7" s="5"/>
      <c r="P7" s="171"/>
      <c r="Q7" s="5"/>
      <c r="R7" s="171"/>
    </row>
    <row r="8" spans="1:18" ht="50.1">
      <c r="A8" s="325"/>
      <c r="B8" s="325"/>
      <c r="C8" s="326"/>
      <c r="D8" s="99" t="s">
        <v>118</v>
      </c>
      <c r="E8" s="5"/>
      <c r="F8" s="182" t="s">
        <v>302</v>
      </c>
      <c r="G8" s="5"/>
      <c r="H8" s="182" t="s">
        <v>302</v>
      </c>
      <c r="I8" s="5"/>
      <c r="J8" s="188" t="s">
        <v>268</v>
      </c>
      <c r="K8" s="7"/>
      <c r="L8" s="188" t="s">
        <v>268</v>
      </c>
      <c r="M8" s="45"/>
      <c r="N8" s="188" t="s">
        <v>268</v>
      </c>
      <c r="O8" s="5"/>
      <c r="P8" s="183"/>
      <c r="Q8" s="5"/>
      <c r="R8" s="183"/>
    </row>
    <row r="9" spans="1:18" ht="14.45" customHeight="1">
      <c r="A9" s="323"/>
      <c r="B9" s="323"/>
      <c r="C9" s="289" t="s">
        <v>128</v>
      </c>
      <c r="D9" s="328"/>
      <c r="E9" s="3"/>
      <c r="F9" s="327"/>
      <c r="G9" s="3"/>
      <c r="H9" s="255"/>
      <c r="I9" s="3"/>
      <c r="J9" s="232"/>
      <c r="K9" s="3"/>
      <c r="L9" s="232"/>
      <c r="M9" s="3"/>
      <c r="N9" s="232"/>
      <c r="O9" s="3"/>
      <c r="P9" s="232"/>
      <c r="Q9" s="3"/>
      <c r="R9" s="232" t="s">
        <v>404</v>
      </c>
    </row>
    <row r="10" spans="1:18" ht="13.35" customHeight="1">
      <c r="A10" s="323"/>
      <c r="B10" s="323"/>
      <c r="C10" s="329"/>
      <c r="D10" s="329"/>
      <c r="E10" s="3"/>
      <c r="F10" s="327"/>
      <c r="G10" s="3"/>
      <c r="H10" s="284"/>
      <c r="I10" s="3"/>
      <c r="J10" s="304"/>
      <c r="K10" s="3"/>
      <c r="L10" s="304"/>
      <c r="M10" s="3"/>
      <c r="N10" s="304"/>
      <c r="O10" s="3"/>
      <c r="P10" s="233"/>
      <c r="Q10" s="3"/>
      <c r="R10" s="233"/>
    </row>
    <row r="11" spans="1:18">
      <c r="A11" s="22" t="s">
        <v>134</v>
      </c>
      <c r="B11" s="22"/>
      <c r="C11" s="26" t="s">
        <v>136</v>
      </c>
      <c r="D11" s="26" t="s">
        <v>137</v>
      </c>
      <c r="E11" s="11"/>
      <c r="F11" s="29" t="s">
        <v>306</v>
      </c>
      <c r="G11" s="11"/>
      <c r="H11" s="29" t="s">
        <v>306</v>
      </c>
      <c r="I11" s="11"/>
      <c r="J11" s="26" t="s">
        <v>306</v>
      </c>
      <c r="K11" s="11"/>
      <c r="L11" s="26" t="s">
        <v>306</v>
      </c>
      <c r="M11" s="11"/>
      <c r="N11" s="26" t="s">
        <v>306</v>
      </c>
      <c r="O11" s="11"/>
      <c r="P11" s="29" t="s">
        <v>306</v>
      </c>
      <c r="Q11" s="11"/>
      <c r="R11" s="29" t="s">
        <v>306</v>
      </c>
    </row>
    <row r="12" spans="1:18" ht="15.6">
      <c r="A12" s="119" t="s">
        <v>405</v>
      </c>
      <c r="B12" s="119"/>
      <c r="C12" s="120" t="s">
        <v>406</v>
      </c>
      <c r="D12" s="121" t="s">
        <v>407</v>
      </c>
      <c r="E12" s="11"/>
      <c r="F12" s="122"/>
      <c r="G12" s="11"/>
      <c r="H12" s="122"/>
      <c r="I12" s="11"/>
      <c r="J12" s="122"/>
      <c r="K12" s="11"/>
      <c r="L12" s="122"/>
      <c r="M12" s="11"/>
      <c r="N12" s="122"/>
      <c r="O12" s="11"/>
      <c r="P12" s="122">
        <v>42.4</v>
      </c>
      <c r="Q12" s="11"/>
      <c r="R12" s="122"/>
    </row>
    <row r="13" spans="1:18" ht="15.6">
      <c r="A13" s="126" t="s">
        <v>405</v>
      </c>
      <c r="B13" s="126"/>
      <c r="C13" s="127" t="s">
        <v>408</v>
      </c>
      <c r="D13" s="128" t="s">
        <v>409</v>
      </c>
      <c r="E13" s="11"/>
      <c r="F13" s="129"/>
      <c r="G13" s="11"/>
      <c r="H13" s="129"/>
      <c r="I13" s="11"/>
      <c r="J13" s="129"/>
      <c r="K13" s="11"/>
      <c r="L13" s="129"/>
      <c r="M13" s="11"/>
      <c r="N13" s="129"/>
      <c r="O13" s="11"/>
      <c r="P13" s="129"/>
      <c r="Q13" s="11"/>
      <c r="R13" s="129"/>
    </row>
    <row r="14" spans="1:18" ht="15.6">
      <c r="A14" s="118" t="s">
        <v>405</v>
      </c>
      <c r="B14" s="118"/>
      <c r="C14" s="55" t="s">
        <v>410</v>
      </c>
      <c r="D14" s="56" t="s">
        <v>411</v>
      </c>
      <c r="E14" s="11"/>
      <c r="F14" s="111"/>
      <c r="G14" s="11"/>
      <c r="H14" s="111"/>
      <c r="I14" s="11"/>
      <c r="J14" s="111"/>
      <c r="K14" s="11"/>
      <c r="L14" s="111"/>
      <c r="M14" s="11"/>
      <c r="N14" s="111"/>
      <c r="O14" s="11"/>
      <c r="P14" s="111"/>
      <c r="Q14" s="11"/>
      <c r="R14" s="111"/>
    </row>
    <row r="15" spans="1:18" ht="15.6">
      <c r="A15" s="119" t="s">
        <v>405</v>
      </c>
      <c r="B15" s="119"/>
      <c r="C15" s="120" t="s">
        <v>410</v>
      </c>
      <c r="D15" s="124" t="s">
        <v>412</v>
      </c>
      <c r="E15" s="11"/>
      <c r="F15" s="122"/>
      <c r="G15" s="11"/>
      <c r="H15" s="122"/>
      <c r="I15" s="11"/>
      <c r="J15" s="122"/>
      <c r="K15" s="11"/>
      <c r="L15" s="122"/>
      <c r="M15" s="11"/>
      <c r="N15" s="122"/>
      <c r="O15" s="11"/>
      <c r="P15" s="122"/>
      <c r="Q15" s="11"/>
      <c r="R15" s="122"/>
    </row>
    <row r="16" spans="1:18" ht="15.6">
      <c r="A16" s="132" t="s">
        <v>405</v>
      </c>
      <c r="B16" s="132"/>
      <c r="C16" s="57" t="s">
        <v>413</v>
      </c>
      <c r="D16" s="133" t="s">
        <v>414</v>
      </c>
      <c r="E16" s="11"/>
      <c r="F16" s="130"/>
      <c r="G16" s="11"/>
      <c r="H16" s="130"/>
      <c r="I16" s="11"/>
      <c r="J16" s="130"/>
      <c r="K16" s="11"/>
      <c r="L16" s="130"/>
      <c r="M16" s="11"/>
      <c r="N16" s="130"/>
      <c r="O16" s="11"/>
      <c r="P16" s="130"/>
      <c r="Q16" s="11"/>
      <c r="R16" s="130"/>
    </row>
    <row r="17" spans="1:18" ht="15.6">
      <c r="A17" s="132" t="s">
        <v>405</v>
      </c>
      <c r="B17" s="132"/>
      <c r="C17" s="57" t="s">
        <v>413</v>
      </c>
      <c r="D17" s="133" t="s">
        <v>415</v>
      </c>
      <c r="E17" s="11"/>
      <c r="F17" s="74"/>
      <c r="G17" s="11"/>
      <c r="H17" s="74"/>
      <c r="I17" s="11"/>
      <c r="J17" s="74"/>
      <c r="K17" s="11"/>
      <c r="L17" s="74"/>
      <c r="M17" s="11"/>
      <c r="N17" s="74"/>
      <c r="O17" s="11"/>
      <c r="P17" s="74"/>
      <c r="Q17" s="11"/>
      <c r="R17" s="74"/>
    </row>
    <row r="18" spans="1:18" ht="15.6">
      <c r="A18" s="134" t="s">
        <v>405</v>
      </c>
      <c r="B18" s="134"/>
      <c r="C18" s="135" t="s">
        <v>413</v>
      </c>
      <c r="D18" s="136" t="s">
        <v>416</v>
      </c>
      <c r="E18" s="11"/>
      <c r="F18" s="131"/>
      <c r="G18" s="11"/>
      <c r="H18" s="131"/>
      <c r="I18" s="11"/>
      <c r="J18" s="131">
        <v>2.2200000000000002</v>
      </c>
      <c r="K18" s="11"/>
      <c r="L18" s="131">
        <v>3.51</v>
      </c>
      <c r="M18" s="11"/>
      <c r="N18" s="131">
        <v>2.62</v>
      </c>
      <c r="O18" s="11"/>
      <c r="P18" s="131"/>
      <c r="Q18" s="11"/>
      <c r="R18" s="131"/>
    </row>
    <row r="19" spans="1:18" ht="15.6">
      <c r="A19" s="118" t="s">
        <v>405</v>
      </c>
      <c r="B19" s="118"/>
      <c r="C19" s="55" t="s">
        <v>417</v>
      </c>
      <c r="D19" s="56" t="s">
        <v>418</v>
      </c>
      <c r="E19" s="11"/>
      <c r="F19" s="123"/>
      <c r="G19" s="11"/>
      <c r="H19" s="123"/>
      <c r="I19" s="11"/>
      <c r="J19" s="123"/>
      <c r="K19" s="11"/>
      <c r="L19" s="123"/>
      <c r="M19" s="11"/>
      <c r="N19" s="123"/>
      <c r="O19" s="11"/>
      <c r="P19" s="123"/>
      <c r="Q19" s="11"/>
      <c r="R19" s="123"/>
    </row>
    <row r="20" spans="1:18" ht="15.6">
      <c r="A20" s="118" t="s">
        <v>405</v>
      </c>
      <c r="B20" s="118"/>
      <c r="C20" s="55" t="s">
        <v>417</v>
      </c>
      <c r="D20" s="56" t="s">
        <v>419</v>
      </c>
      <c r="E20" s="11"/>
      <c r="F20" s="123"/>
      <c r="G20" s="11"/>
      <c r="H20" s="123"/>
      <c r="I20" s="11"/>
      <c r="J20" s="123"/>
      <c r="K20" s="11"/>
      <c r="L20" s="123"/>
      <c r="M20" s="11"/>
      <c r="N20" s="123"/>
      <c r="O20" s="11"/>
      <c r="P20" s="123"/>
      <c r="Q20" s="11"/>
      <c r="R20" s="123"/>
    </row>
    <row r="21" spans="1:18" ht="15.6">
      <c r="A21" s="118" t="s">
        <v>405</v>
      </c>
      <c r="B21" s="118"/>
      <c r="C21" s="55" t="s">
        <v>417</v>
      </c>
      <c r="D21" s="56" t="s">
        <v>420</v>
      </c>
      <c r="E21" s="11"/>
      <c r="F21" s="123"/>
      <c r="G21" s="11"/>
      <c r="H21" s="123"/>
      <c r="I21" s="11"/>
      <c r="J21" s="123"/>
      <c r="K21" s="11"/>
      <c r="L21" s="123"/>
      <c r="M21" s="11"/>
      <c r="N21" s="123"/>
      <c r="O21" s="11"/>
      <c r="P21" s="123"/>
      <c r="Q21" s="11"/>
      <c r="R21" s="123"/>
    </row>
    <row r="22" spans="1:18" ht="15.6">
      <c r="A22" s="118" t="s">
        <v>405</v>
      </c>
      <c r="B22" s="118"/>
      <c r="C22" s="55" t="s">
        <v>417</v>
      </c>
      <c r="D22" s="125" t="s">
        <v>421</v>
      </c>
      <c r="E22" s="3"/>
      <c r="F22" s="123"/>
      <c r="G22" s="3"/>
      <c r="H22" s="123"/>
      <c r="I22" s="3"/>
      <c r="J22" s="123"/>
      <c r="K22" s="3"/>
      <c r="L22" s="123"/>
      <c r="M22" s="3"/>
      <c r="N22" s="123"/>
      <c r="O22" s="3"/>
      <c r="P22" s="123"/>
      <c r="Q22" s="3"/>
      <c r="R22" s="123"/>
    </row>
    <row r="23" spans="1:18" ht="15.6">
      <c r="A23" s="119" t="s">
        <v>405</v>
      </c>
      <c r="B23" s="119"/>
      <c r="C23" s="120" t="s">
        <v>417</v>
      </c>
      <c r="D23" s="121" t="s">
        <v>422</v>
      </c>
      <c r="E23" s="5"/>
      <c r="F23" s="122"/>
      <c r="G23" s="5"/>
      <c r="H23" s="122"/>
      <c r="I23" s="5"/>
      <c r="J23" s="122">
        <v>3.03</v>
      </c>
      <c r="K23" s="5"/>
      <c r="L23" s="122">
        <v>0.37</v>
      </c>
      <c r="M23" s="5"/>
      <c r="N23" s="122">
        <v>1.37</v>
      </c>
      <c r="O23" s="5"/>
      <c r="P23" s="122">
        <v>22.8</v>
      </c>
      <c r="Q23" s="5"/>
      <c r="R23" s="122">
        <v>0.3</v>
      </c>
    </row>
    <row r="24" spans="1:18" ht="15.6">
      <c r="A24" s="132" t="s">
        <v>405</v>
      </c>
      <c r="B24" s="132"/>
      <c r="C24" s="57" t="s">
        <v>423</v>
      </c>
      <c r="D24" s="58" t="s">
        <v>424</v>
      </c>
      <c r="E24" s="5"/>
      <c r="F24" s="130"/>
      <c r="G24" s="5"/>
      <c r="H24" s="130"/>
      <c r="I24" s="5"/>
      <c r="J24" s="130"/>
      <c r="K24" s="5"/>
      <c r="L24" s="130"/>
      <c r="M24" s="5"/>
      <c r="N24" s="130"/>
      <c r="O24" s="5"/>
      <c r="P24" s="130"/>
      <c r="Q24" s="5"/>
      <c r="R24" s="130"/>
    </row>
    <row r="25" spans="1:18" ht="15.6">
      <c r="A25" s="132" t="s">
        <v>405</v>
      </c>
      <c r="B25" s="132"/>
      <c r="C25" s="57" t="s">
        <v>423</v>
      </c>
      <c r="D25" s="58" t="s">
        <v>425</v>
      </c>
      <c r="E25" s="5"/>
      <c r="F25" s="130"/>
      <c r="G25" s="5"/>
      <c r="H25" s="130"/>
      <c r="I25" s="5"/>
      <c r="J25" s="130"/>
      <c r="K25" s="5"/>
      <c r="L25" s="130"/>
      <c r="M25" s="5"/>
      <c r="N25" s="130"/>
      <c r="O25" s="5"/>
      <c r="P25" s="130"/>
      <c r="Q25" s="5"/>
      <c r="R25" s="130"/>
    </row>
    <row r="26" spans="1:18" ht="15.6">
      <c r="A26" s="132" t="s">
        <v>405</v>
      </c>
      <c r="B26" s="132"/>
      <c r="C26" s="57" t="s">
        <v>423</v>
      </c>
      <c r="D26" s="58" t="s">
        <v>426</v>
      </c>
      <c r="E26" s="5"/>
      <c r="F26" s="130"/>
      <c r="G26" s="5"/>
      <c r="H26" s="130"/>
      <c r="I26" s="5"/>
      <c r="J26" s="130"/>
      <c r="K26" s="5"/>
      <c r="L26" s="130"/>
      <c r="M26" s="5"/>
      <c r="N26" s="130"/>
      <c r="O26" s="5"/>
      <c r="P26" s="130"/>
      <c r="Q26" s="5"/>
      <c r="R26" s="130"/>
    </row>
    <row r="27" spans="1:18" ht="15.6">
      <c r="A27" s="132" t="s">
        <v>405</v>
      </c>
      <c r="B27" s="132"/>
      <c r="C27" s="57" t="s">
        <v>423</v>
      </c>
      <c r="D27" s="133" t="s">
        <v>427</v>
      </c>
      <c r="E27" s="5"/>
      <c r="F27" s="130"/>
      <c r="G27" s="5"/>
      <c r="H27" s="130"/>
      <c r="I27" s="5"/>
      <c r="J27" s="130"/>
      <c r="K27" s="5"/>
      <c r="L27" s="130"/>
      <c r="M27" s="5"/>
      <c r="N27" s="130"/>
      <c r="O27" s="5"/>
      <c r="P27" s="130"/>
      <c r="Q27" s="5"/>
      <c r="R27" s="130"/>
    </row>
    <row r="28" spans="1:18" ht="15.6">
      <c r="A28" s="132" t="s">
        <v>405</v>
      </c>
      <c r="B28" s="132"/>
      <c r="C28" s="57" t="s">
        <v>423</v>
      </c>
      <c r="D28" s="58" t="s">
        <v>428</v>
      </c>
      <c r="E28" s="5"/>
      <c r="F28" s="130"/>
      <c r="G28" s="5"/>
      <c r="H28" s="130"/>
      <c r="I28" s="5"/>
      <c r="J28" s="130"/>
      <c r="K28" s="5"/>
      <c r="L28" s="130"/>
      <c r="M28" s="5"/>
      <c r="N28" s="130"/>
      <c r="O28" s="5"/>
      <c r="P28" s="130"/>
      <c r="Q28" s="5"/>
      <c r="R28" s="130"/>
    </row>
    <row r="29" spans="1:18" ht="15.6">
      <c r="A29" s="132" t="s">
        <v>405</v>
      </c>
      <c r="B29" s="132"/>
      <c r="C29" s="57" t="s">
        <v>423</v>
      </c>
      <c r="D29" s="58" t="s">
        <v>429</v>
      </c>
      <c r="E29" s="5"/>
      <c r="F29" s="130"/>
      <c r="G29" s="5"/>
      <c r="H29" s="130"/>
      <c r="I29" s="5"/>
      <c r="J29" s="130"/>
      <c r="K29" s="5"/>
      <c r="L29" s="130"/>
      <c r="M29" s="5"/>
      <c r="N29" s="130"/>
      <c r="O29" s="5"/>
      <c r="P29" s="130"/>
      <c r="Q29" s="5"/>
      <c r="R29" s="130"/>
    </row>
    <row r="30" spans="1:18" ht="15.6">
      <c r="A30" s="134" t="s">
        <v>405</v>
      </c>
      <c r="B30" s="134"/>
      <c r="C30" s="135" t="s">
        <v>423</v>
      </c>
      <c r="D30" s="136" t="s">
        <v>430</v>
      </c>
      <c r="E30" s="3"/>
      <c r="F30" s="129"/>
      <c r="G30" s="3"/>
      <c r="H30" s="129"/>
      <c r="I30" s="3"/>
      <c r="J30" s="129">
        <v>0.83</v>
      </c>
      <c r="K30" s="3"/>
      <c r="L30" s="129">
        <v>0.33</v>
      </c>
      <c r="M30" s="3"/>
      <c r="N30" s="129">
        <v>0.97</v>
      </c>
      <c r="O30" s="3"/>
      <c r="P30" s="129"/>
      <c r="Q30" s="3"/>
      <c r="R30" s="129">
        <v>0.2</v>
      </c>
    </row>
    <row r="31" spans="1:18" ht="15.6">
      <c r="A31" s="118" t="s">
        <v>405</v>
      </c>
      <c r="B31" s="118"/>
      <c r="C31" s="55" t="s">
        <v>431</v>
      </c>
      <c r="D31" s="125" t="s">
        <v>432</v>
      </c>
      <c r="E31" s="3"/>
      <c r="F31" s="123"/>
      <c r="G31" s="3"/>
      <c r="H31" s="123"/>
      <c r="I31" s="3"/>
      <c r="J31" s="123"/>
      <c r="K31" s="3"/>
      <c r="L31" s="123"/>
      <c r="M31" s="3"/>
      <c r="N31" s="123"/>
      <c r="O31" s="3"/>
      <c r="P31" s="123"/>
      <c r="Q31" s="3"/>
      <c r="R31" s="123"/>
    </row>
    <row r="32" spans="1:18" ht="15.6">
      <c r="A32" s="118" t="s">
        <v>405</v>
      </c>
      <c r="B32" s="118"/>
      <c r="C32" s="55" t="s">
        <v>431</v>
      </c>
      <c r="D32" s="125" t="s">
        <v>433</v>
      </c>
      <c r="E32" s="11"/>
      <c r="F32" s="123"/>
      <c r="G32" s="11"/>
      <c r="H32" s="123"/>
      <c r="I32" s="11"/>
      <c r="J32" s="123"/>
      <c r="K32" s="11"/>
      <c r="L32" s="123"/>
      <c r="M32" s="11"/>
      <c r="N32" s="123"/>
      <c r="O32" s="11"/>
      <c r="P32" s="123"/>
      <c r="Q32" s="11"/>
      <c r="R32" s="123"/>
    </row>
    <row r="33" spans="1:18" ht="15.6">
      <c r="A33" s="118" t="s">
        <v>405</v>
      </c>
      <c r="B33" s="118"/>
      <c r="C33" s="55" t="s">
        <v>431</v>
      </c>
      <c r="D33" s="125" t="s">
        <v>434</v>
      </c>
      <c r="E33" s="11"/>
      <c r="F33" s="123"/>
      <c r="G33" s="11"/>
      <c r="H33" s="123"/>
      <c r="I33" s="11"/>
      <c r="J33" s="123"/>
      <c r="K33" s="11"/>
      <c r="L33" s="123"/>
      <c r="M33" s="11"/>
      <c r="N33" s="123"/>
      <c r="O33" s="11"/>
      <c r="P33" s="123"/>
      <c r="Q33" s="11"/>
      <c r="R33" s="123"/>
    </row>
    <row r="34" spans="1:18" ht="15.6">
      <c r="A34" s="118" t="s">
        <v>405</v>
      </c>
      <c r="B34" s="118"/>
      <c r="C34" s="55" t="s">
        <v>431</v>
      </c>
      <c r="D34" s="56" t="s">
        <v>435</v>
      </c>
      <c r="E34" s="11"/>
      <c r="F34" s="123"/>
      <c r="G34" s="11"/>
      <c r="H34" s="123"/>
      <c r="I34" s="11"/>
      <c r="J34" s="123"/>
      <c r="K34" s="11"/>
      <c r="L34" s="123"/>
      <c r="M34" s="11"/>
      <c r="N34" s="123"/>
      <c r="O34" s="11"/>
      <c r="P34" s="123"/>
      <c r="Q34" s="11"/>
      <c r="R34" s="123"/>
    </row>
    <row r="35" spans="1:18" ht="15.6">
      <c r="A35" s="118" t="s">
        <v>405</v>
      </c>
      <c r="B35" s="118"/>
      <c r="C35" s="55" t="s">
        <v>431</v>
      </c>
      <c r="D35" s="56" t="s">
        <v>436</v>
      </c>
      <c r="E35" s="11"/>
      <c r="F35" s="123"/>
      <c r="G35" s="11"/>
      <c r="H35" s="123"/>
      <c r="I35" s="11"/>
      <c r="J35" s="123"/>
      <c r="K35" s="11"/>
      <c r="L35" s="123"/>
      <c r="M35" s="11"/>
      <c r="N35" s="123"/>
      <c r="O35" s="11"/>
      <c r="P35" s="123"/>
      <c r="Q35" s="11"/>
      <c r="R35" s="123"/>
    </row>
    <row r="36" spans="1:18" ht="15.6">
      <c r="A36" s="118" t="s">
        <v>405</v>
      </c>
      <c r="B36" s="118"/>
      <c r="C36" s="55" t="s">
        <v>431</v>
      </c>
      <c r="D36" s="56" t="s">
        <v>437</v>
      </c>
      <c r="E36" s="3"/>
      <c r="F36" s="123"/>
      <c r="G36" s="3"/>
      <c r="H36" s="123"/>
      <c r="I36" s="3"/>
      <c r="J36" s="123"/>
      <c r="K36" s="3"/>
      <c r="L36" s="123"/>
      <c r="M36" s="3"/>
      <c r="N36" s="123"/>
      <c r="O36" s="3"/>
      <c r="P36" s="123"/>
      <c r="Q36" s="3"/>
      <c r="R36" s="123"/>
    </row>
    <row r="37" spans="1:18" ht="15.6">
      <c r="A37" s="118" t="s">
        <v>405</v>
      </c>
      <c r="B37" s="118"/>
      <c r="C37" s="55" t="s">
        <v>431</v>
      </c>
      <c r="D37" s="56" t="s">
        <v>438</v>
      </c>
      <c r="E37" s="11"/>
      <c r="F37" s="123"/>
      <c r="G37" s="11"/>
      <c r="H37" s="123"/>
      <c r="I37" s="11"/>
      <c r="J37" s="123"/>
      <c r="K37" s="11"/>
      <c r="L37" s="123"/>
      <c r="M37" s="11"/>
      <c r="N37" s="123"/>
      <c r="O37" s="11"/>
      <c r="P37" s="123"/>
      <c r="Q37" s="11"/>
      <c r="R37" s="123"/>
    </row>
    <row r="38" spans="1:18" ht="15.6">
      <c r="A38" s="118" t="s">
        <v>405</v>
      </c>
      <c r="B38" s="118"/>
      <c r="C38" s="55" t="s">
        <v>431</v>
      </c>
      <c r="D38" s="56" t="s">
        <v>439</v>
      </c>
      <c r="E38" s="11"/>
      <c r="F38" s="123"/>
      <c r="G38" s="11"/>
      <c r="H38" s="123"/>
      <c r="I38" s="11"/>
      <c r="J38" s="123"/>
      <c r="K38" s="11"/>
      <c r="L38" s="123"/>
      <c r="M38" s="11"/>
      <c r="N38" s="123"/>
      <c r="O38" s="11"/>
      <c r="P38" s="123"/>
      <c r="Q38" s="11"/>
      <c r="R38" s="123"/>
    </row>
    <row r="39" spans="1:18" ht="15.6">
      <c r="A39" s="119" t="s">
        <v>405</v>
      </c>
      <c r="B39" s="119"/>
      <c r="C39" s="120" t="s">
        <v>431</v>
      </c>
      <c r="D39" s="124" t="s">
        <v>440</v>
      </c>
      <c r="E39" s="11"/>
      <c r="F39" s="122"/>
      <c r="G39" s="11"/>
      <c r="H39" s="122"/>
      <c r="I39" s="11"/>
      <c r="J39" s="122">
        <v>1.23</v>
      </c>
      <c r="K39" s="11"/>
      <c r="L39" s="122">
        <v>1.86</v>
      </c>
      <c r="M39" s="11"/>
      <c r="N39" s="122">
        <v>2.89</v>
      </c>
      <c r="O39" s="11"/>
      <c r="P39" s="122"/>
      <c r="Q39" s="11"/>
      <c r="R39" s="122"/>
    </row>
    <row r="40" spans="1:18" ht="15.6">
      <c r="A40" s="132" t="s">
        <v>405</v>
      </c>
      <c r="B40" s="132"/>
      <c r="C40" s="57" t="s">
        <v>441</v>
      </c>
      <c r="D40" s="133" t="s">
        <v>442</v>
      </c>
      <c r="E40" s="11"/>
      <c r="F40" s="130"/>
      <c r="G40" s="11"/>
      <c r="H40" s="130"/>
      <c r="I40" s="11"/>
      <c r="J40" s="130"/>
      <c r="K40" s="11"/>
      <c r="L40" s="130"/>
      <c r="M40" s="11"/>
      <c r="N40" s="130"/>
      <c r="O40" s="11"/>
      <c r="P40" s="130"/>
      <c r="Q40" s="11"/>
      <c r="R40" s="130"/>
    </row>
    <row r="41" spans="1:18" ht="15.6">
      <c r="A41" s="132" t="s">
        <v>405</v>
      </c>
      <c r="B41" s="132"/>
      <c r="C41" s="57" t="s">
        <v>441</v>
      </c>
      <c r="D41" s="133" t="s">
        <v>443</v>
      </c>
      <c r="E41" s="5"/>
      <c r="F41" s="130"/>
      <c r="G41" s="5"/>
      <c r="H41" s="130"/>
      <c r="I41" s="5"/>
      <c r="J41" s="130"/>
      <c r="K41" s="5"/>
      <c r="L41" s="130"/>
      <c r="M41" s="5"/>
      <c r="N41" s="130"/>
      <c r="O41" s="5"/>
      <c r="P41" s="130"/>
      <c r="Q41" s="5"/>
      <c r="R41" s="130"/>
    </row>
    <row r="42" spans="1:18" ht="15.6">
      <c r="A42" s="132" t="s">
        <v>405</v>
      </c>
      <c r="B42" s="132"/>
      <c r="C42" s="57" t="s">
        <v>441</v>
      </c>
      <c r="D42" s="133" t="s">
        <v>444</v>
      </c>
      <c r="E42" s="3"/>
      <c r="F42" s="130"/>
      <c r="G42" s="3"/>
      <c r="H42" s="130">
        <v>0.8</v>
      </c>
      <c r="I42" s="3"/>
      <c r="J42" s="130"/>
      <c r="K42" s="3"/>
      <c r="L42" s="130"/>
      <c r="M42" s="3"/>
      <c r="N42" s="130"/>
      <c r="O42" s="3"/>
      <c r="P42" s="130"/>
      <c r="Q42" s="3"/>
      <c r="R42" s="130"/>
    </row>
    <row r="43" spans="1:18" ht="15.6">
      <c r="A43" s="132" t="s">
        <v>405</v>
      </c>
      <c r="B43" s="132"/>
      <c r="C43" s="57" t="s">
        <v>441</v>
      </c>
      <c r="D43" s="133" t="s">
        <v>445</v>
      </c>
      <c r="E43" s="3"/>
      <c r="F43" s="130"/>
      <c r="G43" s="3"/>
      <c r="H43" s="130"/>
      <c r="I43" s="3"/>
      <c r="J43" s="130"/>
      <c r="K43" s="3"/>
      <c r="L43" s="130"/>
      <c r="M43" s="3"/>
      <c r="N43" s="130"/>
      <c r="O43" s="3"/>
      <c r="P43" s="130"/>
      <c r="Q43" s="3"/>
      <c r="R43" s="130"/>
    </row>
    <row r="44" spans="1:18" ht="15.6">
      <c r="A44" s="132" t="s">
        <v>405</v>
      </c>
      <c r="B44" s="132"/>
      <c r="C44" s="57" t="s">
        <v>441</v>
      </c>
      <c r="D44" s="133" t="s">
        <v>446</v>
      </c>
      <c r="E44" s="11"/>
      <c r="F44" s="130"/>
      <c r="G44" s="11"/>
      <c r="H44" s="130"/>
      <c r="I44" s="11"/>
      <c r="J44" s="130"/>
      <c r="K44" s="11"/>
      <c r="L44" s="130"/>
      <c r="M44" s="11"/>
      <c r="N44" s="130"/>
      <c r="O44" s="11"/>
      <c r="P44" s="130"/>
      <c r="Q44" s="11"/>
      <c r="R44" s="130"/>
    </row>
    <row r="45" spans="1:18" ht="15.6">
      <c r="A45" s="134" t="s">
        <v>405</v>
      </c>
      <c r="B45" s="134"/>
      <c r="C45" s="135" t="s">
        <v>441</v>
      </c>
      <c r="D45" s="137" t="s">
        <v>447</v>
      </c>
      <c r="E45" s="11"/>
      <c r="F45" s="129"/>
      <c r="G45" s="11"/>
      <c r="H45" s="129"/>
      <c r="I45" s="11"/>
      <c r="J45" s="129">
        <v>0.43</v>
      </c>
      <c r="K45" s="11"/>
      <c r="L45" s="129">
        <v>0.98</v>
      </c>
      <c r="M45" s="11"/>
      <c r="N45" s="129">
        <v>0.34</v>
      </c>
      <c r="O45" s="11"/>
      <c r="P45" s="129"/>
      <c r="Q45" s="11"/>
      <c r="R45" s="129"/>
    </row>
    <row r="46" spans="1:18" ht="15.6">
      <c r="A46" s="118" t="s">
        <v>405</v>
      </c>
      <c r="B46" s="118"/>
      <c r="C46" s="55" t="s">
        <v>448</v>
      </c>
      <c r="D46" s="56" t="s">
        <v>449</v>
      </c>
      <c r="E46" s="11"/>
      <c r="F46" s="123"/>
      <c r="G46" s="11"/>
      <c r="H46" s="123"/>
      <c r="I46" s="11"/>
      <c r="J46" s="123"/>
      <c r="K46" s="11"/>
      <c r="L46" s="123"/>
      <c r="M46" s="11"/>
      <c r="N46" s="123"/>
      <c r="O46" s="11"/>
      <c r="P46" s="123"/>
      <c r="Q46" s="11"/>
      <c r="R46" s="123"/>
    </row>
    <row r="47" spans="1:18" ht="15.6">
      <c r="A47" s="118" t="s">
        <v>405</v>
      </c>
      <c r="B47" s="118"/>
      <c r="C47" s="55" t="s">
        <v>448</v>
      </c>
      <c r="D47" s="56" t="s">
        <v>450</v>
      </c>
      <c r="E47" s="11"/>
      <c r="F47" s="123"/>
      <c r="G47" s="11"/>
      <c r="H47" s="123"/>
      <c r="I47" s="11"/>
      <c r="J47" s="123"/>
      <c r="K47" s="11"/>
      <c r="L47" s="123"/>
      <c r="M47" s="11"/>
      <c r="N47" s="123"/>
      <c r="O47" s="11"/>
      <c r="P47" s="123"/>
      <c r="Q47" s="11"/>
      <c r="R47" s="123"/>
    </row>
    <row r="48" spans="1:18" ht="15.6">
      <c r="A48" s="118" t="s">
        <v>405</v>
      </c>
      <c r="B48" s="118"/>
      <c r="C48" s="55" t="s">
        <v>448</v>
      </c>
      <c r="D48" s="56" t="s">
        <v>451</v>
      </c>
      <c r="E48" s="3"/>
      <c r="F48" s="123"/>
      <c r="G48" s="3"/>
      <c r="H48" s="123"/>
      <c r="I48" s="3"/>
      <c r="J48" s="123"/>
      <c r="K48" s="3"/>
      <c r="L48" s="123"/>
      <c r="M48" s="3"/>
      <c r="N48" s="123"/>
      <c r="O48" s="3"/>
      <c r="P48" s="123"/>
      <c r="Q48" s="3"/>
      <c r="R48" s="123"/>
    </row>
    <row r="49" spans="1:18" ht="15.6">
      <c r="A49" s="118" t="s">
        <v>405</v>
      </c>
      <c r="B49" s="118"/>
      <c r="C49" s="55" t="s">
        <v>448</v>
      </c>
      <c r="D49" s="56" t="s">
        <v>452</v>
      </c>
      <c r="E49" s="11"/>
      <c r="F49" s="123"/>
      <c r="G49" s="11"/>
      <c r="H49" s="123"/>
      <c r="I49" s="11"/>
      <c r="J49" s="123"/>
      <c r="K49" s="11"/>
      <c r="L49" s="123"/>
      <c r="M49" s="11"/>
      <c r="N49" s="123"/>
      <c r="O49" s="11"/>
      <c r="P49" s="123"/>
      <c r="Q49" s="11"/>
      <c r="R49" s="123"/>
    </row>
    <row r="50" spans="1:18" ht="15.6">
      <c r="A50" s="118" t="s">
        <v>405</v>
      </c>
      <c r="B50" s="118"/>
      <c r="C50" s="55" t="s">
        <v>448</v>
      </c>
      <c r="D50" s="56" t="s">
        <v>453</v>
      </c>
      <c r="E50" s="5"/>
      <c r="F50" s="123"/>
      <c r="G50" s="5"/>
      <c r="H50" s="123"/>
      <c r="I50" s="5"/>
      <c r="J50" s="123"/>
      <c r="K50" s="5"/>
      <c r="L50" s="123"/>
      <c r="M50" s="5"/>
      <c r="N50" s="123"/>
      <c r="O50" s="5"/>
      <c r="P50" s="123"/>
      <c r="Q50" s="5"/>
      <c r="R50" s="123"/>
    </row>
    <row r="51" spans="1:18" ht="15.6">
      <c r="A51" s="118" t="s">
        <v>405</v>
      </c>
      <c r="B51" s="118"/>
      <c r="C51" s="55" t="s">
        <v>448</v>
      </c>
      <c r="D51" s="56" t="s">
        <v>454</v>
      </c>
      <c r="E51" s="3"/>
      <c r="F51" s="123"/>
      <c r="G51" s="3"/>
      <c r="H51" s="123"/>
      <c r="I51" s="3"/>
      <c r="J51" s="123"/>
      <c r="K51" s="3"/>
      <c r="L51" s="123"/>
      <c r="M51" s="3"/>
      <c r="N51" s="123"/>
      <c r="O51" s="3"/>
      <c r="P51" s="123"/>
      <c r="Q51" s="3"/>
      <c r="R51" s="123"/>
    </row>
    <row r="52" spans="1:18" ht="15.6">
      <c r="A52" s="118" t="s">
        <v>405</v>
      </c>
      <c r="B52" s="118"/>
      <c r="C52" s="55" t="s">
        <v>448</v>
      </c>
      <c r="D52" s="56" t="s">
        <v>455</v>
      </c>
      <c r="E52" s="3"/>
      <c r="F52" s="123"/>
      <c r="G52" s="3"/>
      <c r="H52" s="123"/>
      <c r="I52" s="3"/>
      <c r="J52" s="123"/>
      <c r="K52" s="3"/>
      <c r="L52" s="123"/>
      <c r="M52" s="3"/>
      <c r="N52" s="123"/>
      <c r="O52" s="3"/>
      <c r="P52" s="123"/>
      <c r="Q52" s="3"/>
      <c r="R52" s="123"/>
    </row>
    <row r="53" spans="1:18" ht="15.6">
      <c r="A53" s="119" t="s">
        <v>405</v>
      </c>
      <c r="B53" s="119"/>
      <c r="C53" s="120" t="s">
        <v>448</v>
      </c>
      <c r="D53" s="121" t="s">
        <v>456</v>
      </c>
      <c r="E53" s="11"/>
      <c r="F53" s="122"/>
      <c r="G53" s="11"/>
      <c r="H53" s="122"/>
      <c r="I53" s="11"/>
      <c r="J53" s="122">
        <v>1.72</v>
      </c>
      <c r="K53" s="11"/>
      <c r="L53" s="122">
        <v>0.75</v>
      </c>
      <c r="M53" s="11"/>
      <c r="N53" s="122">
        <v>0.23</v>
      </c>
      <c r="O53" s="11"/>
      <c r="P53" s="122"/>
      <c r="Q53" s="11"/>
      <c r="R53" s="122"/>
    </row>
    <row r="54" spans="1:18" ht="15.6">
      <c r="A54" s="132" t="s">
        <v>405</v>
      </c>
      <c r="B54" s="132"/>
      <c r="C54" s="57" t="s">
        <v>457</v>
      </c>
      <c r="D54" s="133" t="s">
        <v>458</v>
      </c>
      <c r="E54" s="11"/>
      <c r="F54" s="130"/>
      <c r="G54" s="11"/>
      <c r="H54" s="130"/>
      <c r="I54" s="11"/>
      <c r="J54" s="130"/>
      <c r="K54" s="11"/>
      <c r="L54" s="130"/>
      <c r="M54" s="11"/>
      <c r="N54" s="130"/>
      <c r="O54" s="11"/>
      <c r="P54" s="130"/>
      <c r="Q54" s="11"/>
      <c r="R54" s="130"/>
    </row>
    <row r="55" spans="1:18" ht="15.6">
      <c r="A55" s="132" t="s">
        <v>405</v>
      </c>
      <c r="B55" s="132"/>
      <c r="C55" s="57" t="s">
        <v>457</v>
      </c>
      <c r="D55" s="133" t="s">
        <v>459</v>
      </c>
      <c r="E55" s="11"/>
      <c r="F55" s="130"/>
      <c r="G55" s="11"/>
      <c r="H55" s="130"/>
      <c r="I55" s="11"/>
      <c r="J55" s="130"/>
      <c r="K55" s="11"/>
      <c r="L55" s="130"/>
      <c r="M55" s="11"/>
      <c r="N55" s="130"/>
      <c r="O55" s="11"/>
      <c r="P55" s="130"/>
      <c r="Q55" s="11"/>
      <c r="R55" s="130"/>
    </row>
    <row r="56" spans="1:18" ht="15.6">
      <c r="A56" s="132" t="s">
        <v>405</v>
      </c>
      <c r="B56" s="132"/>
      <c r="C56" s="57" t="s">
        <v>457</v>
      </c>
      <c r="D56" s="133" t="s">
        <v>460</v>
      </c>
      <c r="E56" s="11"/>
      <c r="F56" s="130"/>
      <c r="G56" s="11"/>
      <c r="H56" s="130"/>
      <c r="I56" s="11"/>
      <c r="J56" s="130"/>
      <c r="K56" s="11"/>
      <c r="L56" s="130"/>
      <c r="M56" s="11"/>
      <c r="N56" s="130"/>
      <c r="O56" s="11"/>
      <c r="P56" s="130"/>
      <c r="Q56" s="11"/>
      <c r="R56" s="130"/>
    </row>
    <row r="57" spans="1:18" ht="15.6">
      <c r="A57" s="132" t="s">
        <v>405</v>
      </c>
      <c r="B57" s="132"/>
      <c r="C57" s="57" t="s">
        <v>457</v>
      </c>
      <c r="D57" s="133" t="s">
        <v>461</v>
      </c>
      <c r="E57" s="3"/>
      <c r="F57" s="130"/>
      <c r="G57" s="3"/>
      <c r="H57" s="130"/>
      <c r="I57" s="3"/>
      <c r="J57" s="130"/>
      <c r="K57" s="3"/>
      <c r="L57" s="130"/>
      <c r="M57" s="3"/>
      <c r="N57" s="130"/>
      <c r="O57" s="3"/>
      <c r="P57" s="130"/>
      <c r="Q57" s="3"/>
      <c r="R57" s="130"/>
    </row>
    <row r="58" spans="1:18" ht="15.6">
      <c r="A58" s="132" t="s">
        <v>405</v>
      </c>
      <c r="B58" s="132"/>
      <c r="C58" s="57" t="s">
        <v>457</v>
      </c>
      <c r="D58" s="133" t="s">
        <v>462</v>
      </c>
      <c r="E58" s="11"/>
      <c r="F58" s="130"/>
      <c r="G58" s="11"/>
      <c r="H58" s="130"/>
      <c r="I58" s="11"/>
      <c r="J58" s="130"/>
      <c r="K58" s="11"/>
      <c r="L58" s="130"/>
      <c r="M58" s="11"/>
      <c r="N58" s="130"/>
      <c r="O58" s="11"/>
      <c r="P58" s="130"/>
      <c r="Q58" s="11"/>
      <c r="R58" s="130"/>
    </row>
    <row r="59" spans="1:18" ht="15.6">
      <c r="A59" s="134" t="s">
        <v>405</v>
      </c>
      <c r="B59" s="134"/>
      <c r="C59" s="135" t="s">
        <v>457</v>
      </c>
      <c r="D59" s="137" t="s">
        <v>463</v>
      </c>
      <c r="E59" s="11"/>
      <c r="F59" s="129"/>
      <c r="G59" s="11"/>
      <c r="H59" s="129"/>
      <c r="I59" s="11"/>
      <c r="J59" s="129">
        <v>3.62</v>
      </c>
      <c r="K59" s="11"/>
      <c r="L59" s="129">
        <v>2.44</v>
      </c>
      <c r="M59" s="11"/>
      <c r="N59" s="129">
        <v>0.15</v>
      </c>
      <c r="O59" s="11"/>
      <c r="P59" s="129"/>
      <c r="Q59" s="11"/>
      <c r="R59" s="129"/>
    </row>
    <row r="60" spans="1:18" ht="15.6">
      <c r="A60" s="119" t="s">
        <v>405</v>
      </c>
      <c r="B60" s="119"/>
      <c r="C60" s="120" t="s">
        <v>464</v>
      </c>
      <c r="D60" s="124" t="s">
        <v>465</v>
      </c>
      <c r="E60" s="11"/>
      <c r="F60" s="122"/>
      <c r="G60" s="11"/>
      <c r="H60" s="122"/>
      <c r="I60" s="11"/>
      <c r="J60" s="122">
        <v>2.36</v>
      </c>
      <c r="K60" s="11"/>
      <c r="L60" s="122">
        <v>1.1200000000000001</v>
      </c>
      <c r="M60" s="11"/>
      <c r="N60" s="122">
        <v>0.09</v>
      </c>
      <c r="O60" s="11"/>
      <c r="P60" s="122"/>
      <c r="Q60" s="11"/>
      <c r="R60" s="122"/>
    </row>
    <row r="61" spans="1:18" ht="15.95" thickBot="1">
      <c r="A61" s="103" t="s">
        <v>405</v>
      </c>
      <c r="B61" s="138"/>
      <c r="C61" s="103" t="s">
        <v>466</v>
      </c>
      <c r="D61" s="104" t="s">
        <v>467</v>
      </c>
      <c r="E61" s="11"/>
      <c r="F61" s="129"/>
      <c r="G61" s="11"/>
      <c r="H61" s="129"/>
      <c r="I61" s="11"/>
      <c r="J61" s="129">
        <v>0.44</v>
      </c>
      <c r="K61" s="11"/>
      <c r="L61" s="129">
        <v>0.52</v>
      </c>
      <c r="M61" s="11"/>
      <c r="N61" s="129">
        <v>0.04</v>
      </c>
      <c r="O61" s="11"/>
      <c r="P61" s="129"/>
      <c r="Q61" s="11"/>
      <c r="R61" s="129"/>
    </row>
    <row r="62" spans="1:18" ht="15.6">
      <c r="A62" s="120" t="s">
        <v>405</v>
      </c>
      <c r="B62" s="119"/>
      <c r="C62" s="120" t="s">
        <v>468</v>
      </c>
      <c r="D62" s="121" t="s">
        <v>469</v>
      </c>
      <c r="E62" s="11"/>
      <c r="F62" s="122"/>
      <c r="G62" s="11"/>
      <c r="H62" s="122"/>
      <c r="I62" s="11"/>
      <c r="J62" s="122">
        <v>0.05</v>
      </c>
      <c r="K62" s="11"/>
      <c r="L62" s="122">
        <v>0.3</v>
      </c>
      <c r="M62" s="11"/>
      <c r="N62" s="122">
        <v>0.1</v>
      </c>
      <c r="O62" s="11"/>
      <c r="P62" s="122"/>
      <c r="Q62" s="11"/>
      <c r="R62" s="122"/>
    </row>
    <row r="63" spans="1:18" ht="15.95" thickBot="1">
      <c r="A63" s="103" t="s">
        <v>405</v>
      </c>
      <c r="B63" s="138"/>
      <c r="C63" s="103" t="s">
        <v>470</v>
      </c>
      <c r="D63" s="104" t="s">
        <v>471</v>
      </c>
      <c r="E63" s="11"/>
      <c r="F63" s="129"/>
      <c r="G63" s="11"/>
      <c r="H63" s="129"/>
      <c r="I63" s="11"/>
      <c r="J63" s="131" t="s">
        <v>154</v>
      </c>
      <c r="K63" s="11"/>
      <c r="L63" s="129">
        <v>7.0000000000000007E-2</v>
      </c>
      <c r="M63" s="11"/>
      <c r="N63" s="129">
        <v>0.03</v>
      </c>
      <c r="O63" s="11"/>
      <c r="P63" s="129"/>
      <c r="Q63" s="11"/>
      <c r="R63" s="129"/>
    </row>
    <row r="64" spans="1:18" ht="15.95" thickBot="1">
      <c r="A64" s="120" t="s">
        <v>405</v>
      </c>
      <c r="B64" s="119"/>
      <c r="C64" s="120" t="s">
        <v>472</v>
      </c>
      <c r="D64" s="121" t="s">
        <v>473</v>
      </c>
      <c r="E64" s="11"/>
      <c r="F64" s="122"/>
      <c r="G64" s="11"/>
      <c r="H64" s="122"/>
      <c r="I64" s="11"/>
      <c r="J64" s="122"/>
      <c r="K64" s="11"/>
      <c r="L64" s="122"/>
      <c r="M64" s="11"/>
      <c r="N64" s="122"/>
      <c r="O64" s="11"/>
      <c r="P64" s="122"/>
      <c r="Q64" s="11"/>
      <c r="R64" s="122"/>
    </row>
    <row r="65" spans="1:18" ht="15" thickBot="1">
      <c r="A65" s="240" t="s">
        <v>474</v>
      </c>
      <c r="B65" s="240"/>
      <c r="C65" s="240"/>
      <c r="D65" s="240"/>
      <c r="E65" s="39"/>
      <c r="F65" s="42">
        <f>SUM(F12:F64)</f>
        <v>0</v>
      </c>
      <c r="G65" s="39"/>
      <c r="H65" s="42">
        <f>SUM(H12:H64)</f>
        <v>0.8</v>
      </c>
      <c r="I65" s="39"/>
      <c r="J65" s="42">
        <f>SUM(J12:J64)</f>
        <v>15.930000000000001</v>
      </c>
      <c r="K65" s="39"/>
      <c r="L65" s="42">
        <f>SUM(L12:L64)</f>
        <v>12.25</v>
      </c>
      <c r="M65" s="39"/>
      <c r="N65" s="42">
        <f>SUM(N12:N64)</f>
        <v>8.8299999999999983</v>
      </c>
      <c r="O65" s="39"/>
      <c r="P65" s="42">
        <f>SUM(P12:P64)</f>
        <v>65.2</v>
      </c>
      <c r="Q65" s="39"/>
      <c r="R65" s="42">
        <f>SUM(R12:R64)</f>
        <v>0.5</v>
      </c>
    </row>
    <row r="66" spans="1:18">
      <c r="A66" s="19"/>
      <c r="B66" s="20"/>
      <c r="C66" s="23"/>
      <c r="D66" s="40"/>
      <c r="E66" s="18"/>
      <c r="F66" s="19"/>
      <c r="G66" s="18"/>
      <c r="H66" s="19"/>
      <c r="I66" s="18"/>
      <c r="J66" s="19"/>
      <c r="K66" s="18"/>
      <c r="L66" s="19"/>
      <c r="M66" s="18"/>
      <c r="N66" s="19"/>
      <c r="O66" s="18"/>
      <c r="P66" s="19"/>
      <c r="Q66" s="18"/>
    </row>
    <row r="67" spans="1:18">
      <c r="A67" s="19"/>
      <c r="B67" s="20"/>
      <c r="C67" s="23"/>
      <c r="D67" s="23"/>
      <c r="E67" s="18"/>
      <c r="F67" s="19"/>
      <c r="G67" s="18"/>
      <c r="H67" s="19"/>
      <c r="I67" s="18"/>
      <c r="J67" s="19"/>
      <c r="K67" s="18"/>
      <c r="L67" s="19"/>
      <c r="M67" s="18"/>
      <c r="N67" s="19"/>
      <c r="O67" s="18"/>
      <c r="P67" s="19"/>
      <c r="Q67" s="18"/>
    </row>
    <row r="68" spans="1:18">
      <c r="B68" s="20"/>
      <c r="C68" s="23"/>
      <c r="D68" s="20"/>
      <c r="E68" s="18"/>
      <c r="F68" s="19"/>
      <c r="G68" s="18"/>
      <c r="H68" s="19"/>
      <c r="I68" s="18"/>
      <c r="J68" s="19"/>
      <c r="K68" s="18"/>
      <c r="L68" s="19"/>
      <c r="M68" s="18"/>
      <c r="N68" s="19"/>
      <c r="O68" s="18"/>
      <c r="P68" s="19"/>
      <c r="Q68" s="18"/>
    </row>
    <row r="69" spans="1:18">
      <c r="B69" s="20"/>
      <c r="C69" s="23"/>
      <c r="D69" s="23"/>
      <c r="E69" s="18"/>
      <c r="F69" s="19"/>
      <c r="G69" s="18"/>
      <c r="H69" s="19"/>
      <c r="I69" s="18"/>
      <c r="J69" s="19"/>
      <c r="K69" s="18"/>
      <c r="L69" s="19"/>
      <c r="M69" s="18"/>
      <c r="N69" s="19"/>
      <c r="O69" s="18"/>
      <c r="P69" s="19"/>
      <c r="Q69" s="18"/>
    </row>
    <row r="70" spans="1:18">
      <c r="B70" s="20"/>
      <c r="C70" s="23"/>
      <c r="D70" s="23"/>
      <c r="E70" s="18"/>
      <c r="F70" s="19"/>
      <c r="G70" s="18"/>
      <c r="H70" s="19"/>
      <c r="I70" s="18"/>
      <c r="J70" s="19"/>
      <c r="K70" s="18"/>
      <c r="L70" s="19"/>
      <c r="M70" s="18"/>
      <c r="N70" s="19"/>
      <c r="O70" s="18"/>
      <c r="P70" s="19"/>
      <c r="Q70" s="18"/>
    </row>
    <row r="71" spans="1:18">
      <c r="B71" s="20"/>
      <c r="C71" s="23"/>
      <c r="D71" s="23"/>
      <c r="E71" s="18"/>
      <c r="F71" s="19"/>
      <c r="G71" s="18"/>
      <c r="H71" s="19"/>
      <c r="I71" s="18"/>
      <c r="J71" s="19"/>
      <c r="K71" s="18"/>
      <c r="L71" s="19"/>
      <c r="M71" s="18"/>
      <c r="N71" s="19"/>
      <c r="O71" s="18"/>
      <c r="P71" s="19"/>
      <c r="Q71" s="18"/>
    </row>
    <row r="72" spans="1:18">
      <c r="B72" s="35"/>
      <c r="C72" s="35"/>
      <c r="D72" s="40"/>
      <c r="E72" s="18"/>
      <c r="F72" s="19"/>
      <c r="G72" s="18"/>
      <c r="H72" s="19"/>
      <c r="I72" s="18"/>
      <c r="J72" s="19"/>
      <c r="K72" s="18"/>
      <c r="L72" s="19"/>
      <c r="M72" s="18"/>
      <c r="N72" s="19"/>
      <c r="O72" s="18"/>
      <c r="P72" s="19"/>
      <c r="Q72" s="18"/>
    </row>
    <row r="73" spans="1:18">
      <c r="B73" s="35"/>
      <c r="C73" s="35"/>
      <c r="D73" s="40"/>
      <c r="E73" s="18"/>
      <c r="F73" s="19"/>
      <c r="G73" s="18"/>
      <c r="H73" s="19"/>
      <c r="I73" s="18"/>
      <c r="J73" s="19"/>
      <c r="K73" s="18"/>
      <c r="L73" s="19"/>
      <c r="M73" s="18"/>
      <c r="N73" s="19"/>
      <c r="O73" s="18"/>
      <c r="P73" s="19"/>
      <c r="Q73" s="18"/>
    </row>
    <row r="74" spans="1:18">
      <c r="B74" s="35"/>
      <c r="C74" s="35"/>
      <c r="D74" s="40"/>
      <c r="E74" s="18"/>
      <c r="F74" s="19"/>
      <c r="G74" s="18"/>
      <c r="H74" s="19"/>
      <c r="I74" s="18"/>
      <c r="J74" s="19"/>
      <c r="K74" s="18"/>
      <c r="L74" s="19"/>
      <c r="M74" s="18"/>
      <c r="N74" s="19"/>
      <c r="O74" s="18"/>
      <c r="P74" s="19"/>
      <c r="Q74" s="18"/>
    </row>
    <row r="75" spans="1:18">
      <c r="B75" s="35"/>
      <c r="C75" s="35"/>
      <c r="D75" s="35"/>
      <c r="E75" s="18"/>
      <c r="F75" s="19"/>
      <c r="G75" s="18"/>
      <c r="H75" s="19"/>
      <c r="I75" s="18"/>
      <c r="J75" s="19"/>
      <c r="K75" s="18"/>
      <c r="L75" s="19"/>
      <c r="M75" s="18"/>
      <c r="N75" s="19"/>
      <c r="O75" s="18"/>
      <c r="P75" s="19"/>
      <c r="Q75" s="18"/>
    </row>
    <row r="76" spans="1:18">
      <c r="B76" s="35"/>
      <c r="C76" s="35"/>
      <c r="D76" s="35"/>
      <c r="E76" s="18"/>
      <c r="F76" s="19"/>
      <c r="G76" s="18"/>
      <c r="H76" s="19"/>
      <c r="I76" s="18"/>
      <c r="J76" s="19"/>
      <c r="K76" s="18"/>
      <c r="L76" s="19"/>
      <c r="M76" s="18"/>
      <c r="N76" s="19"/>
      <c r="O76" s="18"/>
      <c r="P76" s="19"/>
      <c r="Q76" s="18"/>
    </row>
    <row r="77" spans="1:18">
      <c r="E77" s="18"/>
      <c r="G77" s="18"/>
      <c r="I77" s="18"/>
      <c r="K77" s="18"/>
      <c r="M77" s="18"/>
      <c r="O77" s="18"/>
      <c r="Q77" s="18"/>
    </row>
    <row r="78" spans="1:18">
      <c r="E78" s="18"/>
      <c r="G78" s="18"/>
      <c r="I78" s="18"/>
      <c r="K78" s="18"/>
      <c r="M78" s="18"/>
      <c r="O78" s="18"/>
      <c r="Q78" s="18"/>
    </row>
    <row r="79" spans="1:18">
      <c r="E79" s="18"/>
      <c r="G79" s="18"/>
      <c r="I79" s="18"/>
      <c r="K79" s="18"/>
      <c r="M79" s="18"/>
      <c r="O79" s="18"/>
      <c r="Q79" s="18"/>
    </row>
    <row r="80" spans="1:18">
      <c r="E80" s="18"/>
      <c r="G80" s="18"/>
      <c r="I80" s="18"/>
      <c r="K80" s="18"/>
      <c r="M80" s="18"/>
      <c r="O80" s="18"/>
      <c r="Q80" s="18"/>
    </row>
    <row r="81" spans="5:17">
      <c r="E81" s="18"/>
      <c r="G81" s="18"/>
      <c r="I81" s="18"/>
      <c r="K81" s="18"/>
      <c r="M81" s="18"/>
      <c r="O81" s="18"/>
      <c r="Q81" s="18"/>
    </row>
    <row r="82" spans="5:17">
      <c r="E82" s="18"/>
      <c r="G82" s="18"/>
      <c r="I82" s="18"/>
      <c r="K82" s="18"/>
      <c r="M82" s="18"/>
      <c r="O82" s="18"/>
      <c r="Q82" s="18"/>
    </row>
    <row r="83" spans="5:17">
      <c r="E83" s="18"/>
      <c r="G83" s="18"/>
      <c r="I83" s="18"/>
      <c r="K83" s="18"/>
      <c r="M83" s="18"/>
      <c r="O83" s="18"/>
      <c r="Q83" s="18"/>
    </row>
    <row r="84" spans="5:17">
      <c r="E84" s="18"/>
      <c r="G84" s="18"/>
      <c r="I84" s="18"/>
      <c r="K84" s="18"/>
      <c r="M84" s="18"/>
      <c r="O84" s="18"/>
      <c r="Q84" s="18"/>
    </row>
    <row r="85" spans="5:17">
      <c r="E85" s="18"/>
      <c r="G85" s="18"/>
      <c r="I85" s="18"/>
      <c r="K85" s="18"/>
      <c r="M85" s="18"/>
      <c r="O85" s="18"/>
      <c r="Q85" s="18"/>
    </row>
    <row r="86" spans="5:17">
      <c r="E86" s="18"/>
      <c r="G86" s="18"/>
      <c r="I86" s="18"/>
      <c r="K86" s="18"/>
      <c r="M86" s="18"/>
      <c r="O86" s="18"/>
      <c r="Q86" s="18"/>
    </row>
    <row r="87" spans="5:17">
      <c r="E87" s="18"/>
      <c r="G87" s="18"/>
      <c r="I87" s="18"/>
      <c r="K87" s="18"/>
      <c r="M87" s="18"/>
      <c r="O87" s="18"/>
      <c r="Q87" s="18"/>
    </row>
    <row r="88" spans="5:17">
      <c r="E88" s="18"/>
      <c r="G88" s="18"/>
      <c r="I88" s="18"/>
      <c r="K88" s="18"/>
      <c r="M88" s="18"/>
      <c r="O88" s="18"/>
      <c r="Q88" s="18"/>
    </row>
    <row r="89" spans="5:17">
      <c r="E89" s="18"/>
      <c r="G89" s="18"/>
      <c r="I89" s="18"/>
      <c r="K89" s="18"/>
      <c r="M89" s="18"/>
      <c r="O89" s="18"/>
      <c r="Q89" s="18"/>
    </row>
    <row r="90" spans="5:17">
      <c r="E90" s="18"/>
      <c r="G90" s="18"/>
      <c r="I90" s="18"/>
      <c r="K90" s="18"/>
      <c r="M90" s="18"/>
      <c r="O90" s="18"/>
      <c r="Q90" s="18"/>
    </row>
    <row r="91" spans="5:17">
      <c r="E91" s="18"/>
      <c r="G91" s="18"/>
      <c r="I91" s="18"/>
      <c r="K91" s="18"/>
      <c r="M91" s="18"/>
      <c r="O91" s="18"/>
      <c r="Q91" s="18"/>
    </row>
    <row r="92" spans="5:17">
      <c r="E92" s="18"/>
      <c r="G92" s="18"/>
      <c r="I92" s="18"/>
      <c r="K92" s="18"/>
      <c r="M92" s="18"/>
      <c r="O92" s="18"/>
      <c r="Q92" s="18"/>
    </row>
    <row r="93" spans="5:17">
      <c r="E93" s="18"/>
      <c r="G93" s="18"/>
      <c r="I93" s="18"/>
      <c r="K93" s="18"/>
      <c r="M93" s="18"/>
      <c r="O93" s="18"/>
      <c r="Q93" s="18"/>
    </row>
    <row r="94" spans="5:17">
      <c r="E94" s="18"/>
      <c r="G94" s="18"/>
      <c r="I94" s="18"/>
      <c r="K94" s="18"/>
      <c r="M94" s="18"/>
      <c r="O94" s="18"/>
      <c r="Q94" s="18"/>
    </row>
    <row r="95" spans="5:17">
      <c r="E95" s="18"/>
      <c r="G95" s="18"/>
      <c r="I95" s="18"/>
      <c r="K95" s="18"/>
      <c r="M95" s="18"/>
      <c r="O95" s="18"/>
      <c r="Q95" s="18"/>
    </row>
    <row r="96" spans="5:17">
      <c r="E96" s="18"/>
      <c r="G96" s="18"/>
      <c r="I96" s="18"/>
      <c r="K96" s="18"/>
      <c r="M96" s="18"/>
      <c r="O96" s="18"/>
      <c r="Q96" s="18"/>
    </row>
    <row r="97" spans="5:17">
      <c r="E97" s="18"/>
      <c r="G97" s="18"/>
      <c r="I97" s="18"/>
      <c r="K97" s="18"/>
      <c r="M97" s="18"/>
      <c r="O97" s="18"/>
      <c r="Q97" s="18"/>
    </row>
    <row r="98" spans="5:17">
      <c r="E98" s="18"/>
      <c r="G98" s="18"/>
      <c r="I98" s="18"/>
      <c r="K98" s="18"/>
      <c r="M98" s="18"/>
      <c r="O98" s="18"/>
      <c r="Q98" s="18"/>
    </row>
    <row r="99" spans="5:17">
      <c r="E99" s="18"/>
      <c r="G99" s="18"/>
      <c r="I99" s="18"/>
      <c r="K99" s="18"/>
      <c r="M99" s="18"/>
      <c r="O99" s="18"/>
      <c r="Q99" s="18"/>
    </row>
    <row r="100" spans="5:17">
      <c r="E100" s="18"/>
      <c r="G100" s="18"/>
      <c r="I100" s="18"/>
      <c r="K100" s="18"/>
      <c r="M100" s="18"/>
      <c r="O100" s="18"/>
      <c r="Q100" s="18"/>
    </row>
    <row r="101" spans="5:17">
      <c r="E101" s="18"/>
      <c r="G101" s="18"/>
      <c r="I101" s="18"/>
      <c r="K101" s="18"/>
      <c r="M101" s="18"/>
      <c r="O101" s="18"/>
      <c r="Q101" s="18"/>
    </row>
    <row r="102" spans="5:17">
      <c r="E102" s="18"/>
      <c r="G102" s="18"/>
      <c r="I102" s="18"/>
      <c r="K102" s="18"/>
      <c r="M102" s="18"/>
      <c r="O102" s="18"/>
      <c r="Q102" s="18"/>
    </row>
    <row r="103" spans="5:17">
      <c r="E103" s="18"/>
      <c r="G103" s="18"/>
      <c r="I103" s="18"/>
      <c r="K103" s="18"/>
      <c r="M103" s="18"/>
      <c r="O103" s="18"/>
      <c r="Q103" s="18"/>
    </row>
    <row r="104" spans="5:17">
      <c r="E104" s="18"/>
      <c r="G104" s="18"/>
      <c r="I104" s="18"/>
      <c r="K104" s="18"/>
      <c r="M104" s="18"/>
      <c r="O104" s="18"/>
      <c r="Q104" s="18"/>
    </row>
    <row r="105" spans="5:17">
      <c r="E105" s="18"/>
      <c r="G105" s="18"/>
      <c r="I105" s="18"/>
      <c r="K105" s="18"/>
      <c r="M105" s="18"/>
      <c r="O105" s="18"/>
      <c r="Q105" s="18"/>
    </row>
    <row r="106" spans="5:17">
      <c r="E106" s="18"/>
      <c r="G106" s="18"/>
      <c r="I106" s="18"/>
      <c r="K106" s="18"/>
      <c r="M106" s="18"/>
      <c r="O106" s="18"/>
      <c r="Q106" s="18"/>
    </row>
    <row r="107" spans="5:17">
      <c r="E107" s="18"/>
      <c r="G107" s="18"/>
      <c r="I107" s="18"/>
      <c r="K107" s="18"/>
      <c r="M107" s="18"/>
      <c r="O107" s="18"/>
      <c r="Q107" s="18"/>
    </row>
    <row r="108" spans="5:17">
      <c r="E108" s="18"/>
      <c r="G108" s="18"/>
      <c r="I108" s="18"/>
      <c r="K108" s="18"/>
      <c r="M108" s="18"/>
      <c r="O108" s="18"/>
      <c r="Q108" s="18"/>
    </row>
    <row r="109" spans="5:17">
      <c r="E109" s="18"/>
      <c r="G109" s="18"/>
      <c r="I109" s="18"/>
      <c r="K109" s="18"/>
      <c r="M109" s="18"/>
      <c r="O109" s="18"/>
      <c r="Q109" s="18"/>
    </row>
    <row r="110" spans="5:17">
      <c r="E110" s="18"/>
      <c r="G110" s="18"/>
      <c r="I110" s="18"/>
      <c r="K110" s="18"/>
      <c r="M110" s="18"/>
      <c r="O110" s="18"/>
      <c r="Q110" s="18"/>
    </row>
    <row r="111" spans="5:17">
      <c r="E111" s="18"/>
      <c r="G111" s="18"/>
      <c r="I111" s="18"/>
      <c r="K111" s="18"/>
      <c r="M111" s="18"/>
      <c r="O111" s="18"/>
      <c r="Q111" s="18"/>
    </row>
    <row r="112" spans="5:17">
      <c r="E112" s="18"/>
      <c r="G112" s="18"/>
      <c r="I112" s="18"/>
      <c r="K112" s="18"/>
      <c r="M112" s="18"/>
      <c r="O112" s="18"/>
      <c r="Q112" s="18"/>
    </row>
    <row r="113" spans="5:17">
      <c r="E113" s="18"/>
      <c r="G113" s="18"/>
      <c r="I113" s="18"/>
      <c r="K113" s="18"/>
      <c r="M113" s="18"/>
      <c r="O113" s="18"/>
      <c r="Q113" s="18"/>
    </row>
    <row r="114" spans="5:17">
      <c r="E114" s="18"/>
      <c r="G114" s="18"/>
      <c r="I114" s="18"/>
      <c r="K114" s="18"/>
      <c r="M114" s="18"/>
      <c r="O114" s="18"/>
      <c r="Q114" s="18"/>
    </row>
    <row r="115" spans="5:17">
      <c r="E115" s="18"/>
      <c r="G115" s="18"/>
      <c r="I115" s="18"/>
      <c r="K115" s="18"/>
      <c r="M115" s="18"/>
      <c r="O115" s="18"/>
      <c r="Q115" s="18"/>
    </row>
    <row r="116" spans="5:17">
      <c r="E116" s="18"/>
      <c r="G116" s="18"/>
      <c r="I116" s="18"/>
      <c r="K116" s="18"/>
      <c r="M116" s="18"/>
      <c r="O116" s="18"/>
      <c r="Q116" s="18"/>
    </row>
    <row r="117" spans="5:17">
      <c r="E117" s="18"/>
      <c r="G117" s="18"/>
      <c r="I117" s="18"/>
      <c r="K117" s="18"/>
      <c r="M117" s="18"/>
      <c r="O117" s="18"/>
      <c r="Q117" s="18"/>
    </row>
    <row r="118" spans="5:17">
      <c r="E118" s="18"/>
      <c r="G118" s="18"/>
      <c r="I118" s="18"/>
      <c r="K118" s="18"/>
      <c r="M118" s="18"/>
      <c r="O118" s="18"/>
      <c r="Q118" s="18"/>
    </row>
    <row r="119" spans="5:17">
      <c r="E119" s="18"/>
      <c r="G119" s="18"/>
      <c r="I119" s="18"/>
      <c r="K119" s="18"/>
      <c r="M119" s="18"/>
      <c r="O119" s="18"/>
      <c r="Q119" s="18"/>
    </row>
    <row r="120" spans="5:17">
      <c r="E120" s="18"/>
      <c r="G120" s="18"/>
      <c r="I120" s="18"/>
      <c r="K120" s="18"/>
      <c r="M120" s="18"/>
      <c r="O120" s="18"/>
      <c r="Q120" s="18"/>
    </row>
    <row r="121" spans="5:17">
      <c r="E121" s="18"/>
      <c r="G121" s="18"/>
      <c r="I121" s="18"/>
      <c r="K121" s="18"/>
      <c r="M121" s="18"/>
      <c r="O121" s="18"/>
      <c r="Q121" s="18"/>
    </row>
    <row r="122" spans="5:17">
      <c r="E122" s="18"/>
      <c r="G122" s="18"/>
      <c r="I122" s="18"/>
      <c r="K122" s="18"/>
      <c r="M122" s="18"/>
      <c r="O122" s="18"/>
      <c r="Q122" s="18"/>
    </row>
    <row r="123" spans="5:17">
      <c r="E123" s="18"/>
      <c r="G123" s="18"/>
      <c r="I123" s="18"/>
      <c r="K123" s="18"/>
      <c r="M123" s="18"/>
      <c r="O123" s="18"/>
      <c r="Q123" s="18"/>
    </row>
    <row r="124" spans="5:17">
      <c r="E124" s="18"/>
      <c r="G124" s="18"/>
      <c r="I124" s="18"/>
      <c r="K124" s="18"/>
      <c r="M124" s="18"/>
      <c r="O124" s="18"/>
      <c r="Q124" s="18"/>
    </row>
    <row r="125" spans="5:17">
      <c r="E125" s="18"/>
      <c r="G125" s="18"/>
      <c r="I125" s="18"/>
      <c r="K125" s="18"/>
      <c r="M125" s="18"/>
      <c r="O125" s="18"/>
      <c r="Q125" s="18"/>
    </row>
    <row r="126" spans="5:17">
      <c r="E126" s="18"/>
      <c r="G126" s="18"/>
      <c r="I126" s="18"/>
      <c r="K126" s="18"/>
      <c r="M126" s="18"/>
      <c r="O126" s="18"/>
      <c r="Q126" s="18"/>
    </row>
    <row r="127" spans="5:17">
      <c r="E127" s="18"/>
      <c r="G127" s="18"/>
      <c r="I127" s="18"/>
      <c r="K127" s="18"/>
      <c r="M127" s="18"/>
      <c r="O127" s="18"/>
      <c r="Q127" s="18"/>
    </row>
    <row r="128" spans="5:17">
      <c r="E128" s="18"/>
      <c r="G128" s="18"/>
      <c r="I128" s="18"/>
      <c r="K128" s="18"/>
      <c r="M128" s="18"/>
      <c r="O128" s="18"/>
      <c r="Q128" s="18"/>
    </row>
    <row r="129" spans="5:17">
      <c r="E129" s="18"/>
      <c r="G129" s="18"/>
      <c r="I129" s="18"/>
      <c r="K129" s="18"/>
      <c r="M129" s="18"/>
      <c r="O129" s="18"/>
      <c r="Q129" s="18"/>
    </row>
    <row r="130" spans="5:17">
      <c r="E130" s="18"/>
      <c r="G130" s="18"/>
      <c r="I130" s="18"/>
      <c r="K130" s="18"/>
      <c r="M130" s="18"/>
      <c r="O130" s="18"/>
      <c r="Q130" s="18"/>
    </row>
    <row r="131" spans="5:17">
      <c r="E131" s="18"/>
      <c r="G131" s="18"/>
      <c r="I131" s="18"/>
      <c r="K131" s="18"/>
      <c r="M131" s="18"/>
      <c r="O131" s="18"/>
      <c r="Q131" s="18"/>
    </row>
    <row r="132" spans="5:17">
      <c r="E132" s="18"/>
      <c r="G132" s="18"/>
      <c r="I132" s="18"/>
      <c r="K132" s="18"/>
      <c r="M132" s="18"/>
      <c r="O132" s="18"/>
      <c r="Q132" s="18"/>
    </row>
    <row r="133" spans="5:17">
      <c r="E133" s="18"/>
      <c r="G133" s="18"/>
      <c r="I133" s="18"/>
      <c r="K133" s="18"/>
      <c r="M133" s="18"/>
      <c r="O133" s="18"/>
      <c r="Q133" s="18"/>
    </row>
    <row r="134" spans="5:17">
      <c r="E134" s="18"/>
      <c r="G134" s="18"/>
      <c r="I134" s="18"/>
      <c r="K134" s="18"/>
      <c r="M134" s="18"/>
      <c r="O134" s="18"/>
      <c r="Q134" s="18"/>
    </row>
    <row r="135" spans="5:17">
      <c r="E135" s="18"/>
      <c r="G135" s="18"/>
      <c r="I135" s="18"/>
      <c r="K135" s="18"/>
      <c r="M135" s="18"/>
      <c r="O135" s="18"/>
      <c r="Q135" s="18"/>
    </row>
    <row r="136" spans="5:17">
      <c r="E136" s="18"/>
      <c r="G136" s="18"/>
      <c r="I136" s="18"/>
      <c r="K136" s="18"/>
      <c r="M136" s="18"/>
      <c r="O136" s="18"/>
      <c r="Q136" s="18"/>
    </row>
    <row r="137" spans="5:17">
      <c r="E137" s="18"/>
      <c r="G137" s="18"/>
      <c r="I137" s="18"/>
      <c r="K137" s="18"/>
      <c r="M137" s="18"/>
      <c r="O137" s="18"/>
      <c r="Q137" s="18"/>
    </row>
    <row r="138" spans="5:17">
      <c r="E138" s="18"/>
      <c r="G138" s="18"/>
      <c r="I138" s="18"/>
      <c r="K138" s="18"/>
      <c r="M138" s="18"/>
      <c r="O138" s="18"/>
      <c r="Q138" s="18"/>
    </row>
    <row r="139" spans="5:17">
      <c r="E139" s="18"/>
      <c r="G139" s="18"/>
      <c r="I139" s="18"/>
      <c r="K139" s="18"/>
      <c r="M139" s="18"/>
      <c r="O139" s="18"/>
      <c r="Q139" s="18"/>
    </row>
  </sheetData>
  <mergeCells count="19">
    <mergeCell ref="R9:R10"/>
    <mergeCell ref="P9:P10"/>
    <mergeCell ref="A10:B10"/>
    <mergeCell ref="A65:D65"/>
    <mergeCell ref="A9:B9"/>
    <mergeCell ref="C9:D10"/>
    <mergeCell ref="H9:H10"/>
    <mergeCell ref="F9:F10"/>
    <mergeCell ref="J9:J10"/>
    <mergeCell ref="L9:L10"/>
    <mergeCell ref="N9:N10"/>
    <mergeCell ref="A6:C6"/>
    <mergeCell ref="A7:C7"/>
    <mergeCell ref="A8:C8"/>
    <mergeCell ref="A1:C1"/>
    <mergeCell ref="A2:C2"/>
    <mergeCell ref="A3:C3"/>
    <mergeCell ref="A4:C4"/>
    <mergeCell ref="A5:C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152"/>
  <sheetViews>
    <sheetView zoomScale="80" zoomScaleNormal="80" workbookViewId="0">
      <selection activeCell="B11" sqref="B11:B57"/>
    </sheetView>
  </sheetViews>
  <sheetFormatPr defaultRowHeight="14.45"/>
  <cols>
    <col min="2" max="2" width="14.140625" bestFit="1" customWidth="1"/>
    <col min="3" max="3" width="11.42578125" customWidth="1"/>
    <col min="4" max="4" width="15.42578125" customWidth="1"/>
    <col min="5" max="5" width="47.42578125" bestFit="1" customWidth="1"/>
    <col min="6" max="6" width="2" customWidth="1"/>
    <col min="7" max="7" width="15.85546875" customWidth="1"/>
    <col min="8" max="8" width="18.140625" customWidth="1"/>
    <col min="9" max="9" width="2" customWidth="1"/>
    <col min="10" max="10" width="9.85546875" customWidth="1"/>
    <col min="11" max="11" width="10.85546875" customWidth="1"/>
    <col min="12" max="12" width="10.140625" customWidth="1"/>
    <col min="13" max="13" width="10.42578125" customWidth="1"/>
    <col min="14" max="14" width="2" customWidth="1"/>
    <col min="15" max="15" width="35.5703125" customWidth="1"/>
    <col min="16" max="16" width="2" customWidth="1"/>
    <col min="17" max="17" width="35.5703125" customWidth="1"/>
    <col min="18" max="18" width="2" customWidth="1"/>
    <col min="19" max="19" width="35.5703125" customWidth="1"/>
    <col min="20" max="20" width="2" customWidth="1"/>
    <col min="21" max="21" width="35.5703125" customWidth="1"/>
    <col min="22" max="22" width="2" customWidth="1"/>
    <col min="23" max="23" width="35.5703125" customWidth="1"/>
    <col min="24" max="24" width="2" customWidth="1"/>
    <col min="25" max="25" width="34.42578125" customWidth="1"/>
    <col min="26" max="26" width="2" customWidth="1"/>
    <col min="27" max="27" width="34.5703125" customWidth="1"/>
    <col min="28" max="28" width="2" customWidth="1"/>
    <col min="29" max="29" width="35.5703125" customWidth="1"/>
    <col min="30" max="30" width="2" customWidth="1"/>
    <col min="31" max="31" width="35.5703125" customWidth="1"/>
    <col min="32" max="32" width="2" customWidth="1"/>
    <col min="33" max="35" width="11.85546875" customWidth="1"/>
    <col min="36" max="36" width="2" customWidth="1"/>
    <col min="37" max="37" width="35.5703125" customWidth="1"/>
    <col min="38" max="38" width="2" customWidth="1"/>
    <col min="39" max="39" width="35.5703125" customWidth="1"/>
    <col min="40" max="40" width="2" customWidth="1"/>
    <col min="41" max="41" width="35.5703125" customWidth="1"/>
    <col min="42" max="42" width="2" customWidth="1"/>
    <col min="43" max="43" width="25.42578125" bestFit="1" customWidth="1"/>
  </cols>
  <sheetData>
    <row r="1" spans="1:43" ht="14.45" customHeight="1">
      <c r="A1" s="231" t="s">
        <v>24</v>
      </c>
      <c r="B1" s="231"/>
      <c r="C1" s="231"/>
      <c r="D1" s="231"/>
      <c r="E1" s="25" t="s">
        <v>25</v>
      </c>
      <c r="F1" s="3"/>
      <c r="G1" s="263" t="s">
        <v>26</v>
      </c>
      <c r="H1" s="263"/>
      <c r="I1" s="3"/>
      <c r="J1" s="263" t="s">
        <v>28</v>
      </c>
      <c r="K1" s="263"/>
      <c r="L1" s="263"/>
      <c r="M1" s="263"/>
      <c r="N1" s="3"/>
      <c r="O1" s="180" t="s">
        <v>29</v>
      </c>
      <c r="P1" s="3"/>
      <c r="Q1" s="180" t="s">
        <v>30</v>
      </c>
      <c r="R1" s="3"/>
      <c r="S1" s="32" t="s">
        <v>31</v>
      </c>
      <c r="T1" s="3"/>
      <c r="U1" s="32" t="s">
        <v>32</v>
      </c>
      <c r="V1" s="3"/>
      <c r="W1" s="32" t="s">
        <v>33</v>
      </c>
      <c r="X1" s="3"/>
      <c r="Y1" s="185" t="s">
        <v>34</v>
      </c>
      <c r="Z1" s="4"/>
      <c r="AA1" s="185" t="s">
        <v>34</v>
      </c>
      <c r="AB1" s="4"/>
      <c r="AC1" s="185" t="s">
        <v>34</v>
      </c>
      <c r="AD1" s="3"/>
      <c r="AE1" s="32" t="s">
        <v>37</v>
      </c>
      <c r="AF1" s="3"/>
      <c r="AG1" s="263" t="s">
        <v>36</v>
      </c>
      <c r="AH1" s="263" t="s">
        <v>36</v>
      </c>
      <c r="AI1" s="263" t="s">
        <v>36</v>
      </c>
      <c r="AJ1" s="3"/>
      <c r="AK1" s="32" t="s">
        <v>38</v>
      </c>
      <c r="AL1" s="3"/>
      <c r="AM1" s="32" t="s">
        <v>39</v>
      </c>
      <c r="AN1" s="3"/>
      <c r="AO1" s="32" t="s">
        <v>40</v>
      </c>
      <c r="AP1" s="3"/>
      <c r="AQ1" s="32" t="s">
        <v>41</v>
      </c>
    </row>
    <row r="2" spans="1:43">
      <c r="A2" s="282" t="s">
        <v>42</v>
      </c>
      <c r="B2" s="282"/>
      <c r="C2" s="282"/>
      <c r="D2" s="283"/>
      <c r="E2" s="98" t="s">
        <v>43</v>
      </c>
      <c r="F2" s="5"/>
      <c r="G2" s="268" t="s">
        <v>44</v>
      </c>
      <c r="H2" s="268"/>
      <c r="I2" s="5"/>
      <c r="J2" s="268" t="s">
        <v>47</v>
      </c>
      <c r="K2" s="260"/>
      <c r="L2" s="260"/>
      <c r="M2" s="260"/>
      <c r="N2" s="5"/>
      <c r="O2" s="175" t="s">
        <v>48</v>
      </c>
      <c r="P2" s="5"/>
      <c r="Q2" s="175" t="s">
        <v>49</v>
      </c>
      <c r="R2" s="5"/>
      <c r="S2" s="173" t="s">
        <v>50</v>
      </c>
      <c r="T2" s="5"/>
      <c r="U2" s="173" t="s">
        <v>51</v>
      </c>
      <c r="V2" s="5"/>
      <c r="W2" s="173" t="s">
        <v>52</v>
      </c>
      <c r="X2" s="5"/>
      <c r="Y2" s="184" t="s">
        <v>54</v>
      </c>
      <c r="Z2" s="6"/>
      <c r="AA2" s="48" t="s">
        <v>55</v>
      </c>
      <c r="AB2" s="44"/>
      <c r="AC2" s="48" t="s">
        <v>56</v>
      </c>
      <c r="AD2" s="5"/>
      <c r="AE2" s="170" t="s">
        <v>59</v>
      </c>
      <c r="AF2" s="5"/>
      <c r="AG2" s="266" t="s">
        <v>58</v>
      </c>
      <c r="AH2" s="266" t="s">
        <v>58</v>
      </c>
      <c r="AI2" s="266" t="s">
        <v>58</v>
      </c>
      <c r="AJ2" s="5"/>
      <c r="AK2" s="170" t="s">
        <v>61</v>
      </c>
      <c r="AL2" s="5"/>
      <c r="AM2" s="170" t="s">
        <v>62</v>
      </c>
      <c r="AN2" s="5"/>
      <c r="AO2" s="170" t="s">
        <v>63</v>
      </c>
      <c r="AP2" s="5"/>
      <c r="AQ2" s="170" t="s">
        <v>64</v>
      </c>
    </row>
    <row r="3" spans="1:43" ht="39.6" customHeight="1">
      <c r="A3" s="282"/>
      <c r="B3" s="282"/>
      <c r="C3" s="282"/>
      <c r="D3" s="283"/>
      <c r="E3" s="98" t="s">
        <v>65</v>
      </c>
      <c r="F3" s="5"/>
      <c r="G3" s="330" t="s">
        <v>66</v>
      </c>
      <c r="H3" s="330"/>
      <c r="I3" s="5"/>
      <c r="J3" s="270" t="s">
        <v>299</v>
      </c>
      <c r="K3" s="245"/>
      <c r="L3" s="245"/>
      <c r="M3" s="245"/>
      <c r="N3" s="5"/>
      <c r="O3" s="175" t="s">
        <v>70</v>
      </c>
      <c r="P3" s="5"/>
      <c r="Q3" s="175" t="s">
        <v>70</v>
      </c>
      <c r="R3" s="5"/>
      <c r="S3" s="175" t="s">
        <v>71</v>
      </c>
      <c r="T3" s="5"/>
      <c r="U3" s="175" t="s">
        <v>72</v>
      </c>
      <c r="V3" s="5"/>
      <c r="W3" s="61" t="s">
        <v>73</v>
      </c>
      <c r="X3" s="5"/>
      <c r="Y3" s="187" t="s">
        <v>75</v>
      </c>
      <c r="Z3" s="6"/>
      <c r="AA3" s="187" t="s">
        <v>76</v>
      </c>
      <c r="AB3" s="44"/>
      <c r="AC3" s="187" t="s">
        <v>77</v>
      </c>
      <c r="AD3" s="5"/>
      <c r="AE3" s="177" t="s">
        <v>80</v>
      </c>
      <c r="AF3" s="5"/>
      <c r="AG3" s="267" t="s">
        <v>79</v>
      </c>
      <c r="AH3" s="267" t="s">
        <v>79</v>
      </c>
      <c r="AI3" s="267" t="s">
        <v>79</v>
      </c>
      <c r="AJ3" s="5"/>
      <c r="AK3" s="177" t="s">
        <v>81</v>
      </c>
      <c r="AL3" s="5"/>
      <c r="AM3" s="177" t="s">
        <v>81</v>
      </c>
      <c r="AN3" s="5"/>
      <c r="AO3" s="177" t="s">
        <v>82</v>
      </c>
      <c r="AP3" s="5"/>
      <c r="AQ3" s="177" t="s">
        <v>83</v>
      </c>
    </row>
    <row r="4" spans="1:43" ht="14.45" customHeight="1">
      <c r="A4" s="282"/>
      <c r="B4" s="282"/>
      <c r="C4" s="282"/>
      <c r="D4" s="283"/>
      <c r="E4" s="98" t="s">
        <v>84</v>
      </c>
      <c r="F4" s="5"/>
      <c r="G4" s="260" t="s">
        <v>85</v>
      </c>
      <c r="H4" s="260"/>
      <c r="I4" s="5"/>
      <c r="J4" s="260"/>
      <c r="K4" s="260"/>
      <c r="L4" s="260"/>
      <c r="M4" s="260"/>
      <c r="N4" s="5"/>
      <c r="O4" s="175"/>
      <c r="P4" s="5"/>
      <c r="Q4" s="175"/>
      <c r="R4" s="5"/>
      <c r="S4" s="174"/>
      <c r="T4" s="5"/>
      <c r="U4" s="174"/>
      <c r="V4" s="5"/>
      <c r="W4" s="174"/>
      <c r="X4" s="5"/>
      <c r="Y4" s="187"/>
      <c r="Z4" s="6"/>
      <c r="AA4" s="187"/>
      <c r="AB4" s="44"/>
      <c r="AC4" s="187"/>
      <c r="AD4" s="5"/>
      <c r="AE4" s="171"/>
      <c r="AF4" s="5"/>
      <c r="AG4" s="267"/>
      <c r="AH4" s="267"/>
      <c r="AI4" s="267"/>
      <c r="AJ4" s="5"/>
      <c r="AK4" s="171"/>
      <c r="AL4" s="5"/>
      <c r="AM4" s="171"/>
      <c r="AN4" s="5"/>
      <c r="AO4" s="171"/>
      <c r="AP4" s="5"/>
      <c r="AQ4" s="171"/>
    </row>
    <row r="5" spans="1:43" ht="39.6" customHeight="1">
      <c r="A5" s="322" t="s">
        <v>300</v>
      </c>
      <c r="B5" s="322"/>
      <c r="C5" s="322"/>
      <c r="D5" s="283"/>
      <c r="E5" s="98" t="s">
        <v>87</v>
      </c>
      <c r="F5" s="5"/>
      <c r="G5" s="245" t="s">
        <v>168</v>
      </c>
      <c r="H5" s="245"/>
      <c r="I5" s="5"/>
      <c r="J5" s="245" t="s">
        <v>299</v>
      </c>
      <c r="K5" s="245"/>
      <c r="L5" s="245"/>
      <c r="M5" s="245"/>
      <c r="N5" s="5"/>
      <c r="O5" s="175" t="s">
        <v>91</v>
      </c>
      <c r="P5" s="5"/>
      <c r="Q5" s="175" t="s">
        <v>91</v>
      </c>
      <c r="R5" s="5"/>
      <c r="S5" s="175" t="s">
        <v>92</v>
      </c>
      <c r="T5" s="5"/>
      <c r="U5" s="175" t="s">
        <v>93</v>
      </c>
      <c r="V5" s="5"/>
      <c r="W5" s="175" t="s">
        <v>94</v>
      </c>
      <c r="X5" s="5"/>
      <c r="Y5" s="187" t="s">
        <v>96</v>
      </c>
      <c r="Z5" s="6"/>
      <c r="AA5" s="187" t="s">
        <v>97</v>
      </c>
      <c r="AB5" s="44"/>
      <c r="AC5" s="187" t="s">
        <v>98</v>
      </c>
      <c r="AD5" s="5"/>
      <c r="AE5" s="177" t="s">
        <v>101</v>
      </c>
      <c r="AF5" s="5"/>
      <c r="AG5" s="233" t="s">
        <v>100</v>
      </c>
      <c r="AH5" s="233" t="s">
        <v>100</v>
      </c>
      <c r="AI5" s="233" t="s">
        <v>100</v>
      </c>
      <c r="AJ5" s="5"/>
      <c r="AK5" s="177" t="s">
        <v>103</v>
      </c>
      <c r="AL5" s="5"/>
      <c r="AM5" s="177" t="s">
        <v>104</v>
      </c>
      <c r="AN5" s="5"/>
      <c r="AO5" s="177" t="s">
        <v>105</v>
      </c>
      <c r="AP5" s="5"/>
      <c r="AQ5" s="177" t="s">
        <v>106</v>
      </c>
    </row>
    <row r="6" spans="1:43">
      <c r="A6" s="282" t="s">
        <v>475</v>
      </c>
      <c r="B6" s="282"/>
      <c r="C6" s="282"/>
      <c r="D6" s="283"/>
      <c r="E6" s="98" t="s">
        <v>107</v>
      </c>
      <c r="F6" s="5"/>
      <c r="G6" s="260" t="s">
        <v>264</v>
      </c>
      <c r="H6" s="260"/>
      <c r="I6" s="5"/>
      <c r="J6" s="260" t="s">
        <v>110</v>
      </c>
      <c r="K6" s="260"/>
      <c r="L6" s="260"/>
      <c r="M6" s="260"/>
      <c r="N6" s="5"/>
      <c r="O6" s="175"/>
      <c r="P6" s="5"/>
      <c r="Q6" s="175"/>
      <c r="R6" s="5"/>
      <c r="S6" s="174"/>
      <c r="T6" s="5"/>
      <c r="U6" s="174"/>
      <c r="V6" s="5"/>
      <c r="W6" s="174"/>
      <c r="X6" s="5"/>
      <c r="Y6" s="187" t="s">
        <v>112</v>
      </c>
      <c r="Z6" s="6"/>
      <c r="AA6" s="187" t="s">
        <v>113</v>
      </c>
      <c r="AB6" s="44"/>
      <c r="AC6" s="187" t="s">
        <v>114</v>
      </c>
      <c r="AD6" s="5"/>
      <c r="AE6" s="171"/>
      <c r="AF6" s="5"/>
      <c r="AG6" s="267"/>
      <c r="AH6" s="267"/>
      <c r="AI6" s="267"/>
      <c r="AJ6" s="5"/>
      <c r="AK6" s="171"/>
      <c r="AL6" s="5"/>
      <c r="AM6" s="171"/>
      <c r="AN6" s="5"/>
      <c r="AO6" s="171"/>
      <c r="AP6" s="5"/>
      <c r="AQ6" s="171"/>
    </row>
    <row r="7" spans="1:43">
      <c r="A7" s="323"/>
      <c r="B7" s="323"/>
      <c r="C7" s="323"/>
      <c r="D7" s="324"/>
      <c r="E7" s="98" t="s">
        <v>115</v>
      </c>
      <c r="F7" s="5"/>
      <c r="G7" s="260" t="s">
        <v>116</v>
      </c>
      <c r="H7" s="260"/>
      <c r="I7" s="5"/>
      <c r="J7" s="260" t="s">
        <v>110</v>
      </c>
      <c r="K7" s="260"/>
      <c r="L7" s="260"/>
      <c r="M7" s="260"/>
      <c r="N7" s="5"/>
      <c r="O7" s="176"/>
      <c r="P7" s="5"/>
      <c r="Q7" s="176"/>
      <c r="R7" s="5"/>
      <c r="S7" s="174"/>
      <c r="T7" s="5"/>
      <c r="U7" s="174"/>
      <c r="V7" s="5"/>
      <c r="W7" s="174"/>
      <c r="X7" s="5"/>
      <c r="Y7" s="187" t="s">
        <v>117</v>
      </c>
      <c r="Z7" s="6"/>
      <c r="AA7" s="187" t="s">
        <v>117</v>
      </c>
      <c r="AB7" s="44"/>
      <c r="AC7" s="187" t="s">
        <v>117</v>
      </c>
      <c r="AD7" s="5"/>
      <c r="AE7" s="171"/>
      <c r="AF7" s="5"/>
      <c r="AG7" s="267"/>
      <c r="AH7" s="267"/>
      <c r="AI7" s="267"/>
      <c r="AJ7" s="5"/>
      <c r="AK7" s="171"/>
      <c r="AL7" s="5"/>
      <c r="AM7" s="171"/>
      <c r="AN7" s="5"/>
      <c r="AO7" s="171"/>
      <c r="AP7" s="5"/>
      <c r="AQ7" s="171"/>
    </row>
    <row r="8" spans="1:43" ht="26.85" customHeight="1">
      <c r="A8" s="325"/>
      <c r="B8" s="325"/>
      <c r="C8" s="325"/>
      <c r="D8" s="326"/>
      <c r="E8" s="99" t="s">
        <v>118</v>
      </c>
      <c r="F8" s="5"/>
      <c r="G8" s="332" t="s">
        <v>266</v>
      </c>
      <c r="H8" s="332"/>
      <c r="I8" s="5"/>
      <c r="J8" s="250" t="s">
        <v>301</v>
      </c>
      <c r="K8" s="254"/>
      <c r="L8" s="254"/>
      <c r="M8" s="254"/>
      <c r="N8" s="5"/>
      <c r="O8" s="182" t="s">
        <v>302</v>
      </c>
      <c r="P8" s="5"/>
      <c r="Q8" s="182" t="s">
        <v>302</v>
      </c>
      <c r="R8" s="5"/>
      <c r="S8" s="182" t="s">
        <v>476</v>
      </c>
      <c r="T8" s="5"/>
      <c r="U8" s="182" t="s">
        <v>476</v>
      </c>
      <c r="V8" s="5"/>
      <c r="W8" s="176" t="s">
        <v>477</v>
      </c>
      <c r="X8" s="5"/>
      <c r="Y8" s="188" t="s">
        <v>268</v>
      </c>
      <c r="Z8" s="7"/>
      <c r="AA8" s="188" t="s">
        <v>268</v>
      </c>
      <c r="AB8" s="45"/>
      <c r="AC8" s="188" t="s">
        <v>268</v>
      </c>
      <c r="AD8" s="5"/>
      <c r="AE8" s="183"/>
      <c r="AF8" s="5"/>
      <c r="AG8" s="252" t="s">
        <v>478</v>
      </c>
      <c r="AH8" s="331"/>
      <c r="AI8" s="331"/>
      <c r="AJ8" s="5"/>
      <c r="AK8" s="183" t="s">
        <v>476</v>
      </c>
      <c r="AL8" s="5"/>
      <c r="AM8" s="183" t="s">
        <v>476</v>
      </c>
      <c r="AN8" s="5"/>
      <c r="AO8" s="183" t="s">
        <v>476</v>
      </c>
      <c r="AP8" s="5"/>
      <c r="AQ8" s="183"/>
    </row>
    <row r="9" spans="1:43" ht="9.1999999999999993" customHeight="1">
      <c r="A9" s="323"/>
      <c r="B9" s="323"/>
      <c r="C9" s="189"/>
      <c r="D9" s="289" t="s">
        <v>128</v>
      </c>
      <c r="E9" s="328"/>
      <c r="F9" s="3"/>
      <c r="G9" s="255"/>
      <c r="H9" s="255"/>
      <c r="I9" s="3"/>
      <c r="J9" s="244" t="s">
        <v>178</v>
      </c>
      <c r="K9" s="244"/>
      <c r="L9" s="244"/>
      <c r="M9" s="244"/>
      <c r="N9" s="3"/>
      <c r="O9" s="327"/>
      <c r="P9" s="3"/>
      <c r="Q9" s="255"/>
      <c r="R9" s="3"/>
      <c r="S9" s="255" t="s">
        <v>130</v>
      </c>
      <c r="T9" s="3"/>
      <c r="U9" s="255" t="s">
        <v>130</v>
      </c>
      <c r="V9" s="3"/>
      <c r="W9" s="176"/>
      <c r="X9" s="3"/>
      <c r="Y9" s="232"/>
      <c r="Z9" s="3"/>
      <c r="AA9" s="232"/>
      <c r="AB9" s="3"/>
      <c r="AC9" s="232"/>
      <c r="AD9" s="3"/>
      <c r="AE9" s="232"/>
      <c r="AF9" s="3"/>
      <c r="AG9" s="232" t="s">
        <v>129</v>
      </c>
      <c r="AH9" s="232"/>
      <c r="AI9" s="232"/>
      <c r="AJ9" s="3"/>
      <c r="AK9" s="232" t="s">
        <v>132</v>
      </c>
      <c r="AL9" s="3"/>
      <c r="AM9" s="232" t="s">
        <v>132</v>
      </c>
      <c r="AN9" s="3"/>
      <c r="AO9" s="232" t="s">
        <v>133</v>
      </c>
      <c r="AP9" s="3"/>
      <c r="AQ9" s="232"/>
    </row>
    <row r="10" spans="1:43">
      <c r="A10" s="323"/>
      <c r="B10" s="323"/>
      <c r="C10" s="189"/>
      <c r="D10" s="329"/>
      <c r="E10" s="329"/>
      <c r="F10" s="3"/>
      <c r="G10" s="273"/>
      <c r="H10" s="273"/>
      <c r="I10" s="3"/>
      <c r="J10" s="245"/>
      <c r="K10" s="245"/>
      <c r="L10" s="245"/>
      <c r="M10" s="245"/>
      <c r="N10" s="3"/>
      <c r="O10" s="327"/>
      <c r="P10" s="3"/>
      <c r="Q10" s="284"/>
      <c r="R10" s="3"/>
      <c r="S10" s="245"/>
      <c r="T10" s="3"/>
      <c r="U10" s="245"/>
      <c r="V10" s="3"/>
      <c r="W10" s="169"/>
      <c r="X10" s="3"/>
      <c r="Y10" s="304"/>
      <c r="Z10" s="3"/>
      <c r="AA10" s="304"/>
      <c r="AB10" s="3"/>
      <c r="AC10" s="304"/>
      <c r="AD10" s="3"/>
      <c r="AE10" s="233"/>
      <c r="AF10" s="3"/>
      <c r="AG10" s="234"/>
      <c r="AH10" s="234"/>
      <c r="AI10" s="234"/>
      <c r="AJ10" s="3"/>
      <c r="AK10" s="233"/>
      <c r="AL10" s="3"/>
      <c r="AM10" s="233"/>
      <c r="AN10" s="3"/>
      <c r="AO10" s="233"/>
      <c r="AP10" s="3"/>
      <c r="AQ10" s="233"/>
    </row>
    <row r="11" spans="1:43" ht="26.1">
      <c r="A11" s="22" t="s">
        <v>134</v>
      </c>
      <c r="B11" s="22"/>
      <c r="C11" s="22" t="s">
        <v>303</v>
      </c>
      <c r="D11" s="26" t="s">
        <v>136</v>
      </c>
      <c r="E11" s="26" t="s">
        <v>137</v>
      </c>
      <c r="F11" s="11"/>
      <c r="G11" s="28" t="s">
        <v>479</v>
      </c>
      <c r="H11" s="29" t="s">
        <v>480</v>
      </c>
      <c r="I11" s="11"/>
      <c r="J11" s="28" t="s">
        <v>304</v>
      </c>
      <c r="K11" s="30" t="s">
        <v>305</v>
      </c>
      <c r="L11" s="28" t="s">
        <v>306</v>
      </c>
      <c r="M11" s="33" t="s">
        <v>307</v>
      </c>
      <c r="N11" s="11"/>
      <c r="O11" s="29" t="s">
        <v>306</v>
      </c>
      <c r="P11" s="11"/>
      <c r="Q11" s="29" t="s">
        <v>306</v>
      </c>
      <c r="R11" s="11"/>
      <c r="S11" s="29" t="s">
        <v>306</v>
      </c>
      <c r="T11" s="11"/>
      <c r="U11" s="29" t="s">
        <v>306</v>
      </c>
      <c r="V11" s="11"/>
      <c r="W11" s="29" t="s">
        <v>306</v>
      </c>
      <c r="X11" s="11"/>
      <c r="Y11" s="26" t="s">
        <v>306</v>
      </c>
      <c r="Z11" s="11"/>
      <c r="AA11" s="26" t="s">
        <v>306</v>
      </c>
      <c r="AB11" s="11"/>
      <c r="AC11" s="26" t="s">
        <v>306</v>
      </c>
      <c r="AD11" s="11"/>
      <c r="AE11" s="29" t="s">
        <v>306</v>
      </c>
      <c r="AF11" s="11"/>
      <c r="AG11" s="28" t="s">
        <v>304</v>
      </c>
      <c r="AH11" s="30" t="s">
        <v>305</v>
      </c>
      <c r="AI11" s="28" t="s">
        <v>306</v>
      </c>
      <c r="AJ11" s="11"/>
      <c r="AK11" s="29" t="s">
        <v>306</v>
      </c>
      <c r="AL11" s="11"/>
      <c r="AM11" s="29" t="s">
        <v>306</v>
      </c>
      <c r="AN11" s="11"/>
      <c r="AO11" s="29" t="s">
        <v>306</v>
      </c>
      <c r="AP11" s="11"/>
      <c r="AQ11" s="29" t="s">
        <v>306</v>
      </c>
    </row>
    <row r="12" spans="1:43" ht="15.6">
      <c r="A12" s="57" t="s">
        <v>481</v>
      </c>
      <c r="B12" s="57"/>
      <c r="C12" s="93">
        <v>78.11</v>
      </c>
      <c r="D12" s="57" t="s">
        <v>482</v>
      </c>
      <c r="E12" s="58" t="s">
        <v>483</v>
      </c>
      <c r="F12" s="11"/>
      <c r="G12" s="72">
        <v>0.7</v>
      </c>
      <c r="H12" s="74">
        <v>1.3</v>
      </c>
      <c r="I12" s="11"/>
      <c r="J12" s="72">
        <f>1.07*$C12/22.711/1000</f>
        <v>3.6800537184624197E-3</v>
      </c>
      <c r="K12" s="72">
        <f>13.65*$C12/22.711/1000</f>
        <v>4.6946479679450495E-2</v>
      </c>
      <c r="L12" s="72">
        <f>4.2*$C12/22.711/1000</f>
        <v>1.4445070670600151E-2</v>
      </c>
      <c r="M12" s="72">
        <f>4.17*$C12/22.711/1000</f>
        <v>1.4341891594381579E-2</v>
      </c>
      <c r="N12" s="11"/>
      <c r="O12" s="74"/>
      <c r="P12" s="11"/>
      <c r="Q12" s="74"/>
      <c r="R12" s="11"/>
      <c r="S12" s="74"/>
      <c r="T12" s="11"/>
      <c r="U12" s="74"/>
      <c r="V12" s="11"/>
      <c r="W12" s="74">
        <v>0.2</v>
      </c>
      <c r="X12" s="11"/>
      <c r="Y12" s="74">
        <v>0.24</v>
      </c>
      <c r="Z12" s="11"/>
      <c r="AA12" s="74">
        <v>2.13</v>
      </c>
      <c r="AB12" s="11"/>
      <c r="AC12" s="74">
        <v>1.58</v>
      </c>
      <c r="AD12" s="11"/>
      <c r="AE12" s="74">
        <v>107</v>
      </c>
      <c r="AF12" s="11"/>
      <c r="AG12" s="72"/>
      <c r="AH12" s="73"/>
      <c r="AI12" s="74"/>
      <c r="AJ12" s="11"/>
      <c r="AK12" s="74"/>
      <c r="AL12" s="11"/>
      <c r="AM12" s="74"/>
      <c r="AN12" s="11"/>
      <c r="AO12" s="74"/>
      <c r="AP12" s="11"/>
      <c r="AQ12" s="74"/>
    </row>
    <row r="13" spans="1:43">
      <c r="A13" s="57" t="s">
        <v>484</v>
      </c>
      <c r="B13" s="57"/>
      <c r="C13" s="93"/>
      <c r="D13" s="57" t="s">
        <v>485</v>
      </c>
      <c r="E13" s="58" t="s">
        <v>486</v>
      </c>
      <c r="F13" s="11"/>
      <c r="G13" s="72"/>
      <c r="H13" s="74"/>
      <c r="I13" s="11"/>
      <c r="J13" s="72"/>
      <c r="K13" s="72"/>
      <c r="L13" s="72"/>
      <c r="M13" s="72"/>
      <c r="N13" s="11"/>
      <c r="O13" s="74">
        <v>0.6</v>
      </c>
      <c r="P13" s="11"/>
      <c r="Q13" s="74"/>
      <c r="R13" s="11"/>
      <c r="S13" s="74"/>
      <c r="T13" s="11"/>
      <c r="U13" s="74"/>
      <c r="V13" s="11"/>
      <c r="W13" s="74"/>
      <c r="X13" s="11"/>
      <c r="Y13" s="74"/>
      <c r="Z13" s="11"/>
      <c r="AA13" s="74"/>
      <c r="AB13" s="11"/>
      <c r="AC13" s="74"/>
      <c r="AD13" s="11"/>
      <c r="AE13" s="74"/>
      <c r="AF13" s="11"/>
      <c r="AG13" s="72"/>
      <c r="AH13" s="73"/>
      <c r="AI13" s="74"/>
      <c r="AJ13" s="11"/>
      <c r="AK13" s="74"/>
      <c r="AL13" s="11"/>
      <c r="AM13" s="74"/>
      <c r="AN13" s="11"/>
      <c r="AO13" s="74"/>
      <c r="AP13" s="11"/>
      <c r="AQ13" s="74"/>
    </row>
    <row r="14" spans="1:43" ht="15.6">
      <c r="A14" s="55" t="s">
        <v>481</v>
      </c>
      <c r="B14" s="55"/>
      <c r="C14" s="81">
        <v>92.14</v>
      </c>
      <c r="D14" s="55" t="s">
        <v>487</v>
      </c>
      <c r="E14" s="56" t="s">
        <v>488</v>
      </c>
      <c r="F14" s="11"/>
      <c r="G14" s="110">
        <v>0.2</v>
      </c>
      <c r="H14" s="111">
        <v>0.7</v>
      </c>
      <c r="I14" s="11"/>
      <c r="J14" s="110">
        <f>11.63*$C14/22.711/1000</f>
        <v>4.7183664303641418E-2</v>
      </c>
      <c r="K14" s="110">
        <f>147.26*$C14/22.711/1000</f>
        <v>0.59744337105367451</v>
      </c>
      <c r="L14" s="110">
        <f>43.27*$C14/22.711/1000</f>
        <v>0.17554919642464006</v>
      </c>
      <c r="M14" s="110">
        <f>44.64*$C14/22.711/1000</f>
        <v>0.18110737528070101</v>
      </c>
      <c r="N14" s="11"/>
      <c r="O14" s="111"/>
      <c r="P14" s="11"/>
      <c r="Q14" s="111">
        <v>0.9</v>
      </c>
      <c r="R14" s="11"/>
      <c r="S14" s="111"/>
      <c r="T14" s="11"/>
      <c r="U14" s="111"/>
      <c r="V14" s="11"/>
      <c r="W14" s="111">
        <v>1.1000000000000001</v>
      </c>
      <c r="X14" s="11"/>
      <c r="Y14" s="111">
        <v>3.18</v>
      </c>
      <c r="Z14" s="11"/>
      <c r="AA14" s="111">
        <v>3.59</v>
      </c>
      <c r="AB14" s="11"/>
      <c r="AC14" s="111">
        <v>8.15</v>
      </c>
      <c r="AD14" s="11"/>
      <c r="AE14" s="111" t="s">
        <v>256</v>
      </c>
      <c r="AF14" s="11"/>
      <c r="AG14" s="110">
        <v>2.2000000000000002</v>
      </c>
      <c r="AH14" s="109">
        <v>3.8</v>
      </c>
      <c r="AI14" s="111">
        <f>AVERAGE(AG14:AH14)</f>
        <v>3</v>
      </c>
      <c r="AJ14" s="11"/>
      <c r="AK14" s="111"/>
      <c r="AL14" s="11"/>
      <c r="AM14" s="111"/>
      <c r="AN14" s="11"/>
      <c r="AO14" s="111"/>
      <c r="AP14" s="11"/>
      <c r="AQ14" s="111">
        <v>5.5</v>
      </c>
    </row>
    <row r="15" spans="1:43" ht="15.6">
      <c r="A15" s="132" t="s">
        <v>481</v>
      </c>
      <c r="B15" s="132"/>
      <c r="C15" s="93">
        <v>104.15</v>
      </c>
      <c r="D15" s="57" t="s">
        <v>489</v>
      </c>
      <c r="E15" s="133" t="s">
        <v>490</v>
      </c>
      <c r="F15" s="11"/>
      <c r="G15" s="72"/>
      <c r="H15" s="74"/>
      <c r="I15" s="11"/>
      <c r="J15" s="72">
        <f>0.45*$C15/22.711/1000</f>
        <v>2.0636475716613099E-3</v>
      </c>
      <c r="K15" s="72">
        <f>0.45*$C15/22.711/1000</f>
        <v>2.0636475716613099E-3</v>
      </c>
      <c r="L15" s="72">
        <f>0.45*$C15/22.711/1000</f>
        <v>2.0636475716613099E-3</v>
      </c>
      <c r="M15" s="72">
        <f>0*$C15/22.711/1000</f>
        <v>0</v>
      </c>
      <c r="N15" s="11"/>
      <c r="O15" s="74"/>
      <c r="P15" s="11"/>
      <c r="Q15" s="74"/>
      <c r="R15" s="11"/>
      <c r="S15" s="74"/>
      <c r="T15" s="11"/>
      <c r="U15" s="74"/>
      <c r="V15" s="11"/>
      <c r="W15" s="74"/>
      <c r="X15" s="11"/>
      <c r="Y15" s="74"/>
      <c r="Z15" s="11"/>
      <c r="AA15" s="74"/>
      <c r="AB15" s="11"/>
      <c r="AC15" s="74"/>
      <c r="AD15" s="11"/>
      <c r="AE15" s="74"/>
      <c r="AF15" s="11"/>
      <c r="AG15" s="72"/>
      <c r="AH15" s="73"/>
      <c r="AI15" s="74"/>
      <c r="AJ15" s="11"/>
      <c r="AK15" s="74"/>
      <c r="AL15" s="11"/>
      <c r="AM15" s="74"/>
      <c r="AN15" s="11"/>
      <c r="AO15" s="74"/>
      <c r="AP15" s="11"/>
      <c r="AQ15" s="74"/>
    </row>
    <row r="16" spans="1:43" ht="15.6">
      <c r="A16" s="132" t="s">
        <v>481</v>
      </c>
      <c r="B16" s="132"/>
      <c r="C16" s="93">
        <v>106.17</v>
      </c>
      <c r="D16" s="57" t="s">
        <v>491</v>
      </c>
      <c r="E16" s="133" t="s">
        <v>492</v>
      </c>
      <c r="F16" s="11"/>
      <c r="G16" s="72"/>
      <c r="H16" s="74"/>
      <c r="I16" s="11"/>
      <c r="J16" s="72">
        <f>2.12*$C16/22.711/1000</f>
        <v>9.910633613667388E-3</v>
      </c>
      <c r="K16" s="72">
        <f>33.81*$C16/22.711/1000</f>
        <v>0.1580559068292898</v>
      </c>
      <c r="L16" s="72">
        <f>10.94*$C16/22.711/1000</f>
        <v>5.1142609308264725E-2</v>
      </c>
      <c r="M16" s="72">
        <f>10.53*$C16/22.711/1000</f>
        <v>4.9225930165998862E-2</v>
      </c>
      <c r="N16" s="11"/>
      <c r="O16" s="74"/>
      <c r="P16" s="11"/>
      <c r="Q16" s="74"/>
      <c r="R16" s="11"/>
      <c r="S16" s="74"/>
      <c r="T16" s="11"/>
      <c r="U16" s="74"/>
      <c r="V16" s="11"/>
      <c r="W16" s="74"/>
      <c r="X16" s="11"/>
      <c r="Y16" s="74">
        <v>0.56000000000000005</v>
      </c>
      <c r="Z16" s="11"/>
      <c r="AA16" s="74">
        <v>1.57</v>
      </c>
      <c r="AB16" s="11"/>
      <c r="AC16" s="74">
        <v>1.24</v>
      </c>
      <c r="AD16" s="11"/>
      <c r="AE16" s="74" t="s">
        <v>154</v>
      </c>
      <c r="AF16" s="11"/>
      <c r="AG16" s="72"/>
      <c r="AH16" s="73"/>
      <c r="AI16" s="74"/>
      <c r="AJ16" s="11"/>
      <c r="AK16" s="74"/>
      <c r="AL16" s="11"/>
      <c r="AM16" s="74"/>
      <c r="AN16" s="11"/>
      <c r="AO16" s="74"/>
      <c r="AP16" s="11"/>
      <c r="AQ16" s="74"/>
    </row>
    <row r="17" spans="1:43" ht="15.95">
      <c r="A17" s="57" t="s">
        <v>481</v>
      </c>
      <c r="B17" s="57"/>
      <c r="C17" s="93">
        <v>106.17</v>
      </c>
      <c r="D17" s="57" t="s">
        <v>491</v>
      </c>
      <c r="E17" s="58" t="s">
        <v>493</v>
      </c>
      <c r="F17" s="11"/>
      <c r="G17" s="72"/>
      <c r="H17" s="74"/>
      <c r="I17" s="11"/>
      <c r="J17" s="72">
        <f>(1.1+0.65)*$C17/22.711/1000</f>
        <v>8.1809475584518534E-3</v>
      </c>
      <c r="K17" s="72">
        <f>(44.67+34.22)*$C17/22.711/1000</f>
        <v>0.36879711593500947</v>
      </c>
      <c r="L17" s="72">
        <f>(9.8+7.86)*$C17/22.711/1000</f>
        <v>8.2557447932719824E-2</v>
      </c>
      <c r="M17" s="72">
        <f>(15.12+11.75)*$C17/22.711/1000</f>
        <v>0.12561260622605785</v>
      </c>
      <c r="N17" s="11"/>
      <c r="O17" s="74"/>
      <c r="P17" s="11"/>
      <c r="Q17" s="74"/>
      <c r="R17" s="11"/>
      <c r="S17" s="74"/>
      <c r="T17" s="11"/>
      <c r="U17" s="74"/>
      <c r="V17" s="11"/>
      <c r="W17" s="74"/>
      <c r="X17" s="11"/>
      <c r="Y17" s="74">
        <f>0.31+0.17</f>
        <v>0.48</v>
      </c>
      <c r="Z17" s="11"/>
      <c r="AA17" s="74">
        <f>0.84+0.58</f>
        <v>1.42</v>
      </c>
      <c r="AB17" s="11"/>
      <c r="AC17" s="74">
        <f>1.26+0.6</f>
        <v>1.8599999999999999</v>
      </c>
      <c r="AD17" s="11"/>
      <c r="AE17" s="74" t="s">
        <v>154</v>
      </c>
      <c r="AF17" s="11"/>
      <c r="AG17" s="72"/>
      <c r="AH17" s="73"/>
      <c r="AI17" s="74"/>
      <c r="AJ17" s="11"/>
      <c r="AK17" s="74"/>
      <c r="AL17" s="11"/>
      <c r="AM17" s="74"/>
      <c r="AN17" s="11"/>
      <c r="AO17" s="74"/>
      <c r="AP17" s="11"/>
      <c r="AQ17" s="74">
        <v>0.3</v>
      </c>
    </row>
    <row r="18" spans="1:43" ht="15.6">
      <c r="A18" s="118" t="s">
        <v>481</v>
      </c>
      <c r="B18" s="118"/>
      <c r="C18" s="81">
        <v>118.18</v>
      </c>
      <c r="D18" s="55" t="s">
        <v>494</v>
      </c>
      <c r="E18" s="125" t="s">
        <v>495</v>
      </c>
      <c r="F18" s="11"/>
      <c r="G18" s="110"/>
      <c r="H18" s="111"/>
      <c r="I18" s="11"/>
      <c r="J18" s="110"/>
      <c r="K18" s="109"/>
      <c r="L18" s="110"/>
      <c r="M18" s="109"/>
      <c r="N18" s="11"/>
      <c r="O18" s="111"/>
      <c r="P18" s="11"/>
      <c r="Q18" s="111"/>
      <c r="R18" s="11"/>
      <c r="S18" s="111"/>
      <c r="T18" s="11"/>
      <c r="U18" s="111"/>
      <c r="V18" s="11"/>
      <c r="W18" s="111"/>
      <c r="X18" s="11"/>
      <c r="Y18" s="111"/>
      <c r="Z18" s="11"/>
      <c r="AA18" s="111"/>
      <c r="AB18" s="11"/>
      <c r="AC18" s="111"/>
      <c r="AD18" s="11"/>
      <c r="AE18" s="111"/>
      <c r="AF18" s="11"/>
      <c r="AG18" s="110"/>
      <c r="AH18" s="109"/>
      <c r="AI18" s="111"/>
      <c r="AJ18" s="11"/>
      <c r="AK18" s="111"/>
      <c r="AL18" s="11"/>
      <c r="AM18" s="111"/>
      <c r="AN18" s="11"/>
      <c r="AO18" s="111"/>
      <c r="AP18" s="11"/>
      <c r="AQ18" s="111"/>
    </row>
    <row r="19" spans="1:43" ht="15.6">
      <c r="A19" s="118" t="s">
        <v>481</v>
      </c>
      <c r="B19" s="118"/>
      <c r="C19" s="81">
        <v>120.19</v>
      </c>
      <c r="D19" s="55" t="s">
        <v>496</v>
      </c>
      <c r="E19" s="125" t="s">
        <v>497</v>
      </c>
      <c r="F19" s="11"/>
      <c r="G19" s="110"/>
      <c r="H19" s="111"/>
      <c r="I19" s="11"/>
      <c r="J19" s="110"/>
      <c r="K19" s="109"/>
      <c r="L19" s="110"/>
      <c r="M19" s="109"/>
      <c r="N19" s="11"/>
      <c r="O19" s="111"/>
      <c r="P19" s="11"/>
      <c r="Q19" s="111"/>
      <c r="R19" s="11"/>
      <c r="S19" s="111"/>
      <c r="T19" s="11"/>
      <c r="U19" s="111"/>
      <c r="V19" s="11"/>
      <c r="W19" s="111"/>
      <c r="X19" s="11"/>
      <c r="Y19" s="111"/>
      <c r="Z19" s="11"/>
      <c r="AA19" s="111"/>
      <c r="AB19" s="11"/>
      <c r="AC19" s="111"/>
      <c r="AD19" s="11"/>
      <c r="AE19" s="111"/>
      <c r="AF19" s="11"/>
      <c r="AG19" s="110"/>
      <c r="AH19" s="109"/>
      <c r="AI19" s="111"/>
      <c r="AJ19" s="11"/>
      <c r="AK19" s="111"/>
      <c r="AL19" s="11"/>
      <c r="AM19" s="111"/>
      <c r="AN19" s="11"/>
      <c r="AO19" s="111"/>
      <c r="AP19" s="11"/>
      <c r="AQ19" s="111"/>
    </row>
    <row r="20" spans="1:43" ht="15.6">
      <c r="A20" s="118" t="s">
        <v>481</v>
      </c>
      <c r="B20" s="118"/>
      <c r="C20" s="81">
        <v>120.19</v>
      </c>
      <c r="D20" s="55" t="s">
        <v>496</v>
      </c>
      <c r="E20" s="125" t="s">
        <v>498</v>
      </c>
      <c r="F20" s="11"/>
      <c r="G20" s="110"/>
      <c r="H20" s="111"/>
      <c r="I20" s="11"/>
      <c r="J20" s="110">
        <f>(0.68+0.99)*$C20/22.711/1000</f>
        <v>8.8378891286160898E-3</v>
      </c>
      <c r="K20" s="110">
        <f>(7.35+11.03)*$C20/22.711/1000</f>
        <v>9.7269701906565101E-2</v>
      </c>
      <c r="L20" s="110">
        <f>(3.56+5.74)*$C20/22.711/1000</f>
        <v>4.9216987362951874E-2</v>
      </c>
      <c r="M20" s="110">
        <f>(3.42+5.28)*$C20/22.711/1000</f>
        <v>4.604169785566465E-2</v>
      </c>
      <c r="N20" s="11"/>
      <c r="O20" s="111"/>
      <c r="P20" s="11"/>
      <c r="Q20" s="111"/>
      <c r="R20" s="11"/>
      <c r="S20" s="111"/>
      <c r="T20" s="11"/>
      <c r="U20" s="111"/>
      <c r="V20" s="11"/>
      <c r="W20" s="111"/>
      <c r="X20" s="11"/>
      <c r="Y20" s="111"/>
      <c r="Z20" s="11"/>
      <c r="AA20" s="111"/>
      <c r="AB20" s="11"/>
      <c r="AC20" s="111"/>
      <c r="AD20" s="11"/>
      <c r="AE20" s="111"/>
      <c r="AF20" s="11"/>
      <c r="AG20" s="110"/>
      <c r="AH20" s="109"/>
      <c r="AI20" s="111"/>
      <c r="AJ20" s="11"/>
      <c r="AK20" s="111"/>
      <c r="AL20" s="11"/>
      <c r="AM20" s="111"/>
      <c r="AN20" s="11"/>
      <c r="AO20" s="111"/>
      <c r="AP20" s="11"/>
      <c r="AQ20" s="111"/>
    </row>
    <row r="21" spans="1:43" ht="15.6">
      <c r="A21" s="118" t="s">
        <v>481</v>
      </c>
      <c r="B21" s="118"/>
      <c r="C21" s="81">
        <v>120.19</v>
      </c>
      <c r="D21" s="55" t="s">
        <v>496</v>
      </c>
      <c r="E21" s="125" t="s">
        <v>499</v>
      </c>
      <c r="F21" s="11"/>
      <c r="G21" s="110"/>
      <c r="H21" s="111"/>
      <c r="I21" s="11"/>
      <c r="J21" s="110"/>
      <c r="K21" s="109"/>
      <c r="L21" s="110"/>
      <c r="M21" s="109"/>
      <c r="N21" s="11"/>
      <c r="O21" s="111"/>
      <c r="P21" s="11"/>
      <c r="Q21" s="111"/>
      <c r="R21" s="11"/>
      <c r="S21" s="111"/>
      <c r="T21" s="11"/>
      <c r="U21" s="111"/>
      <c r="V21" s="11"/>
      <c r="W21" s="111"/>
      <c r="X21" s="11"/>
      <c r="Y21" s="111"/>
      <c r="Z21" s="11"/>
      <c r="AA21" s="111"/>
      <c r="AB21" s="11"/>
      <c r="AC21" s="111"/>
      <c r="AD21" s="11"/>
      <c r="AE21" s="111" t="s">
        <v>154</v>
      </c>
      <c r="AF21" s="11"/>
      <c r="AG21" s="110"/>
      <c r="AH21" s="109"/>
      <c r="AI21" s="111"/>
      <c r="AJ21" s="11"/>
      <c r="AK21" s="111"/>
      <c r="AL21" s="11"/>
      <c r="AM21" s="111"/>
      <c r="AN21" s="11"/>
      <c r="AO21" s="111"/>
      <c r="AP21" s="11"/>
      <c r="AQ21" s="111"/>
    </row>
    <row r="22" spans="1:43" ht="15.6">
      <c r="A22" s="118" t="s">
        <v>481</v>
      </c>
      <c r="B22" s="118"/>
      <c r="C22" s="81">
        <v>120.19</v>
      </c>
      <c r="D22" s="55" t="s">
        <v>496</v>
      </c>
      <c r="E22" s="125" t="s">
        <v>500</v>
      </c>
      <c r="F22" s="11"/>
      <c r="G22" s="110"/>
      <c r="H22" s="111"/>
      <c r="I22" s="11"/>
      <c r="J22" s="110">
        <f>0.67*$C22/22.711/1000</f>
        <v>3.5457399498040596E-3</v>
      </c>
      <c r="K22" s="110">
        <f>41.53*$C22/22.711/1000</f>
        <v>0.2197829553960636</v>
      </c>
      <c r="L22" s="110">
        <f>12.02*$C22/22.711/1000</f>
        <v>6.3611633129320597E-2</v>
      </c>
      <c r="M22" s="110">
        <f>17.51*$C22/22.711/1000</f>
        <v>9.266553212099865E-2</v>
      </c>
      <c r="N22" s="11"/>
      <c r="O22" s="111"/>
      <c r="P22" s="11"/>
      <c r="Q22" s="111"/>
      <c r="R22" s="11"/>
      <c r="S22" s="111"/>
      <c r="T22" s="11"/>
      <c r="U22" s="111"/>
      <c r="V22" s="11"/>
      <c r="W22" s="111"/>
      <c r="X22" s="11"/>
      <c r="Y22" s="111"/>
      <c r="Z22" s="11"/>
      <c r="AA22" s="111"/>
      <c r="AB22" s="11"/>
      <c r="AC22" s="111"/>
      <c r="AD22" s="11"/>
      <c r="AE22" s="111" t="s">
        <v>154</v>
      </c>
      <c r="AF22" s="11"/>
      <c r="AG22" s="110"/>
      <c r="AH22" s="109"/>
      <c r="AI22" s="111"/>
      <c r="AJ22" s="11"/>
      <c r="AK22" s="111"/>
      <c r="AL22" s="11"/>
      <c r="AM22" s="111"/>
      <c r="AN22" s="11"/>
      <c r="AO22" s="111"/>
      <c r="AP22" s="11"/>
      <c r="AQ22" s="111"/>
    </row>
    <row r="23" spans="1:43" ht="15.6">
      <c r="A23" s="118" t="s">
        <v>481</v>
      </c>
      <c r="B23" s="118"/>
      <c r="C23" s="81">
        <v>120.19</v>
      </c>
      <c r="D23" s="55" t="s">
        <v>496</v>
      </c>
      <c r="E23" s="125" t="s">
        <v>501</v>
      </c>
      <c r="F23" s="3"/>
      <c r="G23" s="110"/>
      <c r="H23" s="111"/>
      <c r="I23" s="3"/>
      <c r="J23" s="110">
        <f>1.15*$C23/22.711/1000</f>
        <v>6.0859715556338331E-3</v>
      </c>
      <c r="K23" s="110">
        <f>13.58*$C23/22.711/1000</f>
        <v>7.1867385848267365E-2</v>
      </c>
      <c r="L23" s="110">
        <f>4.72*$C23/22.711/1000</f>
        <v>2.4978944123992777E-2</v>
      </c>
      <c r="M23" s="110">
        <f>5.27*$C23/22.711/1000</f>
        <v>2.7889626172339397E-2</v>
      </c>
      <c r="N23" s="3"/>
      <c r="O23" s="111"/>
      <c r="P23" s="3"/>
      <c r="Q23" s="111"/>
      <c r="R23" s="3"/>
      <c r="S23" s="111"/>
      <c r="T23" s="3"/>
      <c r="U23" s="111"/>
      <c r="V23" s="3"/>
      <c r="W23" s="111"/>
      <c r="X23" s="3"/>
      <c r="Y23" s="111"/>
      <c r="Z23" s="3"/>
      <c r="AA23" s="111"/>
      <c r="AB23" s="3"/>
      <c r="AC23" s="111"/>
      <c r="AD23" s="3"/>
      <c r="AE23" s="111" t="s">
        <v>154</v>
      </c>
      <c r="AF23" s="3"/>
      <c r="AG23" s="110"/>
      <c r="AH23" s="109"/>
      <c r="AI23" s="111"/>
      <c r="AJ23" s="3"/>
      <c r="AK23" s="111"/>
      <c r="AL23" s="3"/>
      <c r="AM23" s="111"/>
      <c r="AN23" s="3"/>
      <c r="AO23" s="111"/>
      <c r="AP23" s="3"/>
      <c r="AQ23" s="111"/>
    </row>
    <row r="24" spans="1:43" ht="15.6">
      <c r="A24" s="118" t="s">
        <v>481</v>
      </c>
      <c r="B24" s="118"/>
      <c r="C24" s="81">
        <v>120.19</v>
      </c>
      <c r="D24" s="55" t="s">
        <v>496</v>
      </c>
      <c r="E24" s="125" t="s">
        <v>502</v>
      </c>
      <c r="F24" s="5"/>
      <c r="G24" s="110"/>
      <c r="H24" s="111"/>
      <c r="I24" s="5"/>
      <c r="J24" s="110"/>
      <c r="K24" s="109"/>
      <c r="L24" s="110"/>
      <c r="M24" s="109"/>
      <c r="N24" s="5"/>
      <c r="O24" s="111"/>
      <c r="P24" s="5"/>
      <c r="Q24" s="111"/>
      <c r="R24" s="5"/>
      <c r="S24" s="111"/>
      <c r="T24" s="5"/>
      <c r="U24" s="111"/>
      <c r="V24" s="5"/>
      <c r="W24" s="111"/>
      <c r="X24" s="5"/>
      <c r="Y24" s="111"/>
      <c r="Z24" s="5"/>
      <c r="AA24" s="111"/>
      <c r="AB24" s="5"/>
      <c r="AC24" s="111"/>
      <c r="AD24" s="5"/>
      <c r="AE24" s="111" t="s">
        <v>154</v>
      </c>
      <c r="AF24" s="5"/>
      <c r="AG24" s="110"/>
      <c r="AH24" s="109"/>
      <c r="AI24" s="111"/>
      <c r="AJ24" s="5"/>
      <c r="AK24" s="111"/>
      <c r="AL24" s="5"/>
      <c r="AM24" s="111"/>
      <c r="AN24" s="5"/>
      <c r="AO24" s="111"/>
      <c r="AP24" s="5"/>
      <c r="AQ24" s="111"/>
    </row>
    <row r="25" spans="1:43" ht="15.6">
      <c r="A25" s="118" t="s">
        <v>481</v>
      </c>
      <c r="B25" s="118"/>
      <c r="C25" s="81">
        <v>120.19</v>
      </c>
      <c r="D25" s="55" t="s">
        <v>496</v>
      </c>
      <c r="E25" s="125" t="s">
        <v>503</v>
      </c>
      <c r="F25" s="5"/>
      <c r="G25" s="110"/>
      <c r="H25" s="111"/>
      <c r="I25" s="5"/>
      <c r="J25" s="110"/>
      <c r="K25" s="109"/>
      <c r="L25" s="110"/>
      <c r="M25" s="109"/>
      <c r="N25" s="5"/>
      <c r="O25" s="111"/>
      <c r="P25" s="5"/>
      <c r="Q25" s="111"/>
      <c r="R25" s="5"/>
      <c r="S25" s="111"/>
      <c r="T25" s="5"/>
      <c r="U25" s="111"/>
      <c r="V25" s="5"/>
      <c r="W25" s="111"/>
      <c r="X25" s="5"/>
      <c r="Y25" s="111"/>
      <c r="Z25" s="5"/>
      <c r="AA25" s="111"/>
      <c r="AB25" s="5"/>
      <c r="AC25" s="111"/>
      <c r="AD25" s="5"/>
      <c r="AE25" s="111" t="s">
        <v>154</v>
      </c>
      <c r="AF25" s="5"/>
      <c r="AG25" s="110"/>
      <c r="AH25" s="109"/>
      <c r="AI25" s="111"/>
      <c r="AJ25" s="5"/>
      <c r="AK25" s="111"/>
      <c r="AL25" s="5"/>
      <c r="AM25" s="111"/>
      <c r="AN25" s="5"/>
      <c r="AO25" s="111"/>
      <c r="AP25" s="5"/>
      <c r="AQ25" s="111"/>
    </row>
    <row r="26" spans="1:43" ht="15.6">
      <c r="A26" s="118" t="s">
        <v>481</v>
      </c>
      <c r="B26" s="118"/>
      <c r="C26" s="81">
        <v>120.19</v>
      </c>
      <c r="D26" s="55" t="s">
        <v>496</v>
      </c>
      <c r="E26" s="125" t="s">
        <v>504</v>
      </c>
      <c r="F26" s="5"/>
      <c r="G26" s="110"/>
      <c r="H26" s="111"/>
      <c r="I26" s="5"/>
      <c r="J26" s="110"/>
      <c r="K26" s="109"/>
      <c r="L26" s="110"/>
      <c r="M26" s="109"/>
      <c r="N26" s="5"/>
      <c r="O26" s="111"/>
      <c r="P26" s="5"/>
      <c r="Q26" s="111"/>
      <c r="R26" s="5"/>
      <c r="S26" s="111"/>
      <c r="T26" s="5"/>
      <c r="U26" s="111"/>
      <c r="V26" s="5"/>
      <c r="W26" s="111"/>
      <c r="X26" s="5"/>
      <c r="Y26" s="111"/>
      <c r="Z26" s="5"/>
      <c r="AA26" s="111"/>
      <c r="AB26" s="5"/>
      <c r="AC26" s="111"/>
      <c r="AD26" s="5"/>
      <c r="AE26" s="111" t="s">
        <v>154</v>
      </c>
      <c r="AF26" s="5"/>
      <c r="AG26" s="110"/>
      <c r="AH26" s="109"/>
      <c r="AI26" s="111"/>
      <c r="AJ26" s="5"/>
      <c r="AK26" s="111"/>
      <c r="AL26" s="5"/>
      <c r="AM26" s="111"/>
      <c r="AN26" s="5"/>
      <c r="AO26" s="111"/>
      <c r="AP26" s="5"/>
      <c r="AQ26" s="111"/>
    </row>
    <row r="27" spans="1:43" ht="15.6">
      <c r="A27" s="132" t="s">
        <v>481</v>
      </c>
      <c r="B27" s="132"/>
      <c r="C27" s="93">
        <v>128.16999999999999</v>
      </c>
      <c r="D27" s="57" t="s">
        <v>505</v>
      </c>
      <c r="E27" s="58" t="s">
        <v>506</v>
      </c>
      <c r="F27" s="5"/>
      <c r="G27" s="72"/>
      <c r="H27" s="74"/>
      <c r="I27" s="5"/>
      <c r="J27" s="72">
        <f>1.02*$C27/22.711/1000</f>
        <v>5.7563911760820747E-3</v>
      </c>
      <c r="K27" s="72">
        <f>3.47*$C27/22.711/1000</f>
        <v>1.9583017040200781E-2</v>
      </c>
      <c r="L27" s="72">
        <f>1.62*$C27/22.711/1000</f>
        <v>9.1425036326009436E-3</v>
      </c>
      <c r="M27" s="72">
        <f>0.92*$C27/22.711/1000</f>
        <v>5.1920390999955967E-3</v>
      </c>
      <c r="N27" s="5"/>
      <c r="O27" s="74"/>
      <c r="P27" s="5"/>
      <c r="Q27" s="74"/>
      <c r="R27" s="5"/>
      <c r="S27" s="74"/>
      <c r="T27" s="5"/>
      <c r="U27" s="74"/>
      <c r="V27" s="5"/>
      <c r="W27" s="74"/>
      <c r="X27" s="5"/>
      <c r="Y27" s="74"/>
      <c r="Z27" s="5"/>
      <c r="AA27" s="74"/>
      <c r="AB27" s="5"/>
      <c r="AC27" s="74"/>
      <c r="AD27" s="5"/>
      <c r="AE27" s="74"/>
      <c r="AF27" s="5"/>
      <c r="AG27" s="72"/>
      <c r="AH27" s="73"/>
      <c r="AI27" s="74"/>
      <c r="AJ27" s="5"/>
      <c r="AK27" s="74"/>
      <c r="AL27" s="5"/>
      <c r="AM27" s="74"/>
      <c r="AN27" s="5"/>
      <c r="AO27" s="74"/>
      <c r="AP27" s="5"/>
      <c r="AQ27" s="74"/>
    </row>
    <row r="28" spans="1:43" ht="15.6">
      <c r="A28" s="132" t="s">
        <v>481</v>
      </c>
      <c r="B28" s="132"/>
      <c r="C28" s="93">
        <v>134.22</v>
      </c>
      <c r="D28" s="57" t="s">
        <v>507</v>
      </c>
      <c r="E28" s="133" t="s">
        <v>508</v>
      </c>
      <c r="F28" s="5"/>
      <c r="G28" s="72"/>
      <c r="H28" s="74"/>
      <c r="I28" s="5"/>
      <c r="J28" s="72"/>
      <c r="K28" s="73"/>
      <c r="L28" s="72"/>
      <c r="M28" s="73"/>
      <c r="N28" s="5"/>
      <c r="O28" s="74"/>
      <c r="P28" s="5"/>
      <c r="Q28" s="74"/>
      <c r="R28" s="5"/>
      <c r="S28" s="74"/>
      <c r="T28" s="5"/>
      <c r="U28" s="74"/>
      <c r="V28" s="5"/>
      <c r="W28" s="74"/>
      <c r="X28" s="5"/>
      <c r="Y28" s="74"/>
      <c r="Z28" s="5"/>
      <c r="AA28" s="74"/>
      <c r="AB28" s="5"/>
      <c r="AC28" s="74"/>
      <c r="AD28" s="5"/>
      <c r="AE28" s="74"/>
      <c r="AF28" s="5"/>
      <c r="AG28" s="72"/>
      <c r="AH28" s="73"/>
      <c r="AI28" s="74"/>
      <c r="AJ28" s="5"/>
      <c r="AK28" s="74"/>
      <c r="AL28" s="5"/>
      <c r="AM28" s="74"/>
      <c r="AN28" s="5"/>
      <c r="AO28" s="74"/>
      <c r="AP28" s="5"/>
      <c r="AQ28" s="74"/>
    </row>
    <row r="29" spans="1:43" ht="15.6">
      <c r="A29" s="132" t="s">
        <v>481</v>
      </c>
      <c r="B29" s="132"/>
      <c r="C29" s="93">
        <v>134.22</v>
      </c>
      <c r="D29" s="57" t="s">
        <v>507</v>
      </c>
      <c r="E29" s="133" t="s">
        <v>509</v>
      </c>
      <c r="F29" s="5"/>
      <c r="G29" s="72"/>
      <c r="H29" s="74"/>
      <c r="I29" s="5"/>
      <c r="J29" s="72"/>
      <c r="K29" s="73"/>
      <c r="L29" s="72"/>
      <c r="M29" s="73"/>
      <c r="N29" s="5"/>
      <c r="O29" s="74"/>
      <c r="P29" s="5"/>
      <c r="Q29" s="74"/>
      <c r="R29" s="5"/>
      <c r="S29" s="74"/>
      <c r="T29" s="5"/>
      <c r="U29" s="74"/>
      <c r="V29" s="5"/>
      <c r="W29" s="74"/>
      <c r="X29" s="5"/>
      <c r="Y29" s="74"/>
      <c r="Z29" s="5"/>
      <c r="AA29" s="74"/>
      <c r="AB29" s="5"/>
      <c r="AC29" s="74"/>
      <c r="AD29" s="5"/>
      <c r="AE29" s="74"/>
      <c r="AF29" s="5"/>
      <c r="AG29" s="72"/>
      <c r="AH29" s="73"/>
      <c r="AI29" s="74"/>
      <c r="AJ29" s="5"/>
      <c r="AK29" s="74"/>
      <c r="AL29" s="5"/>
      <c r="AM29" s="74"/>
      <c r="AN29" s="5"/>
      <c r="AO29" s="74"/>
      <c r="AP29" s="5"/>
      <c r="AQ29" s="74"/>
    </row>
    <row r="30" spans="1:43" ht="15.6">
      <c r="A30" s="132" t="s">
        <v>481</v>
      </c>
      <c r="B30" s="132"/>
      <c r="C30" s="93">
        <v>134.22</v>
      </c>
      <c r="D30" s="57" t="s">
        <v>507</v>
      </c>
      <c r="E30" s="133" t="s">
        <v>510</v>
      </c>
      <c r="F30" s="5"/>
      <c r="G30" s="72"/>
      <c r="H30" s="74"/>
      <c r="I30" s="5"/>
      <c r="J30" s="72"/>
      <c r="K30" s="73"/>
      <c r="L30" s="72"/>
      <c r="M30" s="73"/>
      <c r="N30" s="5"/>
      <c r="O30" s="74"/>
      <c r="P30" s="5"/>
      <c r="Q30" s="74"/>
      <c r="R30" s="5"/>
      <c r="S30" s="74"/>
      <c r="T30" s="5"/>
      <c r="U30" s="74"/>
      <c r="V30" s="5"/>
      <c r="W30" s="74"/>
      <c r="X30" s="5"/>
      <c r="Y30" s="74"/>
      <c r="Z30" s="5"/>
      <c r="AA30" s="74"/>
      <c r="AB30" s="5"/>
      <c r="AC30" s="74"/>
      <c r="AD30" s="5"/>
      <c r="AE30" s="74"/>
      <c r="AF30" s="5"/>
      <c r="AG30" s="72"/>
      <c r="AH30" s="73"/>
      <c r="AI30" s="74"/>
      <c r="AJ30" s="5"/>
      <c r="AK30" s="74"/>
      <c r="AL30" s="5"/>
      <c r="AM30" s="74"/>
      <c r="AN30" s="5"/>
      <c r="AO30" s="74"/>
      <c r="AP30" s="5"/>
      <c r="AQ30" s="74"/>
    </row>
    <row r="31" spans="1:43" ht="15.6">
      <c r="A31" s="132" t="s">
        <v>481</v>
      </c>
      <c r="B31" s="132"/>
      <c r="C31" s="93">
        <v>134.22</v>
      </c>
      <c r="D31" s="57" t="s">
        <v>507</v>
      </c>
      <c r="E31" s="133" t="s">
        <v>511</v>
      </c>
      <c r="F31" s="3"/>
      <c r="G31" s="72"/>
      <c r="H31" s="74"/>
      <c r="I31" s="3"/>
      <c r="J31" s="72"/>
      <c r="K31" s="73"/>
      <c r="L31" s="72"/>
      <c r="M31" s="73"/>
      <c r="N31" s="3"/>
      <c r="O31" s="74"/>
      <c r="P31" s="3"/>
      <c r="Q31" s="74"/>
      <c r="R31" s="3"/>
      <c r="S31" s="74"/>
      <c r="T31" s="3"/>
      <c r="U31" s="74"/>
      <c r="V31" s="3"/>
      <c r="W31" s="74"/>
      <c r="X31" s="3"/>
      <c r="Y31" s="74"/>
      <c r="Z31" s="3"/>
      <c r="AA31" s="74"/>
      <c r="AB31" s="3"/>
      <c r="AC31" s="74"/>
      <c r="AD31" s="3"/>
      <c r="AE31" s="74"/>
      <c r="AF31" s="3"/>
      <c r="AG31" s="72"/>
      <c r="AH31" s="73"/>
      <c r="AI31" s="74"/>
      <c r="AJ31" s="3"/>
      <c r="AK31" s="74"/>
      <c r="AL31" s="3"/>
      <c r="AM31" s="74"/>
      <c r="AN31" s="3"/>
      <c r="AO31" s="74"/>
      <c r="AP31" s="3"/>
      <c r="AQ31" s="74"/>
    </row>
    <row r="32" spans="1:43" ht="15.6">
      <c r="A32" s="132" t="s">
        <v>481</v>
      </c>
      <c r="B32" s="132"/>
      <c r="C32" s="93">
        <v>134.22</v>
      </c>
      <c r="D32" s="57" t="s">
        <v>507</v>
      </c>
      <c r="E32" s="133" t="s">
        <v>512</v>
      </c>
      <c r="F32" s="3"/>
      <c r="G32" s="72"/>
      <c r="H32" s="74"/>
      <c r="I32" s="3"/>
      <c r="J32" s="72">
        <f>0.93*$C32/22.711/1000</f>
        <v>5.496217691867377E-3</v>
      </c>
      <c r="K32" s="72">
        <f>4.65*$C32/22.711/1000</f>
        <v>2.7481088459336889E-2</v>
      </c>
      <c r="L32" s="72">
        <f>3.26*$C32/22.711/1000</f>
        <v>1.9266311479018979E-2</v>
      </c>
      <c r="M32" s="72">
        <f>2.03*$C32/22.711/1000</f>
        <v>1.1997120338162123E-2</v>
      </c>
      <c r="N32" s="3"/>
      <c r="O32" s="74"/>
      <c r="P32" s="3"/>
      <c r="Q32" s="74"/>
      <c r="R32" s="3"/>
      <c r="S32" s="74"/>
      <c r="T32" s="3"/>
      <c r="U32" s="74"/>
      <c r="V32" s="3"/>
      <c r="W32" s="74"/>
      <c r="X32" s="3"/>
      <c r="Y32" s="74"/>
      <c r="Z32" s="3"/>
      <c r="AA32" s="74"/>
      <c r="AB32" s="3"/>
      <c r="AC32" s="74"/>
      <c r="AD32" s="3"/>
      <c r="AE32" s="74"/>
      <c r="AF32" s="3"/>
      <c r="AG32" s="72"/>
      <c r="AH32" s="73"/>
      <c r="AI32" s="74"/>
      <c r="AJ32" s="3"/>
      <c r="AK32" s="74"/>
      <c r="AL32" s="3"/>
      <c r="AM32" s="74"/>
      <c r="AN32" s="3"/>
      <c r="AO32" s="74"/>
      <c r="AP32" s="3"/>
      <c r="AQ32" s="74"/>
    </row>
    <row r="33" spans="1:43" ht="15.6">
      <c r="A33" s="132" t="s">
        <v>481</v>
      </c>
      <c r="B33" s="132"/>
      <c r="C33" s="93">
        <v>134.22</v>
      </c>
      <c r="D33" s="57" t="s">
        <v>507</v>
      </c>
      <c r="E33" s="133" t="s">
        <v>513</v>
      </c>
      <c r="F33" s="11"/>
      <c r="G33" s="72"/>
      <c r="H33" s="74"/>
      <c r="I33" s="11"/>
      <c r="J33" s="72">
        <f>0.54*$C33/22.711/1000</f>
        <v>3.1913522081810585E-3</v>
      </c>
      <c r="K33" s="72">
        <f>8.17*$C33/22.711/1000</f>
        <v>4.8283976927480078E-2</v>
      </c>
      <c r="L33" s="72">
        <f>3.26*$C33/22.711/1000</f>
        <v>1.9266311479018979E-2</v>
      </c>
      <c r="M33" s="72">
        <f>2.53*$C33/22.711/1000</f>
        <v>1.4952076086477918E-2</v>
      </c>
      <c r="N33" s="11"/>
      <c r="O33" s="74"/>
      <c r="P33" s="11"/>
      <c r="Q33" s="74">
        <v>159.69999999999999</v>
      </c>
      <c r="R33" s="11"/>
      <c r="S33" s="74" t="s">
        <v>154</v>
      </c>
      <c r="T33" s="11"/>
      <c r="U33" s="74">
        <v>0.53200000000000003</v>
      </c>
      <c r="V33" s="11"/>
      <c r="W33" s="74"/>
      <c r="X33" s="11"/>
      <c r="Y33" s="74">
        <v>2.11</v>
      </c>
      <c r="Z33" s="11"/>
      <c r="AA33" s="74">
        <v>359.84</v>
      </c>
      <c r="AB33" s="11"/>
      <c r="AC33" s="74">
        <v>6.89</v>
      </c>
      <c r="AD33" s="11"/>
      <c r="AE33" s="74"/>
      <c r="AF33" s="11"/>
      <c r="AG33" s="72">
        <v>387</v>
      </c>
      <c r="AH33" s="73">
        <v>472</v>
      </c>
      <c r="AI33" s="74">
        <f>AVERAGE(AG33:AH33)</f>
        <v>429.5</v>
      </c>
      <c r="AJ33" s="11"/>
      <c r="AK33" s="74">
        <v>323.38</v>
      </c>
      <c r="AL33" s="11"/>
      <c r="AM33" s="74">
        <v>278.02999999999997</v>
      </c>
      <c r="AN33" s="11"/>
      <c r="AO33" s="74">
        <v>135.4</v>
      </c>
      <c r="AP33" s="11"/>
      <c r="AQ33" s="74"/>
    </row>
    <row r="34" spans="1:43" ht="15.6">
      <c r="A34" s="132" t="s">
        <v>481</v>
      </c>
      <c r="B34" s="132"/>
      <c r="C34" s="93">
        <v>134.22</v>
      </c>
      <c r="D34" s="57" t="s">
        <v>507</v>
      </c>
      <c r="E34" s="58" t="s">
        <v>514</v>
      </c>
      <c r="F34" s="11"/>
      <c r="G34" s="72"/>
      <c r="H34" s="74"/>
      <c r="I34" s="11"/>
      <c r="J34" s="72">
        <f>(0.63+0.37)*$C34/22.711/1000</f>
        <v>5.9099114966315886E-3</v>
      </c>
      <c r="K34" s="72">
        <f>(10.99+13.36)*$C34/22.711/1000</f>
        <v>0.14390634494297919</v>
      </c>
      <c r="L34" s="72">
        <f>(3.55+3.83)*$C34/22.711/1000</f>
        <v>4.3615146845141117E-2</v>
      </c>
      <c r="M34" s="72">
        <f>(4.27+4.79)*$C34/22.711/1000</f>
        <v>5.3543798159482188E-2</v>
      </c>
      <c r="N34" s="11"/>
      <c r="O34" s="74"/>
      <c r="P34" s="11"/>
      <c r="Q34" s="74"/>
      <c r="R34" s="11"/>
      <c r="S34" s="74"/>
      <c r="T34" s="11"/>
      <c r="U34" s="74"/>
      <c r="V34" s="11"/>
      <c r="W34" s="74"/>
      <c r="X34" s="11"/>
      <c r="Y34" s="74"/>
      <c r="Z34" s="11"/>
      <c r="AA34" s="74"/>
      <c r="AB34" s="11"/>
      <c r="AC34" s="74"/>
      <c r="AD34" s="11"/>
      <c r="AE34" s="74"/>
      <c r="AF34" s="11"/>
      <c r="AG34" s="72"/>
      <c r="AH34" s="73"/>
      <c r="AI34" s="74"/>
      <c r="AJ34" s="11"/>
      <c r="AK34" s="74"/>
      <c r="AL34" s="11"/>
      <c r="AM34" s="74"/>
      <c r="AN34" s="11"/>
      <c r="AO34" s="74"/>
      <c r="AP34" s="11"/>
      <c r="AQ34" s="74"/>
    </row>
    <row r="35" spans="1:43" ht="15.6">
      <c r="A35" s="132" t="s">
        <v>481</v>
      </c>
      <c r="B35" s="132"/>
      <c r="C35" s="93">
        <v>134.22</v>
      </c>
      <c r="D35" s="57" t="s">
        <v>507</v>
      </c>
      <c r="E35" s="133" t="s">
        <v>515</v>
      </c>
      <c r="F35" s="11"/>
      <c r="G35" s="72"/>
      <c r="H35" s="74"/>
      <c r="I35" s="11"/>
      <c r="J35" s="72"/>
      <c r="K35" s="73"/>
      <c r="L35" s="72"/>
      <c r="M35" s="73"/>
      <c r="N35" s="11"/>
      <c r="O35" s="74"/>
      <c r="P35" s="11"/>
      <c r="Q35" s="74"/>
      <c r="R35" s="11"/>
      <c r="S35" s="74"/>
      <c r="T35" s="11"/>
      <c r="U35" s="74"/>
      <c r="V35" s="11"/>
      <c r="W35" s="74"/>
      <c r="X35" s="11"/>
      <c r="Y35" s="74"/>
      <c r="Z35" s="11"/>
      <c r="AA35" s="74"/>
      <c r="AB35" s="11"/>
      <c r="AC35" s="74"/>
      <c r="AD35" s="11"/>
      <c r="AE35" s="74"/>
      <c r="AF35" s="11"/>
      <c r="AG35" s="72"/>
      <c r="AH35" s="73"/>
      <c r="AI35" s="74"/>
      <c r="AJ35" s="11"/>
      <c r="AK35" s="74"/>
      <c r="AL35" s="11"/>
      <c r="AM35" s="74"/>
      <c r="AN35" s="11"/>
      <c r="AO35" s="74"/>
      <c r="AP35" s="11"/>
      <c r="AQ35" s="74"/>
    </row>
    <row r="36" spans="1:43" ht="15.6">
      <c r="A36" s="132" t="s">
        <v>481</v>
      </c>
      <c r="B36" s="132"/>
      <c r="C36" s="93">
        <v>134.22</v>
      </c>
      <c r="D36" s="57" t="s">
        <v>507</v>
      </c>
      <c r="E36" s="133" t="s">
        <v>516</v>
      </c>
      <c r="F36" s="11"/>
      <c r="G36" s="72"/>
      <c r="H36" s="74"/>
      <c r="I36" s="11"/>
      <c r="J36" s="72"/>
      <c r="K36" s="73"/>
      <c r="L36" s="72"/>
      <c r="M36" s="73"/>
      <c r="N36" s="11"/>
      <c r="O36" s="74"/>
      <c r="P36" s="11"/>
      <c r="Q36" s="74"/>
      <c r="R36" s="11"/>
      <c r="S36" s="74"/>
      <c r="T36" s="11"/>
      <c r="U36" s="74"/>
      <c r="V36" s="11"/>
      <c r="W36" s="74"/>
      <c r="X36" s="11"/>
      <c r="Y36" s="74"/>
      <c r="Z36" s="11"/>
      <c r="AA36" s="74"/>
      <c r="AB36" s="11"/>
      <c r="AC36" s="74"/>
      <c r="AD36" s="11"/>
      <c r="AE36" s="74"/>
      <c r="AF36" s="11"/>
      <c r="AG36" s="72"/>
      <c r="AH36" s="73"/>
      <c r="AI36" s="74"/>
      <c r="AJ36" s="11"/>
      <c r="AK36" s="74"/>
      <c r="AL36" s="11"/>
      <c r="AM36" s="74"/>
      <c r="AN36" s="11"/>
      <c r="AO36" s="74"/>
      <c r="AP36" s="11"/>
      <c r="AQ36" s="74"/>
    </row>
    <row r="37" spans="1:43" ht="15.6">
      <c r="A37" s="132" t="s">
        <v>481</v>
      </c>
      <c r="B37" s="132"/>
      <c r="C37" s="93">
        <v>134.22</v>
      </c>
      <c r="D37" s="57" t="s">
        <v>507</v>
      </c>
      <c r="E37" s="58" t="s">
        <v>517</v>
      </c>
      <c r="F37" s="3"/>
      <c r="G37" s="72"/>
      <c r="H37" s="74"/>
      <c r="I37" s="3"/>
      <c r="J37" s="72"/>
      <c r="K37" s="73"/>
      <c r="L37" s="72"/>
      <c r="M37" s="73"/>
      <c r="N37" s="3"/>
      <c r="O37" s="74"/>
      <c r="P37" s="3"/>
      <c r="Q37" s="74"/>
      <c r="R37" s="3"/>
      <c r="S37" s="74"/>
      <c r="T37" s="3"/>
      <c r="U37" s="74"/>
      <c r="V37" s="3"/>
      <c r="W37" s="74"/>
      <c r="X37" s="3"/>
      <c r="Y37" s="74"/>
      <c r="Z37" s="3"/>
      <c r="AA37" s="74"/>
      <c r="AB37" s="3"/>
      <c r="AC37" s="74"/>
      <c r="AD37" s="3"/>
      <c r="AE37" s="74"/>
      <c r="AF37" s="3"/>
      <c r="AG37" s="72"/>
      <c r="AH37" s="73"/>
      <c r="AI37" s="74"/>
      <c r="AJ37" s="3"/>
      <c r="AK37" s="74"/>
      <c r="AL37" s="3"/>
      <c r="AM37" s="74"/>
      <c r="AN37" s="3"/>
      <c r="AO37" s="74"/>
      <c r="AP37" s="3"/>
      <c r="AQ37" s="74"/>
    </row>
    <row r="38" spans="1:43" ht="15.6">
      <c r="A38" s="132" t="s">
        <v>481</v>
      </c>
      <c r="B38" s="132"/>
      <c r="C38" s="93">
        <v>134.22</v>
      </c>
      <c r="D38" s="57" t="s">
        <v>507</v>
      </c>
      <c r="E38" s="58" t="s">
        <v>518</v>
      </c>
      <c r="F38" s="11"/>
      <c r="G38" s="72"/>
      <c r="H38" s="74"/>
      <c r="I38" s="11"/>
      <c r="J38" s="72"/>
      <c r="K38" s="73"/>
      <c r="L38" s="72"/>
      <c r="M38" s="73"/>
      <c r="N38" s="11"/>
      <c r="O38" s="74"/>
      <c r="P38" s="11"/>
      <c r="Q38" s="74"/>
      <c r="R38" s="11"/>
      <c r="S38" s="74"/>
      <c r="T38" s="11"/>
      <c r="U38" s="74"/>
      <c r="V38" s="11"/>
      <c r="W38" s="74"/>
      <c r="X38" s="11"/>
      <c r="Y38" s="74"/>
      <c r="Z38" s="11"/>
      <c r="AA38" s="74"/>
      <c r="AB38" s="11"/>
      <c r="AC38" s="74"/>
      <c r="AD38" s="11"/>
      <c r="AE38" s="74"/>
      <c r="AF38" s="11"/>
      <c r="AG38" s="72"/>
      <c r="AH38" s="73"/>
      <c r="AI38" s="74"/>
      <c r="AJ38" s="11"/>
      <c r="AK38" s="74"/>
      <c r="AL38" s="11"/>
      <c r="AM38" s="74"/>
      <c r="AN38" s="11"/>
      <c r="AO38" s="74"/>
      <c r="AP38" s="11"/>
      <c r="AQ38" s="74"/>
    </row>
    <row r="39" spans="1:43" ht="15.6">
      <c r="A39" s="132" t="s">
        <v>481</v>
      </c>
      <c r="B39" s="132"/>
      <c r="C39" s="93">
        <v>134.22</v>
      </c>
      <c r="D39" s="57" t="s">
        <v>507</v>
      </c>
      <c r="E39" s="58" t="s">
        <v>519</v>
      </c>
      <c r="F39" s="11"/>
      <c r="G39" s="72"/>
      <c r="H39" s="74"/>
      <c r="I39" s="11"/>
      <c r="J39" s="72">
        <f>1.02*$C39/22.711/1000</f>
        <v>6.0281097265642214E-3</v>
      </c>
      <c r="K39" s="72">
        <f>3.47*$C39/22.711/1000</f>
        <v>2.0507392893311615E-2</v>
      </c>
      <c r="L39" s="72">
        <f>1.62*$C39/22.711/1000</f>
        <v>9.574056624543175E-3</v>
      </c>
      <c r="M39" s="72">
        <f>0.92*$C39/22.711/1000</f>
        <v>5.4371185769010611E-3</v>
      </c>
      <c r="N39" s="11"/>
      <c r="O39" s="74"/>
      <c r="P39" s="11"/>
      <c r="Q39" s="74"/>
      <c r="R39" s="11"/>
      <c r="S39" s="74"/>
      <c r="T39" s="11"/>
      <c r="U39" s="74"/>
      <c r="V39" s="11"/>
      <c r="W39" s="74"/>
      <c r="X39" s="11"/>
      <c r="Y39" s="74"/>
      <c r="Z39" s="11"/>
      <c r="AA39" s="74"/>
      <c r="AB39" s="11"/>
      <c r="AC39" s="74"/>
      <c r="AD39" s="11"/>
      <c r="AE39" s="74"/>
      <c r="AF39" s="11"/>
      <c r="AG39" s="72"/>
      <c r="AH39" s="73"/>
      <c r="AI39" s="74"/>
      <c r="AJ39" s="11"/>
      <c r="AK39" s="74"/>
      <c r="AL39" s="11"/>
      <c r="AM39" s="74"/>
      <c r="AN39" s="11"/>
      <c r="AO39" s="74"/>
      <c r="AP39" s="11"/>
      <c r="AQ39" s="74"/>
    </row>
    <row r="40" spans="1:43" ht="15.6">
      <c r="A40" s="58" t="s">
        <v>484</v>
      </c>
      <c r="B40" s="132"/>
      <c r="C40" s="93">
        <v>138.25</v>
      </c>
      <c r="D40" s="57" t="s">
        <v>520</v>
      </c>
      <c r="E40" s="58" t="s">
        <v>521</v>
      </c>
      <c r="F40" s="11"/>
      <c r="G40" s="72"/>
      <c r="H40" s="74"/>
      <c r="I40" s="11"/>
      <c r="J40" s="72"/>
      <c r="K40" s="72"/>
      <c r="L40" s="72"/>
      <c r="M40" s="72"/>
      <c r="N40" s="11"/>
      <c r="O40" s="74"/>
      <c r="P40" s="11"/>
      <c r="Q40" s="74">
        <v>4.5</v>
      </c>
      <c r="R40" s="11"/>
      <c r="S40" s="74"/>
      <c r="T40" s="11"/>
      <c r="U40" s="74"/>
      <c r="V40" s="11"/>
      <c r="W40" s="74"/>
      <c r="X40" s="11"/>
      <c r="Y40" s="74"/>
      <c r="Z40" s="11"/>
      <c r="AA40" s="74"/>
      <c r="AB40" s="11"/>
      <c r="AC40" s="74"/>
      <c r="AD40" s="11"/>
      <c r="AE40" s="74"/>
      <c r="AF40" s="11"/>
      <c r="AG40" s="72"/>
      <c r="AH40" s="73"/>
      <c r="AI40" s="74"/>
      <c r="AJ40" s="11"/>
      <c r="AK40" s="74"/>
      <c r="AL40" s="11"/>
      <c r="AM40" s="74"/>
      <c r="AN40" s="11"/>
      <c r="AO40" s="74"/>
      <c r="AP40" s="11"/>
      <c r="AQ40" s="74"/>
    </row>
    <row r="41" spans="1:43" ht="15.6">
      <c r="A41" s="58" t="s">
        <v>484</v>
      </c>
      <c r="B41" s="132"/>
      <c r="C41" s="93">
        <v>138.25</v>
      </c>
      <c r="D41" s="57" t="s">
        <v>520</v>
      </c>
      <c r="E41" s="58" t="s">
        <v>522</v>
      </c>
      <c r="F41" s="11"/>
      <c r="G41" s="72"/>
      <c r="H41" s="74"/>
      <c r="I41" s="11"/>
      <c r="J41" s="72"/>
      <c r="K41" s="72"/>
      <c r="L41" s="72"/>
      <c r="M41" s="72"/>
      <c r="N41" s="11"/>
      <c r="O41" s="74"/>
      <c r="P41" s="11"/>
      <c r="Q41" s="74">
        <v>3.5</v>
      </c>
      <c r="R41" s="11"/>
      <c r="S41" s="74"/>
      <c r="T41" s="11"/>
      <c r="U41" s="74"/>
      <c r="V41" s="11"/>
      <c r="W41" s="74"/>
      <c r="X41" s="11"/>
      <c r="Y41" s="74"/>
      <c r="Z41" s="11"/>
      <c r="AA41" s="74"/>
      <c r="AB41" s="11"/>
      <c r="AC41" s="74"/>
      <c r="AD41" s="11"/>
      <c r="AE41" s="74"/>
      <c r="AF41" s="11"/>
      <c r="AG41" s="72"/>
      <c r="AH41" s="73"/>
      <c r="AI41" s="74"/>
      <c r="AJ41" s="11"/>
      <c r="AK41" s="74"/>
      <c r="AL41" s="11"/>
      <c r="AM41" s="74"/>
      <c r="AN41" s="11"/>
      <c r="AO41" s="74"/>
      <c r="AP41" s="11"/>
      <c r="AQ41" s="74"/>
    </row>
    <row r="42" spans="1:43" ht="15.6">
      <c r="A42" s="58" t="s">
        <v>484</v>
      </c>
      <c r="B42" s="132"/>
      <c r="C42" s="93">
        <v>140.27000000000001</v>
      </c>
      <c r="D42" s="57" t="s">
        <v>523</v>
      </c>
      <c r="E42" s="58" t="s">
        <v>524</v>
      </c>
      <c r="F42" s="11"/>
      <c r="G42" s="72"/>
      <c r="H42" s="74"/>
      <c r="I42" s="11"/>
      <c r="J42" s="72"/>
      <c r="K42" s="72"/>
      <c r="L42" s="72"/>
      <c r="M42" s="72"/>
      <c r="N42" s="11"/>
      <c r="O42" s="74"/>
      <c r="P42" s="11"/>
      <c r="Q42" s="74">
        <v>0.7</v>
      </c>
      <c r="R42" s="11"/>
      <c r="S42" s="74"/>
      <c r="T42" s="11"/>
      <c r="U42" s="74"/>
      <c r="V42" s="11"/>
      <c r="W42" s="74"/>
      <c r="X42" s="11"/>
      <c r="Y42" s="74"/>
      <c r="Z42" s="11"/>
      <c r="AA42" s="74"/>
      <c r="AB42" s="11"/>
      <c r="AC42" s="74"/>
      <c r="AD42" s="11"/>
      <c r="AE42" s="74"/>
      <c r="AF42" s="11"/>
      <c r="AG42" s="72"/>
      <c r="AH42" s="73"/>
      <c r="AI42" s="74"/>
      <c r="AJ42" s="11"/>
      <c r="AK42" s="74"/>
      <c r="AL42" s="11"/>
      <c r="AM42" s="74"/>
      <c r="AN42" s="11"/>
      <c r="AO42" s="74"/>
      <c r="AP42" s="11"/>
      <c r="AQ42" s="74"/>
    </row>
    <row r="43" spans="1:43" ht="15.6">
      <c r="A43" s="125" t="s">
        <v>525</v>
      </c>
      <c r="B43" s="118"/>
      <c r="C43" s="81">
        <v>136.22999999999999</v>
      </c>
      <c r="D43" s="55" t="s">
        <v>526</v>
      </c>
      <c r="E43" s="56" t="s">
        <v>527</v>
      </c>
      <c r="F43" s="11"/>
      <c r="G43" s="110"/>
      <c r="H43" s="111"/>
      <c r="I43" s="11"/>
      <c r="J43" s="110"/>
      <c r="K43" s="109"/>
      <c r="L43" s="110"/>
      <c r="M43" s="109"/>
      <c r="N43" s="11"/>
      <c r="O43" s="111"/>
      <c r="P43" s="11"/>
      <c r="Q43" s="111">
        <v>32.1</v>
      </c>
      <c r="R43" s="11"/>
      <c r="S43" s="111" t="s">
        <v>154</v>
      </c>
      <c r="T43" s="11"/>
      <c r="U43" s="111">
        <v>6.0759999999999996</v>
      </c>
      <c r="V43" s="11"/>
      <c r="W43" s="111"/>
      <c r="X43" s="11"/>
      <c r="Y43" s="111">
        <v>6.01</v>
      </c>
      <c r="Z43" s="11"/>
      <c r="AA43" s="111">
        <v>71.84</v>
      </c>
      <c r="AB43" s="11"/>
      <c r="AC43" s="111">
        <v>9.26</v>
      </c>
      <c r="AD43" s="11"/>
      <c r="AE43" s="111" t="s">
        <v>154</v>
      </c>
      <c r="AF43" s="11"/>
      <c r="AG43" s="110">
        <v>21.4</v>
      </c>
      <c r="AH43" s="109">
        <v>27.8</v>
      </c>
      <c r="AI43" s="111">
        <f>AVERAGE(AG43:AH43)</f>
        <v>24.6</v>
      </c>
      <c r="AJ43" s="11"/>
      <c r="AK43" s="111">
        <v>10.77</v>
      </c>
      <c r="AL43" s="11"/>
      <c r="AM43" s="111">
        <v>8.8719999999999999</v>
      </c>
      <c r="AN43" s="11"/>
      <c r="AO43" s="111">
        <v>48.24</v>
      </c>
      <c r="AP43" s="11"/>
      <c r="AQ43" s="111"/>
    </row>
    <row r="44" spans="1:43" ht="15.6">
      <c r="A44" s="56" t="s">
        <v>525</v>
      </c>
      <c r="B44" s="118"/>
      <c r="C44" s="81">
        <v>136.22999999999999</v>
      </c>
      <c r="D44" s="55" t="s">
        <v>526</v>
      </c>
      <c r="E44" s="56" t="s">
        <v>528</v>
      </c>
      <c r="F44" s="11"/>
      <c r="G44" s="110"/>
      <c r="H44" s="111"/>
      <c r="I44" s="11"/>
      <c r="J44" s="110"/>
      <c r="K44" s="109"/>
      <c r="L44" s="110"/>
      <c r="M44" s="109"/>
      <c r="N44" s="11"/>
      <c r="O44" s="111"/>
      <c r="P44" s="11"/>
      <c r="Q44" s="111">
        <v>11.8</v>
      </c>
      <c r="R44" s="11"/>
      <c r="S44" s="111"/>
      <c r="T44" s="11"/>
      <c r="U44" s="111"/>
      <c r="V44" s="11"/>
      <c r="W44" s="111"/>
      <c r="X44" s="11"/>
      <c r="Y44" s="111">
        <v>0.75</v>
      </c>
      <c r="Z44" s="11"/>
      <c r="AA44" s="111">
        <v>23.15</v>
      </c>
      <c r="AB44" s="11"/>
      <c r="AC44" s="111">
        <v>0.53</v>
      </c>
      <c r="AD44" s="11"/>
      <c r="AE44" s="111"/>
      <c r="AF44" s="11"/>
      <c r="AG44" s="110">
        <v>3.4</v>
      </c>
      <c r="AH44" s="109">
        <v>3.8</v>
      </c>
      <c r="AI44" s="111">
        <f t="shared" ref="AI44:AI52" si="0">AVERAGE(AG44:AH44)</f>
        <v>3.5999999999999996</v>
      </c>
      <c r="AJ44" s="11"/>
      <c r="AK44" s="111"/>
      <c r="AL44" s="11"/>
      <c r="AM44" s="111"/>
      <c r="AN44" s="11"/>
      <c r="AO44" s="111"/>
      <c r="AP44" s="11"/>
      <c r="AQ44" s="111"/>
    </row>
    <row r="45" spans="1:43" ht="15.6">
      <c r="A45" s="56" t="s">
        <v>525</v>
      </c>
      <c r="B45" s="118"/>
      <c r="C45" s="81">
        <v>136.22999999999999</v>
      </c>
      <c r="D45" s="55" t="s">
        <v>526</v>
      </c>
      <c r="E45" s="56" t="s">
        <v>529</v>
      </c>
      <c r="F45" s="11"/>
      <c r="G45" s="110"/>
      <c r="H45" s="111"/>
      <c r="I45" s="11"/>
      <c r="J45" s="110"/>
      <c r="K45" s="109"/>
      <c r="L45" s="110"/>
      <c r="M45" s="109"/>
      <c r="N45" s="11"/>
      <c r="O45" s="111"/>
      <c r="P45" s="11"/>
      <c r="Q45" s="111">
        <v>14.7</v>
      </c>
      <c r="R45" s="11"/>
      <c r="S45" s="111"/>
      <c r="T45" s="11"/>
      <c r="U45" s="111"/>
      <c r="V45" s="11"/>
      <c r="W45" s="111"/>
      <c r="X45" s="11"/>
      <c r="Y45" s="111">
        <v>1.82</v>
      </c>
      <c r="Z45" s="11"/>
      <c r="AA45" s="111">
        <v>42.89</v>
      </c>
      <c r="AB45" s="11"/>
      <c r="AC45" s="111">
        <v>7.03</v>
      </c>
      <c r="AD45" s="11"/>
      <c r="AE45" s="111" t="s">
        <v>154</v>
      </c>
      <c r="AF45" s="11"/>
      <c r="AG45" s="110">
        <v>21.7</v>
      </c>
      <c r="AH45" s="109">
        <v>28.1</v>
      </c>
      <c r="AI45" s="111">
        <f t="shared" si="0"/>
        <v>24.9</v>
      </c>
      <c r="AJ45" s="11"/>
      <c r="AK45" s="111"/>
      <c r="AL45" s="11"/>
      <c r="AM45" s="111"/>
      <c r="AN45" s="11"/>
      <c r="AO45" s="111"/>
      <c r="AP45" s="11"/>
      <c r="AQ45" s="111"/>
    </row>
    <row r="46" spans="1:43" ht="15.6">
      <c r="A46" s="56" t="s">
        <v>525</v>
      </c>
      <c r="B46" s="55"/>
      <c r="C46" s="81">
        <v>136.22999999999999</v>
      </c>
      <c r="D46" s="55" t="s">
        <v>526</v>
      </c>
      <c r="E46" s="56" t="s">
        <v>530</v>
      </c>
      <c r="F46" s="11"/>
      <c r="G46" s="110"/>
      <c r="H46" s="111"/>
      <c r="I46" s="11"/>
      <c r="J46" s="110"/>
      <c r="K46" s="109"/>
      <c r="L46" s="110"/>
      <c r="M46" s="109"/>
      <c r="N46" s="11"/>
      <c r="O46" s="111"/>
      <c r="P46" s="11"/>
      <c r="Q46" s="111">
        <v>45.6</v>
      </c>
      <c r="R46" s="11"/>
      <c r="S46" s="111" t="s">
        <v>154</v>
      </c>
      <c r="T46" s="11"/>
      <c r="U46" s="111">
        <v>57.25</v>
      </c>
      <c r="V46" s="11"/>
      <c r="W46" s="111"/>
      <c r="X46" s="11"/>
      <c r="Y46" s="111">
        <v>38.090000000000003</v>
      </c>
      <c r="Z46" s="11"/>
      <c r="AA46" s="111">
        <v>158.4</v>
      </c>
      <c r="AB46" s="11"/>
      <c r="AC46" s="111">
        <v>26.78</v>
      </c>
      <c r="AD46" s="11"/>
      <c r="AE46" s="111">
        <v>187</v>
      </c>
      <c r="AF46" s="11"/>
      <c r="AG46" s="110">
        <v>82.3</v>
      </c>
      <c r="AH46" s="109">
        <v>96.8</v>
      </c>
      <c r="AI46" s="111">
        <f t="shared" si="0"/>
        <v>89.55</v>
      </c>
      <c r="AJ46" s="11"/>
      <c r="AK46" s="111">
        <v>79.418999999999997</v>
      </c>
      <c r="AL46" s="11"/>
      <c r="AM46" s="111">
        <v>78.783000000000001</v>
      </c>
      <c r="AN46" s="11"/>
      <c r="AO46" s="111">
        <v>217.45</v>
      </c>
      <c r="AP46" s="11"/>
      <c r="AQ46" s="111">
        <v>8.1999999999999993</v>
      </c>
    </row>
    <row r="47" spans="1:43" ht="15.6">
      <c r="A47" s="56" t="s">
        <v>525</v>
      </c>
      <c r="B47" s="118"/>
      <c r="C47" s="81">
        <v>136.22999999999999</v>
      </c>
      <c r="D47" s="55" t="s">
        <v>526</v>
      </c>
      <c r="E47" s="56" t="s">
        <v>531</v>
      </c>
      <c r="F47" s="11"/>
      <c r="G47" s="110"/>
      <c r="H47" s="111"/>
      <c r="I47" s="11"/>
      <c r="J47" s="110"/>
      <c r="K47" s="110"/>
      <c r="L47" s="110"/>
      <c r="M47" s="110"/>
      <c r="N47" s="11"/>
      <c r="O47" s="111"/>
      <c r="P47" s="11"/>
      <c r="Q47" s="111">
        <v>0.4</v>
      </c>
      <c r="R47" s="11"/>
      <c r="S47" s="111"/>
      <c r="T47" s="11"/>
      <c r="U47" s="111"/>
      <c r="V47" s="11"/>
      <c r="W47" s="111"/>
      <c r="X47" s="11"/>
      <c r="Y47" s="111"/>
      <c r="Z47" s="11"/>
      <c r="AA47" s="111"/>
      <c r="AB47" s="11"/>
      <c r="AC47" s="111"/>
      <c r="AD47" s="11"/>
      <c r="AE47" s="111"/>
      <c r="AF47" s="11"/>
      <c r="AG47" s="110"/>
      <c r="AH47" s="109"/>
      <c r="AI47" s="111"/>
      <c r="AJ47" s="11"/>
      <c r="AK47" s="111"/>
      <c r="AL47" s="11"/>
      <c r="AM47" s="111"/>
      <c r="AN47" s="11"/>
      <c r="AO47" s="111"/>
      <c r="AP47" s="11"/>
      <c r="AQ47" s="111"/>
    </row>
    <row r="48" spans="1:43" ht="15.6">
      <c r="A48" s="56" t="s">
        <v>525</v>
      </c>
      <c r="B48" s="118"/>
      <c r="C48" s="81">
        <v>136.22999999999999</v>
      </c>
      <c r="D48" s="55" t="s">
        <v>526</v>
      </c>
      <c r="E48" s="56" t="s">
        <v>532</v>
      </c>
      <c r="F48" s="11"/>
      <c r="G48" s="110"/>
      <c r="H48" s="111"/>
      <c r="I48" s="11"/>
      <c r="J48" s="110"/>
      <c r="K48" s="110"/>
      <c r="L48" s="110"/>
      <c r="M48" s="110"/>
      <c r="N48" s="11"/>
      <c r="O48" s="111"/>
      <c r="P48" s="11"/>
      <c r="Q48" s="111">
        <v>6.3</v>
      </c>
      <c r="R48" s="11"/>
      <c r="S48" s="111"/>
      <c r="T48" s="11"/>
      <c r="U48" s="111"/>
      <c r="V48" s="11"/>
      <c r="W48" s="111"/>
      <c r="X48" s="11"/>
      <c r="Y48" s="111"/>
      <c r="Z48" s="11"/>
      <c r="AA48" s="111"/>
      <c r="AB48" s="11"/>
      <c r="AC48" s="111"/>
      <c r="AD48" s="11"/>
      <c r="AE48" s="111"/>
      <c r="AF48" s="11"/>
      <c r="AG48" s="110"/>
      <c r="AH48" s="109"/>
      <c r="AI48" s="111"/>
      <c r="AJ48" s="11"/>
      <c r="AK48" s="111"/>
      <c r="AL48" s="11"/>
      <c r="AM48" s="111"/>
      <c r="AN48" s="11"/>
      <c r="AO48" s="111"/>
      <c r="AP48" s="11"/>
      <c r="AQ48" s="111"/>
    </row>
    <row r="49" spans="1:43" ht="15.6">
      <c r="A49" s="56" t="s">
        <v>525</v>
      </c>
      <c r="B49" s="118"/>
      <c r="C49" s="81">
        <v>136.22999999999999</v>
      </c>
      <c r="D49" s="55" t="s">
        <v>526</v>
      </c>
      <c r="E49" s="56" t="s">
        <v>533</v>
      </c>
      <c r="F49" s="11"/>
      <c r="G49" s="110"/>
      <c r="H49" s="111"/>
      <c r="I49" s="11"/>
      <c r="J49" s="110"/>
      <c r="K49" s="110"/>
      <c r="L49" s="110"/>
      <c r="M49" s="110"/>
      <c r="N49" s="11"/>
      <c r="O49" s="111"/>
      <c r="P49" s="11"/>
      <c r="Q49" s="111">
        <v>8.6999999999999993</v>
      </c>
      <c r="R49" s="11"/>
      <c r="S49" s="111"/>
      <c r="T49" s="11"/>
      <c r="U49" s="111"/>
      <c r="V49" s="11"/>
      <c r="W49" s="111"/>
      <c r="X49" s="11"/>
      <c r="Y49" s="111"/>
      <c r="Z49" s="11"/>
      <c r="AA49" s="111"/>
      <c r="AB49" s="11"/>
      <c r="AC49" s="111"/>
      <c r="AD49" s="11"/>
      <c r="AE49" s="111" t="s">
        <v>154</v>
      </c>
      <c r="AF49" s="11"/>
      <c r="AG49" s="110">
        <v>4.7</v>
      </c>
      <c r="AH49" s="109">
        <v>5.8</v>
      </c>
      <c r="AI49" s="111">
        <f t="shared" si="0"/>
        <v>5.25</v>
      </c>
      <c r="AJ49" s="11"/>
      <c r="AK49" s="111"/>
      <c r="AL49" s="11"/>
      <c r="AM49" s="111"/>
      <c r="AN49" s="11"/>
      <c r="AO49" s="111"/>
      <c r="AP49" s="11"/>
      <c r="AQ49" s="111"/>
    </row>
    <row r="50" spans="1:43" ht="15.6">
      <c r="A50" s="56" t="s">
        <v>525</v>
      </c>
      <c r="B50" s="118"/>
      <c r="C50" s="81">
        <v>136.22999999999999</v>
      </c>
      <c r="D50" s="55" t="s">
        <v>526</v>
      </c>
      <c r="E50" s="56" t="s">
        <v>534</v>
      </c>
      <c r="F50" s="11"/>
      <c r="G50" s="110"/>
      <c r="H50" s="111"/>
      <c r="I50" s="11"/>
      <c r="J50" s="110"/>
      <c r="K50" s="110"/>
      <c r="L50" s="110"/>
      <c r="M50" s="110"/>
      <c r="N50" s="11"/>
      <c r="O50" s="111"/>
      <c r="P50" s="11"/>
      <c r="Q50" s="111"/>
      <c r="R50" s="11"/>
      <c r="S50" s="111"/>
      <c r="T50" s="11"/>
      <c r="U50" s="111"/>
      <c r="V50" s="11"/>
      <c r="W50" s="111"/>
      <c r="X50" s="11"/>
      <c r="Y50" s="111"/>
      <c r="Z50" s="11"/>
      <c r="AA50" s="111"/>
      <c r="AB50" s="11"/>
      <c r="AC50" s="111"/>
      <c r="AD50" s="11"/>
      <c r="AE50" s="111"/>
      <c r="AF50" s="11"/>
      <c r="AG50" s="110">
        <v>23.2</v>
      </c>
      <c r="AH50" s="109">
        <v>25.6</v>
      </c>
      <c r="AI50" s="111">
        <f t="shared" si="0"/>
        <v>24.4</v>
      </c>
      <c r="AJ50" s="11"/>
      <c r="AK50" s="111"/>
      <c r="AL50" s="11"/>
      <c r="AM50" s="111"/>
      <c r="AN50" s="11"/>
      <c r="AO50" s="111"/>
      <c r="AP50" s="11"/>
      <c r="AQ50" s="111"/>
    </row>
    <row r="51" spans="1:43" ht="15.6">
      <c r="A51" s="56" t="s">
        <v>525</v>
      </c>
      <c r="B51" s="118"/>
      <c r="C51" s="81">
        <v>136.22999999999999</v>
      </c>
      <c r="D51" s="55" t="s">
        <v>526</v>
      </c>
      <c r="E51" s="56" t="s">
        <v>535</v>
      </c>
      <c r="F51" s="11"/>
      <c r="G51" s="110"/>
      <c r="H51" s="111"/>
      <c r="I51" s="11"/>
      <c r="J51" s="110"/>
      <c r="K51" s="110"/>
      <c r="L51" s="110"/>
      <c r="M51" s="110"/>
      <c r="N51" s="11"/>
      <c r="O51" s="111"/>
      <c r="P51" s="11"/>
      <c r="Q51" s="111">
        <v>4.8</v>
      </c>
      <c r="R51" s="11"/>
      <c r="S51" s="111"/>
      <c r="T51" s="11"/>
      <c r="U51" s="111"/>
      <c r="V51" s="11"/>
      <c r="W51" s="111"/>
      <c r="X51" s="11"/>
      <c r="Y51" s="111"/>
      <c r="Z51" s="11"/>
      <c r="AA51" s="111"/>
      <c r="AB51" s="11"/>
      <c r="AC51" s="111"/>
      <c r="AD51" s="11"/>
      <c r="AE51" s="111"/>
      <c r="AF51" s="11"/>
      <c r="AG51" s="110"/>
      <c r="AH51" s="109"/>
      <c r="AI51" s="111"/>
      <c r="AJ51" s="11"/>
      <c r="AK51" s="111"/>
      <c r="AL51" s="11"/>
      <c r="AM51" s="111"/>
      <c r="AN51" s="11"/>
      <c r="AO51" s="111"/>
      <c r="AP51" s="11"/>
      <c r="AQ51" s="111"/>
    </row>
    <row r="52" spans="1:43" ht="15.6">
      <c r="A52" s="56" t="s">
        <v>525</v>
      </c>
      <c r="B52" s="118"/>
      <c r="C52" s="81">
        <v>136.22999999999999</v>
      </c>
      <c r="D52" s="55" t="s">
        <v>526</v>
      </c>
      <c r="E52" s="60" t="s">
        <v>536</v>
      </c>
      <c r="F52" s="11"/>
      <c r="G52" s="110"/>
      <c r="H52" s="111"/>
      <c r="I52" s="11"/>
      <c r="J52" s="110"/>
      <c r="K52" s="110"/>
      <c r="L52" s="110"/>
      <c r="M52" s="110"/>
      <c r="N52" s="11"/>
      <c r="O52" s="111"/>
      <c r="P52" s="11"/>
      <c r="Q52" s="111"/>
      <c r="R52" s="11"/>
      <c r="S52" s="111"/>
      <c r="T52" s="11"/>
      <c r="U52" s="111"/>
      <c r="V52" s="11"/>
      <c r="W52" s="111"/>
      <c r="X52" s="11"/>
      <c r="Y52" s="111"/>
      <c r="Z52" s="11"/>
      <c r="AA52" s="111"/>
      <c r="AB52" s="11"/>
      <c r="AC52" s="111"/>
      <c r="AD52" s="11"/>
      <c r="AE52" s="111"/>
      <c r="AF52" s="11"/>
      <c r="AG52" s="110">
        <v>29.2</v>
      </c>
      <c r="AH52" s="109">
        <v>41.4</v>
      </c>
      <c r="AI52" s="111">
        <f t="shared" si="0"/>
        <v>35.299999999999997</v>
      </c>
      <c r="AJ52" s="11"/>
      <c r="AK52" s="111"/>
      <c r="AL52" s="11"/>
      <c r="AM52" s="111"/>
      <c r="AN52" s="11"/>
      <c r="AO52" s="111"/>
      <c r="AP52" s="11"/>
      <c r="AQ52" s="111"/>
    </row>
    <row r="53" spans="1:43" ht="15.6">
      <c r="A53" s="132" t="s">
        <v>481</v>
      </c>
      <c r="B53" s="132"/>
      <c r="C53" s="95">
        <v>142.19999999999999</v>
      </c>
      <c r="D53" s="57" t="s">
        <v>537</v>
      </c>
      <c r="E53" s="58" t="s">
        <v>538</v>
      </c>
      <c r="F53" s="11"/>
      <c r="G53" s="72"/>
      <c r="H53" s="74"/>
      <c r="I53" s="11"/>
      <c r="J53" s="72">
        <f>3.08*$C53/22.711/1000</f>
        <v>1.9284751882347764E-2</v>
      </c>
      <c r="K53" s="72">
        <f>3.08*$C53/22.711/1000</f>
        <v>1.9284751882347764E-2</v>
      </c>
      <c r="L53" s="72">
        <f>3.08*$C53/22.711/1000</f>
        <v>1.9284751882347764E-2</v>
      </c>
      <c r="M53" s="72">
        <v>0</v>
      </c>
      <c r="N53" s="11"/>
      <c r="O53" s="74"/>
      <c r="P53" s="11"/>
      <c r="Q53" s="74"/>
      <c r="R53" s="11"/>
      <c r="S53" s="74"/>
      <c r="T53" s="11"/>
      <c r="U53" s="74"/>
      <c r="V53" s="11"/>
      <c r="W53" s="74"/>
      <c r="X53" s="11"/>
      <c r="Y53" s="74"/>
      <c r="Z53" s="11"/>
      <c r="AA53" s="74"/>
      <c r="AB53" s="11"/>
      <c r="AC53" s="74"/>
      <c r="AD53" s="11"/>
      <c r="AE53" s="74"/>
      <c r="AF53" s="11"/>
      <c r="AG53" s="72"/>
      <c r="AH53" s="73"/>
      <c r="AI53" s="74"/>
      <c r="AJ53" s="11"/>
      <c r="AK53" s="74"/>
      <c r="AL53" s="11"/>
      <c r="AM53" s="74"/>
      <c r="AN53" s="11"/>
      <c r="AO53" s="74"/>
      <c r="AP53" s="11"/>
      <c r="AQ53" s="74"/>
    </row>
    <row r="54" spans="1:43" ht="15.6">
      <c r="A54" s="57" t="s">
        <v>481</v>
      </c>
      <c r="B54" s="132"/>
      <c r="C54" s="95">
        <v>142.19999999999999</v>
      </c>
      <c r="D54" s="57" t="s">
        <v>537</v>
      </c>
      <c r="E54" s="58" t="s">
        <v>539</v>
      </c>
      <c r="F54" s="11"/>
      <c r="G54" s="72"/>
      <c r="H54" s="74"/>
      <c r="I54" s="11"/>
      <c r="J54" s="72">
        <f>0.43*$C54/22.711/1000</f>
        <v>2.6923517238342655E-3</v>
      </c>
      <c r="K54" s="72">
        <f>5.28*$C54/22.711/1000</f>
        <v>3.3059574655453311E-2</v>
      </c>
      <c r="L54" s="72">
        <f>2.2*$C54/22.711/1000</f>
        <v>1.3774822773105542E-2</v>
      </c>
      <c r="M54" s="72">
        <f>2.68*$C54/22.711/1000</f>
        <v>1.6780238650874024E-2</v>
      </c>
      <c r="N54" s="11"/>
      <c r="O54" s="74"/>
      <c r="P54" s="11"/>
      <c r="Q54" s="74"/>
      <c r="R54" s="11"/>
      <c r="S54" s="74"/>
      <c r="T54" s="11"/>
      <c r="U54" s="74"/>
      <c r="V54" s="11"/>
      <c r="W54" s="74"/>
      <c r="X54" s="11"/>
      <c r="Y54" s="74"/>
      <c r="Z54" s="11"/>
      <c r="AA54" s="74"/>
      <c r="AB54" s="11"/>
      <c r="AC54" s="74"/>
      <c r="AD54" s="11"/>
      <c r="AE54" s="74"/>
      <c r="AF54" s="11"/>
      <c r="AG54" s="72"/>
      <c r="AH54" s="73"/>
      <c r="AI54" s="74"/>
      <c r="AJ54" s="11"/>
      <c r="AK54" s="74"/>
      <c r="AL54" s="11"/>
      <c r="AM54" s="74"/>
      <c r="AN54" s="11"/>
      <c r="AO54" s="74"/>
      <c r="AP54" s="11"/>
      <c r="AQ54" s="74"/>
    </row>
    <row r="55" spans="1:43" ht="15.95" thickBot="1">
      <c r="A55" s="138" t="s">
        <v>481</v>
      </c>
      <c r="B55" s="138"/>
      <c r="C55" s="138">
        <v>152.28</v>
      </c>
      <c r="D55" s="103" t="s">
        <v>540</v>
      </c>
      <c r="E55" s="142" t="s">
        <v>541</v>
      </c>
      <c r="F55" s="11"/>
      <c r="G55" s="140"/>
      <c r="H55" s="139"/>
      <c r="I55" s="11"/>
      <c r="J55" s="140"/>
      <c r="K55" s="141"/>
      <c r="L55" s="140"/>
      <c r="M55" s="141"/>
      <c r="N55" s="11"/>
      <c r="O55" s="139"/>
      <c r="P55" s="11"/>
      <c r="Q55" s="139"/>
      <c r="R55" s="11"/>
      <c r="S55" s="139"/>
      <c r="T55" s="11"/>
      <c r="U55" s="139"/>
      <c r="V55" s="11"/>
      <c r="W55" s="74"/>
      <c r="X55" s="11"/>
      <c r="Y55" s="139"/>
      <c r="Z55" s="11"/>
      <c r="AA55" s="139"/>
      <c r="AB55" s="11"/>
      <c r="AC55" s="139"/>
      <c r="AD55" s="11"/>
      <c r="AE55" s="139"/>
      <c r="AF55" s="11"/>
      <c r="AG55" s="140"/>
      <c r="AH55" s="141"/>
      <c r="AI55" s="139"/>
      <c r="AJ55" s="11"/>
      <c r="AK55" s="139"/>
      <c r="AL55" s="11"/>
      <c r="AM55" s="139"/>
      <c r="AN55" s="11"/>
      <c r="AO55" s="139"/>
      <c r="AP55" s="11"/>
      <c r="AQ55" s="139"/>
    </row>
    <row r="56" spans="1:43" ht="15.6">
      <c r="A56" s="118" t="s">
        <v>481</v>
      </c>
      <c r="B56" s="118"/>
      <c r="C56" s="118">
        <v>162.27000000000001</v>
      </c>
      <c r="D56" s="55" t="s">
        <v>542</v>
      </c>
      <c r="E56" s="56" t="s">
        <v>543</v>
      </c>
      <c r="F56" s="11"/>
      <c r="G56" s="110"/>
      <c r="H56" s="111"/>
      <c r="I56" s="11"/>
      <c r="J56" s="110"/>
      <c r="K56" s="109"/>
      <c r="L56" s="110"/>
      <c r="M56" s="109"/>
      <c r="N56" s="11"/>
      <c r="O56" s="111"/>
      <c r="P56" s="11"/>
      <c r="Q56" s="111"/>
      <c r="R56" s="11"/>
      <c r="S56" s="111"/>
      <c r="T56" s="11"/>
      <c r="U56" s="111"/>
      <c r="V56" s="11"/>
      <c r="W56" s="111"/>
      <c r="X56" s="11"/>
      <c r="Y56" s="111" t="s">
        <v>544</v>
      </c>
      <c r="Z56" s="11"/>
      <c r="AA56" s="111" t="s">
        <v>544</v>
      </c>
      <c r="AB56" s="11"/>
      <c r="AC56" s="111"/>
      <c r="AD56" s="11"/>
      <c r="AE56" s="111"/>
      <c r="AF56" s="11"/>
      <c r="AG56" s="110"/>
      <c r="AH56" s="109"/>
      <c r="AI56" s="111"/>
      <c r="AJ56" s="11"/>
      <c r="AK56" s="111"/>
      <c r="AL56" s="11"/>
      <c r="AM56" s="111"/>
      <c r="AN56" s="11"/>
      <c r="AO56" s="111"/>
      <c r="AP56" s="11"/>
      <c r="AQ56" s="111"/>
    </row>
    <row r="57" spans="1:43" ht="15.95" thickBot="1">
      <c r="A57" s="132" t="s">
        <v>481</v>
      </c>
      <c r="B57" s="132"/>
      <c r="C57" s="132">
        <v>178.23</v>
      </c>
      <c r="D57" s="57" t="s">
        <v>545</v>
      </c>
      <c r="E57" s="58" t="s">
        <v>546</v>
      </c>
      <c r="F57" s="11"/>
      <c r="G57" s="72"/>
      <c r="H57" s="74"/>
      <c r="I57" s="11"/>
      <c r="J57" s="72">
        <f>1.09*$C57/22.711/1000</f>
        <v>8.5540354894104182E-3</v>
      </c>
      <c r="K57" s="72">
        <f>1.09*$C57/22.711/1000</f>
        <v>8.5540354894104182E-3</v>
      </c>
      <c r="L57" s="72">
        <f>1.09*$C57/22.711/1000</f>
        <v>8.5540354894104182E-3</v>
      </c>
      <c r="M57" s="72">
        <v>0</v>
      </c>
      <c r="N57" s="11"/>
      <c r="O57" s="74"/>
      <c r="P57" s="11"/>
      <c r="Q57" s="74"/>
      <c r="R57" s="11"/>
      <c r="S57" s="74"/>
      <c r="T57" s="11"/>
      <c r="U57" s="74"/>
      <c r="V57" s="11"/>
      <c r="W57" s="74"/>
      <c r="X57" s="11"/>
      <c r="Y57" s="74"/>
      <c r="Z57" s="11"/>
      <c r="AA57" s="74"/>
      <c r="AB57" s="11"/>
      <c r="AC57" s="74"/>
      <c r="AD57" s="11"/>
      <c r="AE57" s="74"/>
      <c r="AF57" s="11"/>
      <c r="AG57" s="72"/>
      <c r="AH57" s="73"/>
      <c r="AI57" s="74"/>
      <c r="AJ57" s="11"/>
      <c r="AK57" s="74"/>
      <c r="AL57" s="11"/>
      <c r="AM57" s="74"/>
      <c r="AN57" s="11"/>
      <c r="AO57" s="74"/>
      <c r="AP57" s="11"/>
      <c r="AQ57" s="74"/>
    </row>
    <row r="58" spans="1:43" ht="15" thickBot="1">
      <c r="A58" s="240" t="s">
        <v>547</v>
      </c>
      <c r="B58" s="240"/>
      <c r="C58" s="240"/>
      <c r="D58" s="240"/>
      <c r="E58" s="240"/>
      <c r="F58" s="39"/>
      <c r="G58" s="31">
        <f>SUM(G12:G57)</f>
        <v>0.89999999999999991</v>
      </c>
      <c r="H58" s="31">
        <f>SUM(H12:H57)</f>
        <v>2</v>
      </c>
      <c r="I58" s="39"/>
      <c r="J58" s="31">
        <f>SUM(J12:J57)</f>
        <v>0.14640166879485711</v>
      </c>
      <c r="K58" s="31">
        <f>SUM(K12:K57)</f>
        <v>1.8828867465105019</v>
      </c>
      <c r="L58" s="31">
        <f>SUM(L12:L57)</f>
        <v>0.60604347672933823</v>
      </c>
      <c r="M58" s="31">
        <f>SUM(M12:M57)</f>
        <v>0.64478705032803485</v>
      </c>
      <c r="N58" s="39"/>
      <c r="O58" s="31">
        <f>SUM(O12:O57)</f>
        <v>0.6</v>
      </c>
      <c r="P58" s="39"/>
      <c r="Q58" s="31">
        <f>SUM(Q12:Q57)</f>
        <v>293.7</v>
      </c>
      <c r="R58" s="39"/>
      <c r="S58" s="31">
        <f>SUM(S12:S57)</f>
        <v>0</v>
      </c>
      <c r="T58" s="39"/>
      <c r="U58" s="31">
        <f>SUM(U12:U57)</f>
        <v>63.857999999999997</v>
      </c>
      <c r="V58" s="39"/>
      <c r="W58" s="41"/>
      <c r="X58" s="39"/>
      <c r="Y58" s="31">
        <f>SUM(Y12:Y57)</f>
        <v>53.24</v>
      </c>
      <c r="Z58" s="39"/>
      <c r="AA58" s="31">
        <f>SUM(AA12:AA57)</f>
        <v>664.82999999999993</v>
      </c>
      <c r="AB58" s="39"/>
      <c r="AC58" s="31">
        <f>SUM(AC12:AC57)</f>
        <v>63.32</v>
      </c>
      <c r="AD58" s="39"/>
      <c r="AE58" s="31">
        <f>SUM(AE12:AE57)</f>
        <v>294</v>
      </c>
      <c r="AF58" s="39"/>
      <c r="AG58" s="31">
        <f>SUM(AG12:AG57)</f>
        <v>575.1</v>
      </c>
      <c r="AH58" s="31">
        <f>SUM(AH12:AH57)</f>
        <v>705.09999999999991</v>
      </c>
      <c r="AI58" s="31">
        <f>SUM(AI12:AI57)</f>
        <v>640.09999999999991</v>
      </c>
      <c r="AJ58" s="39"/>
      <c r="AK58" s="31">
        <f>SUM(AK12:AK57)</f>
        <v>413.56899999999996</v>
      </c>
      <c r="AL58" s="39"/>
      <c r="AM58" s="31">
        <f>SUM(AM12:AM57)</f>
        <v>365.685</v>
      </c>
      <c r="AN58" s="39"/>
      <c r="AO58" s="31">
        <f>SUM(AO12:AO57)</f>
        <v>401.09000000000003</v>
      </c>
      <c r="AP58" s="39"/>
      <c r="AQ58" s="31">
        <f>SUM(AQ12:AQ57)</f>
        <v>14</v>
      </c>
    </row>
    <row r="59" spans="1:43">
      <c r="A59" s="19"/>
      <c r="B59" s="24"/>
      <c r="C59" s="24"/>
      <c r="D59" s="24"/>
      <c r="E59" s="24"/>
      <c r="F59" s="18"/>
      <c r="G59" s="50"/>
      <c r="H59" s="19"/>
      <c r="I59" s="18"/>
      <c r="N59" s="18"/>
      <c r="O59" s="19"/>
      <c r="P59" s="18"/>
      <c r="Q59" s="19"/>
      <c r="R59" s="18"/>
      <c r="S59" s="19"/>
      <c r="T59" s="18"/>
      <c r="U59" s="19"/>
      <c r="V59" s="18"/>
      <c r="W59" s="19"/>
      <c r="X59" s="18"/>
      <c r="Y59" s="19"/>
      <c r="Z59" s="18"/>
      <c r="AA59" s="19"/>
      <c r="AB59" s="18"/>
      <c r="AC59" s="19"/>
      <c r="AD59" s="18"/>
      <c r="AE59" s="19"/>
      <c r="AF59" s="18"/>
      <c r="AG59" s="19"/>
      <c r="AH59" s="19"/>
      <c r="AI59" s="19"/>
      <c r="AJ59" s="18"/>
      <c r="AK59" s="19"/>
      <c r="AL59" s="18"/>
      <c r="AM59" s="19"/>
      <c r="AN59" s="18"/>
      <c r="AO59" s="19"/>
      <c r="AP59" s="18"/>
    </row>
    <row r="60" spans="1:43">
      <c r="A60" s="19"/>
      <c r="B60" s="24"/>
      <c r="C60" s="24"/>
      <c r="D60" s="24"/>
      <c r="E60" s="51"/>
      <c r="F60" s="18"/>
      <c r="G60" s="50"/>
      <c r="H60" s="19"/>
      <c r="I60" s="18"/>
      <c r="N60" s="18"/>
      <c r="O60" s="19"/>
      <c r="P60" s="18"/>
      <c r="Q60" s="19"/>
      <c r="R60" s="18"/>
      <c r="S60" s="19"/>
      <c r="T60" s="18"/>
      <c r="U60" s="19"/>
      <c r="V60" s="18"/>
      <c r="W60" s="19"/>
      <c r="X60" s="18"/>
      <c r="Y60" s="50"/>
      <c r="Z60" s="18"/>
      <c r="AA60" s="19"/>
      <c r="AB60" s="18"/>
      <c r="AC60" s="19"/>
      <c r="AD60" s="18"/>
      <c r="AE60" s="19"/>
      <c r="AF60" s="18"/>
      <c r="AG60" s="19"/>
      <c r="AH60" s="19"/>
      <c r="AI60" s="19"/>
      <c r="AJ60" s="18"/>
      <c r="AK60" s="19"/>
      <c r="AL60" s="18"/>
      <c r="AM60" s="19"/>
      <c r="AN60" s="18"/>
      <c r="AO60" s="19"/>
      <c r="AP60" s="18"/>
    </row>
    <row r="61" spans="1:43">
      <c r="A61" s="19"/>
      <c r="B61" s="24"/>
      <c r="C61" s="24"/>
      <c r="D61" s="24"/>
      <c r="E61" s="24"/>
      <c r="F61" s="18"/>
      <c r="G61" s="50"/>
      <c r="H61" s="19"/>
      <c r="I61" s="18"/>
      <c r="N61" s="18"/>
      <c r="O61" s="19"/>
      <c r="P61" s="18"/>
      <c r="Q61" s="19"/>
      <c r="R61" s="18"/>
      <c r="S61" s="19"/>
      <c r="T61" s="18"/>
      <c r="U61" s="19"/>
      <c r="V61" s="18"/>
      <c r="W61" s="19"/>
      <c r="X61" s="18"/>
      <c r="Y61" s="19"/>
      <c r="Z61" s="18"/>
      <c r="AA61" s="19"/>
      <c r="AB61" s="18"/>
      <c r="AC61" s="19"/>
      <c r="AD61" s="18"/>
      <c r="AE61" s="19"/>
      <c r="AF61" s="18"/>
      <c r="AG61" s="19"/>
      <c r="AH61" s="19"/>
      <c r="AI61" s="19"/>
      <c r="AJ61" s="18"/>
      <c r="AK61" s="19"/>
      <c r="AL61" s="18"/>
      <c r="AM61" s="19"/>
      <c r="AN61" s="18"/>
      <c r="AO61" s="19"/>
      <c r="AP61" s="18"/>
    </row>
    <row r="62" spans="1:43">
      <c r="A62" s="19"/>
      <c r="B62" s="24"/>
      <c r="C62" s="24"/>
      <c r="D62" s="24"/>
      <c r="E62" s="24"/>
      <c r="F62" s="18"/>
      <c r="G62" s="19"/>
      <c r="H62" s="19"/>
      <c r="I62" s="18"/>
      <c r="N62" s="18"/>
      <c r="O62" s="19"/>
      <c r="P62" s="18"/>
      <c r="Q62" s="19"/>
      <c r="R62" s="18"/>
      <c r="S62" s="19"/>
      <c r="T62" s="18"/>
      <c r="U62" s="19"/>
      <c r="V62" s="18"/>
      <c r="W62" s="19"/>
      <c r="X62" s="18"/>
      <c r="Y62" s="19"/>
      <c r="Z62" s="18"/>
      <c r="AA62" s="19"/>
      <c r="AB62" s="18"/>
      <c r="AC62" s="19"/>
      <c r="AD62" s="18"/>
      <c r="AE62" s="19"/>
      <c r="AF62" s="18"/>
      <c r="AK62" s="19"/>
      <c r="AL62" s="18"/>
      <c r="AM62" s="19"/>
      <c r="AN62" s="18"/>
      <c r="AO62" s="19"/>
      <c r="AP62" s="18"/>
    </row>
    <row r="63" spans="1:43">
      <c r="A63" s="19"/>
      <c r="B63" s="24"/>
      <c r="C63" s="24"/>
      <c r="D63" s="24"/>
      <c r="E63" s="24"/>
      <c r="F63" s="18"/>
      <c r="G63" s="19"/>
      <c r="H63" s="19"/>
      <c r="I63" s="18"/>
    </row>
    <row r="64" spans="1:43">
      <c r="B64" s="24"/>
      <c r="C64" s="24"/>
      <c r="D64" s="24"/>
      <c r="E64" s="24"/>
      <c r="F64" s="18"/>
      <c r="G64" s="19"/>
      <c r="H64" s="19"/>
      <c r="I64" s="18"/>
      <c r="N64" s="18"/>
      <c r="O64" s="19"/>
      <c r="P64" s="18"/>
      <c r="Q64" s="19"/>
      <c r="R64" s="18"/>
      <c r="S64" s="19"/>
      <c r="T64" s="18"/>
      <c r="U64" s="19"/>
      <c r="V64" s="18"/>
      <c r="W64" s="19"/>
      <c r="X64" s="18"/>
      <c r="Y64" s="19"/>
      <c r="Z64" s="18"/>
      <c r="AA64" s="19"/>
      <c r="AB64" s="18"/>
      <c r="AC64" s="19"/>
      <c r="AD64" s="18"/>
      <c r="AE64" s="19"/>
      <c r="AF64" s="18"/>
      <c r="AK64" s="19"/>
      <c r="AL64" s="18"/>
      <c r="AM64" s="19"/>
      <c r="AN64" s="18"/>
      <c r="AO64" s="19"/>
      <c r="AP64" s="18"/>
    </row>
    <row r="65" spans="2:42">
      <c r="B65" s="24"/>
      <c r="C65" s="24"/>
      <c r="D65" s="24"/>
      <c r="E65" s="24"/>
      <c r="F65" s="18"/>
      <c r="G65" s="19"/>
      <c r="H65" s="19"/>
      <c r="I65" s="18"/>
      <c r="N65" s="18"/>
      <c r="O65" s="19"/>
      <c r="P65" s="18"/>
      <c r="Q65" s="19"/>
      <c r="R65" s="18"/>
      <c r="S65" s="19"/>
      <c r="T65" s="18"/>
      <c r="U65" s="19"/>
      <c r="V65" s="18"/>
      <c r="W65" s="19"/>
      <c r="X65" s="18"/>
      <c r="Y65" s="19"/>
      <c r="Z65" s="18"/>
      <c r="AA65" s="19"/>
      <c r="AB65" s="18"/>
      <c r="AC65" s="19"/>
      <c r="AD65" s="18"/>
      <c r="AE65" s="19"/>
      <c r="AF65" s="18"/>
      <c r="AK65" s="19"/>
      <c r="AL65" s="18"/>
      <c r="AM65" s="19"/>
      <c r="AN65" s="18"/>
      <c r="AO65" s="19"/>
      <c r="AP65" s="18"/>
    </row>
    <row r="66" spans="2:42">
      <c r="B66" s="24"/>
      <c r="C66" s="24"/>
      <c r="D66" s="24"/>
      <c r="E66" s="24"/>
      <c r="F66" s="18"/>
      <c r="G66" s="19"/>
      <c r="H66" s="19"/>
      <c r="I66" s="18"/>
      <c r="N66" s="18"/>
      <c r="O66" s="19"/>
      <c r="P66" s="18"/>
      <c r="Q66" s="19"/>
      <c r="R66" s="18"/>
      <c r="S66" s="19"/>
      <c r="T66" s="18"/>
      <c r="U66" s="19"/>
      <c r="V66" s="18"/>
      <c r="W66" s="19"/>
      <c r="X66" s="18"/>
      <c r="Y66" s="19"/>
      <c r="Z66" s="18"/>
      <c r="AA66" s="19"/>
      <c r="AB66" s="18"/>
      <c r="AC66" s="19"/>
      <c r="AD66" s="18"/>
      <c r="AE66" s="19"/>
      <c r="AF66" s="18"/>
      <c r="AK66" s="19"/>
      <c r="AL66" s="18"/>
      <c r="AM66" s="19"/>
      <c r="AN66" s="18"/>
      <c r="AO66" s="19"/>
      <c r="AP66" s="18"/>
    </row>
    <row r="67" spans="2:42">
      <c r="B67" s="24"/>
      <c r="C67" s="24"/>
      <c r="D67" s="24"/>
      <c r="E67" s="24"/>
      <c r="F67" s="18"/>
      <c r="G67" s="19"/>
      <c r="H67" s="19"/>
      <c r="I67" s="18"/>
      <c r="N67" s="18"/>
      <c r="O67" s="19"/>
      <c r="P67" s="18"/>
      <c r="Q67" s="19"/>
      <c r="R67" s="18"/>
      <c r="S67" s="19"/>
      <c r="T67" s="18"/>
      <c r="U67" s="19"/>
      <c r="V67" s="18"/>
      <c r="W67" s="19"/>
      <c r="X67" s="18"/>
      <c r="Y67" s="19"/>
      <c r="Z67" s="18"/>
      <c r="AA67" s="19"/>
      <c r="AB67" s="18"/>
      <c r="AC67" s="19"/>
      <c r="AD67" s="18"/>
      <c r="AE67" s="19"/>
      <c r="AF67" s="18"/>
      <c r="AK67" s="19"/>
      <c r="AL67" s="18"/>
      <c r="AM67" s="19"/>
      <c r="AN67" s="18"/>
      <c r="AO67" s="19"/>
      <c r="AP67" s="18"/>
    </row>
    <row r="68" spans="2:42">
      <c r="B68" s="24"/>
      <c r="C68" s="24"/>
      <c r="D68" s="24"/>
      <c r="E68" s="24"/>
      <c r="F68" s="18"/>
      <c r="G68" s="19"/>
      <c r="H68" s="19"/>
      <c r="I68" s="18"/>
      <c r="N68" s="18"/>
      <c r="O68" s="19"/>
      <c r="P68" s="18"/>
      <c r="Q68" s="19"/>
      <c r="R68" s="18"/>
      <c r="S68" s="19"/>
      <c r="T68" s="18"/>
      <c r="U68" s="19"/>
      <c r="V68" s="18"/>
      <c r="W68" s="19"/>
      <c r="X68" s="18"/>
      <c r="Y68" s="19"/>
      <c r="Z68" s="18"/>
      <c r="AA68" s="19"/>
      <c r="AB68" s="18"/>
      <c r="AC68" s="19"/>
      <c r="AD68" s="18"/>
      <c r="AE68" s="19"/>
      <c r="AF68" s="18"/>
      <c r="AG68" s="19"/>
      <c r="AH68" s="19"/>
      <c r="AI68" s="19"/>
      <c r="AJ68" s="18"/>
      <c r="AK68" s="19"/>
      <c r="AL68" s="18"/>
      <c r="AM68" s="19"/>
      <c r="AN68" s="18"/>
      <c r="AO68" s="19"/>
      <c r="AP68" s="18"/>
    </row>
    <row r="69" spans="2:42">
      <c r="B69" s="24"/>
      <c r="C69" s="24"/>
      <c r="D69" s="24"/>
      <c r="E69" s="24"/>
      <c r="F69" s="18"/>
      <c r="G69" s="19"/>
      <c r="H69" s="19"/>
      <c r="I69" s="18"/>
      <c r="N69" s="18"/>
      <c r="O69" s="19"/>
      <c r="P69" s="18"/>
      <c r="Q69" s="19"/>
      <c r="R69" s="18"/>
      <c r="S69" s="19"/>
      <c r="T69" s="18"/>
      <c r="U69" s="19"/>
      <c r="V69" s="18"/>
      <c r="W69" s="19"/>
      <c r="X69" s="18"/>
      <c r="Y69" s="19"/>
      <c r="Z69" s="18"/>
      <c r="AA69" s="19"/>
      <c r="AB69" s="18"/>
      <c r="AC69" s="19"/>
      <c r="AD69" s="18"/>
      <c r="AE69" s="19"/>
      <c r="AF69" s="18"/>
      <c r="AG69" s="19"/>
      <c r="AH69" s="19"/>
      <c r="AI69" s="19"/>
      <c r="AJ69" s="18"/>
      <c r="AK69" s="19"/>
      <c r="AL69" s="18"/>
      <c r="AM69" s="19"/>
      <c r="AN69" s="18"/>
      <c r="AO69" s="19"/>
      <c r="AP69" s="18"/>
    </row>
    <row r="70" spans="2:42">
      <c r="B70" s="24"/>
      <c r="C70" s="24"/>
      <c r="D70" s="24"/>
      <c r="E70" s="24"/>
      <c r="F70" s="18"/>
      <c r="G70" s="19"/>
      <c r="H70" s="19"/>
      <c r="I70" s="18"/>
      <c r="N70" s="18"/>
      <c r="O70" s="19"/>
      <c r="P70" s="18"/>
      <c r="Q70" s="19"/>
      <c r="R70" s="18"/>
      <c r="S70" s="19"/>
      <c r="T70" s="18"/>
      <c r="U70" s="19"/>
      <c r="V70" s="18"/>
      <c r="W70" s="19"/>
      <c r="X70" s="18"/>
      <c r="Y70" s="19"/>
      <c r="Z70" s="18"/>
      <c r="AA70" s="19"/>
      <c r="AB70" s="18"/>
      <c r="AC70" s="19"/>
      <c r="AD70" s="18"/>
      <c r="AE70" s="19"/>
      <c r="AF70" s="18"/>
      <c r="AG70" s="19"/>
      <c r="AH70" s="19"/>
      <c r="AI70" s="19"/>
      <c r="AJ70" s="18"/>
      <c r="AK70" s="19"/>
      <c r="AL70" s="18"/>
      <c r="AM70" s="19"/>
      <c r="AN70" s="18"/>
      <c r="AO70" s="19"/>
      <c r="AP70" s="18"/>
    </row>
    <row r="71" spans="2:42">
      <c r="B71" s="24"/>
      <c r="C71" s="24"/>
      <c r="D71" s="24"/>
      <c r="E71" s="24"/>
      <c r="F71" s="18"/>
      <c r="G71" s="19"/>
      <c r="H71" s="19"/>
      <c r="I71" s="18"/>
      <c r="N71" s="18"/>
      <c r="O71" s="19"/>
      <c r="P71" s="18"/>
      <c r="Q71" s="19"/>
      <c r="R71" s="18"/>
      <c r="S71" s="19"/>
      <c r="T71" s="18"/>
      <c r="U71" s="19"/>
      <c r="V71" s="18"/>
      <c r="W71" s="19"/>
      <c r="X71" s="18"/>
      <c r="Y71" s="19"/>
      <c r="Z71" s="18"/>
      <c r="AA71" s="19"/>
      <c r="AB71" s="18"/>
      <c r="AC71" s="19"/>
      <c r="AD71" s="18"/>
      <c r="AE71" s="19"/>
      <c r="AF71" s="18"/>
      <c r="AG71" s="19"/>
      <c r="AH71" s="19"/>
      <c r="AI71" s="19"/>
      <c r="AJ71" s="18"/>
      <c r="AK71" s="19"/>
      <c r="AL71" s="18"/>
      <c r="AM71" s="19"/>
      <c r="AN71" s="18"/>
      <c r="AO71" s="19"/>
      <c r="AP71" s="18"/>
    </row>
    <row r="72" spans="2:42">
      <c r="B72" s="24"/>
      <c r="C72" s="24"/>
      <c r="D72" s="24"/>
      <c r="E72" s="24"/>
      <c r="F72" s="18"/>
      <c r="G72" s="19"/>
      <c r="H72" s="19"/>
      <c r="I72" s="18"/>
      <c r="N72" s="18"/>
      <c r="O72" s="19"/>
      <c r="P72" s="18"/>
      <c r="Q72" s="19"/>
      <c r="R72" s="18"/>
      <c r="S72" s="19"/>
      <c r="T72" s="18"/>
      <c r="U72" s="19"/>
      <c r="V72" s="18"/>
      <c r="W72" s="19"/>
      <c r="X72" s="18"/>
      <c r="Y72" s="19"/>
      <c r="Z72" s="18"/>
      <c r="AA72" s="19"/>
      <c r="AB72" s="18"/>
      <c r="AC72" s="19"/>
      <c r="AD72" s="18"/>
      <c r="AE72" s="19"/>
      <c r="AF72" s="18"/>
      <c r="AG72" s="19"/>
      <c r="AH72" s="19"/>
      <c r="AI72" s="19"/>
      <c r="AJ72" s="18"/>
      <c r="AK72" s="19"/>
      <c r="AL72" s="18"/>
      <c r="AM72" s="19"/>
      <c r="AN72" s="18"/>
      <c r="AO72" s="19"/>
      <c r="AP72" s="18"/>
    </row>
    <row r="73" spans="2:42">
      <c r="B73" s="20"/>
      <c r="C73" s="20"/>
      <c r="D73" s="23"/>
      <c r="E73" s="20"/>
      <c r="F73" s="18"/>
      <c r="G73" s="19"/>
      <c r="H73" s="19"/>
      <c r="I73" s="18"/>
      <c r="N73" s="18"/>
      <c r="O73" s="19"/>
      <c r="P73" s="18"/>
      <c r="Q73" s="19"/>
      <c r="R73" s="18"/>
      <c r="S73" s="19"/>
      <c r="T73" s="18"/>
      <c r="U73" s="19"/>
      <c r="V73" s="18"/>
      <c r="W73" s="19"/>
      <c r="X73" s="18"/>
      <c r="Y73" s="19"/>
      <c r="Z73" s="18"/>
      <c r="AA73" s="19"/>
      <c r="AB73" s="18"/>
      <c r="AC73" s="19"/>
      <c r="AD73" s="18"/>
      <c r="AE73" s="19"/>
      <c r="AF73" s="18"/>
      <c r="AG73" s="19"/>
      <c r="AH73" s="19"/>
      <c r="AI73" s="19"/>
      <c r="AJ73" s="18"/>
      <c r="AK73" s="19"/>
      <c r="AL73" s="18"/>
      <c r="AM73" s="19"/>
      <c r="AN73" s="18"/>
      <c r="AO73" s="19"/>
      <c r="AP73" s="18"/>
    </row>
    <row r="74" spans="2:42">
      <c r="B74" s="20"/>
      <c r="C74" s="20"/>
      <c r="D74" s="23"/>
      <c r="E74" s="23"/>
      <c r="F74" s="18"/>
      <c r="G74" s="19"/>
      <c r="H74" s="19"/>
      <c r="I74" s="18"/>
      <c r="N74" s="18"/>
      <c r="O74" s="19"/>
      <c r="P74" s="18"/>
      <c r="Q74" s="19"/>
      <c r="R74" s="18"/>
      <c r="S74" s="19"/>
      <c r="T74" s="18"/>
      <c r="U74" s="19"/>
      <c r="V74" s="18"/>
      <c r="W74" s="19"/>
      <c r="X74" s="18"/>
      <c r="Y74" s="19"/>
      <c r="Z74" s="18"/>
      <c r="AA74" s="19"/>
      <c r="AB74" s="18"/>
      <c r="AC74" s="19"/>
      <c r="AD74" s="18"/>
      <c r="AE74" s="19"/>
      <c r="AF74" s="18"/>
      <c r="AG74" s="19"/>
      <c r="AH74" s="19"/>
      <c r="AI74" s="19"/>
      <c r="AJ74" s="18"/>
      <c r="AK74" s="19"/>
      <c r="AL74" s="18"/>
      <c r="AM74" s="19"/>
      <c r="AN74" s="18"/>
      <c r="AO74" s="19"/>
      <c r="AP74" s="18"/>
    </row>
    <row r="75" spans="2:42">
      <c r="B75" s="20"/>
      <c r="C75" s="20"/>
      <c r="D75" s="23"/>
      <c r="E75" s="23"/>
      <c r="F75" s="18"/>
      <c r="G75" s="19"/>
      <c r="H75" s="19"/>
      <c r="I75" s="18"/>
      <c r="N75" s="18"/>
      <c r="O75" s="19"/>
      <c r="P75" s="18"/>
      <c r="Q75" s="19"/>
      <c r="R75" s="18"/>
      <c r="S75" s="19"/>
      <c r="T75" s="18"/>
      <c r="U75" s="19"/>
      <c r="V75" s="18"/>
      <c r="W75" s="19"/>
      <c r="X75" s="18"/>
      <c r="Y75" s="19"/>
      <c r="Z75" s="18"/>
      <c r="AA75" s="19"/>
      <c r="AB75" s="18"/>
      <c r="AC75" s="19"/>
      <c r="AD75" s="18"/>
      <c r="AE75" s="19"/>
      <c r="AF75" s="18"/>
      <c r="AG75" s="19"/>
      <c r="AH75" s="19"/>
      <c r="AI75" s="19"/>
      <c r="AJ75" s="18"/>
      <c r="AK75" s="19"/>
      <c r="AL75" s="18"/>
      <c r="AM75" s="19"/>
      <c r="AN75" s="18"/>
      <c r="AO75" s="19"/>
      <c r="AP75" s="18"/>
    </row>
    <row r="76" spans="2:42">
      <c r="B76" s="20"/>
      <c r="C76" s="20"/>
      <c r="D76" s="23"/>
      <c r="E76" s="23"/>
      <c r="F76" s="18"/>
      <c r="G76" s="19"/>
      <c r="H76" s="19"/>
      <c r="I76" s="18"/>
      <c r="N76" s="18"/>
      <c r="O76" s="19"/>
      <c r="P76" s="18"/>
      <c r="Q76" s="19"/>
      <c r="R76" s="18"/>
      <c r="S76" s="19"/>
      <c r="T76" s="18"/>
      <c r="U76" s="19"/>
      <c r="V76" s="18"/>
      <c r="W76" s="19"/>
      <c r="X76" s="18"/>
      <c r="Y76" s="19"/>
      <c r="Z76" s="18"/>
      <c r="AA76" s="19"/>
      <c r="AB76" s="18"/>
      <c r="AC76" s="19"/>
      <c r="AD76" s="18"/>
      <c r="AE76" s="19"/>
      <c r="AF76" s="18"/>
      <c r="AG76" s="19"/>
      <c r="AH76" s="19"/>
      <c r="AI76" s="19"/>
      <c r="AJ76" s="18"/>
      <c r="AK76" s="19"/>
      <c r="AL76" s="18"/>
      <c r="AM76" s="19"/>
      <c r="AN76" s="18"/>
      <c r="AO76" s="19"/>
      <c r="AP76" s="18"/>
    </row>
    <row r="77" spans="2:42">
      <c r="B77" s="20"/>
      <c r="C77" s="20"/>
      <c r="D77" s="23"/>
      <c r="E77" s="20"/>
      <c r="F77" s="18"/>
      <c r="G77" s="19"/>
      <c r="H77" s="19"/>
      <c r="I77" s="18"/>
      <c r="N77" s="18"/>
      <c r="O77" s="19"/>
      <c r="P77" s="18"/>
      <c r="Q77" s="19"/>
      <c r="R77" s="18"/>
      <c r="S77" s="19"/>
      <c r="T77" s="18"/>
      <c r="U77" s="19"/>
      <c r="V77" s="18"/>
      <c r="W77" s="19"/>
      <c r="X77" s="18"/>
      <c r="Y77" s="19"/>
      <c r="Z77" s="18"/>
      <c r="AA77" s="19"/>
      <c r="AB77" s="18"/>
      <c r="AC77" s="19"/>
      <c r="AD77" s="18"/>
      <c r="AE77" s="19"/>
      <c r="AF77" s="18"/>
      <c r="AG77" s="19"/>
      <c r="AH77" s="19"/>
      <c r="AI77" s="19"/>
      <c r="AJ77" s="18"/>
      <c r="AK77" s="19"/>
      <c r="AL77" s="18"/>
      <c r="AM77" s="19"/>
      <c r="AN77" s="18"/>
      <c r="AO77" s="19"/>
      <c r="AP77" s="18"/>
    </row>
    <row r="78" spans="2:42">
      <c r="B78" s="20"/>
      <c r="C78" s="20"/>
      <c r="D78" s="23"/>
      <c r="E78" s="20"/>
      <c r="F78" s="18"/>
      <c r="G78" s="19"/>
      <c r="H78" s="19"/>
      <c r="I78" s="18"/>
      <c r="N78" s="18"/>
      <c r="O78" s="19"/>
      <c r="P78" s="18"/>
      <c r="Q78" s="19"/>
      <c r="R78" s="18"/>
      <c r="S78" s="19"/>
      <c r="T78" s="18"/>
      <c r="U78" s="19"/>
      <c r="V78" s="18"/>
      <c r="W78" s="19"/>
      <c r="X78" s="18"/>
      <c r="Y78" s="19"/>
      <c r="Z78" s="18"/>
      <c r="AA78" s="19"/>
      <c r="AB78" s="18"/>
      <c r="AC78" s="19"/>
      <c r="AD78" s="18"/>
      <c r="AE78" s="19"/>
      <c r="AF78" s="18"/>
      <c r="AG78" s="19"/>
      <c r="AH78" s="19"/>
      <c r="AI78" s="19"/>
      <c r="AJ78" s="18"/>
      <c r="AK78" s="19"/>
      <c r="AL78" s="18"/>
      <c r="AM78" s="19"/>
      <c r="AN78" s="18"/>
      <c r="AO78" s="19"/>
      <c r="AP78" s="18"/>
    </row>
    <row r="79" spans="2:42">
      <c r="B79" s="20"/>
      <c r="C79" s="20"/>
      <c r="D79" s="23"/>
      <c r="E79" s="20"/>
      <c r="F79" s="18"/>
      <c r="G79" s="19"/>
      <c r="H79" s="19"/>
      <c r="I79" s="18"/>
      <c r="N79" s="18"/>
      <c r="O79" s="19"/>
      <c r="P79" s="18"/>
      <c r="Q79" s="19"/>
      <c r="R79" s="18"/>
      <c r="S79" s="19"/>
      <c r="T79" s="18"/>
      <c r="U79" s="19"/>
      <c r="V79" s="18"/>
      <c r="W79" s="19"/>
      <c r="X79" s="18"/>
      <c r="Y79" s="19"/>
      <c r="Z79" s="18"/>
      <c r="AA79" s="19"/>
      <c r="AB79" s="18"/>
      <c r="AC79" s="19"/>
      <c r="AD79" s="18"/>
      <c r="AE79" s="19"/>
      <c r="AF79" s="18"/>
      <c r="AG79" s="19"/>
      <c r="AH79" s="19"/>
      <c r="AI79" s="19"/>
      <c r="AJ79" s="18"/>
      <c r="AK79" s="19"/>
      <c r="AL79" s="18"/>
      <c r="AM79" s="19"/>
      <c r="AN79" s="18"/>
      <c r="AO79" s="19"/>
      <c r="AP79" s="18"/>
    </row>
    <row r="80" spans="2:42">
      <c r="B80" s="20"/>
      <c r="C80" s="20"/>
      <c r="D80" s="23"/>
      <c r="E80" s="20"/>
      <c r="F80" s="18"/>
      <c r="G80" s="19"/>
      <c r="H80" s="19"/>
      <c r="I80" s="18"/>
      <c r="N80" s="18"/>
      <c r="O80" s="19"/>
      <c r="P80" s="18"/>
      <c r="Q80" s="19"/>
      <c r="R80" s="18"/>
      <c r="S80" s="19"/>
      <c r="T80" s="18"/>
      <c r="U80" s="19"/>
      <c r="V80" s="18"/>
      <c r="W80" s="19"/>
      <c r="X80" s="18"/>
      <c r="Y80" s="19"/>
      <c r="Z80" s="18"/>
      <c r="AA80" s="19"/>
      <c r="AB80" s="18"/>
      <c r="AC80" s="19"/>
      <c r="AD80" s="18"/>
      <c r="AE80" s="19"/>
      <c r="AF80" s="18"/>
      <c r="AG80" s="19"/>
      <c r="AH80" s="19"/>
      <c r="AI80" s="19"/>
      <c r="AJ80" s="18"/>
      <c r="AK80" s="19"/>
      <c r="AL80" s="18"/>
      <c r="AM80" s="19"/>
      <c r="AN80" s="18"/>
      <c r="AO80" s="19"/>
      <c r="AP80" s="18"/>
    </row>
    <row r="81" spans="2:42">
      <c r="B81" s="20"/>
      <c r="C81" s="20"/>
      <c r="D81" s="23"/>
      <c r="E81" s="20"/>
      <c r="F81" s="18"/>
      <c r="G81" s="19"/>
      <c r="H81" s="19"/>
      <c r="I81" s="18"/>
      <c r="N81" s="18"/>
      <c r="O81" s="19"/>
      <c r="P81" s="18"/>
      <c r="Q81" s="19"/>
      <c r="R81" s="18"/>
      <c r="S81" s="19"/>
      <c r="T81" s="18"/>
      <c r="U81" s="19"/>
      <c r="V81" s="18"/>
      <c r="W81" s="19"/>
      <c r="X81" s="18"/>
      <c r="Y81" s="19"/>
      <c r="Z81" s="18"/>
      <c r="AA81" s="19"/>
      <c r="AB81" s="18"/>
      <c r="AC81" s="19"/>
      <c r="AD81" s="18"/>
      <c r="AE81" s="19"/>
      <c r="AF81" s="18"/>
      <c r="AG81" s="19"/>
      <c r="AH81" s="19"/>
      <c r="AI81" s="19"/>
      <c r="AJ81" s="18"/>
      <c r="AK81" s="19"/>
      <c r="AL81" s="18"/>
      <c r="AM81" s="19"/>
      <c r="AN81" s="18"/>
      <c r="AO81" s="19"/>
      <c r="AP81" s="18"/>
    </row>
    <row r="82" spans="2:42">
      <c r="B82" s="35"/>
      <c r="C82" s="35"/>
      <c r="D82" s="35"/>
      <c r="E82" s="40"/>
      <c r="F82" s="18"/>
      <c r="G82" s="19"/>
      <c r="H82" s="19"/>
      <c r="I82" s="18"/>
      <c r="N82" s="18"/>
      <c r="O82" s="19"/>
      <c r="P82" s="18"/>
      <c r="Q82" s="19"/>
      <c r="R82" s="18"/>
      <c r="S82" s="19"/>
      <c r="T82" s="18"/>
      <c r="U82" s="19"/>
      <c r="V82" s="18"/>
      <c r="W82" s="19"/>
      <c r="X82" s="18"/>
      <c r="Y82" s="19"/>
      <c r="Z82" s="18"/>
      <c r="AA82" s="19"/>
      <c r="AB82" s="18"/>
      <c r="AC82" s="19"/>
      <c r="AD82" s="18"/>
      <c r="AE82" s="19"/>
      <c r="AF82" s="18"/>
      <c r="AG82" s="19"/>
      <c r="AH82" s="19"/>
      <c r="AI82" s="19"/>
      <c r="AJ82" s="18"/>
      <c r="AK82" s="19"/>
      <c r="AL82" s="18"/>
      <c r="AM82" s="19"/>
      <c r="AN82" s="18"/>
      <c r="AO82" s="19"/>
      <c r="AP82" s="18"/>
    </row>
    <row r="83" spans="2:42">
      <c r="B83" s="35"/>
      <c r="C83" s="35"/>
      <c r="D83" s="35"/>
      <c r="E83" s="40"/>
      <c r="F83" s="18"/>
      <c r="G83" s="19"/>
      <c r="H83" s="19"/>
      <c r="I83" s="18"/>
      <c r="N83" s="18"/>
      <c r="O83" s="19"/>
      <c r="P83" s="18"/>
      <c r="Q83" s="19"/>
      <c r="R83" s="18"/>
      <c r="S83" s="19"/>
      <c r="T83" s="18"/>
      <c r="U83" s="19"/>
      <c r="V83" s="18"/>
      <c r="W83" s="19"/>
      <c r="X83" s="18"/>
      <c r="Y83" s="19"/>
      <c r="Z83" s="18"/>
      <c r="AA83" s="19"/>
      <c r="AB83" s="18"/>
      <c r="AC83" s="19"/>
      <c r="AD83" s="18"/>
      <c r="AE83" s="19"/>
      <c r="AF83" s="18"/>
      <c r="AG83" s="19"/>
      <c r="AH83" s="19"/>
      <c r="AI83" s="19"/>
      <c r="AJ83" s="18"/>
      <c r="AK83" s="19"/>
      <c r="AL83" s="18"/>
      <c r="AM83" s="19"/>
      <c r="AN83" s="18"/>
      <c r="AO83" s="19"/>
      <c r="AP83" s="18"/>
    </row>
    <row r="84" spans="2:42">
      <c r="B84" s="35"/>
      <c r="C84" s="35"/>
      <c r="D84" s="35"/>
      <c r="E84" s="40"/>
      <c r="F84" s="18"/>
      <c r="G84" s="19"/>
      <c r="H84" s="19"/>
      <c r="I84" s="18"/>
      <c r="N84" s="18"/>
      <c r="O84" s="19"/>
      <c r="P84" s="18"/>
      <c r="Q84" s="19"/>
      <c r="R84" s="18"/>
      <c r="S84" s="19"/>
      <c r="T84" s="18"/>
      <c r="U84" s="19"/>
      <c r="V84" s="18"/>
      <c r="W84" s="19"/>
      <c r="X84" s="18"/>
      <c r="Y84" s="19"/>
      <c r="Z84" s="18"/>
      <c r="AA84" s="19"/>
      <c r="AB84" s="18"/>
      <c r="AC84" s="19"/>
      <c r="AD84" s="18"/>
      <c r="AE84" s="19"/>
      <c r="AF84" s="18"/>
      <c r="AG84" s="19"/>
      <c r="AH84" s="19"/>
      <c r="AI84" s="19"/>
      <c r="AJ84" s="18"/>
      <c r="AK84" s="19"/>
      <c r="AL84" s="18"/>
      <c r="AM84" s="19"/>
      <c r="AN84" s="18"/>
      <c r="AO84" s="19"/>
      <c r="AP84" s="18"/>
    </row>
    <row r="85" spans="2:42">
      <c r="B85" s="35"/>
      <c r="C85" s="35"/>
      <c r="D85" s="35"/>
      <c r="E85" s="40"/>
      <c r="F85" s="18"/>
      <c r="G85" s="19"/>
      <c r="H85" s="19"/>
      <c r="I85" s="18"/>
      <c r="N85" s="18"/>
      <c r="O85" s="19"/>
      <c r="P85" s="18"/>
      <c r="Q85" s="19"/>
      <c r="R85" s="18"/>
      <c r="S85" s="19"/>
      <c r="T85" s="18"/>
      <c r="U85" s="19"/>
      <c r="V85" s="18"/>
      <c r="W85" s="19"/>
      <c r="X85" s="18"/>
      <c r="Y85" s="19"/>
      <c r="Z85" s="18"/>
      <c r="AA85" s="19"/>
      <c r="AB85" s="18"/>
      <c r="AC85" s="19"/>
      <c r="AD85" s="18"/>
      <c r="AE85" s="19"/>
      <c r="AF85" s="18"/>
      <c r="AG85" s="19"/>
      <c r="AH85" s="19"/>
      <c r="AI85" s="19"/>
      <c r="AJ85" s="18"/>
      <c r="AK85" s="19"/>
      <c r="AL85" s="18"/>
      <c r="AM85" s="19"/>
      <c r="AN85" s="18"/>
      <c r="AO85" s="19"/>
      <c r="AP85" s="18"/>
    </row>
    <row r="86" spans="2:42">
      <c r="B86" s="35"/>
      <c r="C86" s="35"/>
      <c r="D86" s="35"/>
      <c r="E86" s="40"/>
      <c r="F86" s="18"/>
      <c r="G86" s="19"/>
      <c r="H86" s="19"/>
      <c r="I86" s="18"/>
      <c r="N86" s="18"/>
      <c r="O86" s="19"/>
      <c r="P86" s="18"/>
      <c r="Q86" s="19"/>
      <c r="R86" s="18"/>
      <c r="S86" s="19"/>
      <c r="T86" s="18"/>
      <c r="U86" s="19"/>
      <c r="V86" s="18"/>
      <c r="W86" s="19"/>
      <c r="X86" s="18"/>
      <c r="Y86" s="19"/>
      <c r="Z86" s="18"/>
      <c r="AA86" s="19"/>
      <c r="AB86" s="18"/>
      <c r="AC86" s="19"/>
      <c r="AD86" s="18"/>
      <c r="AE86" s="19"/>
      <c r="AF86" s="18"/>
      <c r="AG86" s="19"/>
      <c r="AH86" s="19"/>
      <c r="AI86" s="19"/>
      <c r="AJ86" s="18"/>
      <c r="AK86" s="19"/>
      <c r="AL86" s="18"/>
      <c r="AM86" s="19"/>
      <c r="AN86" s="18"/>
      <c r="AO86" s="19"/>
      <c r="AP86" s="18"/>
    </row>
    <row r="87" spans="2:42">
      <c r="B87" s="35"/>
      <c r="C87" s="35"/>
      <c r="D87" s="35"/>
      <c r="E87" s="35"/>
      <c r="F87" s="18"/>
      <c r="G87" s="19"/>
      <c r="H87" s="19"/>
      <c r="I87" s="18"/>
      <c r="N87" s="18"/>
      <c r="O87" s="19"/>
      <c r="P87" s="18"/>
      <c r="Q87" s="19"/>
      <c r="R87" s="18"/>
      <c r="S87" s="19"/>
      <c r="T87" s="18"/>
      <c r="U87" s="19"/>
      <c r="V87" s="18"/>
      <c r="W87" s="19"/>
      <c r="X87" s="18"/>
      <c r="Y87" s="19"/>
      <c r="Z87" s="18"/>
      <c r="AA87" s="19"/>
      <c r="AB87" s="18"/>
      <c r="AC87" s="19"/>
      <c r="AD87" s="18"/>
      <c r="AE87" s="19"/>
      <c r="AF87" s="18"/>
      <c r="AG87" s="19"/>
      <c r="AH87" s="19"/>
      <c r="AI87" s="19"/>
      <c r="AJ87" s="18"/>
      <c r="AK87" s="19"/>
      <c r="AL87" s="18"/>
      <c r="AM87" s="19"/>
      <c r="AN87" s="18"/>
      <c r="AO87" s="19"/>
      <c r="AP87" s="18"/>
    </row>
    <row r="88" spans="2:42">
      <c r="B88" s="35"/>
      <c r="C88" s="35"/>
      <c r="D88" s="35"/>
      <c r="E88" s="35"/>
      <c r="F88" s="18"/>
      <c r="G88" s="19"/>
      <c r="H88" s="19"/>
      <c r="I88" s="18"/>
      <c r="N88" s="18"/>
      <c r="O88" s="19"/>
      <c r="P88" s="18"/>
      <c r="Q88" s="19"/>
      <c r="R88" s="18"/>
      <c r="S88" s="19"/>
      <c r="T88" s="18"/>
      <c r="U88" s="19"/>
      <c r="V88" s="18"/>
      <c r="W88" s="19"/>
      <c r="X88" s="18"/>
      <c r="Y88" s="19"/>
      <c r="Z88" s="18"/>
      <c r="AA88" s="19"/>
      <c r="AB88" s="18"/>
      <c r="AC88" s="19"/>
      <c r="AD88" s="18"/>
      <c r="AE88" s="19"/>
      <c r="AF88" s="18"/>
      <c r="AG88" s="19"/>
      <c r="AH88" s="19"/>
      <c r="AI88" s="19"/>
      <c r="AJ88" s="18"/>
      <c r="AK88" s="19"/>
      <c r="AL88" s="18"/>
      <c r="AM88" s="19"/>
      <c r="AN88" s="18"/>
      <c r="AO88" s="19"/>
      <c r="AP88" s="18"/>
    </row>
    <row r="89" spans="2:42">
      <c r="B89" s="19"/>
      <c r="C89" s="19"/>
      <c r="D89" s="19"/>
      <c r="E89" s="19"/>
      <c r="F89" s="18"/>
      <c r="G89" s="19"/>
      <c r="H89" s="19"/>
      <c r="I89" s="18"/>
      <c r="N89" s="18"/>
      <c r="O89" s="19"/>
      <c r="P89" s="18"/>
      <c r="Q89" s="19"/>
      <c r="R89" s="18"/>
      <c r="S89" s="19"/>
      <c r="T89" s="18"/>
      <c r="U89" s="19"/>
      <c r="V89" s="18"/>
      <c r="W89" s="19"/>
      <c r="X89" s="18"/>
      <c r="Y89" s="19"/>
      <c r="Z89" s="18"/>
      <c r="AA89" s="19"/>
      <c r="AB89" s="18"/>
      <c r="AC89" s="19"/>
      <c r="AD89" s="18"/>
      <c r="AE89" s="19"/>
      <c r="AF89" s="18"/>
      <c r="AG89" s="19"/>
      <c r="AH89" s="19"/>
      <c r="AI89" s="19"/>
      <c r="AJ89" s="18"/>
      <c r="AK89" s="19"/>
      <c r="AL89" s="18"/>
      <c r="AM89" s="19"/>
      <c r="AN89" s="18"/>
      <c r="AO89" s="19"/>
      <c r="AP89" s="18"/>
    </row>
    <row r="90" spans="2:42">
      <c r="B90" s="19"/>
      <c r="C90" s="19"/>
      <c r="D90" s="19"/>
      <c r="E90" s="19"/>
      <c r="F90" s="18"/>
      <c r="G90" s="19"/>
      <c r="H90" s="19"/>
      <c r="I90" s="18"/>
      <c r="N90" s="18"/>
      <c r="O90" s="19"/>
      <c r="P90" s="18"/>
      <c r="Q90" s="19"/>
      <c r="R90" s="18"/>
      <c r="S90" s="19"/>
      <c r="T90" s="18"/>
      <c r="U90" s="19"/>
      <c r="V90" s="18"/>
      <c r="W90" s="19"/>
      <c r="X90" s="18"/>
      <c r="Y90" s="19"/>
      <c r="Z90" s="18"/>
      <c r="AA90" s="19"/>
      <c r="AB90" s="18"/>
      <c r="AC90" s="19"/>
      <c r="AD90" s="18"/>
      <c r="AE90" s="19"/>
      <c r="AF90" s="18"/>
      <c r="AG90" s="19"/>
      <c r="AH90" s="19"/>
      <c r="AI90" s="19"/>
      <c r="AJ90" s="18"/>
      <c r="AK90" s="19"/>
      <c r="AL90" s="18"/>
      <c r="AM90" s="19"/>
      <c r="AN90" s="18"/>
      <c r="AO90" s="19"/>
      <c r="AP90" s="18"/>
    </row>
    <row r="91" spans="2:42">
      <c r="F91" s="18"/>
      <c r="G91" s="19"/>
      <c r="H91" s="19"/>
      <c r="I91" s="18"/>
      <c r="N91" s="18"/>
      <c r="P91" s="18"/>
      <c r="R91" s="18"/>
      <c r="T91" s="18"/>
      <c r="V91" s="18"/>
      <c r="X91" s="18"/>
      <c r="Z91" s="18"/>
      <c r="AB91" s="18"/>
      <c r="AD91" s="18"/>
      <c r="AF91" s="18"/>
      <c r="AG91" s="19"/>
      <c r="AH91" s="19"/>
      <c r="AI91" s="19"/>
      <c r="AJ91" s="18"/>
      <c r="AL91" s="18"/>
      <c r="AN91" s="18"/>
      <c r="AP91" s="18"/>
    </row>
    <row r="92" spans="2:42">
      <c r="F92" s="18"/>
      <c r="G92" s="19"/>
      <c r="H92" s="19"/>
      <c r="I92" s="18"/>
      <c r="N92" s="18"/>
      <c r="P92" s="18"/>
      <c r="R92" s="18"/>
      <c r="T92" s="18"/>
      <c r="V92" s="18"/>
      <c r="X92" s="18"/>
      <c r="Z92" s="18"/>
      <c r="AB92" s="18"/>
      <c r="AD92" s="18"/>
      <c r="AF92" s="18"/>
      <c r="AG92" s="19"/>
      <c r="AH92" s="19"/>
      <c r="AI92" s="19"/>
      <c r="AJ92" s="18"/>
      <c r="AL92" s="18"/>
      <c r="AN92" s="18"/>
      <c r="AP92" s="18"/>
    </row>
    <row r="93" spans="2:42">
      <c r="F93" s="18"/>
      <c r="G93" s="19"/>
      <c r="H93" s="19"/>
      <c r="I93" s="18"/>
      <c r="N93" s="18"/>
      <c r="P93" s="18"/>
      <c r="R93" s="18"/>
      <c r="T93" s="18"/>
      <c r="V93" s="18"/>
      <c r="X93" s="18"/>
      <c r="Z93" s="18"/>
      <c r="AB93" s="18"/>
      <c r="AD93" s="18"/>
      <c r="AF93" s="18"/>
      <c r="AG93" s="19"/>
      <c r="AH93" s="19"/>
      <c r="AI93" s="19"/>
      <c r="AJ93" s="18"/>
      <c r="AL93" s="18"/>
      <c r="AN93" s="18"/>
      <c r="AP93" s="18"/>
    </row>
    <row r="94" spans="2:42">
      <c r="F94" s="18"/>
      <c r="G94" s="19"/>
      <c r="H94" s="19"/>
      <c r="I94" s="18"/>
      <c r="N94" s="18"/>
      <c r="P94" s="18"/>
      <c r="R94" s="18"/>
      <c r="T94" s="18"/>
      <c r="V94" s="18"/>
      <c r="X94" s="18"/>
      <c r="Z94" s="18"/>
      <c r="AB94" s="18"/>
      <c r="AD94" s="18"/>
      <c r="AF94" s="18"/>
      <c r="AG94" s="19"/>
      <c r="AH94" s="19"/>
      <c r="AI94" s="19"/>
      <c r="AJ94" s="18"/>
      <c r="AL94" s="18"/>
      <c r="AN94" s="18"/>
      <c r="AP94" s="18"/>
    </row>
    <row r="95" spans="2:42">
      <c r="F95" s="18"/>
      <c r="G95" s="19"/>
      <c r="H95" s="19"/>
      <c r="I95" s="18"/>
      <c r="N95" s="18"/>
      <c r="P95" s="18"/>
      <c r="R95" s="18"/>
      <c r="T95" s="18"/>
      <c r="V95" s="18"/>
      <c r="X95" s="18"/>
      <c r="Z95" s="18"/>
      <c r="AB95" s="18"/>
      <c r="AD95" s="18"/>
      <c r="AF95" s="18"/>
      <c r="AG95" s="19"/>
      <c r="AH95" s="19"/>
      <c r="AI95" s="19"/>
      <c r="AJ95" s="18"/>
      <c r="AL95" s="18"/>
      <c r="AN95" s="18"/>
      <c r="AP95" s="18"/>
    </row>
    <row r="96" spans="2:42">
      <c r="F96" s="18"/>
      <c r="G96" s="19"/>
      <c r="H96" s="19"/>
      <c r="I96" s="18"/>
      <c r="N96" s="18"/>
      <c r="P96" s="18"/>
      <c r="R96" s="18"/>
      <c r="T96" s="18"/>
      <c r="V96" s="18"/>
      <c r="X96" s="18"/>
      <c r="Z96" s="18"/>
      <c r="AB96" s="18"/>
      <c r="AD96" s="18"/>
      <c r="AF96" s="18"/>
      <c r="AG96" s="19"/>
      <c r="AH96" s="19"/>
      <c r="AI96" s="19"/>
      <c r="AJ96" s="18"/>
      <c r="AL96" s="18"/>
      <c r="AN96" s="18"/>
      <c r="AP96" s="18"/>
    </row>
    <row r="97" spans="6:42">
      <c r="F97" s="18"/>
      <c r="G97" s="19"/>
      <c r="H97" s="19"/>
      <c r="I97" s="18"/>
      <c r="N97" s="18"/>
      <c r="P97" s="18"/>
      <c r="R97" s="18"/>
      <c r="T97" s="18"/>
      <c r="V97" s="18"/>
      <c r="X97" s="18"/>
      <c r="Z97" s="18"/>
      <c r="AB97" s="18"/>
      <c r="AD97" s="18"/>
      <c r="AF97" s="18"/>
      <c r="AG97" s="19"/>
      <c r="AH97" s="19"/>
      <c r="AI97" s="19"/>
      <c r="AJ97" s="18"/>
      <c r="AL97" s="18"/>
      <c r="AN97" s="18"/>
      <c r="AP97" s="18"/>
    </row>
    <row r="98" spans="6:42">
      <c r="F98" s="18"/>
      <c r="G98" s="19"/>
      <c r="H98" s="19"/>
      <c r="I98" s="18"/>
      <c r="N98" s="18"/>
      <c r="P98" s="18"/>
      <c r="R98" s="18"/>
      <c r="T98" s="18"/>
      <c r="V98" s="18"/>
      <c r="X98" s="18"/>
      <c r="Z98" s="18"/>
      <c r="AB98" s="18"/>
      <c r="AD98" s="18"/>
      <c r="AF98" s="18"/>
      <c r="AG98" s="19"/>
      <c r="AH98" s="19"/>
      <c r="AI98" s="19"/>
      <c r="AJ98" s="18"/>
      <c r="AL98" s="18"/>
      <c r="AN98" s="18"/>
      <c r="AP98" s="18"/>
    </row>
    <row r="99" spans="6:42">
      <c r="F99" s="18"/>
      <c r="G99" s="19"/>
      <c r="H99" s="19"/>
      <c r="I99" s="18"/>
      <c r="N99" s="18"/>
      <c r="P99" s="18"/>
      <c r="R99" s="18"/>
      <c r="T99" s="18"/>
      <c r="V99" s="18"/>
      <c r="X99" s="18"/>
      <c r="Z99" s="18"/>
      <c r="AB99" s="18"/>
      <c r="AD99" s="18"/>
      <c r="AF99" s="18"/>
      <c r="AG99" s="19"/>
      <c r="AH99" s="19"/>
      <c r="AI99" s="19"/>
      <c r="AJ99" s="18"/>
      <c r="AL99" s="18"/>
      <c r="AN99" s="18"/>
      <c r="AP99" s="18"/>
    </row>
    <row r="100" spans="6:42">
      <c r="F100" s="18"/>
      <c r="G100" s="19"/>
      <c r="H100" s="19"/>
      <c r="I100" s="18"/>
      <c r="N100" s="18"/>
      <c r="P100" s="18"/>
      <c r="R100" s="18"/>
      <c r="T100" s="18"/>
      <c r="V100" s="18"/>
      <c r="X100" s="18"/>
      <c r="Z100" s="18"/>
      <c r="AB100" s="18"/>
      <c r="AD100" s="18"/>
      <c r="AF100" s="18"/>
      <c r="AG100" s="19"/>
      <c r="AH100" s="19"/>
      <c r="AI100" s="19"/>
      <c r="AJ100" s="18"/>
      <c r="AL100" s="18"/>
      <c r="AN100" s="18"/>
      <c r="AP100" s="18"/>
    </row>
    <row r="101" spans="6:42">
      <c r="F101" s="18"/>
      <c r="G101" s="19"/>
      <c r="H101" s="19"/>
      <c r="I101" s="18"/>
      <c r="N101" s="18"/>
      <c r="P101" s="18"/>
      <c r="R101" s="18"/>
      <c r="T101" s="18"/>
      <c r="V101" s="18"/>
      <c r="X101" s="18"/>
      <c r="Z101" s="18"/>
      <c r="AB101" s="18"/>
      <c r="AD101" s="18"/>
      <c r="AF101" s="18"/>
      <c r="AG101" s="19"/>
      <c r="AH101" s="19"/>
      <c r="AI101" s="19"/>
      <c r="AJ101" s="18"/>
      <c r="AL101" s="18"/>
      <c r="AN101" s="18"/>
      <c r="AP101" s="18"/>
    </row>
    <row r="102" spans="6:42">
      <c r="F102" s="18"/>
      <c r="G102" s="19"/>
      <c r="H102" s="19"/>
      <c r="I102" s="18"/>
      <c r="N102" s="18"/>
      <c r="P102" s="18"/>
      <c r="R102" s="18"/>
      <c r="T102" s="18"/>
      <c r="V102" s="18"/>
      <c r="X102" s="18"/>
      <c r="Z102" s="18"/>
      <c r="AB102" s="18"/>
      <c r="AD102" s="18"/>
      <c r="AF102" s="18"/>
      <c r="AG102" s="19"/>
      <c r="AH102" s="19"/>
      <c r="AI102" s="19"/>
      <c r="AJ102" s="18"/>
      <c r="AL102" s="18"/>
      <c r="AN102" s="18"/>
      <c r="AP102" s="18"/>
    </row>
    <row r="103" spans="6:42">
      <c r="F103" s="18"/>
      <c r="G103" s="19"/>
      <c r="H103" s="19"/>
      <c r="I103" s="18"/>
      <c r="N103" s="18"/>
      <c r="P103" s="18"/>
      <c r="R103" s="18"/>
      <c r="T103" s="18"/>
      <c r="V103" s="18"/>
      <c r="X103" s="18"/>
      <c r="Z103" s="18"/>
      <c r="AB103" s="18"/>
      <c r="AD103" s="18"/>
      <c r="AF103" s="18"/>
      <c r="AG103" s="19"/>
      <c r="AH103" s="19"/>
      <c r="AI103" s="19"/>
      <c r="AJ103" s="18"/>
      <c r="AL103" s="18"/>
      <c r="AN103" s="18"/>
      <c r="AP103" s="18"/>
    </row>
    <row r="104" spans="6:42">
      <c r="F104" s="18"/>
      <c r="G104" s="19"/>
      <c r="H104" s="19"/>
      <c r="I104" s="18"/>
      <c r="N104" s="18"/>
      <c r="P104" s="18"/>
      <c r="R104" s="18"/>
      <c r="T104" s="18"/>
      <c r="V104" s="18"/>
      <c r="X104" s="18"/>
      <c r="Z104" s="18"/>
      <c r="AB104" s="18"/>
      <c r="AD104" s="18"/>
      <c r="AF104" s="18"/>
      <c r="AG104" s="19"/>
      <c r="AH104" s="19"/>
      <c r="AI104" s="19"/>
      <c r="AJ104" s="18"/>
      <c r="AL104" s="18"/>
      <c r="AN104" s="18"/>
      <c r="AP104" s="18"/>
    </row>
    <row r="105" spans="6:42">
      <c r="F105" s="18"/>
      <c r="G105" s="19"/>
      <c r="H105" s="19"/>
      <c r="I105" s="18"/>
      <c r="N105" s="18"/>
      <c r="P105" s="18"/>
      <c r="R105" s="18"/>
      <c r="T105" s="18"/>
      <c r="V105" s="18"/>
      <c r="X105" s="18"/>
      <c r="Z105" s="18"/>
      <c r="AB105" s="18"/>
      <c r="AD105" s="18"/>
      <c r="AF105" s="18"/>
      <c r="AG105" s="19"/>
      <c r="AH105" s="19"/>
      <c r="AI105" s="19"/>
      <c r="AJ105" s="18"/>
      <c r="AL105" s="18"/>
      <c r="AN105" s="18"/>
      <c r="AP105" s="18"/>
    </row>
    <row r="106" spans="6:42">
      <c r="F106" s="18"/>
      <c r="G106" s="19"/>
      <c r="H106" s="19"/>
      <c r="I106" s="18"/>
      <c r="N106" s="18"/>
      <c r="P106" s="18"/>
      <c r="R106" s="18"/>
      <c r="T106" s="18"/>
      <c r="V106" s="18"/>
      <c r="X106" s="18"/>
      <c r="Z106" s="18"/>
      <c r="AB106" s="18"/>
      <c r="AD106" s="18"/>
      <c r="AF106" s="18"/>
      <c r="AG106" s="19"/>
      <c r="AH106" s="19"/>
      <c r="AI106" s="19"/>
      <c r="AJ106" s="18"/>
      <c r="AL106" s="18"/>
      <c r="AN106" s="18"/>
      <c r="AP106" s="18"/>
    </row>
    <row r="107" spans="6:42">
      <c r="F107" s="18"/>
      <c r="G107" s="19"/>
      <c r="H107" s="19"/>
      <c r="I107" s="18"/>
      <c r="N107" s="18"/>
      <c r="P107" s="18"/>
      <c r="R107" s="18"/>
      <c r="T107" s="18"/>
      <c r="V107" s="18"/>
      <c r="X107" s="18"/>
      <c r="Z107" s="18"/>
      <c r="AB107" s="18"/>
      <c r="AD107" s="18"/>
      <c r="AF107" s="18"/>
      <c r="AG107" s="19"/>
      <c r="AH107" s="19"/>
      <c r="AI107" s="19"/>
      <c r="AJ107" s="18"/>
      <c r="AL107" s="18"/>
      <c r="AN107" s="18"/>
      <c r="AP107" s="18"/>
    </row>
    <row r="108" spans="6:42">
      <c r="F108" s="18"/>
      <c r="G108" s="19"/>
      <c r="H108" s="19"/>
      <c r="I108" s="18"/>
      <c r="N108" s="18"/>
      <c r="P108" s="18"/>
      <c r="R108" s="18"/>
      <c r="T108" s="18"/>
      <c r="V108" s="18"/>
      <c r="X108" s="18"/>
      <c r="Z108" s="18"/>
      <c r="AB108" s="18"/>
      <c r="AD108" s="18"/>
      <c r="AF108" s="18"/>
      <c r="AG108" s="19"/>
      <c r="AH108" s="19"/>
      <c r="AI108" s="19"/>
      <c r="AJ108" s="18"/>
      <c r="AL108" s="18"/>
      <c r="AN108" s="18"/>
      <c r="AP108" s="18"/>
    </row>
    <row r="109" spans="6:42">
      <c r="F109" s="18"/>
      <c r="G109" s="19"/>
      <c r="H109" s="19"/>
      <c r="I109" s="18"/>
      <c r="N109" s="18"/>
      <c r="P109" s="18"/>
      <c r="R109" s="18"/>
      <c r="T109" s="18"/>
      <c r="V109" s="18"/>
      <c r="X109" s="18"/>
      <c r="Z109" s="18"/>
      <c r="AB109" s="18"/>
      <c r="AD109" s="18"/>
      <c r="AF109" s="18"/>
      <c r="AG109" s="19"/>
      <c r="AH109" s="19"/>
      <c r="AI109" s="19"/>
      <c r="AJ109" s="18"/>
      <c r="AL109" s="18"/>
      <c r="AN109" s="18"/>
      <c r="AP109" s="18"/>
    </row>
    <row r="110" spans="6:42">
      <c r="F110" s="18"/>
      <c r="G110" s="19"/>
      <c r="H110" s="19"/>
      <c r="I110" s="18"/>
      <c r="N110" s="18"/>
      <c r="P110" s="18"/>
      <c r="R110" s="18"/>
      <c r="T110" s="18"/>
      <c r="V110" s="18"/>
      <c r="X110" s="18"/>
      <c r="Z110" s="18"/>
      <c r="AB110" s="18"/>
      <c r="AD110" s="18"/>
      <c r="AF110" s="18"/>
      <c r="AG110" s="19"/>
      <c r="AH110" s="19"/>
      <c r="AI110" s="19"/>
      <c r="AJ110" s="18"/>
      <c r="AL110" s="18"/>
      <c r="AN110" s="18"/>
      <c r="AP110" s="18"/>
    </row>
    <row r="111" spans="6:42">
      <c r="F111" s="18"/>
      <c r="G111" s="19"/>
      <c r="H111" s="19"/>
      <c r="I111" s="18"/>
      <c r="N111" s="18"/>
      <c r="P111" s="18"/>
      <c r="R111" s="18"/>
      <c r="T111" s="18"/>
      <c r="V111" s="18"/>
      <c r="X111" s="18"/>
      <c r="Z111" s="18"/>
      <c r="AB111" s="18"/>
      <c r="AD111" s="18"/>
      <c r="AF111" s="18"/>
      <c r="AG111" s="19"/>
      <c r="AH111" s="19"/>
      <c r="AI111" s="19"/>
      <c r="AJ111" s="18"/>
      <c r="AL111" s="18"/>
      <c r="AN111" s="18"/>
      <c r="AP111" s="18"/>
    </row>
    <row r="112" spans="6:42">
      <c r="F112" s="18"/>
      <c r="G112" s="19"/>
      <c r="H112" s="19"/>
      <c r="I112" s="18"/>
      <c r="N112" s="18"/>
      <c r="P112" s="18"/>
      <c r="R112" s="18"/>
      <c r="T112" s="18"/>
      <c r="V112" s="18"/>
      <c r="X112" s="18"/>
      <c r="Z112" s="18"/>
      <c r="AB112" s="18"/>
      <c r="AD112" s="18"/>
      <c r="AF112" s="18"/>
      <c r="AG112" s="19"/>
      <c r="AH112" s="19"/>
      <c r="AI112" s="19"/>
      <c r="AJ112" s="18"/>
      <c r="AL112" s="18"/>
      <c r="AN112" s="18"/>
      <c r="AP112" s="18"/>
    </row>
    <row r="113" spans="6:42">
      <c r="F113" s="18"/>
      <c r="G113" s="19"/>
      <c r="H113" s="19"/>
      <c r="I113" s="18"/>
      <c r="N113" s="18"/>
      <c r="P113" s="18"/>
      <c r="R113" s="18"/>
      <c r="T113" s="18"/>
      <c r="V113" s="18"/>
      <c r="X113" s="18"/>
      <c r="Z113" s="18"/>
      <c r="AB113" s="18"/>
      <c r="AD113" s="18"/>
      <c r="AF113" s="18"/>
      <c r="AG113" s="19"/>
      <c r="AH113" s="19"/>
      <c r="AI113" s="19"/>
      <c r="AJ113" s="18"/>
      <c r="AL113" s="18"/>
      <c r="AN113" s="18"/>
      <c r="AP113" s="18"/>
    </row>
    <row r="114" spans="6:42">
      <c r="F114" s="18"/>
      <c r="G114" s="19"/>
      <c r="H114" s="19"/>
      <c r="I114" s="18"/>
      <c r="N114" s="18"/>
      <c r="P114" s="18"/>
      <c r="R114" s="18"/>
      <c r="T114" s="18"/>
      <c r="V114" s="18"/>
      <c r="X114" s="18"/>
      <c r="Z114" s="18"/>
      <c r="AB114" s="18"/>
      <c r="AD114" s="18"/>
      <c r="AF114" s="18"/>
      <c r="AG114" s="19"/>
      <c r="AH114" s="19"/>
      <c r="AI114" s="19"/>
      <c r="AJ114" s="18"/>
      <c r="AL114" s="18"/>
      <c r="AN114" s="18"/>
      <c r="AP114" s="18"/>
    </row>
    <row r="115" spans="6:42">
      <c r="F115" s="18"/>
      <c r="G115" s="19"/>
      <c r="H115" s="19"/>
      <c r="I115" s="18"/>
      <c r="N115" s="18"/>
      <c r="P115" s="18"/>
      <c r="R115" s="18"/>
      <c r="T115" s="18"/>
      <c r="V115" s="18"/>
      <c r="X115" s="18"/>
      <c r="Z115" s="18"/>
      <c r="AB115" s="18"/>
      <c r="AD115" s="18"/>
      <c r="AF115" s="18"/>
      <c r="AG115" s="19"/>
      <c r="AH115" s="19"/>
      <c r="AI115" s="19"/>
      <c r="AJ115" s="18"/>
      <c r="AL115" s="18"/>
      <c r="AN115" s="18"/>
      <c r="AP115" s="18"/>
    </row>
    <row r="116" spans="6:42">
      <c r="F116" s="18"/>
      <c r="G116" s="19"/>
      <c r="H116" s="19"/>
      <c r="I116" s="18"/>
      <c r="N116" s="18"/>
      <c r="P116" s="18"/>
      <c r="R116" s="18"/>
      <c r="T116" s="18"/>
      <c r="V116" s="18"/>
      <c r="X116" s="18"/>
      <c r="Z116" s="18"/>
      <c r="AB116" s="18"/>
      <c r="AD116" s="18"/>
      <c r="AF116" s="18"/>
      <c r="AG116" s="19"/>
      <c r="AH116" s="19"/>
      <c r="AI116" s="19"/>
      <c r="AJ116" s="18"/>
      <c r="AL116" s="18"/>
      <c r="AN116" s="18"/>
      <c r="AP116" s="18"/>
    </row>
    <row r="117" spans="6:42">
      <c r="F117" s="18"/>
      <c r="G117" s="19"/>
      <c r="H117" s="19"/>
      <c r="I117" s="18"/>
      <c r="N117" s="18"/>
      <c r="P117" s="18"/>
      <c r="R117" s="18"/>
      <c r="T117" s="18"/>
      <c r="V117" s="18"/>
      <c r="X117" s="18"/>
      <c r="Z117" s="18"/>
      <c r="AB117" s="18"/>
      <c r="AD117" s="18"/>
      <c r="AF117" s="18"/>
      <c r="AG117" s="19"/>
      <c r="AH117" s="19"/>
      <c r="AI117" s="19"/>
      <c r="AJ117" s="18"/>
      <c r="AL117" s="18"/>
      <c r="AN117" s="18"/>
      <c r="AP117" s="18"/>
    </row>
    <row r="118" spans="6:42">
      <c r="F118" s="18"/>
      <c r="G118" s="19"/>
      <c r="H118" s="19"/>
      <c r="I118" s="18"/>
      <c r="N118" s="18"/>
      <c r="P118" s="18"/>
      <c r="R118" s="18"/>
      <c r="T118" s="18"/>
      <c r="V118" s="18"/>
      <c r="X118" s="18"/>
      <c r="Z118" s="18"/>
      <c r="AB118" s="18"/>
      <c r="AD118" s="18"/>
      <c r="AF118" s="18"/>
      <c r="AG118" s="19"/>
      <c r="AH118" s="19"/>
      <c r="AI118" s="19"/>
      <c r="AJ118" s="18"/>
      <c r="AL118" s="18"/>
      <c r="AN118" s="18"/>
      <c r="AP118" s="18"/>
    </row>
    <row r="119" spans="6:42">
      <c r="F119" s="18"/>
      <c r="G119" s="19"/>
      <c r="H119" s="19"/>
      <c r="I119" s="18"/>
      <c r="N119" s="18"/>
      <c r="P119" s="18"/>
      <c r="R119" s="18"/>
      <c r="T119" s="18"/>
      <c r="V119" s="18"/>
      <c r="X119" s="18"/>
      <c r="Z119" s="18"/>
      <c r="AB119" s="18"/>
      <c r="AD119" s="18"/>
      <c r="AF119" s="18"/>
      <c r="AG119" s="19"/>
      <c r="AH119" s="19"/>
      <c r="AI119" s="19"/>
      <c r="AJ119" s="18"/>
      <c r="AL119" s="18"/>
      <c r="AN119" s="18"/>
      <c r="AP119" s="18"/>
    </row>
    <row r="120" spans="6:42">
      <c r="F120" s="18"/>
      <c r="G120" s="19"/>
      <c r="H120" s="19"/>
      <c r="I120" s="18"/>
      <c r="N120" s="18"/>
      <c r="P120" s="18"/>
      <c r="R120" s="18"/>
      <c r="T120" s="18"/>
      <c r="V120" s="18"/>
      <c r="X120" s="18"/>
      <c r="Z120" s="18"/>
      <c r="AB120" s="18"/>
      <c r="AD120" s="18"/>
      <c r="AF120" s="18"/>
      <c r="AG120" s="19"/>
      <c r="AH120" s="19"/>
      <c r="AI120" s="19"/>
      <c r="AJ120" s="18"/>
      <c r="AL120" s="18"/>
      <c r="AN120" s="18"/>
      <c r="AP120" s="18"/>
    </row>
    <row r="121" spans="6:42">
      <c r="F121" s="18"/>
      <c r="G121" s="19"/>
      <c r="H121" s="19"/>
      <c r="I121" s="18"/>
      <c r="N121" s="18"/>
      <c r="P121" s="18"/>
      <c r="R121" s="18"/>
      <c r="T121" s="18"/>
      <c r="V121" s="18"/>
      <c r="X121" s="18"/>
      <c r="Z121" s="18"/>
      <c r="AB121" s="18"/>
      <c r="AD121" s="18"/>
      <c r="AF121" s="18"/>
      <c r="AG121" s="19"/>
      <c r="AH121" s="19"/>
      <c r="AI121" s="19"/>
      <c r="AJ121" s="18"/>
      <c r="AL121" s="18"/>
      <c r="AN121" s="18"/>
      <c r="AP121" s="18"/>
    </row>
    <row r="122" spans="6:42">
      <c r="F122" s="18"/>
      <c r="G122" s="19"/>
      <c r="H122" s="19"/>
      <c r="I122" s="18"/>
      <c r="N122" s="18"/>
      <c r="P122" s="18"/>
      <c r="R122" s="18"/>
      <c r="T122" s="18"/>
      <c r="V122" s="18"/>
      <c r="X122" s="18"/>
      <c r="Z122" s="18"/>
      <c r="AB122" s="18"/>
      <c r="AD122" s="18"/>
      <c r="AF122" s="18"/>
      <c r="AG122" s="19"/>
      <c r="AH122" s="19"/>
      <c r="AI122" s="19"/>
      <c r="AJ122" s="18"/>
      <c r="AL122" s="18"/>
      <c r="AN122" s="18"/>
      <c r="AP122" s="18"/>
    </row>
    <row r="123" spans="6:42">
      <c r="F123" s="18"/>
      <c r="G123" s="19"/>
      <c r="H123" s="19"/>
      <c r="I123" s="18"/>
      <c r="N123" s="18"/>
      <c r="P123" s="18"/>
      <c r="R123" s="18"/>
      <c r="T123" s="18"/>
      <c r="V123" s="18"/>
      <c r="X123" s="18"/>
      <c r="Z123" s="18"/>
      <c r="AB123" s="18"/>
      <c r="AD123" s="18"/>
      <c r="AF123" s="18"/>
      <c r="AG123" s="19"/>
      <c r="AH123" s="19"/>
      <c r="AI123" s="19"/>
      <c r="AJ123" s="18"/>
      <c r="AL123" s="18"/>
      <c r="AN123" s="18"/>
      <c r="AP123" s="18"/>
    </row>
    <row r="124" spans="6:42">
      <c r="F124" s="18"/>
      <c r="G124" s="19"/>
      <c r="H124" s="19"/>
      <c r="I124" s="18"/>
      <c r="N124" s="18"/>
      <c r="P124" s="18"/>
      <c r="R124" s="18"/>
      <c r="T124" s="18"/>
      <c r="V124" s="18"/>
      <c r="X124" s="18"/>
      <c r="Z124" s="18"/>
      <c r="AB124" s="18"/>
      <c r="AD124" s="18"/>
      <c r="AF124" s="18"/>
      <c r="AG124" s="19"/>
      <c r="AH124" s="19"/>
      <c r="AI124" s="19"/>
      <c r="AJ124" s="18"/>
      <c r="AL124" s="18"/>
      <c r="AN124" s="18"/>
      <c r="AP124" s="18"/>
    </row>
    <row r="125" spans="6:42">
      <c r="F125" s="18"/>
      <c r="G125" s="19"/>
      <c r="H125" s="19"/>
      <c r="I125" s="18"/>
      <c r="N125" s="18"/>
      <c r="P125" s="18"/>
      <c r="R125" s="18"/>
      <c r="T125" s="18"/>
      <c r="V125" s="18"/>
      <c r="X125" s="18"/>
      <c r="Z125" s="18"/>
      <c r="AB125" s="18"/>
      <c r="AD125" s="18"/>
      <c r="AF125" s="18"/>
      <c r="AG125" s="19"/>
      <c r="AH125" s="19"/>
      <c r="AI125" s="19"/>
      <c r="AJ125" s="18"/>
      <c r="AL125" s="18"/>
      <c r="AN125" s="18"/>
      <c r="AP125" s="18"/>
    </row>
    <row r="126" spans="6:42">
      <c r="F126" s="18"/>
      <c r="G126" s="19"/>
      <c r="H126" s="19"/>
      <c r="I126" s="18"/>
      <c r="N126" s="18"/>
      <c r="P126" s="18"/>
      <c r="R126" s="18"/>
      <c r="T126" s="18"/>
      <c r="V126" s="18"/>
      <c r="X126" s="18"/>
      <c r="Z126" s="18"/>
      <c r="AB126" s="18"/>
      <c r="AD126" s="18"/>
      <c r="AF126" s="18"/>
      <c r="AG126" s="19"/>
      <c r="AH126" s="19"/>
      <c r="AI126" s="19"/>
      <c r="AJ126" s="18"/>
      <c r="AL126" s="18"/>
      <c r="AN126" s="18"/>
      <c r="AP126" s="18"/>
    </row>
    <row r="127" spans="6:42">
      <c r="F127" s="18"/>
      <c r="G127" s="19"/>
      <c r="H127" s="19"/>
      <c r="I127" s="18"/>
      <c r="N127" s="18"/>
      <c r="P127" s="18"/>
      <c r="R127" s="18"/>
      <c r="T127" s="18"/>
      <c r="V127" s="18"/>
      <c r="X127" s="18"/>
      <c r="Z127" s="18"/>
      <c r="AB127" s="18"/>
      <c r="AD127" s="18"/>
      <c r="AF127" s="18"/>
      <c r="AG127" s="19"/>
      <c r="AH127" s="19"/>
      <c r="AI127" s="19"/>
      <c r="AJ127" s="18"/>
      <c r="AL127" s="18"/>
      <c r="AN127" s="18"/>
      <c r="AP127" s="18"/>
    </row>
    <row r="128" spans="6:42">
      <c r="F128" s="18"/>
      <c r="G128" s="19"/>
      <c r="H128" s="19"/>
      <c r="I128" s="18"/>
      <c r="N128" s="18"/>
      <c r="P128" s="18"/>
      <c r="R128" s="18"/>
      <c r="T128" s="18"/>
      <c r="V128" s="18"/>
      <c r="X128" s="18"/>
      <c r="Z128" s="18"/>
      <c r="AB128" s="18"/>
      <c r="AD128" s="18"/>
      <c r="AF128" s="18"/>
      <c r="AG128" s="19"/>
      <c r="AH128" s="19"/>
      <c r="AI128" s="19"/>
      <c r="AJ128" s="18"/>
      <c r="AL128" s="18"/>
      <c r="AN128" s="18"/>
      <c r="AP128" s="18"/>
    </row>
    <row r="129" spans="6:42">
      <c r="F129" s="18"/>
      <c r="G129" s="19"/>
      <c r="H129" s="19"/>
      <c r="I129" s="18"/>
      <c r="N129" s="18"/>
      <c r="P129" s="18"/>
      <c r="R129" s="18"/>
      <c r="T129" s="18"/>
      <c r="V129" s="18"/>
      <c r="X129" s="18"/>
      <c r="Z129" s="18"/>
      <c r="AB129" s="18"/>
      <c r="AD129" s="18"/>
      <c r="AF129" s="18"/>
      <c r="AG129" s="19"/>
      <c r="AH129" s="19"/>
      <c r="AI129" s="19"/>
      <c r="AJ129" s="18"/>
      <c r="AL129" s="18"/>
      <c r="AN129" s="18"/>
      <c r="AP129" s="18"/>
    </row>
    <row r="130" spans="6:42">
      <c r="F130" s="18"/>
      <c r="G130" s="19"/>
      <c r="H130" s="19"/>
      <c r="I130" s="18"/>
      <c r="N130" s="18"/>
      <c r="P130" s="18"/>
      <c r="R130" s="18"/>
      <c r="T130" s="18"/>
      <c r="V130" s="18"/>
      <c r="X130" s="18"/>
      <c r="Z130" s="18"/>
      <c r="AB130" s="18"/>
      <c r="AD130" s="18"/>
      <c r="AF130" s="18"/>
      <c r="AG130" s="19"/>
      <c r="AH130" s="19"/>
      <c r="AI130" s="19"/>
      <c r="AJ130" s="18"/>
      <c r="AL130" s="18"/>
      <c r="AN130" s="18"/>
      <c r="AP130" s="18"/>
    </row>
    <row r="131" spans="6:42">
      <c r="G131" s="19"/>
      <c r="H131" s="19"/>
      <c r="AG131" s="19"/>
      <c r="AH131" s="19"/>
      <c r="AI131" s="19"/>
    </row>
    <row r="132" spans="6:42">
      <c r="G132" s="19"/>
      <c r="H132" s="19"/>
      <c r="AG132" s="19"/>
      <c r="AH132" s="19"/>
      <c r="AI132" s="19"/>
    </row>
    <row r="133" spans="6:42">
      <c r="G133" s="19"/>
      <c r="H133" s="19"/>
      <c r="AG133" s="19"/>
      <c r="AH133" s="19"/>
      <c r="AI133" s="19"/>
    </row>
    <row r="134" spans="6:42">
      <c r="G134" s="19"/>
      <c r="H134" s="19"/>
      <c r="AG134" s="19"/>
      <c r="AH134" s="19"/>
      <c r="AI134" s="19"/>
    </row>
    <row r="135" spans="6:42">
      <c r="G135" s="19"/>
      <c r="H135" s="19"/>
      <c r="AG135" s="19"/>
      <c r="AH135" s="19"/>
      <c r="AI135" s="19"/>
    </row>
    <row r="136" spans="6:42">
      <c r="G136" s="19"/>
      <c r="H136" s="19"/>
      <c r="AG136" s="19"/>
      <c r="AH136" s="19"/>
      <c r="AI136" s="19"/>
    </row>
    <row r="137" spans="6:42">
      <c r="G137" s="19"/>
      <c r="H137" s="19"/>
      <c r="AG137" s="19"/>
      <c r="AH137" s="19"/>
      <c r="AI137" s="19"/>
    </row>
    <row r="138" spans="6:42">
      <c r="G138" s="19"/>
      <c r="H138" s="19"/>
      <c r="AG138" s="19"/>
      <c r="AH138" s="19"/>
      <c r="AI138" s="19"/>
    </row>
    <row r="139" spans="6:42">
      <c r="G139" s="19"/>
      <c r="H139" s="19"/>
      <c r="AG139" s="19"/>
      <c r="AH139" s="19"/>
      <c r="AI139" s="19"/>
    </row>
    <row r="140" spans="6:42">
      <c r="G140" s="19"/>
      <c r="H140" s="19"/>
      <c r="AG140" s="19"/>
      <c r="AH140" s="19"/>
      <c r="AI140" s="19"/>
    </row>
    <row r="141" spans="6:42">
      <c r="G141" s="19"/>
      <c r="H141" s="19"/>
      <c r="AG141" s="19"/>
      <c r="AH141" s="19"/>
      <c r="AI141" s="19"/>
    </row>
    <row r="142" spans="6:42">
      <c r="G142" s="19"/>
      <c r="H142" s="19"/>
      <c r="AG142" s="19"/>
      <c r="AH142" s="19"/>
      <c r="AI142" s="19"/>
    </row>
    <row r="143" spans="6:42">
      <c r="G143" s="19"/>
      <c r="H143" s="19"/>
      <c r="AG143" s="19"/>
      <c r="AH143" s="19"/>
      <c r="AI143" s="19"/>
    </row>
    <row r="144" spans="6:42">
      <c r="G144" s="19"/>
      <c r="H144" s="19"/>
      <c r="AG144" s="19"/>
      <c r="AH144" s="19"/>
      <c r="AI144" s="19"/>
    </row>
    <row r="145" spans="7:35">
      <c r="G145" s="19"/>
      <c r="H145" s="19"/>
      <c r="AG145" s="19"/>
      <c r="AH145" s="19"/>
      <c r="AI145" s="19"/>
    </row>
    <row r="146" spans="7:35">
      <c r="G146" s="19"/>
      <c r="H146" s="19"/>
      <c r="AG146" s="19"/>
      <c r="AH146" s="19"/>
      <c r="AI146" s="19"/>
    </row>
    <row r="147" spans="7:35">
      <c r="G147" s="19"/>
      <c r="H147" s="19"/>
      <c r="AG147" s="19"/>
      <c r="AH147" s="19"/>
      <c r="AI147" s="19"/>
    </row>
    <row r="148" spans="7:35">
      <c r="G148" s="19"/>
      <c r="H148" s="19"/>
      <c r="AG148" s="19"/>
      <c r="AH148" s="19"/>
      <c r="AI148" s="19"/>
    </row>
    <row r="149" spans="7:35">
      <c r="G149" s="19"/>
      <c r="H149" s="19"/>
      <c r="AG149" s="19"/>
      <c r="AH149" s="19"/>
      <c r="AI149" s="19"/>
    </row>
    <row r="150" spans="7:35">
      <c r="G150" s="19"/>
      <c r="H150" s="19"/>
      <c r="AG150" s="19"/>
      <c r="AH150" s="19"/>
      <c r="AI150" s="19"/>
    </row>
    <row r="151" spans="7:35">
      <c r="G151" s="19"/>
      <c r="H151" s="19"/>
      <c r="AG151" s="19"/>
      <c r="AH151" s="19"/>
      <c r="AI151" s="19"/>
    </row>
    <row r="152" spans="7:35">
      <c r="G152" s="19"/>
      <c r="H152" s="19"/>
      <c r="AG152" s="19"/>
      <c r="AH152" s="19"/>
      <c r="AI152" s="19"/>
    </row>
  </sheetData>
  <mergeCells count="51">
    <mergeCell ref="AQ9:AQ10"/>
    <mergeCell ref="A58:E58"/>
    <mergeCell ref="AA9:AA10"/>
    <mergeCell ref="D9:E10"/>
    <mergeCell ref="Y9:Y10"/>
    <mergeCell ref="A10:B10"/>
    <mergeCell ref="J9:M10"/>
    <mergeCell ref="A9:B9"/>
    <mergeCell ref="G9:H10"/>
    <mergeCell ref="Q9:Q10"/>
    <mergeCell ref="O9:O10"/>
    <mergeCell ref="S9:S10"/>
    <mergeCell ref="U9:U10"/>
    <mergeCell ref="AO9:AO10"/>
    <mergeCell ref="AM9:AM10"/>
    <mergeCell ref="AK9:AK10"/>
    <mergeCell ref="A7:D7"/>
    <mergeCell ref="AG7:AI7"/>
    <mergeCell ref="G7:H7"/>
    <mergeCell ref="J7:M7"/>
    <mergeCell ref="A8:D8"/>
    <mergeCell ref="AG8:AI8"/>
    <mergeCell ref="G8:H8"/>
    <mergeCell ref="J8:M8"/>
    <mergeCell ref="A5:D5"/>
    <mergeCell ref="AG5:AI5"/>
    <mergeCell ref="G5:H5"/>
    <mergeCell ref="J5:M5"/>
    <mergeCell ref="A6:D6"/>
    <mergeCell ref="AG6:AI6"/>
    <mergeCell ref="G6:H6"/>
    <mergeCell ref="J6:M6"/>
    <mergeCell ref="A3:D3"/>
    <mergeCell ref="AG3:AI3"/>
    <mergeCell ref="A4:D4"/>
    <mergeCell ref="AG4:AI4"/>
    <mergeCell ref="G4:H4"/>
    <mergeCell ref="J3:M3"/>
    <mergeCell ref="J4:M4"/>
    <mergeCell ref="A1:D1"/>
    <mergeCell ref="AG1:AI1"/>
    <mergeCell ref="A2:D2"/>
    <mergeCell ref="AG2:AI2"/>
    <mergeCell ref="J1:M1"/>
    <mergeCell ref="J2:M2"/>
    <mergeCell ref="AC9:AC10"/>
    <mergeCell ref="AG9:AI10"/>
    <mergeCell ref="AE9:AE10"/>
    <mergeCell ref="G1:H1"/>
    <mergeCell ref="G2:H2"/>
    <mergeCell ref="G3:H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PSI - Paul Scherrer Institut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Calbry-Muzyka Adelaide</dc:creator>
  <cp:keywords/>
  <dc:description/>
  <cp:lastModifiedBy>Adelaide Calbry-Muzyka</cp:lastModifiedBy>
  <cp:revision/>
  <dcterms:created xsi:type="dcterms:W3CDTF">2019-03-13T13:51:09Z</dcterms:created>
  <dcterms:modified xsi:type="dcterms:W3CDTF">2021-05-17T20:25:26Z</dcterms:modified>
  <cp:category/>
  <cp:contentStatus/>
</cp:coreProperties>
</file>