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W:\P-C ACTUARIAL\AUTO\STATE FILES\California\REVISIONS\2024\10-01-2024 GRC\04 - Filing\09 - Amendmed Filing Exhibits 8-14-24\"/>
    </mc:Choice>
  </mc:AlternateContent>
  <xr:revisionPtr revIDLastSave="0" documentId="13_ncr:1_{506AD975-4AE0-4B8F-A111-2FAB3E05A683}" xr6:coauthVersionLast="47" xr6:coauthVersionMax="47" xr10:uidLastSave="{00000000-0000-0000-0000-000000000000}"/>
  <bookViews>
    <workbookView xWindow="-28920" yWindow="120" windowWidth="29040" windowHeight="15840" tabRatio="802" firstSheet="10" activeTab="20" xr2:uid="{3637EDBC-0ABA-45E1-8BB6-6B695C087400}"/>
  </bookViews>
  <sheets>
    <sheet name="Exhibit 1" sheetId="5" r:id="rId1"/>
    <sheet name="Exhibit 2" sheetId="6" r:id="rId2"/>
    <sheet name="Exhibit 3" sheetId="7" r:id="rId3"/>
    <sheet name="Exhibit 4" sheetId="8" r:id="rId4"/>
    <sheet name="Exhibit 6" sheetId="10" r:id="rId5"/>
    <sheet name="Supp Exh 8" sheetId="9" r:id="rId6"/>
    <sheet name="Exhibit 9" sheetId="11" r:id="rId7"/>
    <sheet name="Exhibit 9- p2" sheetId="12" r:id="rId8"/>
    <sheet name="Exhibit 10" sheetId="35" r:id="rId9"/>
    <sheet name="Exhibit 11" sheetId="14" r:id="rId10"/>
    <sheet name="Exhibit 14 ICS 660" sheetId="21" r:id="rId11"/>
    <sheet name="Exhibit 14 PP" sheetId="22" r:id="rId12"/>
    <sheet name="Exhibit 14 ANT" sheetId="23" r:id="rId13"/>
    <sheet name="Exhibit 14 CLSC" sheetId="24" r:id="rId14"/>
    <sheet name="Exhibit 14 MCY" sheetId="25" r:id="rId15"/>
    <sheet name="Exhibit 14 MH" sheetId="26" r:id="rId16"/>
    <sheet name="Exhibit 14 ORV" sheetId="27" r:id="rId17"/>
    <sheet name="Exhibit 14 PPT" sheetId="28" r:id="rId18"/>
    <sheet name="Exhibit 14 TCT" sheetId="29" r:id="rId19"/>
    <sheet name="Exhibit 14 LCM" sheetId="30" r:id="rId20"/>
    <sheet name="Exhibit 14 Rate Allocation" sheetId="32" r:id="rId21"/>
    <sheet name="Exhibit 15" sheetId="16" r:id="rId22"/>
    <sheet name="Exhibit 18" sheetId="4" r:id="rId23"/>
    <sheet name="Exhibit 19" sheetId="34" r:id="rId24"/>
    <sheet name="Exhibit 20" sheetId="31" r:id="rId25"/>
  </sheets>
  <externalReferences>
    <externalReference r:id="rId26"/>
    <externalReference r:id="rId27"/>
    <externalReference r:id="rId28"/>
  </externalReferences>
  <definedNames>
    <definedName name="CMPNY_1">[1]Setup!$E$28</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p_date">[2]Inputs!$B$14</definedName>
    <definedName name="_xlnm.Print_Area" localSheetId="8">'Exhibit 10'!$B$1:$F$37,'Exhibit 10'!$I$1:$O$46</definedName>
    <definedName name="_xlnm.Print_Area" localSheetId="10">'Exhibit 14 ICS 660'!$A$1:$I$36</definedName>
    <definedName name="_xlnm.Print_Area" localSheetId="19">'Exhibit 14 LCM'!$A$1:$O$31</definedName>
    <definedName name="_xlnm.Print_Area" localSheetId="14">'Exhibit 14 MCY'!$A$1:$O$22</definedName>
    <definedName name="_xlnm.Print_Area" localSheetId="15">'Exhibit 14 MH'!$A$1:$M$28</definedName>
    <definedName name="_xlnm.Print_Area" localSheetId="16">'Exhibit 14 ORV'!$A$1:$O$49</definedName>
    <definedName name="_xlnm.Print_Area" localSheetId="11">'Exhibit 14 PP'!$A$1:$M$33</definedName>
    <definedName name="_xlnm.Print_Area" localSheetId="20">'Exhibit 14 Rate Allocation'!$A$1:$M$72</definedName>
    <definedName name="_xlnm.Print_Area" localSheetId="18">'Exhibit 14 TCT'!$A$1:$M$20</definedName>
    <definedName name="_xlnm.Print_Area" localSheetId="1">'Exhibit 2'!$A$1:$J$13</definedName>
    <definedName name="_xlnm.Print_Area" localSheetId="24">'Exhibit 20'!$A$1:$Q$21</definedName>
    <definedName name="_xlnm.Print_Titles" localSheetId="20">'Exhibit 14 Rate Allocation'!$1:$7</definedName>
    <definedName name="trend_period_years">[3]Inputs!$C$15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 i="32" l="1"/>
  <c r="F17" i="32" l="1"/>
  <c r="H17" i="32"/>
  <c r="F18" i="32"/>
  <c r="H18" i="32"/>
  <c r="F19" i="32"/>
  <c r="H19" i="32"/>
  <c r="F20" i="32"/>
  <c r="H20" i="32"/>
  <c r="F21" i="32"/>
  <c r="J20" i="31" a="1"/>
  <c r="J20" i="31" s="1"/>
  <c r="J28" i="22"/>
  <c r="L28" i="22"/>
  <c r="B14" i="22"/>
  <c r="H14" i="22"/>
  <c r="B15" i="22"/>
  <c r="H15" i="22"/>
  <c r="B16" i="22"/>
  <c r="H16" i="22"/>
  <c r="B17" i="22"/>
  <c r="H17" i="22"/>
  <c r="B18" i="22"/>
  <c r="H18" i="22"/>
  <c r="B19" i="22"/>
  <c r="H19" i="22"/>
  <c r="B20" i="22"/>
  <c r="H21" i="22"/>
  <c r="H22" i="22"/>
  <c r="B23" i="22"/>
  <c r="H24" i="22"/>
  <c r="H25" i="22"/>
  <c r="H26" i="22"/>
  <c r="F14" i="21"/>
  <c r="H14" i="21"/>
  <c r="F15" i="21"/>
  <c r="H15" i="21"/>
  <c r="F16" i="21"/>
  <c r="H16" i="21"/>
  <c r="F17" i="21"/>
  <c r="H17" i="21"/>
  <c r="F18" i="21"/>
  <c r="H18" i="21"/>
  <c r="F19" i="21"/>
  <c r="H19" i="21"/>
  <c r="F21" i="21"/>
  <c r="H21" i="21"/>
  <c r="F22" i="21"/>
  <c r="H22" i="21"/>
  <c r="F24" i="21"/>
  <c r="H24" i="21"/>
  <c r="F25" i="21"/>
  <c r="H25" i="21"/>
  <c r="F26" i="21"/>
  <c r="H26" i="21"/>
  <c r="I44" i="35"/>
  <c r="L38" i="35"/>
  <c r="M38" i="35" s="1"/>
  <c r="N38" i="35" s="1"/>
  <c r="O38" i="35" s="1"/>
  <c r="K38" i="35"/>
  <c r="D32" i="35"/>
  <c r="D34" i="35" s="1"/>
  <c r="M30" i="35"/>
  <c r="M31" i="35" s="1"/>
  <c r="M32" i="35" s="1"/>
  <c r="M23" i="35"/>
  <c r="H19" i="31"/>
  <c r="G19" i="31"/>
  <c r="H18" i="31"/>
  <c r="G18" i="31"/>
  <c r="H17" i="31"/>
  <c r="G17" i="31"/>
  <c r="H16" i="31"/>
  <c r="G16" i="31"/>
  <c r="H15" i="31"/>
  <c r="G15" i="31"/>
  <c r="H14" i="31"/>
  <c r="G14" i="31"/>
  <c r="H13" i="31"/>
  <c r="G13" i="31"/>
  <c r="H12" i="31"/>
  <c r="G12" i="31"/>
  <c r="H11" i="31"/>
  <c r="G11" i="31"/>
  <c r="H10" i="31"/>
  <c r="G10" i="31"/>
  <c r="H9" i="31"/>
  <c r="G9" i="31"/>
  <c r="F20" i="31" a="1"/>
  <c r="F20" i="31" s="1"/>
  <c r="E20" i="31" a="1"/>
  <c r="E20" i="31" s="1"/>
  <c r="D20" i="31" a="1"/>
  <c r="D20" i="31" s="1"/>
  <c r="B20" i="31" a="1"/>
  <c r="B20" i="31" s="1"/>
  <c r="C16" i="31" s="1"/>
  <c r="I12" i="31" l="1"/>
  <c r="I13" i="31"/>
  <c r="I9" i="31"/>
  <c r="B28" i="22"/>
  <c r="I14" i="31"/>
  <c r="I18" i="31"/>
  <c r="I15" i="31"/>
  <c r="I10" i="31"/>
  <c r="I17" i="31"/>
  <c r="G20" i="31"/>
  <c r="H20" i="31"/>
  <c r="I11" i="31"/>
  <c r="I19" i="31"/>
  <c r="I16" i="31"/>
  <c r="C13" i="31"/>
  <c r="C10" i="31"/>
  <c r="C18" i="31"/>
  <c r="C14" i="31"/>
  <c r="C9" i="31"/>
  <c r="C17" i="31"/>
  <c r="C11" i="31"/>
  <c r="C19" i="31"/>
  <c r="C12" i="31"/>
  <c r="C15" i="31"/>
  <c r="F28" i="21"/>
  <c r="H28" i="21"/>
  <c r="N39" i="35"/>
  <c r="M39" i="35"/>
  <c r="L39" i="35"/>
  <c r="K39" i="35"/>
  <c r="J39" i="35"/>
  <c r="O39" i="35"/>
  <c r="L18" i="29"/>
  <c r="J18" i="29"/>
  <c r="H14" i="29"/>
  <c r="I20" i="31" l="1"/>
  <c r="C20" i="31" a="1"/>
  <c r="C20" i="31" s="1"/>
  <c r="M12" i="32"/>
  <c r="M11" i="32"/>
  <c r="I61" i="32"/>
  <c r="G14" i="32"/>
  <c r="G13" i="32"/>
  <c r="H13" i="32" s="1"/>
  <c r="G12" i="32"/>
  <c r="G11" i="32"/>
  <c r="G10" i="32"/>
  <c r="G9" i="32"/>
  <c r="H9" i="32" s="1"/>
  <c r="G8" i="32"/>
  <c r="H8" i="32" s="1"/>
  <c r="E8" i="32"/>
  <c r="E9" i="32"/>
  <c r="E10" i="32"/>
  <c r="E11" i="32"/>
  <c r="E12" i="32"/>
  <c r="E13" i="32"/>
  <c r="E14" i="32"/>
  <c r="D8" i="32"/>
  <c r="D9" i="32"/>
  <c r="D10" i="32"/>
  <c r="D11" i="32"/>
  <c r="D12" i="32"/>
  <c r="D13" i="32"/>
  <c r="D14" i="32"/>
  <c r="C14" i="32"/>
  <c r="C13" i="32"/>
  <c r="M13" i="32" s="1"/>
  <c r="C12" i="32"/>
  <c r="C10" i="32"/>
  <c r="C9" i="32"/>
  <c r="M9" i="32" s="1"/>
  <c r="C8" i="32"/>
  <c r="M64" i="32"/>
  <c r="M60" i="32"/>
  <c r="M59" i="32"/>
  <c r="M56" i="32"/>
  <c r="M40" i="32"/>
  <c r="M39" i="32"/>
  <c r="M37" i="32" s="1"/>
  <c r="M49" i="32"/>
  <c r="M48" i="32"/>
  <c r="M30" i="32"/>
  <c r="M24" i="32"/>
  <c r="M17" i="32"/>
  <c r="J66" i="32"/>
  <c r="J65" i="32"/>
  <c r="J64" i="32"/>
  <c r="J67" i="32" s="1"/>
  <c r="G60" i="32"/>
  <c r="H60" i="32" s="1"/>
  <c r="G59" i="32"/>
  <c r="H59" i="32" s="1"/>
  <c r="G58" i="32"/>
  <c r="H58" i="32" s="1"/>
  <c r="G57" i="32"/>
  <c r="H57" i="32" s="1"/>
  <c r="G56" i="32"/>
  <c r="H56" i="32" s="1"/>
  <c r="G55" i="32"/>
  <c r="H55" i="32" s="1"/>
  <c r="E60" i="32"/>
  <c r="D60" i="32"/>
  <c r="E59" i="32"/>
  <c r="D59" i="32"/>
  <c r="E58" i="32"/>
  <c r="D58" i="32"/>
  <c r="E57" i="32"/>
  <c r="D57" i="32"/>
  <c r="E56" i="32"/>
  <c r="D56" i="32"/>
  <c r="E55" i="32"/>
  <c r="D55" i="32"/>
  <c r="C60" i="32"/>
  <c r="C59" i="32"/>
  <c r="C58" i="32"/>
  <c r="C11" i="32" s="1"/>
  <c r="F11" i="32" s="1"/>
  <c r="C57" i="32"/>
  <c r="C56" i="32"/>
  <c r="C55" i="32"/>
  <c r="F61" i="32"/>
  <c r="F39" i="32"/>
  <c r="H39" i="32"/>
  <c r="F40" i="32"/>
  <c r="H40" i="32"/>
  <c r="F48" i="32"/>
  <c r="H48" i="32"/>
  <c r="F49" i="32"/>
  <c r="H49" i="32"/>
  <c r="F52" i="32"/>
  <c r="F51" i="32"/>
  <c r="F50" i="32"/>
  <c r="F47" i="32"/>
  <c r="F46" i="32"/>
  <c r="F43" i="32"/>
  <c r="F42" i="32"/>
  <c r="J42" i="32" s="1"/>
  <c r="F41" i="32"/>
  <c r="J41" i="32" s="1"/>
  <c r="F38" i="32"/>
  <c r="J38" i="32" s="1"/>
  <c r="F37" i="32"/>
  <c r="J37" i="32" s="1"/>
  <c r="F34" i="32"/>
  <c r="F33" i="32"/>
  <c r="J33" i="32" s="1"/>
  <c r="F32" i="32"/>
  <c r="F31" i="32"/>
  <c r="F30" i="32"/>
  <c r="J30" i="32" s="1"/>
  <c r="F27" i="32"/>
  <c r="F26" i="32"/>
  <c r="F25" i="32"/>
  <c r="F24" i="32"/>
  <c r="F12" i="32"/>
  <c r="H66" i="32"/>
  <c r="H65" i="32"/>
  <c r="H64" i="32"/>
  <c r="H51" i="32"/>
  <c r="H50" i="32"/>
  <c r="H47" i="32"/>
  <c r="H46" i="32"/>
  <c r="H42" i="32"/>
  <c r="H41" i="32"/>
  <c r="H38" i="32"/>
  <c r="H37" i="32"/>
  <c r="H33" i="32"/>
  <c r="H32" i="32"/>
  <c r="H31" i="32"/>
  <c r="H30" i="32"/>
  <c r="H26" i="32"/>
  <c r="H25" i="32"/>
  <c r="H24" i="32"/>
  <c r="H12" i="32"/>
  <c r="H11" i="32"/>
  <c r="H10" i="32"/>
  <c r="F10" i="32" l="1"/>
  <c r="F9" i="32"/>
  <c r="F14" i="32"/>
  <c r="F8" i="32"/>
  <c r="F13" i="32"/>
  <c r="J31" i="32"/>
  <c r="J32" i="32"/>
  <c r="K66" i="32"/>
  <c r="J46" i="32"/>
  <c r="J49" i="32"/>
  <c r="J39" i="32"/>
  <c r="F55" i="32"/>
  <c r="J55" i="32" s="1"/>
  <c r="M46" i="32"/>
  <c r="M8" i="32" s="1"/>
  <c r="M14" i="32" s="1"/>
  <c r="M55" i="32"/>
  <c r="J47" i="32"/>
  <c r="J40" i="32"/>
  <c r="J51" i="32"/>
  <c r="F60" i="32"/>
  <c r="J60" i="32" s="1"/>
  <c r="J34" i="32"/>
  <c r="K33" i="32" s="1"/>
  <c r="F57" i="32"/>
  <c r="J57" i="32" s="1"/>
  <c r="J50" i="32"/>
  <c r="J48" i="32"/>
  <c r="F59" i="32"/>
  <c r="J59" i="32" s="1"/>
  <c r="K64" i="32"/>
  <c r="K65" i="32"/>
  <c r="F56" i="32"/>
  <c r="J56" i="32" s="1"/>
  <c r="F58" i="32"/>
  <c r="J58" i="32" s="1"/>
  <c r="J26" i="32"/>
  <c r="J24" i="32"/>
  <c r="J25" i="32"/>
  <c r="J17" i="32"/>
  <c r="J18" i="32"/>
  <c r="J19" i="32"/>
  <c r="J20" i="32"/>
  <c r="J27" i="32" l="1"/>
  <c r="K26" i="32" s="1"/>
  <c r="J43" i="32"/>
  <c r="K42" i="32" s="1"/>
  <c r="K32" i="32"/>
  <c r="K31" i="32"/>
  <c r="J61" i="32"/>
  <c r="K58" i="32" s="1"/>
  <c r="K30" i="32"/>
  <c r="K34" i="32" s="1"/>
  <c r="K35" i="32" s="1"/>
  <c r="L30" i="32" s="1"/>
  <c r="J21" i="32"/>
  <c r="K20" i="32" s="1"/>
  <c r="K67" i="32"/>
  <c r="K68" i="32" s="1"/>
  <c r="L66" i="32" s="1"/>
  <c r="J52" i="32"/>
  <c r="K41" i="32" l="1"/>
  <c r="K37" i="32"/>
  <c r="K25" i="32"/>
  <c r="K24" i="32"/>
  <c r="K38" i="32"/>
  <c r="K57" i="32"/>
  <c r="K60" i="32"/>
  <c r="K39" i="32"/>
  <c r="K43" i="32" s="1"/>
  <c r="K44" i="32" s="1"/>
  <c r="L40" i="32" s="1"/>
  <c r="K40" i="32"/>
  <c r="K59" i="32"/>
  <c r="K56" i="32"/>
  <c r="K55" i="32"/>
  <c r="L64" i="32"/>
  <c r="L31" i="32"/>
  <c r="L33" i="32"/>
  <c r="L32" i="32"/>
  <c r="K17" i="32"/>
  <c r="K51" i="32"/>
  <c r="K49" i="32"/>
  <c r="K50" i="32"/>
  <c r="K47" i="32"/>
  <c r="K46" i="32"/>
  <c r="K18" i="32"/>
  <c r="K19" i="32"/>
  <c r="K27" i="32"/>
  <c r="K28" i="32" s="1"/>
  <c r="L65" i="32"/>
  <c r="K48" i="32"/>
  <c r="K61" i="32" l="1"/>
  <c r="K62" i="32" s="1"/>
  <c r="L56" i="32" s="1"/>
  <c r="L37" i="32"/>
  <c r="L34" i="32"/>
  <c r="L67" i="32"/>
  <c r="L42" i="32"/>
  <c r="L38" i="32"/>
  <c r="L41" i="32"/>
  <c r="L39" i="32"/>
  <c r="K52" i="32"/>
  <c r="K53" i="32" s="1"/>
  <c r="L50" i="32" s="1"/>
  <c r="K21" i="32"/>
  <c r="K22" i="32" s="1"/>
  <c r="L20" i="32" s="1"/>
  <c r="L25" i="32"/>
  <c r="L26" i="32"/>
  <c r="L24" i="32"/>
  <c r="L12" i="32" l="1"/>
  <c r="L27" i="32"/>
  <c r="L55" i="32"/>
  <c r="L57" i="32"/>
  <c r="L58" i="32"/>
  <c r="L11" i="32" s="1"/>
  <c r="L43" i="32"/>
  <c r="L48" i="32"/>
  <c r="L47" i="32"/>
  <c r="L46" i="32"/>
  <c r="L17" i="32"/>
  <c r="L8" i="32" s="1"/>
  <c r="L51" i="32"/>
  <c r="L13" i="32" s="1"/>
  <c r="L49" i="32"/>
  <c r="L18" i="32"/>
  <c r="L9" i="32" s="1"/>
  <c r="L19" i="32"/>
  <c r="L10" i="32" l="1"/>
  <c r="L14" i="32" s="1"/>
  <c r="L61" i="32"/>
  <c r="L52" i="32"/>
  <c r="L21" i="32"/>
  <c r="F44" i="11" l="1"/>
  <c r="F43" i="11"/>
  <c r="F42" i="11"/>
  <c r="F41" i="11"/>
  <c r="F40" i="11"/>
  <c r="F39" i="11"/>
  <c r="F38" i="11"/>
  <c r="F37" i="11"/>
  <c r="F36" i="11"/>
  <c r="F35" i="11"/>
  <c r="F34" i="11"/>
  <c r="F33" i="11"/>
  <c r="F32" i="11"/>
  <c r="F31" i="11"/>
  <c r="F30" i="11"/>
  <c r="F29" i="11"/>
  <c r="F28" i="11"/>
  <c r="F27" i="11"/>
  <c r="F26" i="11"/>
  <c r="F25" i="11"/>
  <c r="F24" i="11"/>
  <c r="F23" i="11"/>
  <c r="F22" i="11"/>
  <c r="F21" i="11"/>
  <c r="F20" i="11"/>
  <c r="F19" i="11"/>
  <c r="F18" i="11"/>
  <c r="F17" i="11"/>
  <c r="F16" i="11"/>
  <c r="J22" i="24" l="1"/>
  <c r="J21" i="24"/>
  <c r="J15" i="24"/>
  <c r="J16" i="24"/>
  <c r="J17" i="24"/>
  <c r="J18" i="24"/>
  <c r="J19" i="24"/>
  <c r="J14" i="24"/>
  <c r="N20" i="25" l="1"/>
  <c r="L20" i="25"/>
  <c r="N46" i="27"/>
  <c r="L46" i="27"/>
  <c r="N19" i="28"/>
  <c r="L19" i="28"/>
  <c r="H14" i="30" l="1"/>
  <c r="J14" i="30"/>
  <c r="H15" i="30"/>
  <c r="J15" i="30"/>
  <c r="H16" i="30"/>
  <c r="J16" i="30"/>
  <c r="H17" i="30"/>
  <c r="J17" i="30"/>
  <c r="H18" i="30"/>
  <c r="J18" i="30"/>
  <c r="H19" i="30"/>
  <c r="J19" i="30"/>
  <c r="H21" i="30"/>
  <c r="J21" i="30"/>
  <c r="H22" i="30"/>
  <c r="J22" i="30"/>
  <c r="H24" i="30"/>
  <c r="J24" i="30"/>
  <c r="H25" i="30"/>
  <c r="J25" i="30"/>
  <c r="H26" i="30"/>
  <c r="J26" i="30"/>
  <c r="L28" i="30"/>
  <c r="N28" i="30"/>
  <c r="F14" i="29"/>
  <c r="H18" i="29"/>
  <c r="H14" i="28"/>
  <c r="J14" i="28"/>
  <c r="H15" i="28"/>
  <c r="J15" i="28"/>
  <c r="H17" i="28"/>
  <c r="J17" i="28"/>
  <c r="J19" i="28"/>
  <c r="J14" i="27"/>
  <c r="H15" i="27"/>
  <c r="H16" i="27"/>
  <c r="H17" i="27"/>
  <c r="H18" i="27"/>
  <c r="H19" i="27"/>
  <c r="H20" i="27"/>
  <c r="J21" i="27"/>
  <c r="H22" i="27"/>
  <c r="H23" i="27"/>
  <c r="H24" i="27"/>
  <c r="H25" i="27"/>
  <c r="H26" i="27"/>
  <c r="H27" i="27"/>
  <c r="J29" i="27"/>
  <c r="H30" i="27"/>
  <c r="H31" i="27"/>
  <c r="H32" i="27"/>
  <c r="H33" i="27"/>
  <c r="H34" i="27"/>
  <c r="H35" i="27"/>
  <c r="J36" i="27"/>
  <c r="H37" i="27"/>
  <c r="H38" i="27"/>
  <c r="H39" i="27"/>
  <c r="H40" i="27"/>
  <c r="H41" i="27"/>
  <c r="H42" i="27"/>
  <c r="H43" i="27"/>
  <c r="H44" i="27"/>
  <c r="J46" i="27"/>
  <c r="F14" i="26"/>
  <c r="H14" i="26"/>
  <c r="F15" i="26"/>
  <c r="H15" i="26"/>
  <c r="F16" i="26"/>
  <c r="H16" i="26"/>
  <c r="F17" i="26"/>
  <c r="H17" i="26"/>
  <c r="F18" i="26"/>
  <c r="H18" i="26"/>
  <c r="F19" i="26"/>
  <c r="H19" i="26"/>
  <c r="F21" i="26"/>
  <c r="H21" i="26"/>
  <c r="F22" i="26"/>
  <c r="H22" i="26"/>
  <c r="F24" i="26"/>
  <c r="H24" i="26"/>
  <c r="F25" i="26"/>
  <c r="H25" i="26"/>
  <c r="F26" i="26"/>
  <c r="H26" i="26"/>
  <c r="J28" i="26"/>
  <c r="L28" i="26"/>
  <c r="H14" i="25"/>
  <c r="J14" i="25"/>
  <c r="H15" i="25"/>
  <c r="J15" i="25"/>
  <c r="H16" i="25"/>
  <c r="J16" i="25"/>
  <c r="H17" i="25"/>
  <c r="J17" i="25"/>
  <c r="H18" i="25"/>
  <c r="J18" i="25"/>
  <c r="J20" i="25"/>
  <c r="H14" i="24"/>
  <c r="H15" i="24"/>
  <c r="H16" i="24"/>
  <c r="H17" i="24"/>
  <c r="H18" i="24"/>
  <c r="H19" i="24"/>
  <c r="H21" i="24"/>
  <c r="H22" i="24"/>
  <c r="L24" i="24"/>
  <c r="N24" i="24"/>
  <c r="H14" i="23"/>
  <c r="J14" i="23"/>
  <c r="H15" i="23"/>
  <c r="J15" i="23"/>
  <c r="H16" i="23"/>
  <c r="J16" i="23"/>
  <c r="H17" i="23"/>
  <c r="J17" i="23"/>
  <c r="H18" i="23"/>
  <c r="J18" i="23"/>
  <c r="H19" i="23"/>
  <c r="J19" i="23"/>
  <c r="H21" i="23"/>
  <c r="J21" i="23"/>
  <c r="H22" i="23"/>
  <c r="J22" i="23"/>
  <c r="L24" i="23"/>
  <c r="N24" i="23"/>
  <c r="J24" i="23" s="1"/>
  <c r="B24" i="30"/>
  <c r="B25" i="30"/>
  <c r="B26" i="30"/>
  <c r="J24" i="24" l="1"/>
  <c r="B18" i="25"/>
  <c r="B17" i="23"/>
  <c r="B17" i="30"/>
  <c r="B17" i="24"/>
  <c r="B44" i="27"/>
  <c r="B15" i="24"/>
  <c r="B15" i="30"/>
  <c r="B15" i="23"/>
  <c r="B16" i="30"/>
  <c r="B16" i="23"/>
  <c r="B17" i="25"/>
  <c r="B16" i="24"/>
  <c r="B43" i="27"/>
  <c r="B22" i="24"/>
  <c r="B22" i="23"/>
  <c r="B21" i="30"/>
  <c r="B21" i="23"/>
  <c r="B17" i="28"/>
  <c r="B21" i="24"/>
  <c r="B14" i="24"/>
  <c r="B14" i="23"/>
  <c r="B14" i="30"/>
  <c r="B19" i="23"/>
  <c r="B19" i="24"/>
  <c r="B18" i="24"/>
  <c r="B18" i="23"/>
  <c r="H28" i="26"/>
  <c r="J28" i="30"/>
  <c r="F34" i="8" l="1"/>
  <c r="F33" i="8"/>
  <c r="F32" i="8"/>
  <c r="F31" i="8"/>
  <c r="F30" i="8"/>
  <c r="F29" i="8"/>
  <c r="F20" i="8"/>
  <c r="F18" i="8"/>
  <c r="F17" i="8"/>
  <c r="F16" i="8"/>
  <c r="F15" i="8"/>
  <c r="F13" i="8"/>
  <c r="F12" i="8"/>
  <c r="F11" i="8"/>
  <c r="F10" i="8"/>
  <c r="F9" i="8"/>
  <c r="E43" i="11" l="1"/>
  <c r="E42" i="11"/>
  <c r="E41" i="11"/>
  <c r="E40" i="11"/>
  <c r="E39" i="11"/>
  <c r="F45" i="11"/>
  <c r="E38" i="11"/>
  <c r="E37" i="11"/>
  <c r="E36" i="11"/>
  <c r="E35" i="11"/>
  <c r="E34" i="11"/>
  <c r="E33" i="11"/>
  <c r="E32" i="11"/>
  <c r="E31" i="11"/>
  <c r="E30" i="11"/>
  <c r="E29" i="11"/>
  <c r="E28" i="11"/>
  <c r="E27" i="11"/>
  <c r="E26" i="11"/>
  <c r="E25" i="11"/>
  <c r="E24" i="11"/>
  <c r="E23" i="11"/>
  <c r="E22" i="11"/>
  <c r="E21" i="11"/>
  <c r="E20" i="11"/>
  <c r="E19" i="11"/>
  <c r="E18" i="11"/>
  <c r="E17" i="11"/>
  <c r="E16" i="11"/>
  <c r="D36"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<sst xmlns="http://schemas.openxmlformats.org/spreadsheetml/2006/main" count="912" uniqueCount="364">
  <si>
    <t>California Private Passenger Auto</t>
  </si>
  <si>
    <t>State Farm Mutual Automobile Insurance Company</t>
  </si>
  <si>
    <t>Rules and Underwriting Guidelines</t>
  </si>
  <si>
    <t>Filing History</t>
  </si>
  <si>
    <t>Department</t>
  </si>
  <si>
    <t>Filing Number</t>
  </si>
  <si>
    <t>Filing Type</t>
  </si>
  <si>
    <t>16-4652</t>
  </si>
  <si>
    <t>17-3284</t>
  </si>
  <si>
    <t>18-2899</t>
  </si>
  <si>
    <t>18-3490</t>
  </si>
  <si>
    <t>19-544</t>
  </si>
  <si>
    <t>Rate</t>
  </si>
  <si>
    <t>Rule</t>
  </si>
  <si>
    <t>21-3501</t>
  </si>
  <si>
    <t>22-2326</t>
  </si>
  <si>
    <t>22-2842</t>
  </si>
  <si>
    <t>23-327</t>
  </si>
  <si>
    <t>Form</t>
  </si>
  <si>
    <t>Rate Level History</t>
  </si>
  <si>
    <t>Department Filing Number</t>
  </si>
  <si>
    <t>Effective Date</t>
  </si>
  <si>
    <t>BIPD Liability</t>
  </si>
  <si>
    <t>Medical Payments</t>
  </si>
  <si>
    <t>Comprehensive</t>
  </si>
  <si>
    <t>Collision</t>
  </si>
  <si>
    <t>Uninsured Motorist</t>
  </si>
  <si>
    <t>Miscellaneous Damage</t>
  </si>
  <si>
    <t>Miscellaneous Liability</t>
  </si>
  <si>
    <t>All Coverages Combined</t>
  </si>
  <si>
    <t>Policy Term Distribution</t>
  </si>
  <si>
    <t xml:space="preserve">All private passenger vehicle policies are written with terms of either six or twelve months. </t>
  </si>
  <si>
    <t>Semiannual:</t>
  </si>
  <si>
    <t>Annual:</t>
  </si>
  <si>
    <t>Premium Adjustment Factor</t>
  </si>
  <si>
    <t>Premium</t>
  </si>
  <si>
    <t>Fiscal Calendar</t>
  </si>
  <si>
    <t>Earned</t>
  </si>
  <si>
    <t>Current Level</t>
  </si>
  <si>
    <t>Adjustment</t>
  </si>
  <si>
    <t>Year Ending</t>
  </si>
  <si>
    <t>Coverage</t>
  </si>
  <si>
    <t>Earned Premium</t>
  </si>
  <si>
    <t>Factor</t>
  </si>
  <si>
    <t>2022-3Q</t>
  </si>
  <si>
    <t>Misc Liability</t>
  </si>
  <si>
    <t>Total Liability</t>
  </si>
  <si>
    <t>Misc Physical Damage</t>
  </si>
  <si>
    <t>Total Physical Damage</t>
  </si>
  <si>
    <t>All Coverage</t>
  </si>
  <si>
    <t>As shown in Exhibit 10, six years of experience was used for Miscellaneous Liability.  The</t>
  </si>
  <si>
    <t>corresponding premium adjustment factors for each year are shown below:</t>
  </si>
  <si>
    <t>2017-3Q</t>
  </si>
  <si>
    <t>2018-3Q</t>
  </si>
  <si>
    <t>2019-3Q</t>
  </si>
  <si>
    <t>2020-3Q</t>
  </si>
  <si>
    <t>2021-3Q</t>
  </si>
  <si>
    <t>The premium adjustment factor is calculated as the current level earned premium divided</t>
  </si>
  <si>
    <t>by the earned premium.</t>
  </si>
  <si>
    <t>Loss and DCCE Trend</t>
  </si>
  <si>
    <t>ISO Fast Track Bodily Injury and Property Damage</t>
  </si>
  <si>
    <t>Quarter</t>
  </si>
  <si>
    <t>Earned Exposures</t>
  </si>
  <si>
    <t>Paid Loss</t>
  </si>
  <si>
    <t>Claim Count</t>
  </si>
  <si>
    <t>Pure Premium</t>
  </si>
  <si>
    <t>2017- 4</t>
  </si>
  <si>
    <t>2018- 1</t>
  </si>
  <si>
    <t>2018- 2</t>
  </si>
  <si>
    <t>2018- 3</t>
  </si>
  <si>
    <t>2018- 4</t>
  </si>
  <si>
    <t>2019- 1</t>
  </si>
  <si>
    <t>2019- 2</t>
  </si>
  <si>
    <t>2019- 3</t>
  </si>
  <si>
    <t>2019- 4</t>
  </si>
  <si>
    <t>2020- 1</t>
  </si>
  <si>
    <t>2020- 2</t>
  </si>
  <si>
    <t>2020- 3</t>
  </si>
  <si>
    <t>2020- 4</t>
  </si>
  <si>
    <t>2021- 1</t>
  </si>
  <si>
    <t>2021- 2</t>
  </si>
  <si>
    <t>2021- 3</t>
  </si>
  <si>
    <t>2021- 4</t>
  </si>
  <si>
    <t>Selected Period</t>
  </si>
  <si>
    <t>24 pt</t>
  </si>
  <si>
    <t>Pure Premium Trend</t>
  </si>
  <si>
    <t>2022- 1</t>
  </si>
  <si>
    <t>2022- 2</t>
  </si>
  <si>
    <t>2022- 3</t>
  </si>
  <si>
    <t>Miscellaneous Fees and Other Charges</t>
  </si>
  <si>
    <t xml:space="preserve">Policy Fee </t>
  </si>
  <si>
    <t xml:space="preserve">Installment Fee </t>
  </si>
  <si>
    <t xml:space="preserve">Endorsement Fee </t>
  </si>
  <si>
    <t xml:space="preserve">Inspection Fee </t>
  </si>
  <si>
    <t xml:space="preserve">Cancellation Fee </t>
  </si>
  <si>
    <t xml:space="preserve">Reinstatement Fee </t>
  </si>
  <si>
    <t xml:space="preserve">Late Fee </t>
  </si>
  <si>
    <t xml:space="preserve">SR 22 </t>
  </si>
  <si>
    <t xml:space="preserve">Other, specify: SFPP Service Charges </t>
  </si>
  <si>
    <t xml:space="preserve">Total </t>
  </si>
  <si>
    <t>Models Previously Approved</t>
  </si>
  <si>
    <t>Vendor Annual Mileage Model</t>
  </si>
  <si>
    <t>Modeled Mileage Scaling Adjustment</t>
  </si>
  <si>
    <t>Catastrophe Adjustment</t>
  </si>
  <si>
    <t>Comprehensive Coverage</t>
  </si>
  <si>
    <t>In accordance with CCR §2644.5, we have developed a catastrophe adjustment factor based on at least 10 years of</t>
  </si>
  <si>
    <t>catastrophe data as described in this exhibit.  Losses are coded as "catastrophe" if they result from a single event</t>
  </si>
  <si>
    <t>that is expected to produce at least 250 claims and $500,000 in anticipated indemnity payments within the state of</t>
  </si>
  <si>
    <t>California.</t>
  </si>
  <si>
    <t>Catastrophe</t>
  </si>
  <si>
    <t>Non-Catastrophe</t>
  </si>
  <si>
    <t>Year</t>
  </si>
  <si>
    <t>Amount *</t>
  </si>
  <si>
    <t>Total</t>
  </si>
  <si>
    <t>CAT/Non-CAT</t>
  </si>
  <si>
    <t>10 Year Avg CAT Provision</t>
  </si>
  <si>
    <t>The 10 year average CAT provision was selected as it provides a reasonable balance of stability and responsiveness. This 10 year period is consistent with previous filings.  Selection of longer-term averages would have a negligible impact on the combined all coverages indication.</t>
  </si>
  <si>
    <t>Figures presented above include DCCE while Exhibit 8 excludes DCCE.</t>
  </si>
  <si>
    <t>*Loss and DCCE net of subrogation. NOTE: Calendar year 2020 CAT loss and DCCE reflects subrogation recoveries attributed to wildfire events that occurred in calendar years 2017 and 2018.</t>
  </si>
  <si>
    <t>Catastrophe Subrogation Recoveries</t>
  </si>
  <si>
    <t>Actual Subrogation</t>
  </si>
  <si>
    <t>Calendar</t>
  </si>
  <si>
    <t>* Subrogation data prior to 2007 is not readily available</t>
  </si>
  <si>
    <t>NOTE: Calendar year 2020 CAT loss and DCCE reflects subrogation recoveries attributed to wildfire events that occurred in calendar years 2017 and 2018.</t>
  </si>
  <si>
    <t>Credibility Adjustment</t>
  </si>
  <si>
    <t>Experience Credibility</t>
  </si>
  <si>
    <t>Loss Trend Credibility</t>
  </si>
  <si>
    <t>All coverages, except for Miscellaneous Liability, are fully credible under the standard of 6,000 claims per CCR §2644.7. Below are the number of reported claims in the latest 4 quarters:</t>
  </si>
  <si>
    <t>Reported Claims</t>
  </si>
  <si>
    <t>(Excluding Claims CWP)</t>
  </si>
  <si>
    <t>BIPD</t>
  </si>
  <si>
    <t>MPC</t>
  </si>
  <si>
    <t>UM</t>
  </si>
  <si>
    <t>COMP</t>
  </si>
  <si>
    <t>COLL</t>
  </si>
  <si>
    <t>Miscellaneous liability is the only coverage for which the loss and DCCE trend is not fully credible.  The calculation of the credibility adjusted trend is detailed below.</t>
  </si>
  <si>
    <t>State Farm Annual Trends</t>
  </si>
  <si>
    <t>The credibility adjustment calculation is shown below:</t>
  </si>
  <si>
    <t>Period</t>
  </si>
  <si>
    <t>Frequency</t>
  </si>
  <si>
    <t>Severity</t>
  </si>
  <si>
    <t>MISC. LIAB.</t>
  </si>
  <si>
    <t>Accident Year</t>
  </si>
  <si>
    <t>Fast Track Annual Trends</t>
  </si>
  <si>
    <t>n/a</t>
  </si>
  <si>
    <t>Misc Liab Reported Claims:</t>
  </si>
  <si>
    <t>Loss Trend Credibility *:</t>
  </si>
  <si>
    <t>Credibility Weighted Pure Premium Trend**:</t>
  </si>
  <si>
    <t>Total Claims</t>
  </si>
  <si>
    <t>Selected Trend:</t>
  </si>
  <si>
    <t>Credibility</t>
  </si>
  <si>
    <t>Trend Date:</t>
  </si>
  <si>
    <t>Projection Date:</t>
  </si>
  <si>
    <t xml:space="preserve">Per CCR §2644.23, the credibility standard for each coverage for private passenger auto </t>
  </si>
  <si>
    <t>liability and physical damage is 3000 claims.</t>
  </si>
  <si>
    <t>Experience Years</t>
  </si>
  <si>
    <t>Years Trended</t>
  </si>
  <si>
    <t>Projected Trend Factor</t>
  </si>
  <si>
    <t>*Credibility =  SQRT((Reported Claims) / (Credibility Standard))</t>
  </si>
  <si>
    <t>Per CCR §2644.7, the credibility standard is 6,000 claims for the trend period.</t>
  </si>
  <si>
    <t>Ancillary Income</t>
  </si>
  <si>
    <t>(1)</t>
  </si>
  <si>
    <t>(2)</t>
  </si>
  <si>
    <t>(3)</t>
  </si>
  <si>
    <t>(4)</t>
  </si>
  <si>
    <t>(5)</t>
  </si>
  <si>
    <t>(6)</t>
  </si>
  <si>
    <t>(7)</t>
  </si>
  <si>
    <t>(8)</t>
  </si>
  <si>
    <t>(9)</t>
  </si>
  <si>
    <t>(10)</t>
  </si>
  <si>
    <t>(11)</t>
  </si>
  <si>
    <t>(12)</t>
  </si>
  <si>
    <t>(13)</t>
  </si>
  <si>
    <t>California</t>
  </si>
  <si>
    <t>Companywide</t>
  </si>
  <si>
    <t>Total California</t>
  </si>
  <si>
    <t>Finance /</t>
  </si>
  <si>
    <t>Other</t>
  </si>
  <si>
    <t>Priv. Pass. Auto</t>
  </si>
  <si>
    <t>Comm. Auto</t>
  </si>
  <si>
    <t>Total Auto</t>
  </si>
  <si>
    <t>Priv. Pass. Auto WP</t>
  </si>
  <si>
    <t xml:space="preserve">Priv. Pass. Auto </t>
  </si>
  <si>
    <t>Direct</t>
  </si>
  <si>
    <t>Direct WP</t>
  </si>
  <si>
    <t>Other Misc</t>
  </si>
  <si>
    <t>Service</t>
  </si>
  <si>
    <t>Miscellaneous</t>
  </si>
  <si>
    <t>Direct Written</t>
  </si>
  <si>
    <t>% to Total WP</t>
  </si>
  <si>
    <t>Finance / Service Charges</t>
  </si>
  <si>
    <t>Written</t>
  </si>
  <si>
    <t>% to Total</t>
  </si>
  <si>
    <t>Income</t>
  </si>
  <si>
    <t>% of Direct WP</t>
  </si>
  <si>
    <t>Charges</t>
  </si>
  <si>
    <t>(4) + (5)</t>
  </si>
  <si>
    <t>(4) / (6)</t>
  </si>
  <si>
    <t>(2) x (7)</t>
  </si>
  <si>
    <t>(4) / (9)</t>
  </si>
  <si>
    <t>(3) x (10)</t>
  </si>
  <si>
    <t>(8) + (11)</t>
  </si>
  <si>
    <t>(12) / (4)</t>
  </si>
  <si>
    <t>Sources:</t>
  </si>
  <si>
    <t>Column (2):</t>
  </si>
  <si>
    <t>Schedule T, Column 8, Line 5, AIP Adjusted</t>
  </si>
  <si>
    <t>Column (3):</t>
  </si>
  <si>
    <t>Annual Statement Page 4, Line 12 + Line 14 Checks and drafts cancelled, non presentation for payment amount only</t>
  </si>
  <si>
    <t>Column (4):</t>
  </si>
  <si>
    <t>Statutory Page 14 19.2 + 21.1, AIP Adjusted</t>
  </si>
  <si>
    <t>Column (5):</t>
  </si>
  <si>
    <t>Statutory Page 14 19.4 + 21.2, AIP Adjusted</t>
  </si>
  <si>
    <t>Column (9):</t>
  </si>
  <si>
    <t>Schedule T, Column 2, Total</t>
  </si>
  <si>
    <t>The amounts in Column (2) are expected to be approximately $0 for future years as a result of our recent filing (CDI # 19-4520,19-4520A) that removes the State Farm Payment Plan fees. As a result, the projected ancillary income as a % of Direct WP is 0.0%.</t>
  </si>
  <si>
    <t/>
  </si>
  <si>
    <t>Rate Distribution</t>
  </si>
  <si>
    <t>Summary of Statewide Income Effect by Coverage</t>
  </si>
  <si>
    <t>Private Passenger Auto</t>
  </si>
  <si>
    <t>Proposed</t>
  </si>
  <si>
    <t>Present</t>
  </si>
  <si>
    <t>Indicated</t>
  </si>
  <si>
    <t>Base Rate</t>
  </si>
  <si>
    <t>Change</t>
  </si>
  <si>
    <t>%</t>
  </si>
  <si>
    <t>Uninsured Motorist - BI</t>
  </si>
  <si>
    <t>Uninsured Motorist - PD</t>
  </si>
  <si>
    <t xml:space="preserve">    Emergency Road Service</t>
  </si>
  <si>
    <t xml:space="preserve">    Rental</t>
  </si>
  <si>
    <t xml:space="preserve">    Death &amp; Disability ($5,000)</t>
  </si>
  <si>
    <t xml:space="preserve">    Death &amp; Disability ($10,000)</t>
  </si>
  <si>
    <t xml:space="preserve">    Loss of Earnings</t>
  </si>
  <si>
    <t>All Coverages</t>
  </si>
  <si>
    <t>(2)  From the Rate Template.</t>
  </si>
  <si>
    <t>Customer Dislocation</t>
  </si>
  <si>
    <t>Total Book of Business</t>
  </si>
  <si>
    <t>By Coverage/Program</t>
  </si>
  <si>
    <t>Percent Range*</t>
  </si>
  <si>
    <t>Policy Count</t>
  </si>
  <si>
    <t>Policy Distribution</t>
  </si>
  <si>
    <t>Total Rate Change</t>
  </si>
  <si>
    <t>Current Total Premium</t>
  </si>
  <si>
    <t>Proposed Total Premium</t>
  </si>
  <si>
    <t>Current Average Premium</t>
  </si>
  <si>
    <t>Proposed Average Premium</t>
  </si>
  <si>
    <t>Average Premium Increase/Decrease Change</t>
  </si>
  <si>
    <t>Highest Premium Increase A Policyholder Will Receive</t>
  </si>
  <si>
    <r>
      <t xml:space="preserve">Average </t>
    </r>
    <r>
      <rPr>
        <i/>
        <sz val="11"/>
        <rFont val="Calibri"/>
        <family val="2"/>
        <scheme val="minor"/>
      </rPr>
      <t>BIPD</t>
    </r>
    <r>
      <rPr>
        <sz val="11"/>
        <rFont val="Calibri"/>
        <family val="2"/>
        <scheme val="minor"/>
      </rPr>
      <t xml:space="preserve"> Premium Change</t>
    </r>
  </si>
  <si>
    <r>
      <t xml:space="preserve">Average </t>
    </r>
    <r>
      <rPr>
        <i/>
        <sz val="11"/>
        <rFont val="Calibri"/>
        <family val="2"/>
        <scheme val="minor"/>
      </rPr>
      <t>MPC</t>
    </r>
    <r>
      <rPr>
        <sz val="11"/>
        <rFont val="Calibri"/>
        <family val="2"/>
        <scheme val="minor"/>
      </rPr>
      <t xml:space="preserve"> Premium Change</t>
    </r>
  </si>
  <si>
    <r>
      <t xml:space="preserve">Average </t>
    </r>
    <r>
      <rPr>
        <i/>
        <sz val="11"/>
        <rFont val="Calibri"/>
        <family val="2"/>
        <scheme val="minor"/>
      </rPr>
      <t>UM</t>
    </r>
    <r>
      <rPr>
        <sz val="11"/>
        <rFont val="Calibri"/>
        <family val="2"/>
        <scheme val="minor"/>
      </rPr>
      <t xml:space="preserve"> Premium Change</t>
    </r>
  </si>
  <si>
    <r>
      <t xml:space="preserve">Average </t>
    </r>
    <r>
      <rPr>
        <i/>
        <sz val="11"/>
        <rFont val="Calibri"/>
        <family val="2"/>
        <scheme val="minor"/>
      </rPr>
      <t>COMP</t>
    </r>
    <r>
      <rPr>
        <sz val="11"/>
        <rFont val="Calibri"/>
        <family val="2"/>
        <scheme val="minor"/>
      </rPr>
      <t xml:space="preserve"> Premium Change</t>
    </r>
  </si>
  <si>
    <r>
      <t xml:space="preserve">Average </t>
    </r>
    <r>
      <rPr>
        <i/>
        <sz val="11"/>
        <rFont val="Calibri"/>
        <family val="2"/>
        <scheme val="minor"/>
      </rPr>
      <t>COLL</t>
    </r>
    <r>
      <rPr>
        <sz val="11"/>
        <rFont val="Calibri"/>
        <family val="2"/>
        <scheme val="minor"/>
      </rPr>
      <t xml:space="preserve"> Premium Change</t>
    </r>
  </si>
  <si>
    <r>
      <t xml:space="preserve">Average </t>
    </r>
    <r>
      <rPr>
        <i/>
        <sz val="11"/>
        <rFont val="Calibri"/>
        <family val="2"/>
        <scheme val="minor"/>
      </rPr>
      <t>Misc. Damage</t>
    </r>
    <r>
      <rPr>
        <sz val="11"/>
        <rFont val="Calibri"/>
        <family val="2"/>
        <scheme val="minor"/>
      </rPr>
      <t xml:space="preserve"> Premium Change</t>
    </r>
  </si>
  <si>
    <r>
      <t xml:space="preserve">Average </t>
    </r>
    <r>
      <rPr>
        <i/>
        <sz val="11"/>
        <rFont val="Calibri"/>
        <family val="2"/>
        <scheme val="minor"/>
      </rPr>
      <t>Misc. Liability</t>
    </r>
    <r>
      <rPr>
        <sz val="11"/>
        <rFont val="Calibri"/>
        <family val="2"/>
        <scheme val="minor"/>
      </rPr>
      <t xml:space="preserve"> Premium Change</t>
    </r>
  </si>
  <si>
    <t>+30% to +35%</t>
  </si>
  <si>
    <t>+25% to +30%</t>
  </si>
  <si>
    <t>+20% to +25%</t>
  </si>
  <si>
    <t>+15% to +20%</t>
  </si>
  <si>
    <t>+10% to +15%</t>
  </si>
  <si>
    <t>+5% to +10%</t>
  </si>
  <si>
    <t>+0.01% to +5%</t>
  </si>
  <si>
    <t>0%</t>
  </si>
  <si>
    <t>-0.01% to -5%</t>
  </si>
  <si>
    <t>-5% to -10%</t>
  </si>
  <si>
    <t>*Premium amounts provided represent annualized figures.</t>
  </si>
  <si>
    <t>(3) Proposed Total Change only reflects the increase due to the rate change</t>
  </si>
  <si>
    <t>Private Passenger Auto (Insurance Code Section 660)</t>
  </si>
  <si>
    <t>Change in</t>
  </si>
  <si>
    <t>Base Rate Change</t>
  </si>
  <si>
    <t>Private Passenger</t>
  </si>
  <si>
    <t>Antiques</t>
  </si>
  <si>
    <t>Classics and Replicas</t>
  </si>
  <si>
    <t>^ Indicates percentage of private passenger base rates</t>
  </si>
  <si>
    <t>Uninsured Motorist - PD^</t>
  </si>
  <si>
    <t>Uninsured Motorist - BI^</t>
  </si>
  <si>
    <t>Base Rate/Factor</t>
  </si>
  <si>
    <t>Motorcycles</t>
  </si>
  <si>
    <t>Motorhomes</t>
  </si>
  <si>
    <t xml:space="preserve">    Trail Bike</t>
  </si>
  <si>
    <t xml:space="preserve">    Snowmobile</t>
  </si>
  <si>
    <t xml:space="preserve">    Minibike</t>
  </si>
  <si>
    <t xml:space="preserve">    Golfmobile</t>
  </si>
  <si>
    <t xml:space="preserve">    Dune Buggy</t>
  </si>
  <si>
    <t xml:space="preserve">    All-Terrain Vehicles</t>
  </si>
  <si>
    <t>Off-Road Vehicles</t>
  </si>
  <si>
    <t>Private Passenger Trailers</t>
  </si>
  <si>
    <t>Travel &amp; Camping Trailers</t>
  </si>
  <si>
    <t>** Indicates base rate is shared with commercial vehicles</t>
  </si>
  <si>
    <t>* Indicates base rate is shared with private passenger vehicles</t>
  </si>
  <si>
    <t xml:space="preserve">    Loss of Earnings*</t>
  </si>
  <si>
    <t xml:space="preserve">    Death &amp; Disability ($10,000)*</t>
  </si>
  <si>
    <t xml:space="preserve">    Death &amp; Disability ($5,000)*</t>
  </si>
  <si>
    <t xml:space="preserve">    Emergency Road Service*</t>
  </si>
  <si>
    <t>Collision**</t>
  </si>
  <si>
    <t>Comprehensive**</t>
  </si>
  <si>
    <t>Uninsured Motorist - PD*</t>
  </si>
  <si>
    <t>Uninsured Motorist - BI*</t>
  </si>
  <si>
    <t>Medical Payments*</t>
  </si>
  <si>
    <t>BIPD Liability*</t>
  </si>
  <si>
    <t>Commercial Vehicles with Load Capacity of 1,500 Pounds or Less</t>
  </si>
  <si>
    <t>Exhibit 15 is not applicable to this filing.</t>
  </si>
  <si>
    <t>Rate Classification Relativities</t>
  </si>
  <si>
    <t>22-890</t>
  </si>
  <si>
    <t>2023-3Q</t>
  </si>
  <si>
    <r>
      <t>Fiscal Cale</t>
    </r>
    <r>
      <rPr>
        <sz val="10"/>
        <rFont val="Arial"/>
        <family val="2"/>
      </rPr>
      <t>ndar Year Ending 2022</t>
    </r>
  </si>
  <si>
    <t>2022- 4</t>
  </si>
  <si>
    <t>2023- 1</t>
  </si>
  <si>
    <t>2023- 2</t>
  </si>
  <si>
    <t> 23-890</t>
  </si>
  <si>
    <t>All coverages, except for Miscellaneous Liability, require only one year of experience to reach the credibility standard of 3,000 claims in CCR §2644.23. Below are the number of reported claims in the latest accident year ending 2023-3Q</t>
  </si>
  <si>
    <t>Miscellaneous Liability is the only coverage without full credibility. In accordance with CCR §2642.6, using the previous six year claim counts, the credibility is calculated to be 23.6%.</t>
  </si>
  <si>
    <t>23-1829</t>
  </si>
  <si>
    <t>23-3033</t>
  </si>
  <si>
    <t>24-44</t>
  </si>
  <si>
    <t>As of December 2023, the distribution of policies by length of policy term is:</t>
  </si>
  <si>
    <t>2023- 3</t>
  </si>
  <si>
    <t>+35% to +40%</t>
  </si>
  <si>
    <t>Comprehensive †</t>
  </si>
  <si>
    <t>Collision †</t>
  </si>
  <si>
    <t xml:space="preserve">    Emergency Road Service^^</t>
  </si>
  <si>
    <t>^^ Indicates base rate is shared with private passenger</t>
  </si>
  <si>
    <t>Physical Damage</t>
  </si>
  <si>
    <t>Misc Damage</t>
  </si>
  <si>
    <t>Rate Distribution - Development of Rate Changes by Vehicle Type</t>
  </si>
  <si>
    <t>Vehicle Type</t>
  </si>
  <si>
    <t>Latest Year Adjusted Annual Premium</t>
  </si>
  <si>
    <t>Latest Year Projected Ultimate Loss</t>
  </si>
  <si>
    <t>Latest Year Projected Ultimate DCCE</t>
  </si>
  <si>
    <t>Latest Year Projected Ultimate Loss &amp; DCCE Ratio</t>
  </si>
  <si>
    <t>Rate Template Change_at_Max</t>
  </si>
  <si>
    <t>Indicated Change Before Credibility-Weighting</t>
  </si>
  <si>
    <t>Credibility-Weighted Indicated Rate Change</t>
  </si>
  <si>
    <t>Indicated Rate Change Adjusted for Off-Balance</t>
  </si>
  <si>
    <t>Selected Rate Change*</t>
  </si>
  <si>
    <t>PP</t>
  </si>
  <si>
    <t>MH</t>
  </si>
  <si>
    <t>REC</t>
  </si>
  <si>
    <t>TCT</t>
  </si>
  <si>
    <t>PPT</t>
  </si>
  <si>
    <t>MCY</t>
  </si>
  <si>
    <t>Combined</t>
  </si>
  <si>
    <t>Off-balance:</t>
  </si>
  <si>
    <t>Please note the combined physical damage premium is the sum of collision and comprehensive premium.</t>
  </si>
  <si>
    <t>(3)  Present base rates effective 2/26/2024.</t>
  </si>
  <si>
    <t xml:space="preserve">    Comprehensive</t>
  </si>
  <si>
    <t xml:space="preserve">    Collision</t>
  </si>
  <si>
    <t>Physical Damage*</t>
  </si>
  <si>
    <t>*Travel and Camping Trailers use a Physical Damage base rate that is allocated into Comprehensive and Collision premiums.</t>
  </si>
  <si>
    <t>* Off-Road Vehicles use a Physical Damage base rate that is allocated into Comprehensive and Collision premiums.</t>
  </si>
  <si>
    <t xml:space="preserve">        All-Terrain Vehicles</t>
  </si>
  <si>
    <t xml:space="preserve">        Dune Buggy</t>
  </si>
  <si>
    <t xml:space="preserve">        Golfmobile</t>
  </si>
  <si>
    <t xml:space="preserve">        Minibike</t>
  </si>
  <si>
    <t xml:space="preserve">        Snowmobile</t>
  </si>
  <si>
    <t xml:space="preserve">        Trail Bike</t>
  </si>
  <si>
    <t>(1) Adjusted Annual Premium is on the same basis as Prem_Adjusted in the Rate Template.</t>
  </si>
  <si>
    <t>(2) Projected Ultimate Loss is on the same basis as Losses_Adjusted in the Rate Template.</t>
  </si>
  <si>
    <t>(3) Projected Ultimate DCCE is on the same basis as DCCE_Adjusted in the Rate Template.</t>
  </si>
  <si>
    <t>(5) Claim counts are on the same basis as Exhibit 10 Page 1.</t>
  </si>
  <si>
    <t>(6) and (7)  Premiums calculated by rating each policy as of December 31, 2023 using the current and proposed rates</t>
  </si>
  <si>
    <t>Supplemental Information</t>
  </si>
  <si>
    <t>Exhibit 19 is not applicable to this filing.</t>
  </si>
  <si>
    <t xml:space="preserve">All rule changes can be found within the attached manual.  Rule 104 was removed.  We are making changes to the Driving Safety Record Rating Plan rule to expand and align the exception for emergency personnel to match our countrywide approach.  This will allow efficiency of documentation and tooling, avoiding additional expense in having to maintain two exception rules going forward.  Please refer to the attached Cover Letter for details of the changes to our Underwriting Guidelines.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</si>
</sst>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8" formatCode="&quot;$&quot;#,##0.00_);[Red]\(&quot;$&quot;#,##0.00\)"/>
    <numFmt numFmtId="44" formatCode="_(&quot;$&quot;* #,##0.00_);_(&quot;$&quot;* \(#,##0.00\);_(&quot;$&quot;* &quot;-&quot;??_);_(@_)"/>
    <numFmt numFmtId="43" formatCode="_(* #,##0.00_);_(* \(#,##0.00\);_(* &quot;-&quot;??_);_(@_)"/>
    <numFmt numFmtId="164" formatCode="0.0"/>
    <numFmt numFmtId="165" formatCode="0.0%"/>
    <numFmt numFmtId="166" formatCode="0.0000"/>
    <numFmt numFmtId="167" formatCode="0.000"/>
    <numFmt numFmtId="168" formatCode="#,##0.0000_);\(#,##0.0000\)"/>
    <numFmt numFmtId="169" formatCode="#,##0.000_);\(#,##0.000\)"/>
    <numFmt numFmtId="170" formatCode="#,##0.0"/>
    <numFmt numFmtId="171" formatCode="&quot;$&quot;#,##0.00"/>
    <numFmt numFmtId="172" formatCode="_(&quot;$&quot;* #,##0_);_(&quot;$&quot;* \(#,##0\);_(&quot;$&quot;* &quot;-&quot;??_);_(@_)"/>
    <numFmt numFmtId="173" formatCode="&quot;$&quot;#,##0"/>
    <numFmt numFmtId="174" formatCode="_(* #,##0_);_(* \(#,##0\);_(* &quot;-&quot;??_);_(@_)"/>
  </numFmts>
  <fonts count="52" x14ac:knownFonts="1">
    <font>
      <sz val="11"/>
      <color theme="1"/>
      <name val="Calibri"/>
      <family val="2"/>
      <scheme val="minor"/>
    </font>
    <font>
      <sz val="10"/>
      <color theme="1"/>
      <name val="Arial"/>
      <family val="2"/>
    </font>
    <font>
      <sz val="10"/>
      <color indexed="8"/>
      <name val="Arial"/>
      <family val="2"/>
    </font>
    <font>
      <sz val="11"/>
      <name val="Arial"/>
      <family val="2"/>
    </font>
    <font>
      <sz val="12"/>
      <color theme="1"/>
      <name val="Arial"/>
      <family val="2"/>
    </font>
    <font>
      <b/>
      <sz val="11"/>
      <name val="Arial"/>
      <family val="2"/>
    </font>
    <font>
      <b/>
      <sz val="11"/>
      <color theme="1"/>
      <name val="Arial"/>
      <family val="2"/>
    </font>
    <font>
      <sz val="11"/>
      <color rgb="FFFF0000"/>
      <name val="Calibri"/>
      <family val="2"/>
      <scheme val="minor"/>
    </font>
    <font>
      <sz val="10"/>
      <color theme="1"/>
      <name val="Arial"/>
      <family val="2"/>
    </font>
    <font>
      <b/>
      <sz val="14"/>
      <name val="Arial"/>
      <family val="2"/>
    </font>
    <font>
      <sz val="14"/>
      <name val="Arial"/>
      <family val="2"/>
    </font>
    <font>
      <sz val="11"/>
      <name val="Calibri"/>
      <family val="2"/>
      <scheme val="minor"/>
    </font>
    <font>
      <sz val="14"/>
      <name val="Calibri"/>
      <family val="2"/>
      <scheme val="minor"/>
    </font>
    <font>
      <sz val="10"/>
      <name val="Arial"/>
      <family val="2"/>
    </font>
    <font>
      <sz val="9"/>
      <name val="Arial"/>
      <family val="2"/>
    </font>
    <font>
      <b/>
      <sz val="14"/>
      <color theme="1"/>
      <name val="Arial"/>
      <family val="2"/>
    </font>
    <font>
      <sz val="14"/>
      <color theme="1"/>
      <name val="Calibri"/>
      <family val="2"/>
      <scheme val="minor"/>
    </font>
    <font>
      <b/>
      <sz val="10"/>
      <name val="Arial"/>
      <family val="2"/>
    </font>
    <font>
      <u/>
      <sz val="10"/>
      <name val="Arial"/>
      <family val="2"/>
    </font>
    <font>
      <b/>
      <u/>
      <sz val="10"/>
      <name val="Arial"/>
      <family val="2"/>
    </font>
    <font>
      <sz val="11"/>
      <color indexed="10"/>
      <name val="Arial"/>
      <family val="2"/>
    </font>
    <font>
      <sz val="10"/>
      <color rgb="FFFF0000"/>
      <name val="Arial"/>
      <family val="2"/>
    </font>
    <font>
      <sz val="10"/>
      <color indexed="10"/>
      <name val="Arial"/>
      <family val="2"/>
    </font>
    <font>
      <sz val="11"/>
      <color theme="1"/>
      <name val="Calibri"/>
      <family val="2"/>
      <scheme val="minor"/>
    </font>
    <font>
      <sz val="10"/>
      <color theme="1"/>
      <name val="Calibri"/>
      <family val="2"/>
      <scheme val="minor"/>
    </font>
    <font>
      <sz val="10"/>
      <name val="Times New Roman"/>
      <family val="1"/>
    </font>
    <font>
      <b/>
      <sz val="11"/>
      <color theme="1"/>
      <name val="Calibri"/>
      <family val="2"/>
      <scheme val="minor"/>
    </font>
    <font>
      <u/>
      <sz val="10"/>
      <color indexed="8"/>
      <name val="Arial"/>
      <family val="2"/>
    </font>
    <font>
      <b/>
      <sz val="10"/>
      <color indexed="8"/>
      <name val="Arial"/>
      <family val="2"/>
    </font>
    <font>
      <sz val="11"/>
      <color theme="1"/>
      <name val="Arial"/>
      <family val="2"/>
    </font>
    <font>
      <b/>
      <sz val="14"/>
      <color theme="1"/>
      <name val="Calibri"/>
      <family val="2"/>
      <scheme val="minor"/>
    </font>
    <font>
      <sz val="12"/>
      <name val="Calibri"/>
      <family val="2"/>
      <scheme val="minor"/>
    </font>
    <font>
      <sz val="12"/>
      <name val="Arial"/>
      <family val="2"/>
    </font>
    <font>
      <sz val="12"/>
      <color theme="1"/>
      <name val="Calibri"/>
      <family val="2"/>
      <scheme val="minor"/>
    </font>
    <font>
      <u/>
      <sz val="10"/>
      <color theme="1"/>
      <name val="Arial"/>
      <family val="2"/>
    </font>
    <font>
      <b/>
      <sz val="11.5"/>
      <color theme="1"/>
      <name val="Calibri"/>
      <family val="2"/>
      <scheme val="minor"/>
    </font>
    <font>
      <sz val="11.5"/>
      <color theme="1"/>
      <name val="Calibri"/>
      <family val="2"/>
      <scheme val="minor"/>
    </font>
    <font>
      <sz val="11"/>
      <color theme="0"/>
      <name val="Calibri"/>
      <family val="2"/>
      <scheme val="minor"/>
    </font>
    <font>
      <sz val="11"/>
      <name val="Times New Roman"/>
      <family val="1"/>
    </font>
    <font>
      <sz val="11"/>
      <color indexed="12"/>
      <name val="Times New Roman"/>
      <family val="1"/>
    </font>
    <font>
      <sz val="11"/>
      <color rgb="FF0000FF"/>
      <name val="Times New Roman"/>
      <family val="1"/>
    </font>
    <font>
      <sz val="11"/>
      <color indexed="12"/>
      <name val="Calibri"/>
      <family val="2"/>
      <scheme val="minor"/>
    </font>
    <font>
      <u/>
      <sz val="11"/>
      <name val="Calibri"/>
      <family val="2"/>
    </font>
    <font>
      <sz val="11"/>
      <color indexed="8"/>
      <name val="Calibri"/>
      <family val="2"/>
      <scheme val="minor"/>
    </font>
    <font>
      <b/>
      <i/>
      <sz val="11"/>
      <color theme="4"/>
      <name val="Calibri"/>
      <family val="2"/>
      <scheme val="minor"/>
    </font>
    <font>
      <i/>
      <sz val="11"/>
      <name val="Calibri"/>
      <family val="2"/>
      <scheme val="minor"/>
    </font>
    <font>
      <b/>
      <sz val="11"/>
      <name val="Calibri"/>
      <family val="2"/>
      <scheme val="minor"/>
    </font>
    <font>
      <sz val="10"/>
      <color rgb="FF0070C0"/>
      <name val="Arial"/>
      <family val="2"/>
    </font>
    <font>
      <sz val="11"/>
      <color rgb="FF0070C0"/>
      <name val="Times New Roman"/>
      <family val="1"/>
    </font>
    <font>
      <sz val="11"/>
      <color rgb="FFFF0000"/>
      <name val="Times New Roman"/>
      <family val="1"/>
    </font>
    <font>
      <b/>
      <sz val="10"/>
      <color theme="1"/>
      <name val="Arial"/>
      <family val="2"/>
    </font>
    <font>
      <sz val="10"/>
      <color rgb="FF0081E3"/>
      <name val="Arial"/>
      <family val="2"/>
    </font>
  </fonts>
  <fills count="8">
    <fill>
      <patternFill patternType="none"/>
    </fill>
    <fill>
      <patternFill patternType="gray125"/>
    </fill>
    <fill>
      <patternFill patternType="solid">
        <fgColor theme="5" tint="0.39997558519241921"/>
        <bgColor indexed="65"/>
      </patternFill>
    </fill>
    <fill>
      <patternFill patternType="solid">
        <fgColor theme="6" tint="0.39997558519241921"/>
        <bgColor indexed="65"/>
      </patternFill>
    </fill>
    <fill>
      <patternFill patternType="solid">
        <fgColor theme="6" tint="0.59996337778862885"/>
        <bgColor indexed="64"/>
      </patternFill>
    </fill>
    <fill>
      <patternFill patternType="solid">
        <fgColor theme="0"/>
        <bgColor indexed="64"/>
      </patternFill>
    </fill>
    <fill>
      <patternFill patternType="solid">
        <fgColor theme="9" tint="0.79998168889431442"/>
        <bgColor indexed="64"/>
      </patternFill>
    </fill>
    <fill>
      <patternFill patternType="solid">
        <fgColor theme="1"/>
        <bgColor indexed="64"/>
      </patternFill>
    </fill>
  </fills>
  <borders count="2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dotted">
        <color auto="1"/>
      </left>
      <right style="dotted">
        <color auto="1"/>
      </right>
      <top style="dotted">
        <color auto="1"/>
      </top>
      <bottom style="dotted">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4">
    <xf numFmtId="0" fontId="0" fillId="0" borderId="0"/>
    <xf numFmtId="0" fontId="2" fillId="0" borderId="0"/>
    <xf numFmtId="43" fontId="23" fillId="0" borderId="0" applyFont="0" applyFill="0" applyBorder="0" applyAlignment="0" applyProtection="0"/>
    <xf numFmtId="9" fontId="23" fillId="0" borderId="0" applyFont="0" applyFill="0" applyBorder="0" applyAlignment="0" applyProtection="0"/>
    <xf numFmtId="43" fontId="25" fillId="0" borderId="0" applyFont="0" applyFill="0" applyBorder="0" applyAlignment="0" applyProtection="0"/>
    <xf numFmtId="0" fontId="2" fillId="0" borderId="0"/>
    <xf numFmtId="0" fontId="13" fillId="0" borderId="0"/>
    <xf numFmtId="0" fontId="13" fillId="0" borderId="0"/>
    <xf numFmtId="9" fontId="13" fillId="0" borderId="0" applyFont="0" applyFill="0" applyBorder="0" applyAlignment="0" applyProtection="0"/>
    <xf numFmtId="43" fontId="13" fillId="0" borderId="0" applyFont="0" applyFill="0" applyBorder="0" applyAlignment="0" applyProtection="0"/>
    <xf numFmtId="0" fontId="23" fillId="0" borderId="0"/>
    <xf numFmtId="44" fontId="23" fillId="0" borderId="0" applyFont="0" applyFill="0" applyBorder="0" applyAlignment="0" applyProtection="0"/>
    <xf numFmtId="0" fontId="13" fillId="0" borderId="0"/>
    <xf numFmtId="44" fontId="13" fillId="0" borderId="0" applyFont="0" applyFill="0" applyBorder="0" applyAlignment="0" applyProtection="0"/>
    <xf numFmtId="0" fontId="37" fillId="2" borderId="0" applyNumberFormat="0" applyBorder="0" applyAlignment="0" applyProtection="0"/>
    <xf numFmtId="14" fontId="41" fillId="4" borderId="6" applyFont="0"/>
    <xf numFmtId="0" fontId="42" fillId="0" borderId="0">
      <alignment horizontal="right"/>
    </xf>
    <xf numFmtId="0" fontId="37" fillId="3" borderId="0" applyNumberFormat="0" applyBorder="0" applyAlignment="0" applyProtection="0"/>
    <xf numFmtId="9" fontId="13" fillId="0" borderId="0" applyFont="0" applyFill="0" applyBorder="0" applyAlignment="0" applyProtection="0"/>
    <xf numFmtId="0" fontId="43" fillId="0" borderId="0"/>
    <xf numFmtId="0" fontId="25" fillId="0" borderId="0"/>
    <xf numFmtId="0" fontId="13" fillId="0" borderId="0"/>
    <xf numFmtId="9" fontId="13" fillId="0" borderId="0" applyFont="0" applyFill="0" applyBorder="0" applyAlignment="0" applyProtection="0"/>
    <xf numFmtId="43" fontId="13" fillId="0" borderId="0" applyFont="0" applyFill="0" applyBorder="0" applyAlignment="0" applyProtection="0"/>
  </cellStyleXfs>
  <cellXfs count="322">
    <xf numFmtId="0" fontId="0" fillId="0" borderId="0" xfId="0"/>
    <xf numFmtId="0" fontId="3" fillId="0" borderId="0" xfId="1" applyFont="1"/>
    <xf numFmtId="0" fontId="3" fillId="0" borderId="0" xfId="0" applyFont="1"/>
    <xf numFmtId="0" fontId="3" fillId="0" borderId="0" xfId="0" applyFont="1" applyAlignment="1">
      <alignment horizontal="center"/>
    </xf>
    <xf numFmtId="0" fontId="3" fillId="0" borderId="0" xfId="0" applyFont="1" applyAlignment="1">
      <alignment horizontal="right"/>
    </xf>
    <xf numFmtId="0" fontId="3" fillId="0" borderId="0" xfId="1" applyFont="1" applyAlignment="1">
      <alignment horizontal="center"/>
    </xf>
    <xf numFmtId="0" fontId="3" fillId="0" borderId="0" xfId="0" quotePrefix="1" applyFont="1" applyAlignment="1">
      <alignment horizontal="center"/>
    </xf>
    <xf numFmtId="0" fontId="3" fillId="0" borderId="0" xfId="1" applyFont="1" applyAlignment="1">
      <alignment horizontal="centerContinuous"/>
    </xf>
    <xf numFmtId="0" fontId="4" fillId="0" borderId="0" xfId="0" applyFont="1" applyAlignment="1">
      <alignment horizontal="centerContinuous"/>
    </xf>
    <xf numFmtId="0" fontId="5" fillId="0" borderId="0" xfId="1" applyFont="1" applyAlignment="1">
      <alignment horizontal="centerContinuous"/>
    </xf>
    <xf numFmtId="0" fontId="6" fillId="0" borderId="0" xfId="0" applyFont="1" applyAlignment="1">
      <alignment horizontal="centerContinuous"/>
    </xf>
    <xf numFmtId="0" fontId="6" fillId="0" borderId="0" xfId="0" applyFont="1" applyAlignment="1">
      <alignment horizontal="centerContinuous" vertical="center"/>
    </xf>
    <xf numFmtId="0" fontId="9" fillId="0" borderId="0" xfId="0" applyFont="1" applyAlignment="1">
      <alignment horizontal="centerContinuous" vertical="center"/>
    </xf>
    <xf numFmtId="0" fontId="10" fillId="0" borderId="0" xfId="0" applyFont="1" applyAlignment="1">
      <alignment horizontal="centerContinuous"/>
    </xf>
    <xf numFmtId="0" fontId="11" fillId="0" borderId="0" xfId="0" applyFont="1"/>
    <xf numFmtId="0" fontId="9" fillId="0" borderId="0" xfId="0" applyFont="1" applyAlignment="1">
      <alignment horizontal="centerContinuous"/>
    </xf>
    <xf numFmtId="0" fontId="9" fillId="0" borderId="0" xfId="0" applyFont="1" applyAlignment="1">
      <alignment horizontal="left"/>
    </xf>
    <xf numFmtId="0" fontId="9" fillId="0" borderId="0" xfId="1" applyFont="1" applyAlignment="1">
      <alignment horizontal="centerContinuous"/>
    </xf>
    <xf numFmtId="0" fontId="12" fillId="0" borderId="0" xfId="0" applyFont="1" applyAlignment="1">
      <alignment horizontal="centerContinuous"/>
    </xf>
    <xf numFmtId="0" fontId="11" fillId="0" borderId="0" xfId="0" applyFont="1" applyAlignment="1">
      <alignment horizontal="centerContinuous"/>
    </xf>
    <xf numFmtId="0" fontId="13" fillId="0" borderId="0" xfId="0" applyFont="1" applyAlignment="1">
      <alignment horizontal="center"/>
    </xf>
    <xf numFmtId="0" fontId="3" fillId="0" borderId="0" xfId="0" applyFont="1" applyAlignment="1">
      <alignment horizontal="centerContinuous"/>
    </xf>
    <xf numFmtId="0" fontId="13" fillId="0" borderId="0" xfId="0" applyFont="1" applyAlignment="1">
      <alignment vertical="top" wrapText="1"/>
    </xf>
    <xf numFmtId="0" fontId="13" fillId="0" borderId="1" xfId="0" applyFont="1" applyBorder="1" applyAlignment="1">
      <alignment horizontal="center" vertical="top" wrapText="1"/>
    </xf>
    <xf numFmtId="0" fontId="13" fillId="0" borderId="0" xfId="0" applyFont="1" applyAlignment="1">
      <alignment horizontal="center" vertical="top" wrapText="1"/>
    </xf>
    <xf numFmtId="0" fontId="14" fillId="0" borderId="0" xfId="0" applyFont="1" applyAlignment="1">
      <alignment horizontal="center"/>
    </xf>
    <xf numFmtId="0" fontId="13" fillId="0" borderId="0" xfId="0" applyFont="1"/>
    <xf numFmtId="0" fontId="7" fillId="0" borderId="0" xfId="0" applyFont="1"/>
    <xf numFmtId="0" fontId="10" fillId="0" borderId="0" xfId="1" applyFont="1" applyAlignment="1">
      <alignment horizontal="centerContinuous"/>
    </xf>
    <xf numFmtId="0" fontId="13" fillId="0" borderId="2" xfId="0" applyFont="1" applyBorder="1" applyAlignment="1">
      <alignment horizontal="center" wrapText="1"/>
    </xf>
    <xf numFmtId="0" fontId="13" fillId="0" borderId="2" xfId="0" applyFont="1" applyBorder="1" applyAlignment="1">
      <alignment horizontal="center"/>
    </xf>
    <xf numFmtId="14" fontId="13" fillId="0" borderId="2" xfId="0" applyNumberFormat="1" applyFont="1" applyBorder="1" applyAlignment="1">
      <alignment horizontal="center" vertical="center" wrapText="1"/>
    </xf>
    <xf numFmtId="164" fontId="13" fillId="0" borderId="2" xfId="0" applyNumberFormat="1" applyFont="1" applyBorder="1" applyAlignment="1">
      <alignment horizontal="center" vertical="center" wrapText="1"/>
    </xf>
    <xf numFmtId="0" fontId="15" fillId="0" borderId="0" xfId="0" applyFont="1" applyAlignment="1">
      <alignment horizontal="centerContinuous" vertical="center"/>
    </xf>
    <xf numFmtId="0" fontId="16" fillId="0" borderId="0" xfId="0" applyFont="1" applyAlignment="1">
      <alignment horizontal="centerContinuous"/>
    </xf>
    <xf numFmtId="0" fontId="0" fillId="0" borderId="0" xfId="0" applyAlignment="1">
      <alignment horizontal="centerContinuous"/>
    </xf>
    <xf numFmtId="0" fontId="15" fillId="0" borderId="0" xfId="0" applyFont="1" applyAlignment="1">
      <alignment horizontal="centerContinuous"/>
    </xf>
    <xf numFmtId="0" fontId="10" fillId="0" borderId="0" xfId="1" applyFont="1"/>
    <xf numFmtId="0" fontId="10" fillId="0" borderId="0" xfId="0" applyFont="1"/>
    <xf numFmtId="0" fontId="16" fillId="0" borderId="0" xfId="0" applyFont="1"/>
    <xf numFmtId="0" fontId="8" fillId="0" borderId="0" xfId="0" applyFont="1" applyAlignment="1">
      <alignment horizontal="centerContinuous"/>
    </xf>
    <xf numFmtId="0" fontId="8" fillId="0" borderId="0" xfId="0" applyFont="1"/>
    <xf numFmtId="0" fontId="8" fillId="0" borderId="0" xfId="0" applyFont="1" applyAlignment="1">
      <alignment horizontal="right"/>
    </xf>
    <xf numFmtId="165" fontId="13" fillId="0" borderId="0" xfId="0" applyNumberFormat="1" applyFont="1" applyAlignment="1">
      <alignment horizontal="center"/>
    </xf>
    <xf numFmtId="0" fontId="13" fillId="0" borderId="0" xfId="1" applyFont="1"/>
    <xf numFmtId="0" fontId="13" fillId="0" borderId="0" xfId="1" applyFont="1" applyAlignment="1">
      <alignment horizontal="center"/>
    </xf>
    <xf numFmtId="0" fontId="17" fillId="0" borderId="0" xfId="1" applyFont="1" applyAlignment="1">
      <alignment horizontal="center"/>
    </xf>
    <xf numFmtId="0" fontId="18" fillId="0" borderId="0" xfId="0" applyFont="1" applyAlignment="1">
      <alignment horizontal="center"/>
    </xf>
    <xf numFmtId="0" fontId="18" fillId="0" borderId="0" xfId="1" applyFont="1" applyAlignment="1">
      <alignment horizontal="center"/>
    </xf>
    <xf numFmtId="0" fontId="19" fillId="0" borderId="0" xfId="1" applyFont="1" applyAlignment="1">
      <alignment horizontal="center"/>
    </xf>
    <xf numFmtId="167" fontId="17" fillId="0" borderId="0" xfId="1" applyNumberFormat="1" applyFont="1" applyAlignment="1">
      <alignment horizontal="center"/>
    </xf>
    <xf numFmtId="0" fontId="22" fillId="0" borderId="0" xfId="1" applyFont="1"/>
    <xf numFmtId="3" fontId="13" fillId="0" borderId="0" xfId="0" applyNumberFormat="1" applyFont="1" applyAlignment="1">
      <alignment horizontal="right"/>
    </xf>
    <xf numFmtId="167" fontId="17" fillId="0" borderId="0" xfId="0" applyNumberFormat="1" applyFont="1" applyAlignment="1">
      <alignment horizontal="center"/>
    </xf>
    <xf numFmtId="0" fontId="22" fillId="0" borderId="0" xfId="0" applyFont="1"/>
    <xf numFmtId="0" fontId="13" fillId="0" borderId="0" xfId="1" quotePrefix="1" applyFont="1" applyAlignment="1">
      <alignment horizontal="left"/>
    </xf>
    <xf numFmtId="3" fontId="13" fillId="0" borderId="0" xfId="1" applyNumberFormat="1" applyFont="1" applyAlignment="1">
      <alignment horizontal="right"/>
    </xf>
    <xf numFmtId="166" fontId="17" fillId="0" borderId="0" xfId="1" applyNumberFormat="1" applyFont="1" applyAlignment="1">
      <alignment horizontal="center"/>
    </xf>
    <xf numFmtId="3" fontId="21" fillId="0" borderId="0" xfId="1" applyNumberFormat="1" applyFont="1" applyAlignment="1">
      <alignment horizontal="right"/>
    </xf>
    <xf numFmtId="0" fontId="17" fillId="0" borderId="0" xfId="0" applyFont="1" applyAlignment="1">
      <alignment horizontal="center"/>
    </xf>
    <xf numFmtId="0" fontId="19" fillId="0" borderId="0" xfId="0" applyFont="1" applyAlignment="1">
      <alignment horizontal="center"/>
    </xf>
    <xf numFmtId="0" fontId="13" fillId="0" borderId="0" xfId="0" quotePrefix="1" applyFont="1" applyAlignment="1">
      <alignment horizontal="center"/>
    </xf>
    <xf numFmtId="166" fontId="17" fillId="0" borderId="0" xfId="0" applyNumberFormat="1" applyFont="1" applyAlignment="1">
      <alignment horizontal="center"/>
    </xf>
    <xf numFmtId="3" fontId="13" fillId="0" borderId="0" xfId="2" applyNumberFormat="1" applyFont="1" applyFill="1" applyBorder="1" applyAlignment="1">
      <alignment horizontal="center"/>
    </xf>
    <xf numFmtId="39" fontId="13" fillId="0" borderId="0" xfId="2" applyNumberFormat="1" applyFont="1" applyFill="1" applyBorder="1" applyAlignment="1">
      <alignment horizontal="center"/>
    </xf>
    <xf numFmtId="165" fontId="13" fillId="0" borderId="0" xfId="3" applyNumberFormat="1" applyFont="1" applyBorder="1" applyAlignment="1">
      <alignment horizontal="center"/>
    </xf>
    <xf numFmtId="165" fontId="0" fillId="0" borderId="0" xfId="3" applyNumberFormat="1" applyFont="1" applyBorder="1"/>
    <xf numFmtId="0" fontId="8" fillId="0" borderId="0" xfId="0" applyFont="1" applyAlignment="1">
      <alignment vertical="center" wrapText="1"/>
    </xf>
    <xf numFmtId="0" fontId="24" fillId="0" borderId="0" xfId="0" applyFont="1"/>
    <xf numFmtId="0" fontId="8" fillId="0" borderId="0" xfId="0" applyFont="1" applyAlignment="1">
      <alignment vertical="center"/>
    </xf>
    <xf numFmtId="0" fontId="8" fillId="0" borderId="0" xfId="0" applyFont="1" applyAlignment="1">
      <alignment horizontal="center" vertical="center" wrapText="1"/>
    </xf>
    <xf numFmtId="0" fontId="5" fillId="0" borderId="0" xfId="0" applyFont="1" applyAlignment="1">
      <alignment horizontal="centerContinuous"/>
    </xf>
    <xf numFmtId="0" fontId="26" fillId="0" borderId="0" xfId="0" applyFont="1" applyAlignment="1">
      <alignment horizontal="centerContinuous"/>
    </xf>
    <xf numFmtId="0" fontId="26" fillId="0" borderId="0" xfId="0" applyFont="1"/>
    <xf numFmtId="0" fontId="13" fillId="0" borderId="0" xfId="5" applyFont="1" applyAlignment="1">
      <alignment horizontal="centerContinuous"/>
    </xf>
    <xf numFmtId="0" fontId="13" fillId="0" borderId="0" xfId="6"/>
    <xf numFmtId="0" fontId="2" fillId="0" borderId="0" xfId="5"/>
    <xf numFmtId="0" fontId="21" fillId="0" borderId="0" xfId="5" applyFont="1"/>
    <xf numFmtId="0" fontId="2" fillId="0" borderId="0" xfId="5" applyAlignment="1">
      <alignment horizontal="center"/>
    </xf>
    <xf numFmtId="0" fontId="2" fillId="0" borderId="0" xfId="5" quotePrefix="1" applyAlignment="1">
      <alignment horizontal="center"/>
    </xf>
    <xf numFmtId="0" fontId="27" fillId="0" borderId="0" xfId="5" applyFont="1" applyAlignment="1">
      <alignment horizontal="center"/>
    </xf>
    <xf numFmtId="0" fontId="18" fillId="0" borderId="0" xfId="5" applyFont="1" applyAlignment="1">
      <alignment horizontal="center"/>
    </xf>
    <xf numFmtId="168" fontId="27" fillId="0" borderId="0" xfId="5" quotePrefix="1" applyNumberFormat="1" applyFont="1" applyAlignment="1">
      <alignment horizontal="center"/>
    </xf>
    <xf numFmtId="1" fontId="13" fillId="0" borderId="0" xfId="5" applyNumberFormat="1" applyFont="1" applyAlignment="1">
      <alignment horizontal="center"/>
    </xf>
    <xf numFmtId="3" fontId="13" fillId="0" borderId="0" xfId="5" applyNumberFormat="1" applyFont="1" applyAlignment="1">
      <alignment horizontal="center"/>
    </xf>
    <xf numFmtId="169" fontId="2" fillId="0" borderId="0" xfId="5" applyNumberFormat="1" applyAlignment="1">
      <alignment horizontal="center"/>
    </xf>
    <xf numFmtId="169" fontId="0" fillId="0" borderId="0" xfId="0" applyNumberFormat="1"/>
    <xf numFmtId="0" fontId="17" fillId="0" borderId="0" xfId="5" quotePrefix="1" applyFont="1" applyAlignment="1">
      <alignment horizontal="left"/>
    </xf>
    <xf numFmtId="3" fontId="13" fillId="0" borderId="0" xfId="5" applyNumberFormat="1" applyFont="1" applyAlignment="1">
      <alignment horizontal="right"/>
    </xf>
    <xf numFmtId="169" fontId="28" fillId="0" borderId="0" xfId="5" applyNumberFormat="1" applyFont="1" applyAlignment="1">
      <alignment horizontal="center"/>
    </xf>
    <xf numFmtId="0" fontId="29" fillId="0" borderId="0" xfId="0" applyFont="1"/>
    <xf numFmtId="0" fontId="8" fillId="0" borderId="0" xfId="0" applyFont="1" applyAlignment="1">
      <alignment horizontal="left" wrapText="1"/>
    </xf>
    <xf numFmtId="0" fontId="13" fillId="0" borderId="0" xfId="5" applyFont="1" applyAlignment="1">
      <alignment horizontal="center"/>
    </xf>
    <xf numFmtId="0" fontId="8" fillId="0" borderId="0" xfId="0" applyFont="1" applyAlignment="1">
      <alignment wrapText="1"/>
    </xf>
    <xf numFmtId="0" fontId="30" fillId="0" borderId="0" xfId="0" applyFont="1" applyAlignment="1">
      <alignment horizontal="centerContinuous"/>
    </xf>
    <xf numFmtId="0" fontId="6" fillId="0" borderId="0" xfId="0" applyFont="1" applyAlignment="1">
      <alignment horizontal="left"/>
    </xf>
    <xf numFmtId="0" fontId="15" fillId="0" borderId="0" xfId="0" applyFont="1"/>
    <xf numFmtId="0" fontId="31" fillId="0" borderId="0" xfId="0" applyFont="1" applyAlignment="1">
      <alignment horizontal="centerContinuous"/>
    </xf>
    <xf numFmtId="0" fontId="32" fillId="0" borderId="0" xfId="0" applyFont="1" applyAlignment="1">
      <alignment horizontal="centerContinuous"/>
    </xf>
    <xf numFmtId="0" fontId="33" fillId="0" borderId="0" xfId="0" applyFont="1" applyAlignment="1">
      <alignment horizontal="centerContinuous"/>
    </xf>
    <xf numFmtId="0" fontId="3" fillId="0" borderId="0" xfId="0" applyFont="1" applyAlignment="1">
      <alignment horizontal="left"/>
    </xf>
    <xf numFmtId="0" fontId="13" fillId="0" borderId="0" xfId="0" applyFont="1" applyAlignment="1">
      <alignment horizontal="left" vertical="top" wrapText="1"/>
    </xf>
    <xf numFmtId="0" fontId="13" fillId="0" borderId="0" xfId="5" applyFont="1"/>
    <xf numFmtId="0" fontId="34" fillId="0" borderId="0" xfId="0" applyFont="1" applyAlignment="1">
      <alignment horizontal="center"/>
    </xf>
    <xf numFmtId="0" fontId="13" fillId="0" borderId="0" xfId="0" applyFont="1" applyAlignment="1">
      <alignment horizontal="left"/>
    </xf>
    <xf numFmtId="0" fontId="13" fillId="0" borderId="0" xfId="0" applyFont="1" applyAlignment="1">
      <alignment horizontal="centerContinuous"/>
    </xf>
    <xf numFmtId="0" fontId="13" fillId="0" borderId="0" xfId="5" applyFont="1" applyAlignment="1">
      <alignment vertical="top" wrapText="1"/>
    </xf>
    <xf numFmtId="0" fontId="13" fillId="0" borderId="1" xfId="0" applyFont="1" applyBorder="1" applyAlignment="1">
      <alignment horizontal="centerContinuous"/>
    </xf>
    <xf numFmtId="165" fontId="13" fillId="0" borderId="0" xfId="3" applyNumberFormat="1" applyFont="1" applyFill="1" applyAlignment="1">
      <alignment horizontal="center"/>
    </xf>
    <xf numFmtId="0" fontId="13" fillId="0" borderId="0" xfId="0" applyFont="1" applyAlignment="1">
      <alignment horizontal="right"/>
    </xf>
    <xf numFmtId="165" fontId="13" fillId="0" borderId="0" xfId="3" applyNumberFormat="1" applyFont="1" applyAlignment="1">
      <alignment horizontal="center"/>
    </xf>
    <xf numFmtId="1" fontId="13" fillId="0" borderId="0" xfId="0" applyNumberFormat="1" applyFont="1" applyAlignment="1">
      <alignment horizontal="center"/>
    </xf>
    <xf numFmtId="14" fontId="13" fillId="0" borderId="0" xfId="0" applyNumberFormat="1" applyFont="1" applyAlignment="1">
      <alignment horizontal="center"/>
    </xf>
    <xf numFmtId="1" fontId="18" fillId="0" borderId="0" xfId="0" applyNumberFormat="1" applyFont="1" applyAlignment="1">
      <alignment horizontal="right"/>
    </xf>
    <xf numFmtId="0" fontId="18" fillId="0" borderId="0" xfId="0" applyFont="1" applyAlignment="1">
      <alignment horizontal="right"/>
    </xf>
    <xf numFmtId="167" fontId="13" fillId="0" borderId="0" xfId="0" applyNumberFormat="1" applyFont="1" applyAlignment="1">
      <alignment horizontal="right"/>
    </xf>
    <xf numFmtId="0" fontId="13" fillId="0" borderId="0" xfId="0" applyFont="1" applyAlignment="1">
      <alignment vertical="top"/>
    </xf>
    <xf numFmtId="0" fontId="13" fillId="0" borderId="0" xfId="7" quotePrefix="1" applyAlignment="1">
      <alignment horizontal="center"/>
    </xf>
    <xf numFmtId="0" fontId="13" fillId="0" borderId="0" xfId="7" applyAlignment="1">
      <alignment horizontal="center"/>
    </xf>
    <xf numFmtId="0" fontId="18" fillId="0" borderId="0" xfId="7" applyFont="1" applyAlignment="1">
      <alignment horizontal="center"/>
    </xf>
    <xf numFmtId="0" fontId="18" fillId="0" borderId="0" xfId="7" quotePrefix="1" applyFont="1" applyAlignment="1">
      <alignment horizontal="center"/>
    </xf>
    <xf numFmtId="3" fontId="13" fillId="0" borderId="0" xfId="7" applyNumberFormat="1" applyAlignment="1">
      <alignment horizontal="center"/>
    </xf>
    <xf numFmtId="3" fontId="13" fillId="0" borderId="0" xfId="7" quotePrefix="1" applyNumberFormat="1" applyAlignment="1">
      <alignment horizontal="center"/>
    </xf>
    <xf numFmtId="170" fontId="13" fillId="0" borderId="0" xfId="7" applyNumberFormat="1" applyAlignment="1">
      <alignment horizontal="center"/>
    </xf>
    <xf numFmtId="0" fontId="13" fillId="0" borderId="0" xfId="7"/>
    <xf numFmtId="0" fontId="13" fillId="0" borderId="0" xfId="10" applyFont="1"/>
    <xf numFmtId="3" fontId="13" fillId="0" borderId="0" xfId="7" applyNumberFormat="1"/>
    <xf numFmtId="0" fontId="13" fillId="0" borderId="0" xfId="7" applyAlignment="1">
      <alignment horizontal="right"/>
    </xf>
    <xf numFmtId="0" fontId="13" fillId="0" borderId="1" xfId="0" applyFont="1" applyBorder="1" applyAlignment="1">
      <alignment horizontal="center"/>
    </xf>
    <xf numFmtId="0" fontId="35" fillId="0" borderId="0" xfId="0" applyFont="1" applyAlignment="1">
      <alignment horizontal="center"/>
    </xf>
    <xf numFmtId="0" fontId="36" fillId="0" borderId="0" xfId="0" quotePrefix="1" applyFont="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8" fontId="0" fillId="0" borderId="0" xfId="0" applyNumberFormat="1"/>
    <xf numFmtId="0" fontId="0" fillId="0" borderId="0" xfId="0" applyAlignment="1">
      <alignment horizontal="left" vertical="center"/>
    </xf>
    <xf numFmtId="10" fontId="11" fillId="0" borderId="0" xfId="0" applyNumberFormat="1" applyFont="1"/>
    <xf numFmtId="8" fontId="11" fillId="0" borderId="0" xfId="0" applyNumberFormat="1" applyFont="1"/>
    <xf numFmtId="165" fontId="11" fillId="0" borderId="0" xfId="0" applyNumberFormat="1" applyFont="1"/>
    <xf numFmtId="0" fontId="3" fillId="0" borderId="0" xfId="12" applyFont="1" applyAlignment="1">
      <alignment horizontal="centerContinuous"/>
    </xf>
    <xf numFmtId="0" fontId="38" fillId="0" borderId="0" xfId="12" applyFont="1" applyAlignment="1">
      <alignment horizontal="centerContinuous"/>
    </xf>
    <xf numFmtId="0" fontId="38" fillId="0" borderId="0" xfId="12" applyFont="1"/>
    <xf numFmtId="0" fontId="13" fillId="0" borderId="0" xfId="12" quotePrefix="1"/>
    <xf numFmtId="0" fontId="13" fillId="0" borderId="0" xfId="12"/>
    <xf numFmtId="0" fontId="38" fillId="0" borderId="0" xfId="12" quotePrefix="1" applyFont="1" applyAlignment="1">
      <alignment horizontal="center"/>
    </xf>
    <xf numFmtId="1" fontId="13" fillId="0" borderId="0" xfId="12" quotePrefix="1" applyNumberFormat="1" applyAlignment="1">
      <alignment horizontal="center"/>
    </xf>
    <xf numFmtId="1" fontId="13" fillId="0" borderId="0" xfId="12" quotePrefix="1" applyNumberFormat="1" applyAlignment="1">
      <alignment horizontal="centerContinuous"/>
    </xf>
    <xf numFmtId="0" fontId="13" fillId="0" borderId="0" xfId="12" quotePrefix="1" applyAlignment="1">
      <alignment horizontal="centerContinuous"/>
    </xf>
    <xf numFmtId="0" fontId="13" fillId="0" borderId="0" xfId="12" applyAlignment="1">
      <alignment horizontal="centerContinuous"/>
    </xf>
    <xf numFmtId="0" fontId="25" fillId="0" borderId="0" xfId="12" applyFont="1"/>
    <xf numFmtId="0" fontId="13" fillId="0" borderId="0" xfId="12" quotePrefix="1" applyAlignment="1">
      <alignment horizontal="center"/>
    </xf>
    <xf numFmtId="1" fontId="13" fillId="0" borderId="0" xfId="12" applyNumberFormat="1" applyAlignment="1">
      <alignment horizontal="centerContinuous"/>
    </xf>
    <xf numFmtId="0" fontId="18" fillId="0" borderId="0" xfId="12" applyFont="1" applyAlignment="1">
      <alignment horizontal="center"/>
    </xf>
    <xf numFmtId="1" fontId="18" fillId="0" borderId="0" xfId="12" applyNumberFormat="1" applyFont="1" applyAlignment="1">
      <alignment horizontal="centerContinuous"/>
    </xf>
    <xf numFmtId="0" fontId="18" fillId="0" borderId="0" xfId="12" applyFont="1" applyAlignment="1">
      <alignment horizontal="centerContinuous"/>
    </xf>
    <xf numFmtId="171" fontId="13" fillId="0" borderId="0" xfId="13" applyNumberFormat="1" applyFont="1"/>
    <xf numFmtId="170" fontId="13" fillId="0" borderId="0" xfId="12" applyNumberFormat="1"/>
    <xf numFmtId="171" fontId="13" fillId="0" borderId="0" xfId="13" applyNumberFormat="1" applyFont="1" applyFill="1"/>
    <xf numFmtId="4" fontId="13" fillId="0" borderId="0" xfId="12" applyNumberFormat="1"/>
    <xf numFmtId="165" fontId="13" fillId="0" borderId="0" xfId="3" applyNumberFormat="1" applyFont="1"/>
    <xf numFmtId="4" fontId="39" fillId="0" borderId="0" xfId="12" applyNumberFormat="1" applyFont="1"/>
    <xf numFmtId="0" fontId="40" fillId="0" borderId="0" xfId="12" applyFont="1"/>
    <xf numFmtId="4" fontId="40" fillId="0" borderId="0" xfId="12" applyNumberFormat="1" applyFont="1"/>
    <xf numFmtId="4" fontId="38" fillId="0" borderId="0" xfId="12" applyNumberFormat="1" applyFont="1"/>
    <xf numFmtId="43" fontId="13" fillId="0" borderId="0" xfId="12" applyNumberFormat="1"/>
    <xf numFmtId="2" fontId="13" fillId="0" borderId="0" xfId="12" applyNumberFormat="1"/>
    <xf numFmtId="164" fontId="13" fillId="0" borderId="0" xfId="12" quotePrefix="1" applyNumberFormat="1" applyAlignment="1">
      <alignment horizontal="right"/>
    </xf>
    <xf numFmtId="164" fontId="13" fillId="0" borderId="0" xfId="12" applyNumberFormat="1"/>
    <xf numFmtId="0" fontId="13" fillId="0" borderId="0" xfId="12" quotePrefix="1" applyAlignment="1">
      <alignment horizontal="left"/>
    </xf>
    <xf numFmtId="0" fontId="25" fillId="0" borderId="0" xfId="12" applyFont="1" applyAlignment="1">
      <alignment vertical="top" textRotation="180" wrapText="1"/>
    </xf>
    <xf numFmtId="44" fontId="8" fillId="0" borderId="0" xfId="11" applyFont="1" applyAlignment="1"/>
    <xf numFmtId="172" fontId="8" fillId="0" borderId="0" xfId="11" applyNumberFormat="1" applyFont="1" applyAlignment="1"/>
    <xf numFmtId="172" fontId="8" fillId="0" borderId="0" xfId="11" applyNumberFormat="1" applyFont="1" applyAlignment="1">
      <alignment horizontal="left"/>
    </xf>
    <xf numFmtId="172" fontId="13" fillId="0" borderId="0" xfId="12" applyNumberFormat="1"/>
    <xf numFmtId="172" fontId="13" fillId="0" borderId="0" xfId="12" applyNumberFormat="1" applyAlignment="1">
      <alignment horizontal="left"/>
    </xf>
    <xf numFmtId="4" fontId="21" fillId="0" borderId="0" xfId="12" applyNumberFormat="1" applyFont="1"/>
    <xf numFmtId="0" fontId="0" fillId="0" borderId="0" xfId="0" applyAlignment="1">
      <alignment horizontal="center"/>
    </xf>
    <xf numFmtId="0" fontId="44" fillId="0" borderId="0" xfId="0" applyFont="1" applyAlignment="1">
      <alignment horizontal="centerContinuous"/>
    </xf>
    <xf numFmtId="3" fontId="0" fillId="0" borderId="0" xfId="0" applyNumberFormat="1"/>
    <xf numFmtId="172" fontId="0" fillId="0" borderId="0" xfId="0" applyNumberFormat="1"/>
    <xf numFmtId="0" fontId="0" fillId="0" borderId="7" xfId="0" applyBorder="1"/>
    <xf numFmtId="0" fontId="26" fillId="5" borderId="7" xfId="0" applyFont="1" applyFill="1" applyBorder="1" applyAlignment="1">
      <alignment horizontal="centerContinuous"/>
    </xf>
    <xf numFmtId="0" fontId="0" fillId="5" borderId="8" xfId="0" applyFill="1" applyBorder="1" applyAlignment="1">
      <alignment horizontal="centerContinuous"/>
    </xf>
    <xf numFmtId="0" fontId="0" fillId="0" borderId="8" xfId="0" applyBorder="1" applyAlignment="1">
      <alignment horizontal="centerContinuous"/>
    </xf>
    <xf numFmtId="0" fontId="0" fillId="5" borderId="9" xfId="0" applyFill="1" applyBorder="1" applyAlignment="1">
      <alignment horizontal="centerContinuous"/>
    </xf>
    <xf numFmtId="0" fontId="26" fillId="0" borderId="10" xfId="0" applyFont="1" applyBorder="1" applyAlignment="1">
      <alignment horizontal="centerContinuous"/>
    </xf>
    <xf numFmtId="0" fontId="11" fillId="0" borderId="11" xfId="20" applyFont="1" applyBorder="1" applyAlignment="1">
      <alignment horizontal="center" vertical="center" wrapText="1"/>
    </xf>
    <xf numFmtId="0" fontId="11" fillId="5" borderId="12" xfId="20" applyFont="1" applyFill="1" applyBorder="1" applyAlignment="1">
      <alignment horizontal="center" vertical="center" wrapText="1"/>
    </xf>
    <xf numFmtId="0" fontId="11" fillId="5" borderId="13" xfId="20" applyFont="1" applyFill="1" applyBorder="1" applyAlignment="1">
      <alignment horizontal="center" vertical="center" wrapText="1"/>
    </xf>
    <xf numFmtId="0" fontId="11" fillId="0" borderId="13" xfId="20" applyFont="1" applyBorder="1" applyAlignment="1">
      <alignment horizontal="center" vertical="center" wrapText="1"/>
    </xf>
    <xf numFmtId="0" fontId="11" fillId="5" borderId="14" xfId="20" applyFont="1" applyFill="1" applyBorder="1" applyAlignment="1">
      <alignment horizontal="center" vertical="center" wrapText="1"/>
    </xf>
    <xf numFmtId="0" fontId="11" fillId="5" borderId="15" xfId="20" applyFont="1" applyFill="1" applyBorder="1" applyAlignment="1">
      <alignment horizontal="center" vertical="center" wrapText="1"/>
    </xf>
    <xf numFmtId="0" fontId="11" fillId="0" borderId="16" xfId="20" applyFont="1" applyBorder="1" applyAlignment="1">
      <alignment horizontal="center" vertical="center" wrapText="1"/>
    </xf>
    <xf numFmtId="0" fontId="13" fillId="0" borderId="0" xfId="20" applyFont="1" applyAlignment="1">
      <alignment horizontal="center"/>
    </xf>
    <xf numFmtId="49" fontId="11" fillId="0" borderId="17" xfId="12" applyNumberFormat="1" applyFont="1" applyBorder="1" applyAlignment="1">
      <alignment horizontal="center" wrapText="1"/>
    </xf>
    <xf numFmtId="3" fontId="0" fillId="0" borderId="2" xfId="0" applyNumberFormat="1" applyBorder="1" applyAlignment="1">
      <alignment horizontal="center"/>
    </xf>
    <xf numFmtId="173" fontId="23" fillId="5" borderId="2" xfId="2" applyNumberFormat="1" applyFont="1" applyFill="1" applyBorder="1" applyAlignment="1">
      <alignment horizontal="center"/>
    </xf>
    <xf numFmtId="173" fontId="11" fillId="5" borderId="19" xfId="2" applyNumberFormat="1" applyFont="1" applyFill="1" applyBorder="1" applyAlignment="1">
      <alignment horizontal="center"/>
    </xf>
    <xf numFmtId="173" fontId="11" fillId="0" borderId="2" xfId="11" applyNumberFormat="1" applyFont="1" applyFill="1" applyBorder="1" applyAlignment="1">
      <alignment horizontal="center" wrapText="1"/>
    </xf>
    <xf numFmtId="9" fontId="0" fillId="0" borderId="0" xfId="3" applyFont="1" applyBorder="1"/>
    <xf numFmtId="0" fontId="46" fillId="0" borderId="11" xfId="20" applyFont="1" applyBorder="1" applyAlignment="1">
      <alignment horizontal="center" wrapText="1"/>
    </xf>
    <xf numFmtId="173" fontId="26" fillId="0" borderId="16" xfId="11" applyNumberFormat="1" applyFont="1" applyBorder="1" applyAlignment="1">
      <alignment horizontal="center"/>
    </xf>
    <xf numFmtId="0" fontId="24" fillId="5" borderId="0" xfId="0" applyFont="1" applyFill="1" applyAlignment="1">
      <alignment vertical="center"/>
    </xf>
    <xf numFmtId="0" fontId="0" fillId="5" borderId="0" xfId="0" applyFill="1"/>
    <xf numFmtId="3" fontId="0" fillId="5" borderId="0" xfId="0" applyNumberFormat="1" applyFill="1" applyAlignment="1">
      <alignment horizontal="center"/>
    </xf>
    <xf numFmtId="173" fontId="11" fillId="5" borderId="22" xfId="2" applyNumberFormat="1" applyFont="1" applyFill="1" applyBorder="1" applyAlignment="1">
      <alignment horizontal="center"/>
    </xf>
    <xf numFmtId="173" fontId="11" fillId="5" borderId="15" xfId="11" applyNumberFormat="1" applyFont="1" applyFill="1" applyBorder="1" applyAlignment="1">
      <alignment horizontal="center"/>
    </xf>
    <xf numFmtId="165" fontId="13" fillId="0" borderId="0" xfId="3" applyNumberFormat="1" applyFont="1" applyFill="1"/>
    <xf numFmtId="0" fontId="13" fillId="0" borderId="2" xfId="0" quotePrefix="1" applyFont="1" applyBorder="1" applyAlignment="1">
      <alignment horizontal="center" vertical="center" wrapText="1"/>
    </xf>
    <xf numFmtId="171" fontId="21" fillId="0" borderId="0" xfId="13" applyNumberFormat="1" applyFont="1" applyFill="1"/>
    <xf numFmtId="4" fontId="47" fillId="0" borderId="0" xfId="12" applyNumberFormat="1" applyFont="1"/>
    <xf numFmtId="167" fontId="13" fillId="0" borderId="0" xfId="12" applyNumberFormat="1"/>
    <xf numFmtId="167" fontId="13" fillId="0" borderId="0" xfId="13" applyNumberFormat="1" applyFont="1" applyFill="1"/>
    <xf numFmtId="167" fontId="13" fillId="0" borderId="0" xfId="13" applyNumberFormat="1" applyFont="1"/>
    <xf numFmtId="2" fontId="13" fillId="0" borderId="0" xfId="11" applyNumberFormat="1" applyFont="1"/>
    <xf numFmtId="0" fontId="48" fillId="0" borderId="0" xfId="12" applyFont="1"/>
    <xf numFmtId="172" fontId="8" fillId="0" borderId="0" xfId="11" applyNumberFormat="1" applyFont="1" applyFill="1" applyAlignment="1"/>
    <xf numFmtId="44" fontId="8" fillId="0" borderId="0" xfId="11" applyFont="1" applyFill="1" applyAlignment="1"/>
    <xf numFmtId="172" fontId="8" fillId="0" borderId="0" xfId="11" applyNumberFormat="1" applyFont="1" applyFill="1" applyAlignment="1">
      <alignment horizontal="left"/>
    </xf>
    <xf numFmtId="0" fontId="49" fillId="0" borderId="0" xfId="12" applyFont="1"/>
    <xf numFmtId="2" fontId="13" fillId="0" borderId="0" xfId="11" applyNumberFormat="1" applyFont="1" applyFill="1"/>
    <xf numFmtId="2" fontId="13" fillId="0" borderId="0" xfId="11" quotePrefix="1" applyNumberFormat="1" applyFont="1"/>
    <xf numFmtId="2" fontId="13" fillId="0" borderId="0" xfId="13" applyNumberFormat="1" applyFont="1"/>
    <xf numFmtId="2" fontId="13" fillId="0" borderId="0" xfId="13" applyNumberFormat="1" applyFont="1" applyFill="1"/>
    <xf numFmtId="44" fontId="13" fillId="0" borderId="0" xfId="11" applyFont="1"/>
    <xf numFmtId="1" fontId="13" fillId="0" borderId="0" xfId="11" applyNumberFormat="1" applyFont="1"/>
    <xf numFmtId="0" fontId="13" fillId="0" borderId="0" xfId="11" applyNumberFormat="1" applyFont="1"/>
    <xf numFmtId="164" fontId="0" fillId="0" borderId="2" xfId="2" applyNumberFormat="1" applyFont="1" applyBorder="1" applyAlignment="1">
      <alignment horizontal="center"/>
    </xf>
    <xf numFmtId="44" fontId="13" fillId="0" borderId="0" xfId="12" applyNumberFormat="1"/>
    <xf numFmtId="0" fontId="6" fillId="0" borderId="0" xfId="0" applyFont="1" applyAlignment="1">
      <alignment vertical="center"/>
    </xf>
    <xf numFmtId="0" fontId="6" fillId="0" borderId="0" xfId="0" applyFont="1"/>
    <xf numFmtId="0" fontId="5" fillId="0" borderId="0" xfId="1" applyFont="1"/>
    <xf numFmtId="0" fontId="11" fillId="0" borderId="0" xfId="0" applyFont="1" applyAlignment="1">
      <alignment vertical="center" wrapText="1"/>
    </xf>
    <xf numFmtId="0" fontId="1" fillId="0" borderId="3" xfId="0" applyFont="1" applyBorder="1" applyAlignment="1">
      <alignment horizontal="center" vertical="center" wrapText="1"/>
    </xf>
    <xf numFmtId="0" fontId="13" fillId="0" borderId="0" xfId="5" quotePrefix="1" applyFont="1" applyAlignment="1">
      <alignment horizontal="center"/>
    </xf>
    <xf numFmtId="0" fontId="1" fillId="0" borderId="0" xfId="0" applyFont="1" applyAlignment="1">
      <alignment horizontal="centerContinuous"/>
    </xf>
    <xf numFmtId="0" fontId="0" fillId="0" borderId="0" xfId="0" applyAlignment="1">
      <alignment wrapText="1"/>
    </xf>
    <xf numFmtId="3" fontId="17" fillId="0" borderId="0" xfId="21" applyNumberFormat="1" applyFont="1" applyAlignment="1">
      <alignment horizontal="center"/>
    </xf>
    <xf numFmtId="165" fontId="13" fillId="0" borderId="0" xfId="22" applyNumberFormat="1" applyFont="1" applyFill="1" applyAlignment="1">
      <alignment horizontal="center"/>
    </xf>
    <xf numFmtId="37" fontId="13" fillId="0" borderId="0" xfId="23" applyNumberFormat="1" applyFont="1" applyFill="1" applyAlignment="1">
      <alignment horizontal="center"/>
    </xf>
    <xf numFmtId="3" fontId="13" fillId="0" borderId="0" xfId="21" applyNumberFormat="1" applyAlignment="1">
      <alignment horizontal="center"/>
    </xf>
    <xf numFmtId="10" fontId="13" fillId="0" borderId="0" xfId="21" applyNumberFormat="1" applyAlignment="1">
      <alignment horizontal="center"/>
    </xf>
    <xf numFmtId="0" fontId="50" fillId="6" borderId="2" xfId="0" applyFont="1" applyFill="1" applyBorder="1" applyAlignment="1">
      <alignment horizontal="center" wrapText="1"/>
    </xf>
    <xf numFmtId="165" fontId="50" fillId="6" borderId="2" xfId="0" applyNumberFormat="1" applyFont="1" applyFill="1" applyBorder="1" applyAlignment="1">
      <alignment horizontal="center" wrapText="1"/>
    </xf>
    <xf numFmtId="174" fontId="29" fillId="0" borderId="0" xfId="0" applyNumberFormat="1" applyFont="1"/>
    <xf numFmtId="165" fontId="29" fillId="0" borderId="0" xfId="0" applyNumberFormat="1" applyFont="1"/>
    <xf numFmtId="0" fontId="29" fillId="0" borderId="4" xfId="0" applyFont="1" applyBorder="1" applyAlignment="1">
      <alignment horizontal="right"/>
    </xf>
    <xf numFmtId="166" fontId="29" fillId="0" borderId="4" xfId="0" applyNumberFormat="1" applyFont="1" applyBorder="1"/>
    <xf numFmtId="2" fontId="29" fillId="0" borderId="0" xfId="0" applyNumberFormat="1" applyFont="1"/>
    <xf numFmtId="0" fontId="1" fillId="0" borderId="25" xfId="0" applyFont="1" applyBorder="1" applyAlignment="1">
      <alignment wrapText="1"/>
    </xf>
    <xf numFmtId="174" fontId="1" fillId="0" borderId="2" xfId="2" applyNumberFormat="1" applyFont="1" applyBorder="1"/>
    <xf numFmtId="165" fontId="1" fillId="0" borderId="2" xfId="3" applyNumberFormat="1" applyFont="1" applyBorder="1"/>
    <xf numFmtId="0" fontId="1" fillId="0" borderId="2" xfId="0" applyFont="1" applyBorder="1"/>
    <xf numFmtId="165" fontId="1" fillId="0" borderId="2" xfId="3" applyNumberFormat="1" applyFont="1" applyFill="1" applyBorder="1"/>
    <xf numFmtId="0" fontId="50" fillId="0" borderId="25" xfId="0" applyFont="1" applyBorder="1" applyAlignment="1">
      <alignment wrapText="1"/>
    </xf>
    <xf numFmtId="0" fontId="1" fillId="7" borderId="2" xfId="0" applyFont="1" applyFill="1" applyBorder="1"/>
    <xf numFmtId="174" fontId="1" fillId="0" borderId="2" xfId="2" applyNumberFormat="1" applyFont="1" applyBorder="1" applyAlignment="1">
      <alignment horizontal="left"/>
    </xf>
    <xf numFmtId="9" fontId="1" fillId="0" borderId="25" xfId="3" applyFont="1" applyBorder="1" applyAlignment="1">
      <alignment wrapText="1"/>
    </xf>
    <xf numFmtId="165" fontId="51" fillId="0" borderId="2" xfId="3" applyNumberFormat="1" applyFont="1" applyFill="1" applyBorder="1"/>
    <xf numFmtId="0" fontId="1" fillId="0" borderId="4" xfId="0" applyFont="1" applyBorder="1" applyAlignment="1">
      <alignment horizontal="right"/>
    </xf>
    <xf numFmtId="166" fontId="1" fillId="0" borderId="4" xfId="0" applyNumberFormat="1" applyFont="1" applyBorder="1"/>
    <xf numFmtId="0" fontId="24" fillId="0" borderId="0" xfId="0" applyFont="1" applyAlignment="1">
      <alignment wrapText="1"/>
    </xf>
    <xf numFmtId="0" fontId="1" fillId="0" borderId="0" xfId="0" applyFont="1"/>
    <xf numFmtId="165" fontId="1" fillId="0" borderId="0" xfId="0" applyNumberFormat="1" applyFont="1"/>
    <xf numFmtId="165" fontId="13" fillId="0" borderId="2" xfId="3" applyNumberFormat="1" applyFont="1" applyFill="1" applyBorder="1"/>
    <xf numFmtId="0" fontId="1" fillId="0" borderId="0" xfId="0" applyFont="1" applyAlignment="1">
      <alignment horizontal="right"/>
    </xf>
    <xf numFmtId="166" fontId="1" fillId="0" borderId="0" xfId="0" applyNumberFormat="1" applyFont="1"/>
    <xf numFmtId="0" fontId="50" fillId="0" borderId="21" xfId="0" applyFont="1" applyBorder="1" applyAlignment="1">
      <alignment vertical="center" wrapText="1"/>
    </xf>
    <xf numFmtId="0" fontId="50" fillId="0" borderId="23" xfId="0" applyFont="1" applyBorder="1" applyAlignment="1">
      <alignment vertical="center" wrapText="1"/>
    </xf>
    <xf numFmtId="0" fontId="13" fillId="0" borderId="0" xfId="12" applyAlignment="1">
      <alignment horizontal="center"/>
    </xf>
    <xf numFmtId="10" fontId="13" fillId="0" borderId="0" xfId="1" applyNumberFormat="1" applyFont="1"/>
    <xf numFmtId="14" fontId="13" fillId="0" borderId="0" xfId="1" applyNumberFormat="1" applyFont="1"/>
    <xf numFmtId="9" fontId="13" fillId="0" borderId="0" xfId="1" applyNumberFormat="1" applyFont="1"/>
    <xf numFmtId="166" fontId="0" fillId="0" borderId="0" xfId="0" applyNumberFormat="1"/>
    <xf numFmtId="0" fontId="0" fillId="0" borderId="0" xfId="0" quotePrefix="1"/>
    <xf numFmtId="165" fontId="0" fillId="5" borderId="0" xfId="0" applyNumberFormat="1" applyFill="1"/>
    <xf numFmtId="3" fontId="0" fillId="5" borderId="0" xfId="0" applyNumberFormat="1" applyFill="1"/>
    <xf numFmtId="44" fontId="0" fillId="0" borderId="0" xfId="11" applyFont="1"/>
    <xf numFmtId="172" fontId="0" fillId="0" borderId="0" xfId="11" applyNumberFormat="1" applyFont="1"/>
    <xf numFmtId="173" fontId="0" fillId="0" borderId="0" xfId="0" applyNumberFormat="1"/>
    <xf numFmtId="44" fontId="38" fillId="0" borderId="0" xfId="12" applyNumberFormat="1" applyFont="1"/>
    <xf numFmtId="44" fontId="0" fillId="0" borderId="0" xfId="11" applyFont="1" applyFill="1"/>
    <xf numFmtId="172" fontId="38" fillId="0" borderId="0" xfId="12" applyNumberFormat="1" applyFont="1"/>
    <xf numFmtId="165" fontId="0" fillId="0" borderId="2" xfId="3" applyNumberFormat="1" applyFont="1" applyFill="1" applyBorder="1" applyAlignment="1">
      <alignment horizontal="center"/>
    </xf>
    <xf numFmtId="165" fontId="0" fillId="0" borderId="21" xfId="3" applyNumberFormat="1" applyFont="1" applyFill="1" applyBorder="1" applyAlignment="1">
      <alignment horizontal="center"/>
    </xf>
    <xf numFmtId="165" fontId="0" fillId="0" borderId="20" xfId="3" applyNumberFormat="1" applyFont="1" applyFill="1" applyBorder="1" applyAlignment="1">
      <alignment horizontal="center"/>
    </xf>
    <xf numFmtId="3" fontId="26" fillId="0" borderId="11" xfId="0" applyNumberFormat="1" applyFont="1" applyBorder="1" applyAlignment="1">
      <alignment horizontal="center"/>
    </xf>
    <xf numFmtId="173" fontId="11" fillId="0" borderId="18" xfId="2" applyNumberFormat="1" applyFont="1" applyFill="1" applyBorder="1" applyAlignment="1">
      <alignment horizontal="center" wrapText="1"/>
    </xf>
    <xf numFmtId="173" fontId="23" fillId="0" borderId="18" xfId="2" applyNumberFormat="1" applyFont="1" applyFill="1" applyBorder="1" applyAlignment="1">
      <alignment horizontal="center"/>
    </xf>
    <xf numFmtId="173" fontId="11" fillId="0" borderId="5" xfId="2" applyNumberFormat="1" applyFont="1" applyFill="1" applyBorder="1" applyAlignment="1">
      <alignment horizontal="center" wrapText="1"/>
    </xf>
    <xf numFmtId="173" fontId="23" fillId="0" borderId="5" xfId="2" applyNumberFormat="1" applyFont="1" applyFill="1" applyBorder="1" applyAlignment="1">
      <alignment horizontal="center"/>
    </xf>
    <xf numFmtId="173" fontId="11" fillId="0" borderId="11" xfId="11" applyNumberFormat="1" applyFont="1" applyFill="1" applyBorder="1" applyAlignment="1">
      <alignment horizontal="center" wrapText="1"/>
    </xf>
    <xf numFmtId="173" fontId="11" fillId="0" borderId="14" xfId="11" applyNumberFormat="1" applyFont="1" applyFill="1" applyBorder="1" applyAlignment="1">
      <alignment horizontal="center" wrapText="1"/>
    </xf>
    <xf numFmtId="173" fontId="23" fillId="0" borderId="14" xfId="11" applyNumberFormat="1" applyFont="1" applyFill="1" applyBorder="1" applyAlignment="1">
      <alignment horizontal="center"/>
    </xf>
    <xf numFmtId="0" fontId="20" fillId="0" borderId="0" xfId="1" applyFont="1"/>
    <xf numFmtId="0" fontId="1" fillId="0" borderId="0" xfId="0" applyFont="1" applyAlignment="1">
      <alignment vertical="top" wrapText="1"/>
    </xf>
    <xf numFmtId="0" fontId="18" fillId="0" borderId="0" xfId="0" applyFont="1" applyAlignment="1">
      <alignment horizontal="center"/>
    </xf>
    <xf numFmtId="0" fontId="13" fillId="0" borderId="0" xfId="0" applyFont="1" applyAlignment="1">
      <alignment horizontal="center"/>
    </xf>
    <xf numFmtId="0" fontId="8" fillId="0" borderId="0" xfId="0" applyFont="1" applyAlignment="1">
      <alignment horizontal="left" wrapText="1"/>
    </xf>
    <xf numFmtId="0" fontId="13" fillId="0" borderId="4" xfId="0" applyFont="1" applyBorder="1" applyAlignment="1">
      <alignment horizontal="center"/>
    </xf>
    <xf numFmtId="165" fontId="13" fillId="0" borderId="0" xfId="3" applyNumberFormat="1" applyFont="1" applyFill="1" applyAlignment="1">
      <alignment horizontal="center"/>
    </xf>
    <xf numFmtId="0" fontId="1" fillId="0" borderId="0" xfId="0" applyFont="1" applyAlignment="1">
      <alignment horizontal="left" vertical="top" wrapText="1"/>
    </xf>
    <xf numFmtId="0" fontId="13" fillId="0" borderId="0" xfId="5" applyFont="1" applyAlignment="1">
      <alignment horizontal="left" vertical="top" wrapText="1"/>
    </xf>
    <xf numFmtId="1" fontId="13" fillId="0" borderId="0" xfId="5" applyNumberFormat="1" applyFont="1" applyAlignment="1">
      <alignment horizontal="center"/>
    </xf>
    <xf numFmtId="3" fontId="13" fillId="0" borderId="0" xfId="5" applyNumberFormat="1" applyFont="1" applyAlignment="1">
      <alignment horizontal="center"/>
    </xf>
    <xf numFmtId="0" fontId="13" fillId="0" borderId="0" xfId="0" applyFont="1" applyAlignment="1">
      <alignment horizontal="left" vertical="top" wrapText="1"/>
    </xf>
    <xf numFmtId="0" fontId="6" fillId="0" borderId="0" xfId="0" applyFont="1" applyAlignment="1">
      <alignment horizontal="center" vertical="center"/>
    </xf>
    <xf numFmtId="0" fontId="6" fillId="0" borderId="0" xfId="0" applyFont="1" applyAlignment="1">
      <alignment horizontal="center"/>
    </xf>
    <xf numFmtId="0" fontId="5" fillId="0" borderId="0" xfId="1" applyFont="1" applyAlignment="1">
      <alignment horizontal="center"/>
    </xf>
    <xf numFmtId="0" fontId="13" fillId="0" borderId="0" xfId="7" quotePrefix="1" applyAlignment="1">
      <alignment horizontal="left" vertical="top" wrapText="1"/>
    </xf>
    <xf numFmtId="0" fontId="18" fillId="0" borderId="0" xfId="12" applyFont="1" applyAlignment="1">
      <alignment horizontal="center"/>
    </xf>
    <xf numFmtId="0" fontId="13" fillId="0" borderId="0" xfId="12" applyAlignment="1">
      <alignment horizontal="center"/>
    </xf>
    <xf numFmtId="0" fontId="13" fillId="0" borderId="0" xfId="12" quotePrefix="1" applyAlignment="1">
      <alignment horizontal="center"/>
    </xf>
    <xf numFmtId="1" fontId="18" fillId="0" borderId="0" xfId="12" applyNumberFormat="1" applyFont="1" applyAlignment="1">
      <alignment horizontal="center"/>
    </xf>
    <xf numFmtId="0" fontId="50" fillId="0" borderId="21"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24" xfId="0" applyFont="1" applyBorder="1" applyAlignment="1">
      <alignment horizontal="center" vertical="center" wrapText="1"/>
    </xf>
    <xf numFmtId="0" fontId="11" fillId="0" borderId="0" xfId="0" applyFont="1" applyAlignment="1">
      <alignment horizontal="center" vertical="center" wrapText="1"/>
    </xf>
    <xf numFmtId="0" fontId="3" fillId="0" borderId="0" xfId="1" applyFont="1" applyAlignment="1">
      <alignment horizontal="left" vertical="center" wrapText="1"/>
    </xf>
    <xf numFmtId="0" fontId="3" fillId="0" borderId="0" xfId="1" applyFont="1" applyAlignment="1">
      <alignment horizontal="left" vertical="center"/>
    </xf>
    <xf numFmtId="0" fontId="3" fillId="0" borderId="0" xfId="1" applyFont="1" applyAlignment="1">
      <alignment horizontal="center" vertical="center" wrapText="1"/>
    </xf>
    <xf numFmtId="0" fontId="13" fillId="0" borderId="0" xfId="20" applyFont="1" applyAlignment="1">
      <alignment horizontal="left" wrapText="1"/>
    </xf>
    <xf numFmtId="0" fontId="0" fillId="0" borderId="0" xfId="0" applyAlignment="1">
      <alignment wrapText="1"/>
    </xf>
  </cellXfs>
  <cellStyles count="24">
    <cellStyle name="60% - Accent2 2" xfId="14" xr:uid="{3709DF22-6BC0-49ED-AC75-9D769DFE9A34}"/>
    <cellStyle name="60% - Accent3 2" xfId="17" xr:uid="{9E2CCEBE-3214-4CAB-8E2F-6392F2A5118C}"/>
    <cellStyle name="Comma" xfId="2" builtinId="3"/>
    <cellStyle name="Comma 2 2" xfId="4" xr:uid="{D22EA1EF-F054-4F86-83E3-B6E10BAAFF3D}"/>
    <cellStyle name="Comma 6" xfId="9" xr:uid="{4B7F0860-6F3D-402A-926D-90962175BDE8}"/>
    <cellStyle name="Comma 6 2" xfId="23" xr:uid="{0D39EA45-183A-4533-8B43-BE6BA9BFD4B1}"/>
    <cellStyle name="Currency" xfId="11" builtinId="4"/>
    <cellStyle name="Currency 2" xfId="13" xr:uid="{78370657-9453-468A-89A7-6192CA51DB43}"/>
    <cellStyle name="Normal" xfId="0" builtinId="0"/>
    <cellStyle name="Normal 12" xfId="6" xr:uid="{5BB99610-F569-4328-99D9-2CF8DB6A3C67}"/>
    <cellStyle name="Normal 17" xfId="10" xr:uid="{C802D9F3-4A88-4CBC-A9EC-430858658838}"/>
    <cellStyle name="Normal 2" xfId="12" xr:uid="{D0C61AC0-5D54-4902-B18E-8BAB584E1D9B}"/>
    <cellStyle name="Normal 2 2" xfId="1" xr:uid="{4B278EE9-5F3C-4A4B-8850-1794CDDD3D91}"/>
    <cellStyle name="Normal 2 3" xfId="20" xr:uid="{57360CFB-4C71-490C-B689-A7A62E77C45E}"/>
    <cellStyle name="Normal 3" xfId="19" xr:uid="{15F40908-E3E3-4842-B003-E12B19485639}"/>
    <cellStyle name="Normal 9" xfId="7" xr:uid="{44CC2EEE-FCD4-4278-B892-C2E556FE62EE}"/>
    <cellStyle name="Normal 9 2" xfId="21" xr:uid="{9FB30FE7-B6FD-4446-A00A-D73AFDB99FBE}"/>
    <cellStyle name="Normal_PLQUERY" xfId="5" xr:uid="{1C337904-7116-4522-972A-E085601041AF}"/>
    <cellStyle name="Percent" xfId="3" builtinId="5"/>
    <cellStyle name="Percent 2" xfId="18" xr:uid="{0A68ADE6-648D-48D7-BA9F-5AED4F470768}"/>
    <cellStyle name="Percent 5" xfId="8" xr:uid="{F30BD8DD-9492-4900-BE8E-0D4B5E41E23A}"/>
    <cellStyle name="Percent 5 2" xfId="22" xr:uid="{43740736-8FD6-4907-971B-AFC2AB409135}"/>
    <cellStyle name="Style 1" xfId="15" xr:uid="{C8E896E7-6FE9-42A0-98BC-2E995ADD2629}"/>
    <cellStyle name="Style 2" xfId="16" xr:uid="{1C9E7971-64D5-43DA-B134-FCC8F45D00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pr.statefarm.org\DFS\PCACT\00\WORKGROUP\P-C%20ACTUARIAL\AUTO\STATE%20FILES\California\REVISIONS\2023\4-1-2023%20Rate%20Filing\SOC\CA%20SOC.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mplate%20Updater%202022-4Q%20BIPD%20Split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pr.statefarm.org\dfs\PCACT\00\WORKGROUP\P-C%20ACTUARIAL\AUTO\STATE%20FILES\California\CDI%20Indications\2022\2022%204Q\Template%20Updater%202022-4Q%20BIPD%20Spli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up"/>
      <sheetName val="QR1"/>
      <sheetName val="QR2"/>
      <sheetName val="ROC"/>
      <sheetName val="ROC Exh"/>
      <sheetName val="Terr"/>
      <sheetName val="Base_STAR"/>
      <sheetName val="MCY ROC"/>
      <sheetName val="Drvr_Detl-YL"/>
      <sheetName val="REC ROC"/>
      <sheetName val="MCY_Class"/>
      <sheetName val="Drvr_Detl-YL (Proposal)"/>
      <sheetName val="FINAL SOC"/>
      <sheetName val="SOC"/>
      <sheetName val="Max-Min Change"/>
      <sheetName val="CDI SOC"/>
      <sheetName val="BROs"/>
      <sheetName val="BRE"/>
      <sheetName val="SQL"/>
      <sheetName val="Rate Effects for Int Comm"/>
      <sheetName val="Data"/>
      <sheetName val="BRO"/>
    </sheetNames>
    <sheetDataSet>
      <sheetData sheetId="0">
        <row r="28">
          <cell r="E28" t="str">
            <v>0001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Rate History"/>
      <sheetName val="Inputs"/>
      <sheetName val="MiscL Complement"/>
      <sheetName val="PremiumTrend - 5"/>
      <sheetName val="PremExpo SQL"/>
      <sheetName val="LossDev - 7"/>
      <sheetName val="LossDev SQL"/>
      <sheetName val="LossDev Data"/>
      <sheetName val="LossDev Pd Claims"/>
      <sheetName val="Loss Trends - 8"/>
      <sheetName val="Loss Trend SQL"/>
      <sheetName val="2nd Sev SQL"/>
      <sheetName val="Selections Dashboard"/>
      <sheetName val="Sheet4"/>
      <sheetName val="BIPD Implied Data"/>
      <sheetName val="8A Adjustment"/>
      <sheetName val="Ind. Calc."/>
      <sheetName val="CDI Rate Template"/>
      <sheetName val="Exhibit 1"/>
      <sheetName val="Exhibit 2"/>
      <sheetName val="Exhibit 3"/>
      <sheetName val="Exhibit 4"/>
      <sheetName val="Exhibit 6"/>
      <sheetName val="Supp Exh 8"/>
      <sheetName val="Exhibit 9"/>
      <sheetName val="Exhibit 9- p2"/>
      <sheetName val="Exhibit 10"/>
      <sheetName val="Exhibit 11"/>
      <sheetName val="Exhibit 13 - 1A"/>
      <sheetName val="Exhibit 13 Supplemental"/>
      <sheetName val="Exhibit 13 Support pt1"/>
      <sheetName val="Exhibit 13 Support pt2"/>
      <sheetName val="Exhibit 13 2A"/>
      <sheetName val="Exhibit 15"/>
      <sheetName val="Exhibit 16"/>
      <sheetName val="Exhibit 17"/>
      <sheetName val="Exhibit 20"/>
      <sheetName val="App 4"/>
      <sheetName val="App 5"/>
      <sheetName val="App 6"/>
      <sheetName val="App 7"/>
      <sheetName val="RTF Info"/>
      <sheetName val="Output for Graphs"/>
    </sheetNames>
    <sheetDataSet>
      <sheetData sheetId="0"/>
      <sheetData sheetId="1"/>
      <sheetData sheetId="2">
        <row r="14">
          <cell r="B14">
            <v>45475</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Rate History"/>
      <sheetName val="Inputs"/>
      <sheetName val="MiscL Complement"/>
      <sheetName val="PremiumTrend - 5"/>
      <sheetName val="PremExpo SQL"/>
      <sheetName val="LossDev - 7"/>
      <sheetName val="LossDev SQL"/>
      <sheetName val="LossDev Data"/>
      <sheetName val="LossDev Pd Claims"/>
      <sheetName val="Loss Trends - 8"/>
      <sheetName val="Loss Trend SQL"/>
      <sheetName val="2nd Sev SQL"/>
      <sheetName val="Selections Dashboard"/>
      <sheetName val="Sheet4"/>
      <sheetName val="BIPD Implied Data"/>
      <sheetName val="8A Adjustment"/>
      <sheetName val="Ind. Calc."/>
      <sheetName val="CDI Rate Template"/>
      <sheetName val="Exhibit 1"/>
      <sheetName val="Exhibit 2"/>
      <sheetName val="Exhibit 3"/>
      <sheetName val="Exhibit 4"/>
      <sheetName val="Exhibit 6"/>
      <sheetName val="Supp Exh 8"/>
      <sheetName val="Exhibit 9"/>
      <sheetName val="Exhibit 9- p2"/>
      <sheetName val="Exhibit 10"/>
      <sheetName val="Exhibit 11"/>
      <sheetName val="Exhibit 13 - 1A"/>
      <sheetName val="Exhibit 13 Supplemental"/>
      <sheetName val="Exhibit 13 Support pt1"/>
      <sheetName val="Exhibit 13 Support pt2"/>
      <sheetName val="Exhibit 13 2A"/>
      <sheetName val="Exhibit 15"/>
      <sheetName val="Exhibit 16"/>
      <sheetName val="Exhibit 17"/>
      <sheetName val="Exhibit 20"/>
      <sheetName val="App 4"/>
      <sheetName val="App 5"/>
      <sheetName val="App 6"/>
      <sheetName val="App 7"/>
      <sheetName val="RTF Info"/>
      <sheetName val="Output for Graphs"/>
    </sheetNames>
    <sheetDataSet>
      <sheetData sheetId="0"/>
      <sheetData sheetId="1"/>
      <sheetData sheetId="2">
        <row r="15">
          <cell r="C15">
            <v>2.258</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C1A2-4EE9-4D8F-8B21-41508BACD000}">
  <sheetPr codeName="Sheet1"/>
  <dimension ref="A1:E27"/>
  <sheetViews>
    <sheetView view="pageBreakPreview" zoomScale="60" zoomScaleNormal="100" workbookViewId="0">
      <selection activeCell="T15" sqref="T15"/>
    </sheetView>
  </sheetViews>
  <sheetFormatPr defaultColWidth="9.140625" defaultRowHeight="15" x14ac:dyDescent="0.25"/>
  <cols>
    <col min="1" max="1" width="9.7109375" style="14" customWidth="1"/>
    <col min="2" max="2" width="16.28515625" style="14" customWidth="1"/>
    <col min="3" max="3" width="8.28515625" style="14" customWidth="1"/>
    <col min="4" max="4" width="34" style="14" customWidth="1"/>
    <col min="5" max="5" width="9.7109375" style="14" customWidth="1"/>
    <col min="6" max="6" width="9.7109375" style="14" bestFit="1" customWidth="1"/>
    <col min="7" max="16384" width="9.140625" style="14"/>
  </cols>
  <sheetData>
    <row r="1" spans="1:5" ht="18" x14ac:dyDescent="0.25">
      <c r="A1" s="12" t="s">
        <v>1</v>
      </c>
      <c r="B1" s="13"/>
      <c r="C1" s="13"/>
      <c r="D1" s="13"/>
      <c r="E1" s="13"/>
    </row>
    <row r="2" spans="1:5" ht="18" x14ac:dyDescent="0.25">
      <c r="A2" s="15" t="s">
        <v>0</v>
      </c>
      <c r="B2" s="13"/>
      <c r="C2" s="13"/>
      <c r="D2" s="13"/>
      <c r="E2" s="13"/>
    </row>
    <row r="3" spans="1:5" ht="18" x14ac:dyDescent="0.25">
      <c r="A3" s="16"/>
      <c r="B3" s="13"/>
      <c r="C3" s="13"/>
      <c r="D3" s="13"/>
      <c r="E3" s="13"/>
    </row>
    <row r="4" spans="1:5" ht="18" x14ac:dyDescent="0.25">
      <c r="A4" s="17" t="s">
        <v>3</v>
      </c>
      <c r="B4" s="13"/>
      <c r="C4" s="13"/>
      <c r="D4" s="13"/>
      <c r="E4" s="13"/>
    </row>
    <row r="5" spans="1:5" ht="18.75" x14ac:dyDescent="0.3">
      <c r="A5" s="18"/>
      <c r="B5" s="13"/>
      <c r="C5" s="13"/>
      <c r="D5" s="13"/>
      <c r="E5" s="13"/>
    </row>
    <row r="6" spans="1:5" x14ac:dyDescent="0.25">
      <c r="A6" s="19"/>
      <c r="B6" s="20" t="s">
        <v>4</v>
      </c>
      <c r="D6" s="20" t="s">
        <v>4</v>
      </c>
      <c r="E6" s="21"/>
    </row>
    <row r="7" spans="1:5" ht="15" customHeight="1" x14ac:dyDescent="0.25">
      <c r="A7" s="22"/>
      <c r="B7" s="23" t="s">
        <v>5</v>
      </c>
      <c r="D7" s="23" t="s">
        <v>6</v>
      </c>
      <c r="E7" s="22"/>
    </row>
    <row r="8" spans="1:5" x14ac:dyDescent="0.25">
      <c r="A8" s="22"/>
      <c r="B8" s="24"/>
      <c r="D8" s="24"/>
      <c r="E8" s="22"/>
    </row>
    <row r="9" spans="1:5" x14ac:dyDescent="0.25">
      <c r="B9" s="20" t="s">
        <v>14</v>
      </c>
      <c r="C9" s="24"/>
      <c r="D9" s="25" t="s">
        <v>13</v>
      </c>
    </row>
    <row r="10" spans="1:5" x14ac:dyDescent="0.25">
      <c r="B10" s="20"/>
      <c r="C10" s="24"/>
      <c r="D10" s="25"/>
    </row>
    <row r="11" spans="1:5" x14ac:dyDescent="0.25">
      <c r="B11" s="20" t="s">
        <v>15</v>
      </c>
      <c r="C11" s="24"/>
      <c r="D11" s="25" t="s">
        <v>12</v>
      </c>
    </row>
    <row r="12" spans="1:5" x14ac:dyDescent="0.25">
      <c r="B12" s="20"/>
      <c r="C12" s="24"/>
      <c r="D12" s="25"/>
    </row>
    <row r="13" spans="1:5" x14ac:dyDescent="0.25">
      <c r="B13" s="20" t="s">
        <v>16</v>
      </c>
      <c r="C13" s="24"/>
      <c r="D13" s="25" t="s">
        <v>13</v>
      </c>
    </row>
    <row r="14" spans="1:5" x14ac:dyDescent="0.25">
      <c r="B14" s="20"/>
      <c r="C14" s="24"/>
      <c r="D14" s="25"/>
    </row>
    <row r="15" spans="1:5" x14ac:dyDescent="0.25">
      <c r="B15" s="20" t="s">
        <v>17</v>
      </c>
      <c r="C15" s="24"/>
      <c r="D15" s="25" t="s">
        <v>18</v>
      </c>
    </row>
    <row r="16" spans="1:5" x14ac:dyDescent="0.25">
      <c r="B16" s="20"/>
      <c r="C16" s="24"/>
      <c r="D16" s="25"/>
    </row>
    <row r="17" spans="2:4" x14ac:dyDescent="0.25">
      <c r="B17" s="20" t="s">
        <v>309</v>
      </c>
      <c r="C17" s="24"/>
      <c r="D17" s="25" t="s">
        <v>12</v>
      </c>
    </row>
    <row r="18" spans="2:4" x14ac:dyDescent="0.25">
      <c r="B18" s="20"/>
      <c r="C18" s="24"/>
      <c r="D18" s="25"/>
    </row>
    <row r="19" spans="2:4" x14ac:dyDescent="0.25">
      <c r="B19" s="20" t="s">
        <v>312</v>
      </c>
      <c r="C19" s="24"/>
      <c r="D19" s="25" t="s">
        <v>13</v>
      </c>
    </row>
    <row r="20" spans="2:4" x14ac:dyDescent="0.25">
      <c r="B20" s="20"/>
      <c r="C20" s="24"/>
      <c r="D20" s="25"/>
    </row>
    <row r="21" spans="2:4" x14ac:dyDescent="0.25">
      <c r="B21" s="20" t="s">
        <v>313</v>
      </c>
      <c r="C21" s="24"/>
      <c r="D21" s="25" t="s">
        <v>13</v>
      </c>
    </row>
    <row r="22" spans="2:4" x14ac:dyDescent="0.25">
      <c r="B22" s="20"/>
      <c r="C22" s="24"/>
      <c r="D22" s="25"/>
    </row>
    <row r="23" spans="2:4" x14ac:dyDescent="0.25">
      <c r="B23" s="20" t="s">
        <v>314</v>
      </c>
      <c r="C23" s="24"/>
      <c r="D23" s="25" t="s">
        <v>18</v>
      </c>
    </row>
    <row r="24" spans="2:4" x14ac:dyDescent="0.25">
      <c r="B24" s="20"/>
      <c r="C24" s="24"/>
      <c r="D24" s="25"/>
    </row>
    <row r="25" spans="2:4" x14ac:dyDescent="0.25">
      <c r="B25" s="295" t="s">
        <v>100</v>
      </c>
      <c r="C25" s="296"/>
      <c r="D25" s="296"/>
    </row>
    <row r="26" spans="2:4" x14ac:dyDescent="0.25">
      <c r="B26" s="20" t="s">
        <v>10</v>
      </c>
      <c r="D26" s="25" t="s">
        <v>101</v>
      </c>
    </row>
    <row r="27" spans="2:4" x14ac:dyDescent="0.25">
      <c r="B27" s="20" t="s">
        <v>10</v>
      </c>
      <c r="D27" s="25" t="s">
        <v>102</v>
      </c>
    </row>
  </sheetData>
  <mergeCells count="1">
    <mergeCell ref="B25:D25"/>
  </mergeCells>
  <printOptions horizontalCentere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F7B4C-FD44-436B-A1F6-453B9BAD5025}">
  <sheetPr codeName="Sheet2"/>
  <dimension ref="A1:L39"/>
  <sheetViews>
    <sheetView view="pageBreakPreview" zoomScale="60" zoomScaleNormal="100" workbookViewId="0"/>
  </sheetViews>
  <sheetFormatPr defaultColWidth="9.140625" defaultRowHeight="15" x14ac:dyDescent="0.25"/>
  <cols>
    <col min="1" max="1" width="12.28515625" style="14" customWidth="1"/>
    <col min="2" max="2" width="11" style="14" bestFit="1" customWidth="1"/>
    <col min="3" max="3" width="9.140625" style="14"/>
    <col min="4" max="4" width="11.7109375" style="14" customWidth="1"/>
    <col min="5" max="5" width="15.85546875" style="14" bestFit="1" customWidth="1"/>
    <col min="6" max="6" width="11.7109375" style="14" customWidth="1"/>
    <col min="7" max="7" width="10.42578125" style="14" bestFit="1" customWidth="1"/>
    <col min="8" max="9" width="14.28515625" style="14" customWidth="1"/>
    <col min="10" max="10" width="11.7109375" style="14" customWidth="1"/>
    <col min="11" max="11" width="9.140625" style="14"/>
    <col min="12" max="12" width="9.140625" style="27"/>
    <col min="13" max="16384" width="9.140625" style="14"/>
  </cols>
  <sheetData>
    <row r="1" spans="1:12" ht="18.75" x14ac:dyDescent="0.3">
      <c r="A1" s="12" t="s">
        <v>1</v>
      </c>
      <c r="B1" s="18"/>
      <c r="C1" s="13"/>
      <c r="D1" s="13"/>
      <c r="E1" s="13"/>
      <c r="F1" s="13"/>
      <c r="G1" s="18"/>
      <c r="H1" s="19"/>
      <c r="I1" s="19"/>
      <c r="J1" s="19"/>
    </row>
    <row r="2" spans="1:12" ht="18.75" x14ac:dyDescent="0.3">
      <c r="A2" s="15" t="s">
        <v>0</v>
      </c>
      <c r="B2" s="18"/>
      <c r="C2" s="13"/>
      <c r="D2" s="13"/>
      <c r="E2" s="13"/>
      <c r="F2" s="13"/>
      <c r="G2" s="18"/>
      <c r="H2" s="19"/>
      <c r="I2" s="19"/>
      <c r="J2" s="19"/>
    </row>
    <row r="3" spans="1:12" ht="18.75" x14ac:dyDescent="0.3">
      <c r="A3" s="15"/>
      <c r="B3" s="18"/>
      <c r="C3" s="13"/>
      <c r="D3" s="13"/>
      <c r="E3" s="13"/>
      <c r="F3" s="13"/>
      <c r="G3" s="18"/>
      <c r="H3" s="19"/>
      <c r="I3" s="19"/>
      <c r="J3" s="19"/>
    </row>
    <row r="4" spans="1:12" ht="18.75" x14ac:dyDescent="0.3">
      <c r="A4" s="17" t="s">
        <v>19</v>
      </c>
      <c r="B4" s="18"/>
      <c r="C4" s="13"/>
      <c r="D4" s="13"/>
      <c r="E4" s="13"/>
      <c r="F4" s="13"/>
      <c r="G4" s="18"/>
      <c r="H4" s="19"/>
      <c r="I4" s="19"/>
      <c r="J4" s="19"/>
    </row>
    <row r="5" spans="1:12" ht="18.75" x14ac:dyDescent="0.3">
      <c r="A5" s="28"/>
      <c r="B5" s="18"/>
      <c r="C5" s="13"/>
      <c r="D5" s="13"/>
      <c r="E5" s="13"/>
      <c r="F5" s="13"/>
      <c r="G5" s="18"/>
    </row>
    <row r="6" spans="1:12" ht="39" x14ac:dyDescent="0.25">
      <c r="A6" s="29" t="s">
        <v>20</v>
      </c>
      <c r="B6" s="29" t="s">
        <v>21</v>
      </c>
      <c r="C6" s="29" t="s">
        <v>22</v>
      </c>
      <c r="D6" s="29" t="s">
        <v>23</v>
      </c>
      <c r="E6" s="30" t="s">
        <v>24</v>
      </c>
      <c r="F6" s="29" t="s">
        <v>25</v>
      </c>
      <c r="G6" s="29" t="s">
        <v>26</v>
      </c>
      <c r="H6" s="29" t="s">
        <v>27</v>
      </c>
      <c r="I6" s="29" t="s">
        <v>28</v>
      </c>
      <c r="J6" s="29" t="s">
        <v>29</v>
      </c>
    </row>
    <row r="7" spans="1:12" ht="15" customHeight="1" x14ac:dyDescent="0.25">
      <c r="A7" s="207" t="s">
        <v>7</v>
      </c>
      <c r="B7" s="31">
        <v>42884</v>
      </c>
      <c r="C7" s="32">
        <v>12.7</v>
      </c>
      <c r="D7" s="32">
        <v>-6.2</v>
      </c>
      <c r="E7" s="32">
        <v>0.4</v>
      </c>
      <c r="F7" s="32">
        <v>1.4000000000000001</v>
      </c>
      <c r="G7" s="32">
        <v>10.299999999999999</v>
      </c>
      <c r="H7" s="32">
        <v>-0.91</v>
      </c>
      <c r="I7" s="32">
        <v>-10.34</v>
      </c>
      <c r="J7" s="32">
        <v>6.9</v>
      </c>
      <c r="L7" s="27" t="s">
        <v>216</v>
      </c>
    </row>
    <row r="8" spans="1:12" x14ac:dyDescent="0.25">
      <c r="A8" s="207" t="s">
        <v>8</v>
      </c>
      <c r="B8" s="31">
        <v>43073</v>
      </c>
      <c r="C8" s="32">
        <v>11.3</v>
      </c>
      <c r="D8" s="32">
        <v>2.4</v>
      </c>
      <c r="E8" s="32">
        <v>1.4000000000000001</v>
      </c>
      <c r="F8" s="32">
        <v>2.1</v>
      </c>
      <c r="G8" s="32">
        <v>9.1</v>
      </c>
      <c r="H8" s="32">
        <v>2.2999999999999998</v>
      </c>
      <c r="I8" s="32">
        <v>-11.5</v>
      </c>
      <c r="J8" s="32">
        <v>6.9</v>
      </c>
      <c r="L8" s="27" t="s">
        <v>216</v>
      </c>
    </row>
    <row r="9" spans="1:12" x14ac:dyDescent="0.25">
      <c r="A9" s="207" t="s">
        <v>9</v>
      </c>
      <c r="B9" s="31">
        <v>43444</v>
      </c>
      <c r="C9" s="32">
        <v>-1.5</v>
      </c>
      <c r="D9" s="32">
        <v>-1.4000000000000001</v>
      </c>
      <c r="E9" s="32">
        <v>-0.8</v>
      </c>
      <c r="F9" s="32">
        <v>-7.0000000000000009</v>
      </c>
      <c r="G9" s="32">
        <v>26.3</v>
      </c>
      <c r="H9" s="32">
        <v>0</v>
      </c>
      <c r="I9" s="32">
        <v>-2</v>
      </c>
      <c r="J9" s="32">
        <v>-1.5</v>
      </c>
      <c r="L9" s="27" t="s">
        <v>216</v>
      </c>
    </row>
    <row r="10" spans="1:12" x14ac:dyDescent="0.25">
      <c r="A10" s="207" t="s">
        <v>10</v>
      </c>
      <c r="B10" s="31">
        <v>43556</v>
      </c>
      <c r="C10" s="32">
        <v>0</v>
      </c>
      <c r="D10" s="32">
        <v>-0.1</v>
      </c>
      <c r="E10" s="32">
        <v>0</v>
      </c>
      <c r="F10" s="32">
        <v>0</v>
      </c>
      <c r="G10" s="32">
        <v>0</v>
      </c>
      <c r="H10" s="32">
        <v>0</v>
      </c>
      <c r="I10" s="32">
        <v>0</v>
      </c>
      <c r="J10" s="32">
        <v>0</v>
      </c>
      <c r="L10" s="27" t="s">
        <v>216</v>
      </c>
    </row>
    <row r="11" spans="1:12" x14ac:dyDescent="0.25">
      <c r="A11" s="207" t="s">
        <v>11</v>
      </c>
      <c r="B11" s="31">
        <v>44088</v>
      </c>
      <c r="C11" s="32">
        <v>-7.3999999999999995</v>
      </c>
      <c r="D11" s="32">
        <v>0</v>
      </c>
      <c r="E11" s="32">
        <v>-7.1</v>
      </c>
      <c r="F11" s="32">
        <v>-7.3</v>
      </c>
      <c r="G11" s="32">
        <v>0</v>
      </c>
      <c r="H11" s="32">
        <v>0</v>
      </c>
      <c r="I11" s="32">
        <v>-14.3</v>
      </c>
      <c r="J11" s="32">
        <v>-6.5</v>
      </c>
      <c r="L11" s="27" t="s">
        <v>216</v>
      </c>
    </row>
    <row r="12" spans="1:12" x14ac:dyDescent="0.25">
      <c r="A12" s="207" t="s">
        <v>15</v>
      </c>
      <c r="B12" s="31">
        <v>45061</v>
      </c>
      <c r="C12" s="32">
        <v>-5.3</v>
      </c>
      <c r="D12" s="32">
        <v>-0.70000000000000007</v>
      </c>
      <c r="E12" s="32">
        <v>45</v>
      </c>
      <c r="F12" s="32">
        <v>11.5</v>
      </c>
      <c r="G12" s="32">
        <v>8</v>
      </c>
      <c r="H12" s="32">
        <v>5.0999999999999996</v>
      </c>
      <c r="I12" s="32">
        <v>-18.3</v>
      </c>
      <c r="J12" s="32">
        <v>6.9</v>
      </c>
      <c r="L12" s="27" t="s">
        <v>216</v>
      </c>
    </row>
    <row r="13" spans="1:12" ht="15" customHeight="1" x14ac:dyDescent="0.25">
      <c r="A13" s="207" t="s">
        <v>303</v>
      </c>
      <c r="B13" s="31">
        <v>45348</v>
      </c>
      <c r="C13" s="32">
        <v>22.2</v>
      </c>
      <c r="D13" s="32">
        <v>22.2</v>
      </c>
      <c r="E13" s="32">
        <v>26.6</v>
      </c>
      <c r="F13" s="32">
        <v>19</v>
      </c>
      <c r="G13" s="32">
        <v>15</v>
      </c>
      <c r="H13" s="32">
        <v>21.3</v>
      </c>
      <c r="I13" s="32">
        <v>-9.6</v>
      </c>
      <c r="J13" s="32">
        <v>21</v>
      </c>
    </row>
    <row r="14" spans="1:12" ht="15" customHeight="1" x14ac:dyDescent="0.25"/>
    <row r="39" ht="15" customHeight="1" x14ac:dyDescent="0.25"/>
  </sheetData>
  <printOptions horizontalCentered="1"/>
  <pageMargins left="0.5" right="0.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8107D-27A1-43CB-8492-988206EBC00F}">
  <sheetPr codeName="Sheet3"/>
  <dimension ref="A1:G14"/>
  <sheetViews>
    <sheetView view="pageBreakPreview" zoomScale="60" zoomScaleNormal="100" workbookViewId="0"/>
  </sheetViews>
  <sheetFormatPr defaultRowHeight="15" x14ac:dyDescent="0.25"/>
  <cols>
    <col min="1" max="1" width="9.7109375" customWidth="1"/>
    <col min="2" max="2" width="11.7109375" customWidth="1"/>
    <col min="3" max="3" width="15.85546875" bestFit="1" customWidth="1"/>
    <col min="4" max="4" width="11.7109375" customWidth="1"/>
    <col min="5" max="5" width="10.42578125" bestFit="1" customWidth="1"/>
    <col min="6" max="6" width="14.28515625" customWidth="1"/>
    <col min="7" max="7" width="9.7109375" customWidth="1"/>
  </cols>
  <sheetData>
    <row r="1" spans="1:7" ht="18.75" x14ac:dyDescent="0.3">
      <c r="A1" s="33" t="s">
        <v>1</v>
      </c>
      <c r="B1" s="13"/>
      <c r="C1" s="13"/>
      <c r="D1" s="13"/>
      <c r="E1" s="34"/>
      <c r="F1" s="35"/>
      <c r="G1" s="35"/>
    </row>
    <row r="2" spans="1:7" ht="18.75" x14ac:dyDescent="0.3">
      <c r="A2" s="36" t="s">
        <v>0</v>
      </c>
      <c r="B2" s="13"/>
      <c r="C2" s="13"/>
      <c r="D2" s="13"/>
      <c r="E2" s="34"/>
      <c r="F2" s="35"/>
      <c r="G2" s="35"/>
    </row>
    <row r="3" spans="1:7" ht="18.75" x14ac:dyDescent="0.3">
      <c r="A3" s="36"/>
      <c r="B3" s="13"/>
      <c r="C3" s="13"/>
      <c r="D3" s="13"/>
      <c r="E3" s="34"/>
      <c r="F3" s="35"/>
      <c r="G3" s="35"/>
    </row>
    <row r="4" spans="1:7" ht="18.75" x14ac:dyDescent="0.3">
      <c r="A4" s="17" t="s">
        <v>30</v>
      </c>
      <c r="B4" s="13"/>
      <c r="C4" s="13"/>
      <c r="D4" s="13"/>
      <c r="E4" s="34"/>
      <c r="F4" s="35"/>
      <c r="G4" s="35"/>
    </row>
    <row r="5" spans="1:7" ht="18.75" x14ac:dyDescent="0.3">
      <c r="A5" s="37"/>
      <c r="B5" s="38"/>
      <c r="C5" s="38"/>
      <c r="D5" s="38"/>
      <c r="E5" s="39"/>
    </row>
    <row r="6" spans="1:7" x14ac:dyDescent="0.25">
      <c r="A6" s="35"/>
      <c r="B6" s="35"/>
      <c r="C6" s="35"/>
      <c r="D6" s="35"/>
      <c r="E6" s="35"/>
      <c r="F6" s="35"/>
      <c r="G6" s="35"/>
    </row>
    <row r="7" spans="1:7" x14ac:dyDescent="0.25">
      <c r="A7" s="40" t="s">
        <v>31</v>
      </c>
      <c r="B7" s="40"/>
      <c r="C7" s="40"/>
      <c r="D7" s="40"/>
      <c r="E7" s="40"/>
      <c r="F7" s="40"/>
      <c r="G7" s="40"/>
    </row>
    <row r="8" spans="1:7" x14ac:dyDescent="0.25">
      <c r="A8" s="234" t="s">
        <v>315</v>
      </c>
      <c r="B8" s="40"/>
      <c r="C8" s="40"/>
      <c r="D8" s="40"/>
      <c r="E8" s="40"/>
      <c r="F8" s="40"/>
      <c r="G8" s="40"/>
    </row>
    <row r="9" spans="1:7" x14ac:dyDescent="0.25">
      <c r="A9" s="41"/>
      <c r="B9" s="41"/>
      <c r="C9" s="41"/>
      <c r="D9" s="41"/>
      <c r="E9" s="41"/>
      <c r="F9" s="41"/>
      <c r="G9" s="41"/>
    </row>
    <row r="10" spans="1:7" x14ac:dyDescent="0.25">
      <c r="A10" s="41"/>
      <c r="B10" s="41"/>
      <c r="C10" s="42" t="s">
        <v>32</v>
      </c>
      <c r="D10" s="43">
        <v>0.98819919106130993</v>
      </c>
      <c r="E10" s="41"/>
      <c r="F10" s="41"/>
      <c r="G10" s="41"/>
    </row>
    <row r="11" spans="1:7" x14ac:dyDescent="0.25">
      <c r="A11" s="41"/>
      <c r="B11" s="41"/>
      <c r="C11" s="42" t="s">
        <v>33</v>
      </c>
      <c r="D11" s="43">
        <v>1.1800808938690106E-2</v>
      </c>
      <c r="E11" s="41"/>
      <c r="F11" s="41"/>
      <c r="G11" s="41"/>
    </row>
    <row r="12" spans="1:7" x14ac:dyDescent="0.25">
      <c r="A12" s="41"/>
      <c r="B12" s="41"/>
      <c r="C12" s="41"/>
      <c r="D12" s="41"/>
      <c r="E12" s="41"/>
      <c r="F12" s="41"/>
      <c r="G12" s="41"/>
    </row>
    <row r="13" spans="1:7" x14ac:dyDescent="0.25">
      <c r="A13" s="41"/>
      <c r="B13" s="41"/>
      <c r="C13" s="41"/>
      <c r="D13" s="41"/>
      <c r="E13" s="41"/>
      <c r="F13" s="41"/>
      <c r="G13" s="41"/>
    </row>
    <row r="14" spans="1:7" x14ac:dyDescent="0.25">
      <c r="A14" s="41"/>
      <c r="B14" s="41"/>
      <c r="C14" s="41"/>
      <c r="D14" s="41"/>
      <c r="E14" s="41"/>
      <c r="F14" s="41"/>
      <c r="G14" s="41"/>
    </row>
  </sheetData>
  <printOptions horizontalCentered="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CC041-1FD8-44E8-A5A6-3E41F813CF67}">
  <sheetPr codeName="Sheet4"/>
  <dimension ref="A1:I150"/>
  <sheetViews>
    <sheetView zoomScaleNormal="100" workbookViewId="0"/>
  </sheetViews>
  <sheetFormatPr defaultRowHeight="15" x14ac:dyDescent="0.25"/>
  <cols>
    <col min="1" max="1" width="3.7109375" customWidth="1"/>
    <col min="2" max="2" width="12" customWidth="1"/>
    <col min="3" max="3" width="23" bestFit="1" customWidth="1"/>
    <col min="4" max="4" width="14.28515625" bestFit="1" customWidth="1"/>
    <col min="5" max="5" width="17" bestFit="1" customWidth="1"/>
    <col min="6" max="6" width="12.28515625" bestFit="1" customWidth="1"/>
    <col min="7" max="7" width="3.7109375" customWidth="1"/>
    <col min="9" max="9" width="12.140625" bestFit="1" customWidth="1"/>
  </cols>
  <sheetData>
    <row r="1" spans="1:9" ht="18" x14ac:dyDescent="0.25">
      <c r="A1" s="33" t="s">
        <v>1</v>
      </c>
      <c r="B1" s="28"/>
      <c r="C1" s="28"/>
      <c r="D1" s="28"/>
      <c r="E1" s="28"/>
      <c r="F1" s="28"/>
      <c r="G1" s="28"/>
    </row>
    <row r="2" spans="1:9" ht="18" x14ac:dyDescent="0.25">
      <c r="A2" s="36" t="s">
        <v>0</v>
      </c>
      <c r="B2" s="28"/>
      <c r="C2" s="28"/>
      <c r="D2" s="28"/>
      <c r="E2" s="28"/>
      <c r="F2" s="28"/>
    </row>
    <row r="3" spans="1:9" ht="18" x14ac:dyDescent="0.25">
      <c r="A3" s="36"/>
      <c r="B3" s="28"/>
      <c r="C3" s="28"/>
      <c r="D3" s="28"/>
      <c r="E3" s="28"/>
      <c r="F3" s="28"/>
      <c r="G3" s="28"/>
    </row>
    <row r="4" spans="1:9" ht="18" x14ac:dyDescent="0.25">
      <c r="A4" s="17" t="s">
        <v>34</v>
      </c>
      <c r="B4" s="28"/>
      <c r="C4" s="28"/>
      <c r="D4" s="28"/>
      <c r="E4" s="28"/>
      <c r="F4" s="28"/>
    </row>
    <row r="5" spans="1:9" x14ac:dyDescent="0.25">
      <c r="A5" s="1"/>
      <c r="B5" s="1"/>
      <c r="C5" s="1"/>
      <c r="D5" s="1"/>
      <c r="E5" s="1"/>
      <c r="F5" s="1"/>
      <c r="G5" s="1"/>
    </row>
    <row r="6" spans="1:9" x14ac:dyDescent="0.25">
      <c r="A6" s="1"/>
      <c r="B6" s="20"/>
      <c r="C6" s="44"/>
      <c r="D6" s="45"/>
      <c r="E6" s="45"/>
      <c r="F6" s="46" t="s">
        <v>35</v>
      </c>
      <c r="G6" s="44"/>
    </row>
    <row r="7" spans="1:9" x14ac:dyDescent="0.25">
      <c r="A7" s="1"/>
      <c r="B7" s="20" t="s">
        <v>36</v>
      </c>
      <c r="C7" s="44"/>
      <c r="D7" s="45" t="s">
        <v>37</v>
      </c>
      <c r="E7" s="45" t="s">
        <v>38</v>
      </c>
      <c r="F7" s="46" t="s">
        <v>39</v>
      </c>
      <c r="G7" s="44"/>
    </row>
    <row r="8" spans="1:9" x14ac:dyDescent="0.25">
      <c r="A8" s="1"/>
      <c r="B8" s="47" t="s">
        <v>40</v>
      </c>
      <c r="C8" s="48" t="s">
        <v>41</v>
      </c>
      <c r="D8" s="48" t="s">
        <v>35</v>
      </c>
      <c r="E8" s="48" t="s">
        <v>42</v>
      </c>
      <c r="F8" s="49" t="s">
        <v>43</v>
      </c>
      <c r="G8" s="270"/>
    </row>
    <row r="9" spans="1:9" x14ac:dyDescent="0.25">
      <c r="A9" s="293"/>
      <c r="B9" s="20" t="s">
        <v>304</v>
      </c>
      <c r="C9" s="55" t="s">
        <v>22</v>
      </c>
      <c r="D9" s="56">
        <v>1812536743.1999998</v>
      </c>
      <c r="E9" s="56">
        <v>2113978750.6107862</v>
      </c>
      <c r="F9" s="57">
        <f>E9/D9</f>
        <v>1.1663094602311874</v>
      </c>
      <c r="G9" s="269"/>
      <c r="I9" s="272"/>
    </row>
    <row r="10" spans="1:9" x14ac:dyDescent="0.25">
      <c r="A10" s="293"/>
      <c r="B10" s="45"/>
      <c r="C10" s="44" t="s">
        <v>23</v>
      </c>
      <c r="D10" s="56">
        <v>74112276.879999995</v>
      </c>
      <c r="E10" s="56">
        <v>90023173.097101286</v>
      </c>
      <c r="F10" s="57">
        <f t="shared" ref="F10:F20" si="0">E10/D10</f>
        <v>1.2146863770339111</v>
      </c>
      <c r="G10" s="269"/>
      <c r="I10" s="272"/>
    </row>
    <row r="11" spans="1:9" x14ac:dyDescent="0.25">
      <c r="A11" s="293"/>
      <c r="B11" s="45"/>
      <c r="C11" s="44" t="s">
        <v>26</v>
      </c>
      <c r="D11" s="56">
        <v>352588755.75999999</v>
      </c>
      <c r="E11" s="56">
        <v>432832019.52181816</v>
      </c>
      <c r="F11" s="57">
        <f t="shared" si="0"/>
        <v>1.2275831615470976</v>
      </c>
      <c r="G11" s="271"/>
      <c r="I11" s="272"/>
    </row>
    <row r="12" spans="1:9" x14ac:dyDescent="0.25">
      <c r="A12" s="293"/>
      <c r="B12" s="45"/>
      <c r="C12" s="44" t="s">
        <v>45</v>
      </c>
      <c r="D12" s="56">
        <v>717695.75</v>
      </c>
      <c r="E12" s="56">
        <v>544625.33088691451</v>
      </c>
      <c r="F12" s="57">
        <f t="shared" si="0"/>
        <v>0.75885266268737761</v>
      </c>
      <c r="G12" s="269"/>
      <c r="I12" s="272"/>
    </row>
    <row r="13" spans="1:9" x14ac:dyDescent="0.25">
      <c r="A13" s="293"/>
      <c r="B13" s="45"/>
      <c r="C13" s="44" t="s">
        <v>46</v>
      </c>
      <c r="D13" s="56">
        <v>2239955471.5900002</v>
      </c>
      <c r="E13" s="56">
        <v>2637378568.5605927</v>
      </c>
      <c r="F13" s="57">
        <f t="shared" si="0"/>
        <v>1.1774245524124136</v>
      </c>
      <c r="G13" s="44"/>
      <c r="I13" s="272"/>
    </row>
    <row r="14" spans="1:9" x14ac:dyDescent="0.25">
      <c r="A14" s="293"/>
      <c r="B14" s="45"/>
      <c r="C14" s="44"/>
      <c r="D14" s="58"/>
      <c r="E14" s="58"/>
      <c r="F14" s="57"/>
      <c r="G14" s="44"/>
      <c r="I14" s="272"/>
    </row>
    <row r="15" spans="1:9" x14ac:dyDescent="0.25">
      <c r="A15" s="293"/>
      <c r="B15" s="45"/>
      <c r="C15" s="44" t="s">
        <v>24</v>
      </c>
      <c r="D15" s="56">
        <v>424260692.04999995</v>
      </c>
      <c r="E15" s="56">
        <v>729857834.91204774</v>
      </c>
      <c r="F15" s="57">
        <f t="shared" si="0"/>
        <v>1.7203051062435748</v>
      </c>
      <c r="G15" s="271"/>
      <c r="I15" s="272"/>
    </row>
    <row r="16" spans="1:9" x14ac:dyDescent="0.25">
      <c r="A16" s="293"/>
      <c r="B16" s="45"/>
      <c r="C16" s="44" t="s">
        <v>25</v>
      </c>
      <c r="D16" s="56">
        <v>1538143842.27</v>
      </c>
      <c r="E16" s="56">
        <v>2006322841.3473961</v>
      </c>
      <c r="F16" s="57">
        <f t="shared" si="0"/>
        <v>1.3043792044744367</v>
      </c>
      <c r="G16" s="269"/>
      <c r="I16" s="272"/>
    </row>
    <row r="17" spans="1:9" x14ac:dyDescent="0.25">
      <c r="A17" s="293"/>
      <c r="B17" s="45"/>
      <c r="C17" s="44" t="s">
        <v>47</v>
      </c>
      <c r="D17" s="56">
        <v>97668789.640000001</v>
      </c>
      <c r="E17" s="56">
        <v>123513271.08708361</v>
      </c>
      <c r="F17" s="57">
        <f t="shared" si="0"/>
        <v>1.2646135120783668</v>
      </c>
      <c r="G17" s="269"/>
      <c r="I17" s="272"/>
    </row>
    <row r="18" spans="1:9" x14ac:dyDescent="0.25">
      <c r="A18" s="1"/>
      <c r="B18" s="44"/>
      <c r="C18" s="44" t="s">
        <v>48</v>
      </c>
      <c r="D18" s="56">
        <v>2060073323.96</v>
      </c>
      <c r="E18" s="56">
        <v>2859693947.3465276</v>
      </c>
      <c r="F18" s="57">
        <f t="shared" si="0"/>
        <v>1.388151535232468</v>
      </c>
      <c r="G18" s="44"/>
      <c r="I18" s="272"/>
    </row>
    <row r="19" spans="1:9" x14ac:dyDescent="0.25">
      <c r="A19" s="1"/>
      <c r="B19" s="44"/>
      <c r="C19" s="44"/>
      <c r="D19" s="56"/>
      <c r="E19" s="56"/>
      <c r="F19" s="57"/>
      <c r="G19" s="44"/>
      <c r="I19" s="272"/>
    </row>
    <row r="20" spans="1:9" x14ac:dyDescent="0.25">
      <c r="A20" s="1"/>
      <c r="B20" s="44"/>
      <c r="C20" s="44" t="s">
        <v>49</v>
      </c>
      <c r="D20" s="56">
        <v>4300028795.5500002</v>
      </c>
      <c r="E20" s="56">
        <v>5497072515.9071198</v>
      </c>
      <c r="F20" s="57">
        <f t="shared" si="0"/>
        <v>1.2783803963349996</v>
      </c>
      <c r="G20" s="269"/>
      <c r="I20" s="272"/>
    </row>
    <row r="21" spans="1:9" x14ac:dyDescent="0.25">
      <c r="A21" s="1"/>
      <c r="B21" s="44"/>
      <c r="C21" s="44"/>
      <c r="D21" s="44"/>
      <c r="E21" s="56"/>
      <c r="F21" s="56"/>
      <c r="G21" s="50"/>
    </row>
    <row r="22" spans="1:9" x14ac:dyDescent="0.25">
      <c r="A22" s="1"/>
      <c r="B22" s="44"/>
      <c r="C22" s="44"/>
      <c r="D22" s="44"/>
      <c r="E22" s="56"/>
      <c r="F22" s="56"/>
      <c r="G22" s="50"/>
    </row>
    <row r="23" spans="1:9" x14ac:dyDescent="0.25">
      <c r="A23" s="1"/>
      <c r="B23" s="26" t="s">
        <v>50</v>
      </c>
      <c r="C23" s="44"/>
      <c r="D23" s="51"/>
      <c r="E23" s="51"/>
      <c r="F23" s="51"/>
      <c r="G23" s="51"/>
    </row>
    <row r="24" spans="1:9" x14ac:dyDescent="0.25">
      <c r="A24" s="1"/>
      <c r="B24" s="26" t="s">
        <v>51</v>
      </c>
      <c r="C24" s="44"/>
      <c r="D24" s="51"/>
      <c r="E24" s="51"/>
      <c r="F24" s="51"/>
      <c r="G24" s="51"/>
    </row>
    <row r="25" spans="1:9" x14ac:dyDescent="0.25">
      <c r="A25" s="1"/>
      <c r="B25" s="26"/>
      <c r="C25" s="44"/>
      <c r="D25" s="51"/>
      <c r="E25" s="51"/>
      <c r="F25" s="51"/>
      <c r="G25" s="51"/>
    </row>
    <row r="26" spans="1:9" x14ac:dyDescent="0.25">
      <c r="A26" s="1"/>
      <c r="B26" s="20"/>
      <c r="C26" s="26"/>
      <c r="D26" s="20"/>
      <c r="E26" s="20"/>
      <c r="F26" s="59" t="s">
        <v>35</v>
      </c>
      <c r="G26" s="51"/>
    </row>
    <row r="27" spans="1:9" x14ac:dyDescent="0.25">
      <c r="A27" s="1"/>
      <c r="B27" s="20" t="s">
        <v>36</v>
      </c>
      <c r="C27" s="26"/>
      <c r="D27" s="20" t="s">
        <v>37</v>
      </c>
      <c r="E27" s="20" t="s">
        <v>38</v>
      </c>
      <c r="F27" s="59" t="s">
        <v>39</v>
      </c>
      <c r="G27" s="51"/>
    </row>
    <row r="28" spans="1:9" x14ac:dyDescent="0.25">
      <c r="A28" s="1"/>
      <c r="B28" s="47" t="s">
        <v>40</v>
      </c>
      <c r="C28" s="47" t="s">
        <v>41</v>
      </c>
      <c r="D28" s="47" t="s">
        <v>35</v>
      </c>
      <c r="E28" s="47" t="s">
        <v>42</v>
      </c>
      <c r="F28" s="60" t="s">
        <v>43</v>
      </c>
      <c r="G28" s="51"/>
    </row>
    <row r="29" spans="1:9" x14ac:dyDescent="0.25">
      <c r="A29" s="1"/>
      <c r="B29" s="20" t="s">
        <v>53</v>
      </c>
      <c r="C29" s="61" t="s">
        <v>45</v>
      </c>
      <c r="D29" s="52">
        <v>878012.55999999994</v>
      </c>
      <c r="E29" s="52">
        <v>514351.3410131305</v>
      </c>
      <c r="F29" s="62">
        <f t="shared" ref="F29:F34" si="1">E29/D29</f>
        <v>0.58581319271005705</v>
      </c>
      <c r="G29" s="51"/>
    </row>
    <row r="30" spans="1:9" x14ac:dyDescent="0.25">
      <c r="A30" s="1"/>
      <c r="B30" s="20" t="s">
        <v>54</v>
      </c>
      <c r="C30" s="61" t="s">
        <v>45</v>
      </c>
      <c r="D30" s="52">
        <v>808317.52</v>
      </c>
      <c r="E30" s="52">
        <v>507021.89052355918</v>
      </c>
      <c r="F30" s="62">
        <f t="shared" si="1"/>
        <v>0.62725584684043367</v>
      </c>
      <c r="G30" s="51"/>
    </row>
    <row r="31" spans="1:9" x14ac:dyDescent="0.25">
      <c r="A31" s="1"/>
      <c r="B31" s="20" t="s">
        <v>55</v>
      </c>
      <c r="C31" s="61" t="s">
        <v>45</v>
      </c>
      <c r="D31" s="52">
        <v>799667.52</v>
      </c>
      <c r="E31" s="52">
        <v>506300.82385873608</v>
      </c>
      <c r="F31" s="62">
        <f t="shared" si="1"/>
        <v>0.63313916245933821</v>
      </c>
      <c r="G31" s="51"/>
    </row>
    <row r="32" spans="1:9" x14ac:dyDescent="0.25">
      <c r="A32" s="1"/>
      <c r="B32" s="20" t="s">
        <v>56</v>
      </c>
      <c r="C32" s="61" t="s">
        <v>45</v>
      </c>
      <c r="D32" s="52">
        <v>721474.84000000008</v>
      </c>
      <c r="E32" s="52">
        <v>515383.66076078877</v>
      </c>
      <c r="F32" s="62">
        <f t="shared" si="1"/>
        <v>0.7143473787121789</v>
      </c>
      <c r="G32" s="51"/>
    </row>
    <row r="33" spans="1:8" x14ac:dyDescent="0.25">
      <c r="A33" s="1"/>
      <c r="B33" s="20" t="s">
        <v>44</v>
      </c>
      <c r="C33" s="61" t="s">
        <v>45</v>
      </c>
      <c r="D33" s="52">
        <v>703292.21</v>
      </c>
      <c r="E33" s="52">
        <v>519433.95104015677</v>
      </c>
      <c r="F33" s="62">
        <f t="shared" si="1"/>
        <v>0.73857486782081205</v>
      </c>
      <c r="G33" s="51"/>
    </row>
    <row r="34" spans="1:8" x14ac:dyDescent="0.25">
      <c r="A34" s="1"/>
      <c r="B34" s="20" t="s">
        <v>304</v>
      </c>
      <c r="C34" s="61" t="s">
        <v>45</v>
      </c>
      <c r="D34" s="52">
        <v>717695.75</v>
      </c>
      <c r="E34" s="52">
        <v>544625.33088691451</v>
      </c>
      <c r="F34" s="62">
        <f t="shared" si="1"/>
        <v>0.75885266268737761</v>
      </c>
      <c r="G34" s="51"/>
    </row>
    <row r="35" spans="1:8" x14ac:dyDescent="0.25">
      <c r="A35" s="1"/>
      <c r="B35" s="26"/>
      <c r="C35" s="26"/>
      <c r="D35" s="52"/>
      <c r="E35" s="52"/>
      <c r="F35" s="53"/>
      <c r="G35" s="51"/>
    </row>
    <row r="36" spans="1:8" x14ac:dyDescent="0.25">
      <c r="A36" s="1"/>
      <c r="B36" s="26"/>
      <c r="C36" s="26"/>
      <c r="D36" s="52"/>
      <c r="E36" s="52"/>
      <c r="F36" s="53"/>
      <c r="G36" s="44"/>
    </row>
    <row r="37" spans="1:8" x14ac:dyDescent="0.25">
      <c r="A37" s="1"/>
      <c r="B37" s="26" t="s">
        <v>57</v>
      </c>
      <c r="C37" s="54"/>
      <c r="D37" s="54"/>
      <c r="E37" s="54"/>
      <c r="F37" s="54"/>
      <c r="G37" s="44"/>
    </row>
    <row r="38" spans="1:8" x14ac:dyDescent="0.25">
      <c r="A38" s="1"/>
      <c r="B38" s="26" t="s">
        <v>58</v>
      </c>
      <c r="C38" s="54"/>
      <c r="D38" s="54"/>
      <c r="E38" s="54"/>
      <c r="F38" s="54"/>
      <c r="G38" s="44"/>
    </row>
    <row r="39" spans="1:8" x14ac:dyDescent="0.25">
      <c r="A39" s="1"/>
      <c r="B39" s="44"/>
      <c r="C39" s="44"/>
      <c r="D39" s="44"/>
      <c r="E39" s="44"/>
      <c r="F39" s="44"/>
      <c r="G39" s="44"/>
    </row>
    <row r="40" spans="1:8" x14ac:dyDescent="0.25">
      <c r="A40" s="1"/>
      <c r="B40" s="1"/>
      <c r="C40" s="1"/>
      <c r="D40" s="1"/>
      <c r="E40" s="1"/>
      <c r="F40" s="1"/>
      <c r="G40" s="1"/>
    </row>
    <row r="41" spans="1:8" x14ac:dyDescent="0.25">
      <c r="A41" s="1"/>
      <c r="B41" s="1"/>
      <c r="C41" s="1"/>
      <c r="D41" s="1"/>
      <c r="E41" s="1"/>
      <c r="F41" s="1"/>
      <c r="G41" s="1"/>
    </row>
    <row r="42" spans="1:8" x14ac:dyDescent="0.25">
      <c r="A42" s="1"/>
      <c r="B42" s="1"/>
      <c r="C42" s="1"/>
      <c r="D42" s="1"/>
      <c r="E42" s="1"/>
      <c r="F42" s="1"/>
      <c r="G42" s="1"/>
      <c r="H42" s="1"/>
    </row>
    <row r="43" spans="1:8" x14ac:dyDescent="0.25">
      <c r="A43" s="1"/>
      <c r="B43" s="1"/>
      <c r="C43" s="1"/>
      <c r="D43" s="1"/>
      <c r="E43" s="1"/>
      <c r="F43" s="1"/>
      <c r="G43" s="1"/>
      <c r="H43" s="1"/>
    </row>
    <row r="44" spans="1:8" x14ac:dyDescent="0.25">
      <c r="A44" s="1"/>
      <c r="B44" s="1"/>
      <c r="C44" s="1"/>
      <c r="D44" s="1"/>
      <c r="E44" s="1"/>
      <c r="F44" s="1"/>
      <c r="G44" s="1"/>
      <c r="H44" s="1"/>
    </row>
    <row r="45" spans="1:8" x14ac:dyDescent="0.25">
      <c r="A45" s="1"/>
      <c r="B45" s="1"/>
      <c r="C45" s="1"/>
      <c r="D45" s="1"/>
      <c r="E45" s="1"/>
      <c r="F45" s="1"/>
      <c r="G45" s="1"/>
      <c r="H45" s="1"/>
    </row>
    <row r="46" spans="1:8" x14ac:dyDescent="0.25">
      <c r="A46" s="1"/>
      <c r="B46" s="1"/>
      <c r="C46" s="1"/>
      <c r="D46" s="1"/>
      <c r="E46" s="1"/>
      <c r="F46" s="1"/>
      <c r="G46" s="1"/>
      <c r="H46" s="1"/>
    </row>
    <row r="47" spans="1:8" x14ac:dyDescent="0.25">
      <c r="A47" s="1"/>
      <c r="B47" s="1"/>
      <c r="C47" s="1"/>
      <c r="D47" s="1"/>
      <c r="E47" s="1"/>
      <c r="F47" s="1"/>
      <c r="G47" s="1"/>
      <c r="H47" s="1"/>
    </row>
    <row r="48" spans="1:8" x14ac:dyDescent="0.25">
      <c r="A48" s="1"/>
      <c r="B48" s="1"/>
      <c r="C48" s="1"/>
      <c r="D48" s="1"/>
      <c r="E48" s="1"/>
      <c r="F48" s="1"/>
      <c r="G48" s="1"/>
      <c r="H48" s="1"/>
    </row>
    <row r="49" spans="1:8" x14ac:dyDescent="0.25">
      <c r="A49" s="1"/>
      <c r="B49" s="1"/>
      <c r="C49" s="1"/>
      <c r="D49" s="1"/>
      <c r="E49" s="1"/>
      <c r="F49" s="1"/>
      <c r="G49" s="1"/>
      <c r="H49" s="1"/>
    </row>
    <row r="50" spans="1:8" x14ac:dyDescent="0.25">
      <c r="A50" s="1"/>
      <c r="B50" s="1"/>
      <c r="C50" s="1"/>
      <c r="D50" s="1"/>
      <c r="E50" s="1"/>
      <c r="F50" s="1"/>
      <c r="G50" s="1"/>
      <c r="H50" s="1"/>
    </row>
    <row r="51" spans="1:8" x14ac:dyDescent="0.25">
      <c r="A51" s="1"/>
      <c r="B51" s="1"/>
      <c r="C51" s="1"/>
      <c r="D51" s="1"/>
      <c r="E51" s="1"/>
      <c r="F51" s="1"/>
      <c r="G51" s="1"/>
      <c r="H51" s="1"/>
    </row>
    <row r="52" spans="1:8" x14ac:dyDescent="0.25">
      <c r="A52" s="1"/>
      <c r="B52" s="1"/>
      <c r="C52" s="1"/>
      <c r="D52" s="1"/>
      <c r="E52" s="1"/>
      <c r="F52" s="1"/>
      <c r="G52" s="1"/>
      <c r="H52" s="1"/>
    </row>
    <row r="53" spans="1:8" x14ac:dyDescent="0.25">
      <c r="A53" s="1"/>
      <c r="B53" s="1"/>
      <c r="C53" s="1"/>
      <c r="D53" s="1"/>
      <c r="E53" s="1"/>
      <c r="F53" s="1"/>
      <c r="G53" s="1"/>
      <c r="H53" s="1"/>
    </row>
    <row r="54" spans="1:8" x14ac:dyDescent="0.25">
      <c r="A54" s="1"/>
      <c r="B54" s="1"/>
      <c r="C54" s="1"/>
      <c r="D54" s="1"/>
      <c r="E54" s="1"/>
      <c r="F54" s="1"/>
      <c r="G54" s="1"/>
      <c r="H54" s="1"/>
    </row>
    <row r="55" spans="1:8" x14ac:dyDescent="0.25">
      <c r="A55" s="1"/>
      <c r="B55" s="1"/>
      <c r="C55" s="1"/>
      <c r="D55" s="1"/>
      <c r="E55" s="1"/>
      <c r="F55" s="1"/>
      <c r="G55" s="1"/>
      <c r="H55" s="1"/>
    </row>
    <row r="56" spans="1:8" x14ac:dyDescent="0.25">
      <c r="A56" s="1"/>
      <c r="B56" s="1"/>
      <c r="C56" s="1"/>
      <c r="D56" s="1"/>
      <c r="E56" s="1"/>
      <c r="F56" s="1"/>
      <c r="G56" s="1"/>
      <c r="H56" s="1"/>
    </row>
    <row r="57" spans="1:8" x14ac:dyDescent="0.25">
      <c r="A57" s="1"/>
      <c r="B57" s="1"/>
      <c r="C57" s="1"/>
      <c r="D57" s="1"/>
      <c r="E57" s="1"/>
      <c r="F57" s="1"/>
      <c r="G57" s="1"/>
      <c r="H57" s="1"/>
    </row>
    <row r="58" spans="1:8" x14ac:dyDescent="0.25">
      <c r="A58" s="1"/>
      <c r="B58" s="1"/>
      <c r="C58" s="1"/>
      <c r="D58" s="1"/>
      <c r="E58" s="1"/>
      <c r="F58" s="1"/>
      <c r="G58" s="1"/>
      <c r="H58" s="1"/>
    </row>
    <row r="59" spans="1:8" x14ac:dyDescent="0.25">
      <c r="A59" s="1"/>
      <c r="B59" s="1"/>
      <c r="C59" s="1"/>
      <c r="D59" s="1"/>
      <c r="E59" s="1"/>
      <c r="F59" s="1"/>
      <c r="G59" s="1"/>
      <c r="H59" s="1"/>
    </row>
    <row r="60" spans="1:8" x14ac:dyDescent="0.25">
      <c r="A60" s="1"/>
      <c r="B60" s="1"/>
      <c r="C60" s="1"/>
      <c r="D60" s="1"/>
      <c r="E60" s="1"/>
      <c r="F60" s="1"/>
      <c r="G60" s="1"/>
      <c r="H60" s="1"/>
    </row>
    <row r="61" spans="1:8" x14ac:dyDescent="0.25">
      <c r="A61" s="1"/>
      <c r="B61" s="1"/>
      <c r="C61" s="1"/>
      <c r="D61" s="1"/>
      <c r="E61" s="1"/>
      <c r="F61" s="1"/>
      <c r="G61" s="1"/>
      <c r="H61" s="1"/>
    </row>
    <row r="62" spans="1:8" x14ac:dyDescent="0.25">
      <c r="A62" s="1"/>
      <c r="B62" s="1"/>
      <c r="C62" s="1"/>
      <c r="D62" s="1"/>
      <c r="E62" s="1"/>
      <c r="F62" s="1"/>
      <c r="G62" s="1"/>
      <c r="H62" s="1"/>
    </row>
    <row r="63" spans="1:8" x14ac:dyDescent="0.25">
      <c r="A63" s="1"/>
      <c r="B63" s="1"/>
      <c r="C63" s="1"/>
      <c r="D63" s="1"/>
      <c r="E63" s="1"/>
      <c r="F63" s="1"/>
      <c r="G63" s="1"/>
      <c r="H63" s="1"/>
    </row>
    <row r="64" spans="1:8" x14ac:dyDescent="0.25">
      <c r="A64" s="1"/>
      <c r="B64" s="1"/>
      <c r="C64" s="1"/>
      <c r="D64" s="1"/>
      <c r="E64" s="1"/>
      <c r="F64" s="1"/>
      <c r="G64" s="1"/>
      <c r="H64" s="1"/>
    </row>
    <row r="65" spans="1:8" x14ac:dyDescent="0.25">
      <c r="A65" s="1"/>
      <c r="B65" s="1"/>
      <c r="C65" s="1"/>
      <c r="D65" s="1"/>
      <c r="E65" s="1"/>
      <c r="F65" s="1"/>
      <c r="G65" s="1"/>
      <c r="H65" s="1"/>
    </row>
    <row r="66" spans="1:8" x14ac:dyDescent="0.25">
      <c r="A66" s="1"/>
      <c r="B66" s="1"/>
      <c r="C66" s="1"/>
      <c r="D66" s="1"/>
      <c r="E66" s="1"/>
      <c r="F66" s="1"/>
      <c r="G66" s="1"/>
      <c r="H66" s="1"/>
    </row>
    <row r="67" spans="1:8" x14ac:dyDescent="0.25">
      <c r="A67" s="1"/>
      <c r="B67" s="1"/>
      <c r="C67" s="1"/>
      <c r="D67" s="1"/>
      <c r="E67" s="1"/>
      <c r="F67" s="1"/>
      <c r="G67" s="1"/>
      <c r="H67" s="1"/>
    </row>
    <row r="68" spans="1:8" x14ac:dyDescent="0.25">
      <c r="A68" s="1"/>
      <c r="B68" s="1"/>
      <c r="C68" s="1"/>
      <c r="D68" s="1"/>
      <c r="E68" s="1"/>
      <c r="F68" s="1"/>
      <c r="G68" s="1"/>
      <c r="H68" s="1"/>
    </row>
    <row r="69" spans="1:8" x14ac:dyDescent="0.25">
      <c r="A69" s="1"/>
      <c r="B69" s="1"/>
      <c r="C69" s="1"/>
      <c r="D69" s="1"/>
      <c r="E69" s="1"/>
      <c r="F69" s="1"/>
      <c r="G69" s="1"/>
      <c r="H69" s="1"/>
    </row>
    <row r="70" spans="1:8" x14ac:dyDescent="0.25">
      <c r="A70" s="1"/>
      <c r="B70" s="1"/>
      <c r="C70" s="1"/>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c r="B73" s="1"/>
      <c r="C73" s="1"/>
      <c r="D73" s="1"/>
      <c r="E73" s="1"/>
      <c r="F73" s="1"/>
      <c r="G73" s="1"/>
      <c r="H73" s="1"/>
    </row>
    <row r="74" spans="1:8" x14ac:dyDescent="0.25">
      <c r="A74" s="1"/>
      <c r="B74" s="1"/>
      <c r="C74" s="1"/>
      <c r="D74" s="1"/>
      <c r="E74" s="1"/>
      <c r="F74" s="1"/>
      <c r="G74" s="1"/>
      <c r="H74" s="1"/>
    </row>
    <row r="75" spans="1:8" x14ac:dyDescent="0.25">
      <c r="A75" s="1"/>
      <c r="B75" s="1"/>
      <c r="C75" s="1"/>
      <c r="D75" s="1"/>
      <c r="E75" s="1"/>
      <c r="F75" s="1"/>
      <c r="G75" s="1"/>
      <c r="H75" s="1"/>
    </row>
    <row r="76" spans="1:8" x14ac:dyDescent="0.25">
      <c r="A76" s="1"/>
      <c r="B76" s="1"/>
      <c r="C76" s="1"/>
      <c r="D76" s="1"/>
      <c r="E76" s="1"/>
      <c r="F76" s="1"/>
      <c r="G76" s="1"/>
      <c r="H76" s="1"/>
    </row>
    <row r="77" spans="1:8" x14ac:dyDescent="0.25">
      <c r="A77" s="1"/>
      <c r="B77" s="1"/>
      <c r="C77" s="1"/>
      <c r="D77" s="1"/>
      <c r="E77" s="1"/>
      <c r="F77" s="1"/>
      <c r="G77" s="1"/>
      <c r="H77" s="1"/>
    </row>
    <row r="78" spans="1:8" x14ac:dyDescent="0.25">
      <c r="A78" s="1"/>
      <c r="B78" s="1"/>
      <c r="C78" s="1"/>
      <c r="D78" s="1"/>
      <c r="E78" s="1"/>
      <c r="F78" s="1"/>
      <c r="G78" s="1"/>
      <c r="H78" s="1"/>
    </row>
    <row r="79" spans="1:8" x14ac:dyDescent="0.25">
      <c r="A79" s="1"/>
      <c r="B79" s="1"/>
      <c r="C79" s="1"/>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c r="C88" s="1"/>
      <c r="D88" s="1"/>
      <c r="E88" s="1"/>
      <c r="F88" s="1"/>
      <c r="G88" s="1"/>
      <c r="H88" s="1"/>
    </row>
    <row r="89" spans="1:8" x14ac:dyDescent="0.25">
      <c r="A89" s="1"/>
      <c r="B89" s="1"/>
      <c r="C89" s="1"/>
      <c r="D89" s="1"/>
      <c r="E89" s="1"/>
      <c r="F89" s="1"/>
      <c r="G89" s="1"/>
      <c r="H89" s="1"/>
    </row>
    <row r="90" spans="1:8" x14ac:dyDescent="0.25">
      <c r="A90" s="1"/>
      <c r="B90" s="1"/>
      <c r="C90" s="1"/>
      <c r="D90" s="1"/>
      <c r="E90" s="1"/>
      <c r="F90" s="1"/>
      <c r="G90" s="1"/>
      <c r="H90" s="1"/>
    </row>
    <row r="91" spans="1:8" x14ac:dyDescent="0.25">
      <c r="A91" s="1"/>
      <c r="B91" s="1"/>
      <c r="C91" s="1"/>
      <c r="D91" s="1"/>
      <c r="E91" s="1"/>
      <c r="F91" s="1"/>
      <c r="G91" s="1"/>
      <c r="H91" s="1"/>
    </row>
    <row r="92" spans="1:8" x14ac:dyDescent="0.25">
      <c r="A92" s="1"/>
      <c r="B92" s="1"/>
      <c r="C92" s="1"/>
      <c r="D92" s="1"/>
      <c r="E92" s="1"/>
      <c r="F92" s="1"/>
      <c r="G92" s="1"/>
      <c r="H92" s="1"/>
    </row>
    <row r="93" spans="1:8" x14ac:dyDescent="0.25">
      <c r="A93" s="1"/>
      <c r="B93" s="1"/>
      <c r="C93" s="1"/>
      <c r="D93" s="1"/>
      <c r="E93" s="1"/>
      <c r="F93" s="1"/>
      <c r="G93" s="1"/>
      <c r="H93" s="1"/>
    </row>
    <row r="94" spans="1:8" x14ac:dyDescent="0.25">
      <c r="A94" s="1"/>
      <c r="B94" s="1"/>
      <c r="C94" s="1"/>
      <c r="D94" s="1"/>
      <c r="E94" s="1"/>
      <c r="F94" s="1"/>
      <c r="G94" s="1"/>
      <c r="H94" s="1"/>
    </row>
    <row r="95" spans="1:8" x14ac:dyDescent="0.25">
      <c r="A95" s="1"/>
      <c r="B95" s="1"/>
      <c r="C95" s="1"/>
      <c r="D95" s="1"/>
      <c r="E95" s="1"/>
      <c r="F95" s="1"/>
      <c r="G95" s="1"/>
      <c r="H95" s="1"/>
    </row>
    <row r="96" spans="1:8" x14ac:dyDescent="0.25">
      <c r="A96" s="1"/>
      <c r="B96" s="1"/>
      <c r="C96" s="1"/>
      <c r="D96" s="1"/>
      <c r="E96" s="1"/>
      <c r="F96" s="1"/>
      <c r="G96" s="1"/>
      <c r="H96" s="1"/>
    </row>
    <row r="97" spans="1:8" x14ac:dyDescent="0.25">
      <c r="A97" s="1"/>
      <c r="B97" s="1"/>
      <c r="C97" s="1"/>
      <c r="D97" s="1"/>
      <c r="E97" s="1"/>
      <c r="F97" s="1"/>
      <c r="G97" s="1"/>
      <c r="H97" s="1"/>
    </row>
    <row r="98" spans="1:8" x14ac:dyDescent="0.25">
      <c r="A98" s="1"/>
      <c r="B98" s="1"/>
      <c r="C98" s="1"/>
      <c r="D98" s="1"/>
      <c r="E98" s="1"/>
      <c r="F98" s="1"/>
      <c r="G98" s="1"/>
      <c r="H98" s="1"/>
    </row>
    <row r="99" spans="1:8" x14ac:dyDescent="0.25">
      <c r="A99" s="1"/>
      <c r="B99" s="1"/>
      <c r="C99" s="1"/>
      <c r="D99" s="1"/>
      <c r="E99" s="1"/>
      <c r="F99" s="1"/>
      <c r="G99" s="1"/>
      <c r="H99" s="1"/>
    </row>
    <row r="100" spans="1:8" x14ac:dyDescent="0.25">
      <c r="A100" s="1"/>
      <c r="B100" s="1"/>
      <c r="C100" s="1"/>
      <c r="D100" s="1"/>
      <c r="E100" s="1"/>
      <c r="F100" s="1"/>
      <c r="G100" s="1"/>
      <c r="H100" s="1"/>
    </row>
    <row r="101" spans="1:8" x14ac:dyDescent="0.25">
      <c r="A101" s="1"/>
      <c r="B101" s="1"/>
      <c r="C101" s="1"/>
      <c r="D101" s="1"/>
      <c r="E101" s="1"/>
      <c r="F101" s="1"/>
      <c r="G101" s="1"/>
      <c r="H101" s="1"/>
    </row>
    <row r="102" spans="1:8" x14ac:dyDescent="0.25">
      <c r="A102" s="1"/>
      <c r="B102" s="1"/>
      <c r="C102" s="1"/>
      <c r="D102" s="1"/>
      <c r="E102" s="1"/>
      <c r="F102" s="1"/>
      <c r="G102" s="1"/>
      <c r="H102" s="1"/>
    </row>
    <row r="103" spans="1:8" x14ac:dyDescent="0.25">
      <c r="A103" s="1"/>
      <c r="B103" s="1"/>
      <c r="C103" s="1"/>
      <c r="D103" s="1"/>
      <c r="E103" s="1"/>
      <c r="F103" s="1"/>
      <c r="G103" s="1"/>
      <c r="H103" s="1"/>
    </row>
    <row r="104" spans="1:8" x14ac:dyDescent="0.25">
      <c r="A104" s="1"/>
      <c r="B104" s="1"/>
      <c r="C104" s="1"/>
      <c r="D104" s="1"/>
      <c r="E104" s="1"/>
      <c r="F104" s="1"/>
      <c r="G104" s="1"/>
      <c r="H104" s="1"/>
    </row>
    <row r="105" spans="1:8" x14ac:dyDescent="0.25">
      <c r="A105" s="1"/>
      <c r="B105" s="1"/>
      <c r="C105" s="1"/>
      <c r="D105" s="1"/>
      <c r="E105" s="1"/>
      <c r="F105" s="1"/>
      <c r="G105" s="1"/>
      <c r="H105" s="1"/>
    </row>
    <row r="106" spans="1:8" x14ac:dyDescent="0.25">
      <c r="A106" s="1"/>
      <c r="B106" s="1"/>
      <c r="C106" s="1"/>
      <c r="D106" s="1"/>
      <c r="E106" s="1"/>
      <c r="F106" s="1"/>
      <c r="G106" s="1"/>
      <c r="H106" s="1"/>
    </row>
    <row r="107" spans="1:8" x14ac:dyDescent="0.25">
      <c r="A107" s="1"/>
      <c r="B107" s="1"/>
      <c r="C107" s="1"/>
      <c r="D107" s="1"/>
      <c r="E107" s="1"/>
      <c r="F107" s="1"/>
      <c r="G107" s="1"/>
      <c r="H107" s="1"/>
    </row>
    <row r="108" spans="1:8" x14ac:dyDescent="0.25">
      <c r="A108" s="1"/>
      <c r="B108" s="1"/>
      <c r="C108" s="1"/>
      <c r="D108" s="1"/>
      <c r="E108" s="1"/>
      <c r="F108" s="1"/>
      <c r="G108" s="1"/>
      <c r="H108" s="1"/>
    </row>
    <row r="109" spans="1:8" x14ac:dyDescent="0.25">
      <c r="A109" s="1"/>
      <c r="B109" s="1"/>
      <c r="C109" s="1"/>
      <c r="D109" s="1"/>
      <c r="E109" s="1"/>
      <c r="F109" s="1"/>
      <c r="G109" s="1"/>
      <c r="H109" s="1"/>
    </row>
    <row r="110" spans="1:8" x14ac:dyDescent="0.25">
      <c r="A110" s="1"/>
      <c r="B110" s="1"/>
      <c r="C110" s="1"/>
      <c r="D110" s="1"/>
      <c r="E110" s="1"/>
      <c r="F110" s="1"/>
      <c r="G110" s="1"/>
      <c r="H110" s="1"/>
    </row>
    <row r="111" spans="1:8" x14ac:dyDescent="0.25">
      <c r="A111" s="1"/>
      <c r="B111" s="1"/>
      <c r="C111" s="1"/>
      <c r="D111" s="1"/>
      <c r="E111" s="1"/>
      <c r="F111" s="1"/>
      <c r="G111" s="1"/>
      <c r="H111" s="1"/>
    </row>
    <row r="112" spans="1:8" x14ac:dyDescent="0.25">
      <c r="A112" s="1"/>
      <c r="B112" s="1"/>
      <c r="C112" s="1"/>
      <c r="D112" s="1"/>
      <c r="E112" s="1"/>
      <c r="F112" s="1"/>
      <c r="G112" s="1"/>
      <c r="H112" s="1"/>
    </row>
    <row r="113" spans="1:8" x14ac:dyDescent="0.25">
      <c r="A113" s="1"/>
      <c r="B113" s="1"/>
      <c r="C113" s="1"/>
      <c r="D113" s="1"/>
      <c r="E113" s="1"/>
      <c r="F113" s="1"/>
      <c r="G113" s="1"/>
      <c r="H113" s="1"/>
    </row>
    <row r="114" spans="1:8" x14ac:dyDescent="0.25">
      <c r="A114" s="1"/>
      <c r="B114" s="1"/>
      <c r="C114" s="1"/>
      <c r="D114" s="1"/>
      <c r="E114" s="1"/>
      <c r="F114" s="1"/>
      <c r="G114" s="1"/>
      <c r="H114" s="1"/>
    </row>
    <row r="115" spans="1:8" x14ac:dyDescent="0.25">
      <c r="A115" s="1"/>
      <c r="B115" s="1"/>
      <c r="C115" s="1"/>
      <c r="D115" s="1"/>
      <c r="E115" s="1"/>
      <c r="F115" s="1"/>
      <c r="G115" s="1"/>
      <c r="H115" s="1"/>
    </row>
    <row r="116" spans="1:8" x14ac:dyDescent="0.25">
      <c r="A116" s="1"/>
      <c r="B116" s="1"/>
      <c r="C116" s="1"/>
      <c r="D116" s="1"/>
      <c r="E116" s="1"/>
      <c r="F116" s="1"/>
      <c r="G116" s="1"/>
      <c r="H116" s="1"/>
    </row>
    <row r="117" spans="1:8" x14ac:dyDescent="0.25">
      <c r="A117" s="1"/>
      <c r="B117" s="1"/>
      <c r="C117" s="1"/>
      <c r="D117" s="1"/>
      <c r="E117" s="1"/>
      <c r="F117" s="1"/>
      <c r="G117" s="1"/>
      <c r="H117" s="1"/>
    </row>
    <row r="118" spans="1:8" x14ac:dyDescent="0.25">
      <c r="A118" s="1"/>
      <c r="B118" s="1"/>
      <c r="C118" s="1"/>
      <c r="D118" s="1"/>
      <c r="E118" s="1"/>
      <c r="F118" s="1"/>
      <c r="G118" s="1"/>
      <c r="H118" s="1"/>
    </row>
    <row r="119" spans="1:8" x14ac:dyDescent="0.25">
      <c r="A119" s="1"/>
      <c r="B119" s="1"/>
      <c r="C119" s="1"/>
      <c r="D119" s="1"/>
      <c r="E119" s="1"/>
      <c r="F119" s="1"/>
      <c r="G119" s="1"/>
      <c r="H119" s="1"/>
    </row>
    <row r="120" spans="1:8" x14ac:dyDescent="0.25">
      <c r="A120" s="1"/>
      <c r="B120" s="1"/>
      <c r="C120" s="1"/>
      <c r="D120" s="1"/>
      <c r="E120" s="1"/>
      <c r="F120" s="1"/>
      <c r="G120" s="1"/>
      <c r="H120" s="1"/>
    </row>
    <row r="121" spans="1:8" x14ac:dyDescent="0.25">
      <c r="A121" s="1"/>
      <c r="B121" s="1"/>
      <c r="C121" s="1"/>
      <c r="D121" s="1"/>
      <c r="E121" s="1"/>
      <c r="F121" s="1"/>
      <c r="G121" s="1"/>
      <c r="H121" s="1"/>
    </row>
    <row r="122" spans="1:8" x14ac:dyDescent="0.25">
      <c r="A122" s="1"/>
      <c r="B122" s="1"/>
      <c r="C122" s="1"/>
      <c r="D122" s="1"/>
      <c r="E122" s="1"/>
      <c r="F122" s="1"/>
      <c r="G122" s="1"/>
      <c r="H122" s="1"/>
    </row>
    <row r="123" spans="1:8" x14ac:dyDescent="0.25">
      <c r="A123" s="1"/>
      <c r="B123" s="1"/>
      <c r="C123" s="1"/>
      <c r="D123" s="1"/>
      <c r="E123" s="1"/>
      <c r="F123" s="1"/>
      <c r="G123" s="1"/>
      <c r="H123" s="1"/>
    </row>
    <row r="124" spans="1:8" x14ac:dyDescent="0.25">
      <c r="A124" s="1"/>
      <c r="B124" s="1"/>
      <c r="C124" s="1"/>
      <c r="D124" s="1"/>
      <c r="E124" s="1"/>
      <c r="F124" s="1"/>
      <c r="G124" s="1"/>
      <c r="H124" s="1"/>
    </row>
    <row r="125" spans="1:8" x14ac:dyDescent="0.25">
      <c r="A125" s="1"/>
      <c r="B125" s="1"/>
      <c r="C125" s="1"/>
      <c r="D125" s="1"/>
      <c r="E125" s="1"/>
      <c r="F125" s="1"/>
      <c r="G125" s="1"/>
      <c r="H125" s="1"/>
    </row>
    <row r="126" spans="1:8" x14ac:dyDescent="0.25">
      <c r="A126" s="1"/>
      <c r="B126" s="1"/>
      <c r="C126" s="1"/>
      <c r="D126" s="1"/>
      <c r="E126" s="1"/>
      <c r="F126" s="1"/>
      <c r="G126" s="1"/>
      <c r="H126" s="1"/>
    </row>
    <row r="127" spans="1:8" x14ac:dyDescent="0.25">
      <c r="A127" s="1"/>
      <c r="B127" s="1"/>
      <c r="C127" s="1"/>
      <c r="D127" s="1"/>
      <c r="E127" s="1"/>
      <c r="F127" s="1"/>
      <c r="G127" s="1"/>
      <c r="H127" s="1"/>
    </row>
    <row r="128" spans="1:8" x14ac:dyDescent="0.25">
      <c r="A128" s="1"/>
      <c r="B128" s="1"/>
      <c r="C128" s="1"/>
      <c r="D128" s="1"/>
      <c r="E128" s="1"/>
      <c r="F128" s="1"/>
      <c r="G128" s="1"/>
      <c r="H128" s="1"/>
    </row>
    <row r="129" spans="1:8" x14ac:dyDescent="0.25">
      <c r="A129" s="1"/>
      <c r="B129" s="1"/>
      <c r="C129" s="1"/>
      <c r="D129" s="1"/>
      <c r="E129" s="1"/>
      <c r="F129" s="1"/>
      <c r="G129" s="1"/>
      <c r="H129" s="1"/>
    </row>
    <row r="130" spans="1:8" x14ac:dyDescent="0.25">
      <c r="A130" s="1"/>
      <c r="B130" s="1"/>
      <c r="C130" s="1"/>
      <c r="D130" s="1"/>
      <c r="E130" s="1"/>
      <c r="F130" s="1"/>
      <c r="G130" s="1"/>
      <c r="H130" s="1"/>
    </row>
    <row r="131" spans="1:8" x14ac:dyDescent="0.25">
      <c r="A131" s="1"/>
      <c r="B131" s="1"/>
      <c r="C131" s="1"/>
      <c r="D131" s="1"/>
      <c r="E131" s="1"/>
      <c r="F131" s="1"/>
      <c r="G131" s="1"/>
      <c r="H131" s="1"/>
    </row>
    <row r="132" spans="1:8" x14ac:dyDescent="0.25">
      <c r="A132" s="1"/>
      <c r="B132" s="1"/>
      <c r="C132" s="1"/>
      <c r="D132" s="1"/>
      <c r="E132" s="1"/>
      <c r="F132" s="1"/>
      <c r="G132" s="1"/>
      <c r="H132" s="1"/>
    </row>
    <row r="133" spans="1:8" x14ac:dyDescent="0.25">
      <c r="A133" s="1"/>
      <c r="B133" s="1"/>
      <c r="C133" s="1"/>
      <c r="D133" s="1"/>
      <c r="E133" s="1"/>
      <c r="F133" s="1"/>
      <c r="G133" s="1"/>
      <c r="H133" s="1"/>
    </row>
    <row r="134" spans="1:8" x14ac:dyDescent="0.25">
      <c r="A134" s="1"/>
      <c r="B134" s="1"/>
      <c r="C134" s="1"/>
      <c r="D134" s="1"/>
      <c r="E134" s="1"/>
      <c r="F134" s="1"/>
      <c r="G134" s="1"/>
      <c r="H134" s="1"/>
    </row>
    <row r="135" spans="1:8" x14ac:dyDescent="0.25">
      <c r="A135" s="1"/>
      <c r="B135" s="1"/>
      <c r="C135" s="1"/>
      <c r="D135" s="1"/>
      <c r="E135" s="1"/>
      <c r="F135" s="1"/>
      <c r="G135" s="1"/>
      <c r="H135" s="1"/>
    </row>
    <row r="136" spans="1:8" x14ac:dyDescent="0.25">
      <c r="A136" s="1"/>
      <c r="B136" s="1"/>
      <c r="C136" s="1"/>
      <c r="D136" s="1"/>
      <c r="E136" s="1"/>
      <c r="F136" s="1"/>
      <c r="G136" s="1"/>
      <c r="H136" s="1"/>
    </row>
    <row r="137" spans="1:8" x14ac:dyDescent="0.25">
      <c r="A137" s="1"/>
      <c r="B137" s="1"/>
      <c r="C137" s="1"/>
      <c r="D137" s="1"/>
      <c r="E137" s="1"/>
      <c r="F137" s="1"/>
      <c r="G137" s="1"/>
      <c r="H137" s="1"/>
    </row>
    <row r="138" spans="1:8" x14ac:dyDescent="0.25">
      <c r="A138" s="1"/>
      <c r="B138" s="1"/>
      <c r="C138" s="1"/>
      <c r="D138" s="1"/>
      <c r="E138" s="1"/>
      <c r="F138" s="1"/>
      <c r="G138" s="1"/>
      <c r="H138" s="1"/>
    </row>
    <row r="139" spans="1:8" x14ac:dyDescent="0.25">
      <c r="A139" s="1"/>
      <c r="B139" s="1"/>
      <c r="C139" s="1"/>
      <c r="D139" s="1"/>
      <c r="E139" s="1"/>
      <c r="F139" s="1"/>
      <c r="G139" s="1"/>
      <c r="H139" s="1"/>
    </row>
    <row r="140" spans="1:8" x14ac:dyDescent="0.25">
      <c r="A140" s="1"/>
      <c r="B140" s="1"/>
      <c r="C140" s="1"/>
      <c r="D140" s="1"/>
      <c r="E140" s="1"/>
      <c r="F140" s="1"/>
      <c r="G140" s="1"/>
      <c r="H140" s="1"/>
    </row>
    <row r="141" spans="1:8" x14ac:dyDescent="0.25">
      <c r="A141" s="1"/>
      <c r="B141" s="1"/>
      <c r="C141" s="1"/>
      <c r="D141" s="1"/>
      <c r="E141" s="1"/>
      <c r="F141" s="1"/>
      <c r="G141" s="1"/>
      <c r="H141" s="1"/>
    </row>
    <row r="142" spans="1:8" x14ac:dyDescent="0.25">
      <c r="A142" s="1"/>
      <c r="B142" s="1"/>
      <c r="C142" s="1"/>
      <c r="D142" s="1"/>
      <c r="E142" s="1"/>
      <c r="F142" s="1"/>
      <c r="G142" s="1"/>
      <c r="H142" s="1"/>
    </row>
    <row r="143" spans="1:8" x14ac:dyDescent="0.25">
      <c r="A143" s="1"/>
      <c r="B143" s="1"/>
      <c r="C143" s="1"/>
      <c r="D143" s="1"/>
      <c r="E143" s="1"/>
      <c r="F143" s="1"/>
      <c r="G143" s="1"/>
      <c r="H143" s="1"/>
    </row>
    <row r="144" spans="1:8" x14ac:dyDescent="0.25">
      <c r="A144" s="1"/>
      <c r="B144" s="1"/>
      <c r="C144" s="1"/>
      <c r="D144" s="1"/>
      <c r="E144" s="1"/>
      <c r="F144" s="1"/>
      <c r="G144" s="1"/>
      <c r="H144" s="1"/>
    </row>
    <row r="145" spans="1:8" x14ac:dyDescent="0.25">
      <c r="A145" s="1"/>
      <c r="B145" s="1"/>
      <c r="C145" s="1"/>
      <c r="D145" s="1"/>
      <c r="E145" s="1"/>
      <c r="F145" s="1"/>
      <c r="G145" s="1"/>
      <c r="H145" s="1"/>
    </row>
    <row r="146" spans="1:8" x14ac:dyDescent="0.25">
      <c r="A146" s="1"/>
      <c r="B146" s="1"/>
      <c r="C146" s="1"/>
      <c r="D146" s="1"/>
      <c r="E146" s="1"/>
      <c r="F146" s="1"/>
      <c r="G146" s="1"/>
      <c r="H146" s="1"/>
    </row>
    <row r="147" spans="1:8" x14ac:dyDescent="0.25">
      <c r="A147" s="1"/>
      <c r="B147" s="1"/>
      <c r="C147" s="1"/>
      <c r="D147" s="1"/>
      <c r="E147" s="1"/>
      <c r="F147" s="1"/>
      <c r="G147" s="1"/>
      <c r="H147" s="1"/>
    </row>
    <row r="148" spans="1:8" x14ac:dyDescent="0.25">
      <c r="A148" s="1"/>
      <c r="B148" s="1"/>
      <c r="C148" s="1"/>
      <c r="D148" s="1"/>
      <c r="E148" s="1"/>
      <c r="F148" s="1"/>
      <c r="G148" s="1"/>
      <c r="H148" s="1"/>
    </row>
    <row r="149" spans="1:8" x14ac:dyDescent="0.25">
      <c r="A149" s="1"/>
      <c r="B149" s="1"/>
      <c r="C149" s="1"/>
      <c r="D149" s="1"/>
      <c r="E149" s="1"/>
      <c r="F149" s="1"/>
      <c r="G149" s="1"/>
      <c r="H149" s="1"/>
    </row>
    <row r="150" spans="1:8" x14ac:dyDescent="0.25">
      <c r="A150" s="1"/>
      <c r="B150" s="1"/>
      <c r="C150" s="1"/>
      <c r="D150" s="1"/>
      <c r="E150" s="1"/>
      <c r="F150" s="1"/>
      <c r="G150" s="1"/>
      <c r="H150" s="1"/>
    </row>
  </sheetData>
  <printOptions horizontalCentered="1"/>
  <pageMargins left="0.5" right="0.5" top="0.75" bottom="0.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04E3A-6D3E-4CC4-85AF-E6503A14EFD3}">
  <sheetPr codeName="Sheet5"/>
  <dimension ref="A1:F44"/>
  <sheetViews>
    <sheetView view="pageBreakPreview" zoomScale="60" zoomScaleNormal="100" workbookViewId="0">
      <selection activeCell="C31" sqref="C31"/>
    </sheetView>
  </sheetViews>
  <sheetFormatPr defaultColWidth="9.140625" defaultRowHeight="15" x14ac:dyDescent="0.25"/>
  <cols>
    <col min="1" max="1" width="16.5703125" customWidth="1"/>
    <col min="2" max="2" width="15.7109375" customWidth="1"/>
    <col min="3" max="3" width="17.140625" customWidth="1"/>
    <col min="4" max="5" width="14.28515625" customWidth="1"/>
    <col min="6" max="6" width="11.7109375" customWidth="1"/>
  </cols>
  <sheetData>
    <row r="1" spans="1:6" ht="18.75" x14ac:dyDescent="0.3">
      <c r="A1" s="33" t="s">
        <v>1</v>
      </c>
      <c r="B1" s="13"/>
      <c r="C1" s="34"/>
      <c r="D1" s="35"/>
      <c r="E1" s="35"/>
      <c r="F1" s="35"/>
    </row>
    <row r="2" spans="1:6" ht="18.75" x14ac:dyDescent="0.3">
      <c r="A2" s="36" t="s">
        <v>0</v>
      </c>
      <c r="B2" s="13"/>
      <c r="C2" s="34"/>
      <c r="D2" s="35"/>
      <c r="E2" s="35"/>
      <c r="F2" s="35"/>
    </row>
    <row r="3" spans="1:6" ht="18.75" x14ac:dyDescent="0.3">
      <c r="A3" s="36"/>
      <c r="B3" s="13"/>
      <c r="C3" s="34"/>
      <c r="D3" s="35"/>
      <c r="E3" s="35"/>
      <c r="F3" s="35"/>
    </row>
    <row r="4" spans="1:6" ht="18.75" x14ac:dyDescent="0.3">
      <c r="A4" s="17" t="s">
        <v>89</v>
      </c>
      <c r="B4" s="13"/>
      <c r="C4" s="34"/>
      <c r="D4" s="35"/>
      <c r="E4" s="35"/>
      <c r="F4" s="35"/>
    </row>
    <row r="5" spans="1:6" ht="18.75" x14ac:dyDescent="0.3">
      <c r="A5" s="13"/>
      <c r="B5" s="13"/>
      <c r="C5" s="34"/>
    </row>
    <row r="7" spans="1:6" ht="15" customHeight="1" x14ac:dyDescent="0.25">
      <c r="A7" s="41"/>
      <c r="B7" s="41"/>
      <c r="C7" s="41"/>
      <c r="D7" s="41"/>
      <c r="E7" s="41"/>
      <c r="F7" s="41"/>
    </row>
    <row r="8" spans="1:6" ht="39" thickBot="1" x14ac:dyDescent="0.3">
      <c r="B8" s="67"/>
      <c r="C8" s="68"/>
      <c r="D8" s="232" t="s">
        <v>305</v>
      </c>
    </row>
    <row r="9" spans="1:6" x14ac:dyDescent="0.25">
      <c r="B9" s="69" t="s">
        <v>90</v>
      </c>
      <c r="C9" s="68"/>
      <c r="D9" s="70">
        <v>0</v>
      </c>
    </row>
    <row r="10" spans="1:6" x14ac:dyDescent="0.25">
      <c r="B10" s="69" t="s">
        <v>91</v>
      </c>
      <c r="C10" s="68"/>
      <c r="D10" s="70">
        <v>0</v>
      </c>
    </row>
    <row r="11" spans="1:6" ht="15" customHeight="1" x14ac:dyDescent="0.25">
      <c r="B11" s="69" t="s">
        <v>92</v>
      </c>
      <c r="C11" s="68"/>
      <c r="D11" s="70">
        <v>0</v>
      </c>
    </row>
    <row r="12" spans="1:6" ht="15" customHeight="1" x14ac:dyDescent="0.25">
      <c r="B12" s="69" t="s">
        <v>93</v>
      </c>
      <c r="C12" s="68"/>
      <c r="D12" s="70">
        <v>0</v>
      </c>
    </row>
    <row r="13" spans="1:6" x14ac:dyDescent="0.25">
      <c r="B13" s="69" t="s">
        <v>94</v>
      </c>
      <c r="C13" s="68"/>
      <c r="D13" s="70">
        <v>0</v>
      </c>
    </row>
    <row r="14" spans="1:6" x14ac:dyDescent="0.25">
      <c r="B14" s="69" t="s">
        <v>95</v>
      </c>
      <c r="C14" s="68"/>
      <c r="D14" s="70">
        <v>0</v>
      </c>
    </row>
    <row r="15" spans="1:6" x14ac:dyDescent="0.25">
      <c r="B15" s="69" t="s">
        <v>96</v>
      </c>
      <c r="C15" s="68"/>
      <c r="D15" s="70">
        <v>0</v>
      </c>
    </row>
    <row r="16" spans="1:6" x14ac:dyDescent="0.25">
      <c r="B16" s="69" t="s">
        <v>97</v>
      </c>
      <c r="C16" s="68"/>
      <c r="D16" s="70">
        <v>0</v>
      </c>
    </row>
    <row r="17" spans="2:4" x14ac:dyDescent="0.25">
      <c r="B17" s="69" t="s">
        <v>98</v>
      </c>
      <c r="C17" s="68"/>
      <c r="D17" s="70">
        <v>0</v>
      </c>
    </row>
    <row r="18" spans="2:4" ht="15" customHeight="1" x14ac:dyDescent="0.25">
      <c r="B18" s="69" t="s">
        <v>99</v>
      </c>
      <c r="C18" s="68"/>
      <c r="D18" s="70">
        <v>0</v>
      </c>
    </row>
    <row r="19" spans="2:4" ht="15" customHeight="1" x14ac:dyDescent="0.25"/>
    <row r="44" ht="15"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D641-14D1-4A8E-B523-53346078AA54}">
  <sheetPr codeName="Sheet6"/>
  <dimension ref="A1:J49"/>
  <sheetViews>
    <sheetView view="pageBreakPreview" zoomScale="60" zoomScaleNormal="100" workbookViewId="0">
      <selection activeCell="L28" sqref="L28"/>
    </sheetView>
  </sheetViews>
  <sheetFormatPr defaultRowHeight="15" x14ac:dyDescent="0.25"/>
  <cols>
    <col min="1" max="1" width="5.42578125" customWidth="1"/>
    <col min="2" max="2" width="9.5703125" customWidth="1"/>
    <col min="3" max="3" width="23" bestFit="1" customWidth="1"/>
    <col min="4" max="4" width="14.28515625" bestFit="1" customWidth="1"/>
    <col min="5" max="5" width="17" bestFit="1" customWidth="1"/>
    <col min="6" max="6" width="15.42578125" bestFit="1" customWidth="1"/>
    <col min="7" max="7" width="5.7109375" customWidth="1"/>
  </cols>
  <sheetData>
    <row r="1" spans="1:7" x14ac:dyDescent="0.25">
      <c r="A1" s="11" t="s">
        <v>1</v>
      </c>
      <c r="B1" s="7"/>
      <c r="C1" s="7"/>
      <c r="D1" s="7"/>
      <c r="E1" s="7"/>
      <c r="F1" s="7"/>
      <c r="G1" s="7"/>
    </row>
    <row r="2" spans="1:7" x14ac:dyDescent="0.25">
      <c r="A2" s="10" t="s">
        <v>0</v>
      </c>
      <c r="B2" s="7"/>
      <c r="C2" s="7"/>
      <c r="D2" s="7"/>
      <c r="E2" s="7"/>
      <c r="F2" s="7"/>
      <c r="G2" s="7"/>
    </row>
    <row r="3" spans="1:7" x14ac:dyDescent="0.25">
      <c r="A3" s="10"/>
      <c r="B3" s="7"/>
      <c r="C3" s="7"/>
      <c r="D3" s="7"/>
      <c r="E3" s="7"/>
      <c r="F3" s="7"/>
      <c r="G3" s="7"/>
    </row>
    <row r="4" spans="1:7" x14ac:dyDescent="0.25">
      <c r="A4" s="9" t="s">
        <v>59</v>
      </c>
      <c r="B4" s="7"/>
      <c r="C4" s="7"/>
      <c r="D4" s="7"/>
      <c r="E4" s="7"/>
      <c r="F4" s="7"/>
      <c r="G4" s="7"/>
    </row>
    <row r="5" spans="1:7" ht="15.75" x14ac:dyDescent="0.25">
      <c r="A5" s="8"/>
      <c r="B5" s="7"/>
      <c r="C5" s="7"/>
      <c r="D5" s="7"/>
      <c r="E5" s="7"/>
      <c r="F5" s="7"/>
      <c r="G5" s="7"/>
    </row>
    <row r="6" spans="1:7" ht="15.75" x14ac:dyDescent="0.25">
      <c r="A6" s="8"/>
      <c r="B6" s="7"/>
      <c r="C6" s="7"/>
      <c r="D6" s="7"/>
      <c r="E6" s="7"/>
      <c r="F6" s="7"/>
      <c r="G6" s="7"/>
    </row>
    <row r="7" spans="1:7" x14ac:dyDescent="0.25">
      <c r="A7" s="7" t="s">
        <v>60</v>
      </c>
      <c r="B7" s="7"/>
      <c r="C7" s="7"/>
      <c r="D7" s="7"/>
      <c r="E7" s="7"/>
      <c r="F7" s="7"/>
      <c r="G7" s="7"/>
    </row>
    <row r="8" spans="1:7" x14ac:dyDescent="0.25">
      <c r="A8" s="1"/>
      <c r="B8" s="1"/>
      <c r="C8" s="1"/>
      <c r="D8" s="1"/>
      <c r="E8" s="1"/>
      <c r="F8" s="1"/>
      <c r="G8" s="1"/>
    </row>
    <row r="9" spans="1:7" x14ac:dyDescent="0.25">
      <c r="A9" s="1"/>
      <c r="B9" s="59" t="s">
        <v>61</v>
      </c>
      <c r="C9" s="59" t="s">
        <v>62</v>
      </c>
      <c r="D9" s="59" t="s">
        <v>63</v>
      </c>
      <c r="E9" s="59" t="s">
        <v>64</v>
      </c>
      <c r="F9" s="59" t="s">
        <v>65</v>
      </c>
      <c r="G9" s="1"/>
    </row>
    <row r="10" spans="1:7" x14ac:dyDescent="0.25">
      <c r="A10" s="1"/>
      <c r="B10" s="20" t="s">
        <v>66</v>
      </c>
      <c r="C10" s="63">
        <v>17953333</v>
      </c>
      <c r="D10" s="63">
        <v>5509256743</v>
      </c>
      <c r="E10" s="63">
        <v>911186</v>
      </c>
      <c r="F10" s="64">
        <v>306.86540170563313</v>
      </c>
      <c r="G10" s="1"/>
    </row>
    <row r="11" spans="1:7" x14ac:dyDescent="0.25">
      <c r="A11" s="1"/>
      <c r="B11" s="20" t="s">
        <v>67</v>
      </c>
      <c r="C11" s="63">
        <v>18013875</v>
      </c>
      <c r="D11" s="63">
        <v>5563958407</v>
      </c>
      <c r="E11" s="63">
        <v>908826</v>
      </c>
      <c r="F11" s="64">
        <v>308.87071254796649</v>
      </c>
      <c r="G11" s="1"/>
    </row>
    <row r="12" spans="1:7" x14ac:dyDescent="0.25">
      <c r="A12" s="1"/>
      <c r="B12" s="20" t="s">
        <v>68</v>
      </c>
      <c r="C12" s="63">
        <v>18048110</v>
      </c>
      <c r="D12" s="63">
        <v>5605480819</v>
      </c>
      <c r="E12" s="63">
        <v>901135</v>
      </c>
      <c r="F12" s="64">
        <v>310.58547509960874</v>
      </c>
      <c r="G12" s="1"/>
    </row>
    <row r="13" spans="1:7" x14ac:dyDescent="0.25">
      <c r="A13" s="1"/>
      <c r="B13" s="20" t="s">
        <v>69</v>
      </c>
      <c r="C13" s="63">
        <v>18076314</v>
      </c>
      <c r="D13" s="63">
        <v>5637563804</v>
      </c>
      <c r="E13" s="63">
        <v>891795</v>
      </c>
      <c r="F13" s="64">
        <v>311.87573993237783</v>
      </c>
      <c r="G13" s="1"/>
    </row>
    <row r="14" spans="1:7" x14ac:dyDescent="0.25">
      <c r="A14" s="1"/>
      <c r="B14" s="20" t="s">
        <v>70</v>
      </c>
      <c r="C14" s="63">
        <v>18099840</v>
      </c>
      <c r="D14" s="63">
        <v>5668160563</v>
      </c>
      <c r="E14" s="63">
        <v>884891</v>
      </c>
      <c r="F14" s="64">
        <v>313.16081042705349</v>
      </c>
      <c r="G14" s="1"/>
    </row>
    <row r="15" spans="1:7" x14ac:dyDescent="0.25">
      <c r="A15" s="1"/>
      <c r="B15" s="20" t="s">
        <v>71</v>
      </c>
      <c r="C15" s="63">
        <v>18111112</v>
      </c>
      <c r="D15" s="63">
        <v>5735615164</v>
      </c>
      <c r="E15" s="63">
        <v>873525</v>
      </c>
      <c r="F15" s="64">
        <v>316.69039228513412</v>
      </c>
      <c r="G15" s="1"/>
    </row>
    <row r="16" spans="1:7" x14ac:dyDescent="0.25">
      <c r="A16" s="1"/>
      <c r="B16" s="20" t="s">
        <v>72</v>
      </c>
      <c r="C16" s="63">
        <v>18129746</v>
      </c>
      <c r="D16" s="63">
        <v>5795774989</v>
      </c>
      <c r="E16" s="63">
        <v>861634</v>
      </c>
      <c r="F16" s="64">
        <v>319.68318745337081</v>
      </c>
      <c r="G16" s="1"/>
    </row>
    <row r="17" spans="1:7" x14ac:dyDescent="0.25">
      <c r="A17" s="1"/>
      <c r="B17" s="20" t="s">
        <v>73</v>
      </c>
      <c r="C17" s="63">
        <v>18154930</v>
      </c>
      <c r="D17" s="63">
        <v>5889011412</v>
      </c>
      <c r="E17" s="63">
        <v>857824</v>
      </c>
      <c r="F17" s="64">
        <v>324.37533011694342</v>
      </c>
      <c r="G17" s="1"/>
    </row>
    <row r="18" spans="1:7" x14ac:dyDescent="0.25">
      <c r="A18" s="1"/>
      <c r="B18" s="20" t="s">
        <v>74</v>
      </c>
      <c r="C18" s="63">
        <v>18189656</v>
      </c>
      <c r="D18" s="63">
        <v>5946921075</v>
      </c>
      <c r="E18" s="63">
        <v>851669</v>
      </c>
      <c r="F18" s="64">
        <v>326.93972194966193</v>
      </c>
      <c r="G18" s="1"/>
    </row>
    <row r="19" spans="1:7" x14ac:dyDescent="0.25">
      <c r="A19" s="1"/>
      <c r="B19" s="20" t="s">
        <v>75</v>
      </c>
      <c r="C19" s="63">
        <v>18257070</v>
      </c>
      <c r="D19" s="63">
        <v>6054110390</v>
      </c>
      <c r="E19" s="63">
        <v>848392</v>
      </c>
      <c r="F19" s="64">
        <v>331.60361383288773</v>
      </c>
      <c r="G19" s="1"/>
    </row>
    <row r="20" spans="1:7" x14ac:dyDescent="0.25">
      <c r="A20" s="1"/>
      <c r="B20" s="20" t="s">
        <v>76</v>
      </c>
      <c r="C20" s="63">
        <v>18305168</v>
      </c>
      <c r="D20" s="63">
        <v>5910270900</v>
      </c>
      <c r="E20" s="63">
        <v>790727</v>
      </c>
      <c r="F20" s="64">
        <v>322.87444179698326</v>
      </c>
      <c r="G20" s="1"/>
    </row>
    <row r="21" spans="1:7" x14ac:dyDescent="0.25">
      <c r="A21" s="1"/>
      <c r="B21" s="20" t="s">
        <v>77</v>
      </c>
      <c r="C21" s="63">
        <v>18362412</v>
      </c>
      <c r="D21" s="63">
        <v>5618709914</v>
      </c>
      <c r="E21" s="63">
        <v>715707</v>
      </c>
      <c r="F21" s="64">
        <v>305.98975308908217</v>
      </c>
      <c r="G21" s="1"/>
    </row>
    <row r="22" spans="1:7" x14ac:dyDescent="0.25">
      <c r="A22" s="1"/>
      <c r="B22" s="20" t="s">
        <v>78</v>
      </c>
      <c r="C22" s="63">
        <v>18413273</v>
      </c>
      <c r="D22" s="63">
        <v>5282809783</v>
      </c>
      <c r="E22" s="63">
        <v>635007</v>
      </c>
      <c r="F22" s="64">
        <v>286.90226789121084</v>
      </c>
      <c r="G22" s="1"/>
    </row>
    <row r="23" spans="1:7" x14ac:dyDescent="0.25">
      <c r="A23" s="1"/>
      <c r="B23" s="20" t="s">
        <v>79</v>
      </c>
      <c r="C23" s="63">
        <v>18439070</v>
      </c>
      <c r="D23" s="63">
        <v>4848461210</v>
      </c>
      <c r="E23" s="63">
        <v>550933</v>
      </c>
      <c r="F23" s="64">
        <v>262.94499722599892</v>
      </c>
      <c r="G23" s="1"/>
    </row>
    <row r="24" spans="1:7" x14ac:dyDescent="0.25">
      <c r="A24" s="1"/>
      <c r="B24" s="20" t="s">
        <v>80</v>
      </c>
      <c r="C24" s="63">
        <v>18502289</v>
      </c>
      <c r="D24" s="63">
        <v>4746677988</v>
      </c>
      <c r="E24" s="63">
        <v>537490</v>
      </c>
      <c r="F24" s="64">
        <v>256.54544624181364</v>
      </c>
      <c r="G24" s="1"/>
    </row>
    <row r="25" spans="1:7" x14ac:dyDescent="0.25">
      <c r="A25" s="1"/>
      <c r="B25" s="20" t="s">
        <v>81</v>
      </c>
      <c r="C25" s="63">
        <v>18558020</v>
      </c>
      <c r="D25" s="63">
        <v>4865402460</v>
      </c>
      <c r="E25" s="63">
        <v>547854</v>
      </c>
      <c r="F25" s="64">
        <v>262.17249792811947</v>
      </c>
      <c r="G25" s="1"/>
    </row>
    <row r="26" spans="1:7" x14ac:dyDescent="0.25">
      <c r="A26" s="1"/>
      <c r="B26" s="20" t="s">
        <v>82</v>
      </c>
      <c r="C26" s="63">
        <v>18608098</v>
      </c>
      <c r="D26" s="63">
        <v>5052664072</v>
      </c>
      <c r="E26" s="63">
        <v>563551</v>
      </c>
      <c r="F26" s="64">
        <v>271.53038811382009</v>
      </c>
      <c r="G26" s="5"/>
    </row>
    <row r="27" spans="1:7" x14ac:dyDescent="0.25">
      <c r="A27" s="1"/>
      <c r="B27" s="20" t="s">
        <v>86</v>
      </c>
      <c r="C27" s="63">
        <v>18644167</v>
      </c>
      <c r="D27" s="63">
        <v>5404376246</v>
      </c>
      <c r="E27" s="63">
        <v>596193</v>
      </c>
      <c r="F27" s="64">
        <v>289.86954718867298</v>
      </c>
      <c r="G27" s="5"/>
    </row>
    <row r="28" spans="1:7" x14ac:dyDescent="0.25">
      <c r="A28" s="1"/>
      <c r="B28" s="20" t="s">
        <v>87</v>
      </c>
      <c r="C28" s="63">
        <v>18660378</v>
      </c>
      <c r="D28" s="63">
        <v>5802976312</v>
      </c>
      <c r="E28" s="63">
        <v>624613</v>
      </c>
      <c r="F28" s="64">
        <v>310.9784974345107</v>
      </c>
      <c r="G28" s="5"/>
    </row>
    <row r="29" spans="1:7" x14ac:dyDescent="0.25">
      <c r="A29" s="1"/>
      <c r="B29" s="20" t="s">
        <v>88</v>
      </c>
      <c r="C29" s="63">
        <v>18669017</v>
      </c>
      <c r="D29" s="63">
        <v>6129819123</v>
      </c>
      <c r="E29" s="63">
        <v>649151</v>
      </c>
      <c r="F29" s="64">
        <v>328.34182554978656</v>
      </c>
      <c r="G29" s="5"/>
    </row>
    <row r="30" spans="1:7" x14ac:dyDescent="0.25">
      <c r="A30" s="1"/>
      <c r="B30" s="20" t="s">
        <v>306</v>
      </c>
      <c r="C30" s="63">
        <v>18664300</v>
      </c>
      <c r="D30" s="63">
        <v>6483931375</v>
      </c>
      <c r="E30" s="63">
        <v>670404</v>
      </c>
      <c r="F30" s="64">
        <v>347.39751155950131</v>
      </c>
      <c r="G30" s="5"/>
    </row>
    <row r="31" spans="1:7" x14ac:dyDescent="0.25">
      <c r="A31" s="1"/>
      <c r="B31" s="20" t="s">
        <v>307</v>
      </c>
      <c r="C31" s="63">
        <v>18665856</v>
      </c>
      <c r="D31" s="63">
        <v>6729272912</v>
      </c>
      <c r="E31" s="63">
        <v>683869</v>
      </c>
      <c r="F31" s="64">
        <v>360.51241968222621</v>
      </c>
      <c r="G31" s="5"/>
    </row>
    <row r="32" spans="1:7" x14ac:dyDescent="0.25">
      <c r="A32" s="1"/>
      <c r="B32" s="20" t="s">
        <v>308</v>
      </c>
      <c r="C32" s="63">
        <v>18667393</v>
      </c>
      <c r="D32" s="63">
        <v>6931499820</v>
      </c>
      <c r="E32" s="63">
        <v>694353</v>
      </c>
      <c r="F32" s="64">
        <v>371.31589933313131</v>
      </c>
      <c r="G32" s="5"/>
    </row>
    <row r="33" spans="1:10" x14ac:dyDescent="0.25">
      <c r="A33" s="1"/>
      <c r="B33" s="20" t="s">
        <v>316</v>
      </c>
      <c r="C33" s="63">
        <v>18667697</v>
      </c>
      <c r="D33" s="63">
        <v>7161998007</v>
      </c>
      <c r="E33" s="63">
        <v>697896</v>
      </c>
      <c r="F33" s="64">
        <v>383.65728814861308</v>
      </c>
      <c r="G33" s="5"/>
    </row>
    <row r="34" spans="1:10" x14ac:dyDescent="0.25">
      <c r="A34" s="1"/>
      <c r="B34" s="26"/>
      <c r="C34" s="44"/>
      <c r="D34" s="44"/>
      <c r="E34" s="44"/>
      <c r="F34" s="44"/>
      <c r="G34" s="1"/>
    </row>
    <row r="35" spans="1:10" x14ac:dyDescent="0.25">
      <c r="A35" s="1"/>
      <c r="B35" s="26"/>
      <c r="C35" s="44" t="s">
        <v>83</v>
      </c>
      <c r="D35" s="45" t="s">
        <v>84</v>
      </c>
      <c r="E35" s="44"/>
      <c r="F35" s="44"/>
      <c r="G35" s="1"/>
    </row>
    <row r="36" spans="1:10" x14ac:dyDescent="0.25">
      <c r="A36" s="1"/>
      <c r="B36" s="20"/>
      <c r="C36" s="26" t="s">
        <v>85</v>
      </c>
      <c r="D36" s="65">
        <f>ROUND(LOGEST(F10:F33)^4-1,3)</f>
        <v>1.4E-2</v>
      </c>
      <c r="E36" s="20"/>
      <c r="F36" s="20"/>
      <c r="G36" s="1"/>
      <c r="H36" s="66"/>
      <c r="I36" s="66"/>
      <c r="J36" s="66"/>
    </row>
    <row r="37" spans="1:10" x14ac:dyDescent="0.25">
      <c r="A37" s="1"/>
      <c r="B37" s="3"/>
      <c r="E37" s="3"/>
      <c r="F37" s="3"/>
      <c r="G37" s="1"/>
    </row>
    <row r="38" spans="1:10" x14ac:dyDescent="0.25">
      <c r="A38" s="1"/>
      <c r="B38" s="3"/>
      <c r="E38" s="3"/>
      <c r="F38" s="3"/>
      <c r="G38" s="1"/>
    </row>
    <row r="39" spans="1:10" x14ac:dyDescent="0.25">
      <c r="A39" s="1"/>
      <c r="B39" s="3"/>
      <c r="C39" s="6"/>
      <c r="D39" s="4"/>
      <c r="E39" s="4"/>
      <c r="F39" s="5"/>
      <c r="G39" s="1"/>
    </row>
    <row r="40" spans="1:10" x14ac:dyDescent="0.25">
      <c r="A40" s="1"/>
      <c r="B40" s="3"/>
      <c r="C40" s="6"/>
      <c r="D40" s="4"/>
      <c r="E40" s="4"/>
      <c r="F40" s="5"/>
      <c r="G40" s="1"/>
    </row>
    <row r="41" spans="1:10" x14ac:dyDescent="0.25">
      <c r="A41" s="1"/>
      <c r="B41" s="3"/>
      <c r="C41" s="6"/>
      <c r="D41" s="4"/>
      <c r="E41" s="4"/>
      <c r="F41" s="5"/>
      <c r="G41" s="1"/>
    </row>
    <row r="42" spans="1:10" x14ac:dyDescent="0.25">
      <c r="A42" s="1"/>
      <c r="B42" s="3"/>
      <c r="C42" s="6"/>
      <c r="D42" s="4"/>
      <c r="E42" s="4"/>
      <c r="F42" s="5"/>
      <c r="G42" s="1"/>
    </row>
    <row r="43" spans="1:10" x14ac:dyDescent="0.25">
      <c r="A43" s="1"/>
      <c r="B43" s="3"/>
      <c r="C43" s="6"/>
      <c r="D43" s="4"/>
      <c r="E43" s="4"/>
      <c r="F43" s="5"/>
      <c r="G43" s="1"/>
    </row>
    <row r="44" spans="1:10" x14ac:dyDescent="0.25">
      <c r="A44" s="1"/>
      <c r="B44" s="3"/>
      <c r="C44" s="6"/>
      <c r="D44" s="4"/>
      <c r="E44" s="4"/>
      <c r="F44" s="5"/>
      <c r="G44" s="1"/>
    </row>
    <row r="45" spans="1:10" x14ac:dyDescent="0.25">
      <c r="A45" s="1"/>
      <c r="B45" s="2"/>
      <c r="C45" s="2"/>
      <c r="D45" s="4"/>
      <c r="E45" s="4"/>
      <c r="F45" s="3"/>
      <c r="G45" s="1"/>
    </row>
    <row r="46" spans="1:10" x14ac:dyDescent="0.25">
      <c r="A46" s="1"/>
      <c r="B46" s="2"/>
      <c r="C46" s="2"/>
      <c r="D46" s="4"/>
      <c r="E46" s="4"/>
      <c r="F46" s="3"/>
      <c r="G46" s="1"/>
    </row>
    <row r="47" spans="1:10" x14ac:dyDescent="0.25">
      <c r="A47" s="1"/>
      <c r="B47" s="2"/>
      <c r="C47" s="2"/>
      <c r="D47" s="2"/>
      <c r="E47" s="2"/>
      <c r="F47" s="2"/>
      <c r="G47" s="1"/>
    </row>
    <row r="48" spans="1:10" x14ac:dyDescent="0.25">
      <c r="A48" s="1"/>
      <c r="B48" s="2"/>
      <c r="C48" s="2"/>
      <c r="D48" s="2"/>
      <c r="E48" s="2"/>
      <c r="F48" s="2"/>
      <c r="G48" s="1"/>
    </row>
    <row r="49" spans="1:7" x14ac:dyDescent="0.25">
      <c r="A49" s="1"/>
      <c r="B49" s="1"/>
      <c r="C49" s="1"/>
      <c r="D49" s="1"/>
      <c r="E49" s="1"/>
      <c r="F49" s="1"/>
      <c r="G49" s="1"/>
    </row>
  </sheetData>
  <printOptions horizontalCentered="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4FC4-626E-4B0B-879E-32177C618919}">
  <sheetPr codeName="Sheet7"/>
  <dimension ref="A1:G52"/>
  <sheetViews>
    <sheetView view="pageBreakPreview" zoomScale="60" zoomScaleNormal="100" workbookViewId="0">
      <selection activeCell="C31" sqref="C31"/>
    </sheetView>
  </sheetViews>
  <sheetFormatPr defaultRowHeight="15" x14ac:dyDescent="0.25"/>
  <cols>
    <col min="2" max="2" width="12.85546875" customWidth="1"/>
    <col min="3" max="3" width="13" customWidth="1"/>
    <col min="4" max="4" width="17.42578125" customWidth="1"/>
    <col min="5" max="5" width="13.42578125" customWidth="1"/>
    <col min="6" max="6" width="15.28515625" customWidth="1"/>
    <col min="7" max="7" width="11" customWidth="1"/>
    <col min="8" max="8" width="9.140625" customWidth="1"/>
  </cols>
  <sheetData>
    <row r="1" spans="1:7" x14ac:dyDescent="0.25">
      <c r="A1" s="11" t="s">
        <v>1</v>
      </c>
      <c r="B1" s="71"/>
      <c r="C1" s="71"/>
      <c r="D1" s="71"/>
      <c r="E1" s="71"/>
      <c r="F1" s="71"/>
      <c r="G1" s="72"/>
    </row>
    <row r="2" spans="1:7" x14ac:dyDescent="0.25">
      <c r="A2" s="10" t="s">
        <v>0</v>
      </c>
      <c r="B2" s="71"/>
      <c r="C2" s="71"/>
      <c r="D2" s="71"/>
      <c r="E2" s="71"/>
      <c r="F2" s="71"/>
      <c r="G2" s="72"/>
    </row>
    <row r="3" spans="1:7" x14ac:dyDescent="0.25">
      <c r="A3" s="10"/>
      <c r="B3" s="71"/>
      <c r="C3" s="71"/>
      <c r="D3" s="71"/>
      <c r="E3" s="71"/>
      <c r="F3" s="71"/>
      <c r="G3" s="73"/>
    </row>
    <row r="4" spans="1:7" x14ac:dyDescent="0.25">
      <c r="A4" s="9" t="s">
        <v>103</v>
      </c>
      <c r="B4" s="21"/>
      <c r="C4" s="21"/>
      <c r="D4" s="21"/>
      <c r="E4" s="21"/>
      <c r="F4" s="21"/>
      <c r="G4" s="35"/>
    </row>
    <row r="5" spans="1:7" x14ac:dyDescent="0.25">
      <c r="B5" s="21"/>
      <c r="C5" s="21"/>
      <c r="D5" s="21"/>
      <c r="E5" s="21"/>
      <c r="F5" s="21"/>
    </row>
    <row r="6" spans="1:7" x14ac:dyDescent="0.25">
      <c r="B6" s="74" t="s">
        <v>104</v>
      </c>
      <c r="C6" s="74"/>
      <c r="D6" s="74"/>
      <c r="E6" s="74"/>
      <c r="F6" s="74"/>
    </row>
    <row r="7" spans="1:7" x14ac:dyDescent="0.25">
      <c r="B7" s="74"/>
      <c r="C7" s="74"/>
      <c r="D7" s="74"/>
      <c r="E7" s="74"/>
      <c r="F7" s="74"/>
    </row>
    <row r="8" spans="1:7" x14ac:dyDescent="0.25">
      <c r="A8" s="75" t="s">
        <v>105</v>
      </c>
      <c r="B8" s="76"/>
      <c r="C8" s="76"/>
      <c r="D8" s="76"/>
      <c r="E8" s="76"/>
      <c r="F8" s="76"/>
    </row>
    <row r="9" spans="1:7" x14ac:dyDescent="0.25">
      <c r="A9" s="75" t="s">
        <v>106</v>
      </c>
      <c r="B9" s="76"/>
      <c r="C9" s="76"/>
      <c r="D9" s="76"/>
      <c r="E9" s="76"/>
      <c r="F9" s="76"/>
    </row>
    <row r="10" spans="1:7" x14ac:dyDescent="0.25">
      <c r="A10" s="75" t="s">
        <v>107</v>
      </c>
      <c r="B10" s="76"/>
      <c r="C10" s="77"/>
      <c r="D10" s="77"/>
      <c r="E10" s="77"/>
      <c r="F10" s="76"/>
    </row>
    <row r="11" spans="1:7" x14ac:dyDescent="0.25">
      <c r="A11" s="75" t="s">
        <v>108</v>
      </c>
      <c r="B11" s="76"/>
      <c r="C11" s="76"/>
      <c r="D11" s="76"/>
      <c r="E11" s="76"/>
      <c r="F11" s="76"/>
    </row>
    <row r="12" spans="1:7" x14ac:dyDescent="0.25">
      <c r="B12" s="78"/>
      <c r="C12" s="79"/>
      <c r="D12" s="79"/>
      <c r="E12" s="78"/>
      <c r="F12" s="78"/>
    </row>
    <row r="13" spans="1:7" x14ac:dyDescent="0.25">
      <c r="B13" s="76"/>
      <c r="C13" s="78" t="s">
        <v>63</v>
      </c>
      <c r="D13" s="78" t="s">
        <v>63</v>
      </c>
      <c r="E13" s="79"/>
      <c r="F13" s="76"/>
    </row>
    <row r="14" spans="1:7" x14ac:dyDescent="0.25">
      <c r="B14" s="78"/>
      <c r="C14" s="78" t="s">
        <v>109</v>
      </c>
      <c r="D14" s="78" t="s">
        <v>110</v>
      </c>
      <c r="E14" s="78" t="s">
        <v>63</v>
      </c>
      <c r="F14" s="78"/>
    </row>
    <row r="15" spans="1:7" x14ac:dyDescent="0.25">
      <c r="B15" s="80" t="s">
        <v>111</v>
      </c>
      <c r="C15" s="81" t="s">
        <v>112</v>
      </c>
      <c r="D15" s="81" t="s">
        <v>112</v>
      </c>
      <c r="E15" s="80" t="s">
        <v>113</v>
      </c>
      <c r="F15" s="82" t="s">
        <v>114</v>
      </c>
    </row>
    <row r="16" spans="1:7" ht="12.95" customHeight="1" x14ac:dyDescent="0.25">
      <c r="A16" s="14"/>
      <c r="B16" s="83">
        <v>1995</v>
      </c>
      <c r="C16" s="84">
        <v>9601721.0399999991</v>
      </c>
      <c r="D16" s="84">
        <v>189704929.08000001</v>
      </c>
      <c r="E16" s="84">
        <f t="shared" ref="E16:E43" si="0">C16+D16</f>
        <v>199306650.12</v>
      </c>
      <c r="F16" s="85">
        <f t="shared" ref="F16:F44" si="1">C16/D16</f>
        <v>5.0613977647100988E-2</v>
      </c>
      <c r="G16" s="86"/>
    </row>
    <row r="17" spans="1:7" ht="12.95" customHeight="1" x14ac:dyDescent="0.25">
      <c r="A17" s="14"/>
      <c r="B17" s="83">
        <v>1996</v>
      </c>
      <c r="C17" s="84">
        <v>193708.79</v>
      </c>
      <c r="D17" s="84">
        <v>164267325.49000001</v>
      </c>
      <c r="E17" s="84">
        <f t="shared" si="0"/>
        <v>164461034.28</v>
      </c>
      <c r="F17" s="85">
        <f t="shared" si="1"/>
        <v>1.1792289758305724E-3</v>
      </c>
      <c r="G17" s="86"/>
    </row>
    <row r="18" spans="1:7" ht="12.95" customHeight="1" x14ac:dyDescent="0.25">
      <c r="A18" s="14"/>
      <c r="B18" s="83">
        <v>1997</v>
      </c>
      <c r="C18" s="84">
        <v>893798.26</v>
      </c>
      <c r="D18" s="84">
        <v>152004427.58000001</v>
      </c>
      <c r="E18" s="84">
        <f t="shared" si="0"/>
        <v>152898225.84</v>
      </c>
      <c r="F18" s="85">
        <f t="shared" si="1"/>
        <v>5.8800804307466209E-3</v>
      </c>
      <c r="G18" s="86"/>
    </row>
    <row r="19" spans="1:7" ht="12.95" customHeight="1" x14ac:dyDescent="0.25">
      <c r="A19" s="14"/>
      <c r="B19" s="83">
        <v>1998</v>
      </c>
      <c r="C19" s="84">
        <v>3749468.52</v>
      </c>
      <c r="D19" s="84">
        <v>140152652.62</v>
      </c>
      <c r="E19" s="84">
        <f t="shared" si="0"/>
        <v>143902121.14000002</v>
      </c>
      <c r="F19" s="85">
        <f t="shared" si="1"/>
        <v>2.6752747450068205E-2</v>
      </c>
      <c r="G19" s="86"/>
    </row>
    <row r="20" spans="1:7" ht="12.95" customHeight="1" x14ac:dyDescent="0.25">
      <c r="A20" s="14"/>
      <c r="B20" s="83">
        <v>1999</v>
      </c>
      <c r="C20" s="84">
        <v>69626.570000000007</v>
      </c>
      <c r="D20" s="84">
        <v>123890256.95</v>
      </c>
      <c r="E20" s="84">
        <f t="shared" si="0"/>
        <v>123959883.52</v>
      </c>
      <c r="F20" s="85">
        <f t="shared" si="1"/>
        <v>5.6200198235201095E-4</v>
      </c>
      <c r="G20" s="86"/>
    </row>
    <row r="21" spans="1:7" ht="12.95" customHeight="1" x14ac:dyDescent="0.25">
      <c r="A21" s="14"/>
      <c r="B21" s="83">
        <v>2000</v>
      </c>
      <c r="C21" s="84">
        <v>45745.37</v>
      </c>
      <c r="D21" s="84">
        <v>127397387.93000001</v>
      </c>
      <c r="E21" s="84">
        <f t="shared" si="0"/>
        <v>127443133.30000001</v>
      </c>
      <c r="F21" s="85">
        <f t="shared" si="1"/>
        <v>3.5907620040950394E-4</v>
      </c>
      <c r="G21" s="86"/>
    </row>
    <row r="22" spans="1:7" ht="12.95" customHeight="1" x14ac:dyDescent="0.25">
      <c r="A22" s="14"/>
      <c r="B22" s="83">
        <v>2001</v>
      </c>
      <c r="C22" s="84">
        <v>113397.73</v>
      </c>
      <c r="D22" s="84">
        <v>152104934.09999999</v>
      </c>
      <c r="E22" s="84">
        <f t="shared" si="0"/>
        <v>152218331.82999998</v>
      </c>
      <c r="F22" s="85">
        <f t="shared" si="1"/>
        <v>7.4552302113649847E-4</v>
      </c>
      <c r="G22" s="86"/>
    </row>
    <row r="23" spans="1:7" ht="12.95" customHeight="1" x14ac:dyDescent="0.25">
      <c r="A23" s="14"/>
      <c r="B23" s="83">
        <v>2002</v>
      </c>
      <c r="C23" s="84">
        <v>25755.200000000001</v>
      </c>
      <c r="D23" s="84">
        <v>186009793.06999999</v>
      </c>
      <c r="E23" s="84">
        <f t="shared" si="0"/>
        <v>186035548.26999998</v>
      </c>
      <c r="F23" s="85">
        <f t="shared" si="1"/>
        <v>1.3846152707834954E-4</v>
      </c>
      <c r="G23" s="86"/>
    </row>
    <row r="24" spans="1:7" ht="12.95" customHeight="1" x14ac:dyDescent="0.25">
      <c r="A24" s="14"/>
      <c r="B24" s="83">
        <v>2003</v>
      </c>
      <c r="C24" s="84">
        <v>2274711.56</v>
      </c>
      <c r="D24" s="84">
        <v>178767744.71000001</v>
      </c>
      <c r="E24" s="84">
        <f t="shared" si="0"/>
        <v>181042456.27000001</v>
      </c>
      <c r="F24" s="85">
        <f t="shared" si="1"/>
        <v>1.2724395912081762E-2</v>
      </c>
      <c r="G24" s="86"/>
    </row>
    <row r="25" spans="1:7" ht="12.95" customHeight="1" x14ac:dyDescent="0.25">
      <c r="A25" s="14"/>
      <c r="B25" s="83">
        <v>2004</v>
      </c>
      <c r="C25" s="84">
        <v>479200.3</v>
      </c>
      <c r="D25" s="84">
        <v>162280213.47</v>
      </c>
      <c r="E25" s="84">
        <f t="shared" si="0"/>
        <v>162759413.77000001</v>
      </c>
      <c r="F25" s="85">
        <f t="shared" si="1"/>
        <v>2.9529188417575479E-3</v>
      </c>
      <c r="G25" s="86"/>
    </row>
    <row r="26" spans="1:7" ht="12.95" customHeight="1" x14ac:dyDescent="0.25">
      <c r="A26" s="14"/>
      <c r="B26" s="83">
        <v>2005</v>
      </c>
      <c r="C26" s="84">
        <v>294981.40999999997</v>
      </c>
      <c r="D26" s="84">
        <v>159746121.78999999</v>
      </c>
      <c r="E26" s="84">
        <f t="shared" si="0"/>
        <v>160041103.19999999</v>
      </c>
      <c r="F26" s="85">
        <f t="shared" si="1"/>
        <v>1.8465638269940499E-3</v>
      </c>
      <c r="G26" s="86"/>
    </row>
    <row r="27" spans="1:7" ht="12.95" customHeight="1" x14ac:dyDescent="0.25">
      <c r="A27" s="14"/>
      <c r="B27" s="83">
        <v>2006</v>
      </c>
      <c r="C27" s="84">
        <v>5180690.3099999996</v>
      </c>
      <c r="D27" s="84">
        <v>158569531.58000001</v>
      </c>
      <c r="E27" s="84">
        <f t="shared" si="0"/>
        <v>163750221.89000002</v>
      </c>
      <c r="F27" s="85">
        <f t="shared" si="1"/>
        <v>3.2671410821354961E-2</v>
      </c>
      <c r="G27" s="86"/>
    </row>
    <row r="28" spans="1:7" ht="12.95" customHeight="1" x14ac:dyDescent="0.25">
      <c r="A28" s="14"/>
      <c r="B28" s="83">
        <v>2007</v>
      </c>
      <c r="C28" s="84">
        <v>3826980.52</v>
      </c>
      <c r="D28" s="84">
        <v>159496936.09</v>
      </c>
      <c r="E28" s="84">
        <f t="shared" si="0"/>
        <v>163323916.61000001</v>
      </c>
      <c r="F28" s="85">
        <f t="shared" si="1"/>
        <v>2.3994069189144384E-2</v>
      </c>
      <c r="G28" s="86"/>
    </row>
    <row r="29" spans="1:7" ht="12.95" customHeight="1" x14ac:dyDescent="0.25">
      <c r="A29" s="14"/>
      <c r="B29" s="83">
        <v>2008</v>
      </c>
      <c r="C29" s="84">
        <v>3022053.42</v>
      </c>
      <c r="D29" s="84">
        <v>171757024.15000001</v>
      </c>
      <c r="E29" s="84">
        <f t="shared" si="0"/>
        <v>174779077.56999999</v>
      </c>
      <c r="F29" s="85">
        <f t="shared" si="1"/>
        <v>1.7594933511195208E-2</v>
      </c>
      <c r="G29" s="86"/>
    </row>
    <row r="30" spans="1:7" ht="12.95" customHeight="1" x14ac:dyDescent="0.25">
      <c r="A30" s="14"/>
      <c r="B30" s="83">
        <v>2009</v>
      </c>
      <c r="C30" s="84">
        <v>-148469.66</v>
      </c>
      <c r="D30" s="84">
        <v>151952732.90000001</v>
      </c>
      <c r="E30" s="84">
        <f t="shared" si="0"/>
        <v>151804263.24000001</v>
      </c>
      <c r="F30" s="85">
        <f t="shared" si="1"/>
        <v>-9.7707791868217203E-4</v>
      </c>
      <c r="G30" s="86"/>
    </row>
    <row r="31" spans="1:7" ht="12.95" customHeight="1" x14ac:dyDescent="0.25">
      <c r="A31" s="14"/>
      <c r="B31" s="83">
        <v>2010</v>
      </c>
      <c r="C31" s="84">
        <v>2830575.81</v>
      </c>
      <c r="D31" s="84">
        <v>148093931.69999999</v>
      </c>
      <c r="E31" s="84">
        <f t="shared" si="0"/>
        <v>150924507.50999999</v>
      </c>
      <c r="F31" s="85">
        <f t="shared" si="1"/>
        <v>1.9113381470174044E-2</v>
      </c>
      <c r="G31" s="86"/>
    </row>
    <row r="32" spans="1:7" ht="12.95" customHeight="1" x14ac:dyDescent="0.25">
      <c r="A32" s="14"/>
      <c r="B32" s="83">
        <v>2011</v>
      </c>
      <c r="C32" s="84">
        <v>3494820.68</v>
      </c>
      <c r="D32" s="84">
        <v>158199499.59999999</v>
      </c>
      <c r="E32" s="84">
        <f t="shared" si="0"/>
        <v>161694320.28</v>
      </c>
      <c r="F32" s="85">
        <f t="shared" si="1"/>
        <v>2.2091224617249043E-2</v>
      </c>
      <c r="G32" s="86"/>
    </row>
    <row r="33" spans="1:7" ht="12.95" customHeight="1" x14ac:dyDescent="0.25">
      <c r="A33" s="14"/>
      <c r="B33" s="83">
        <v>2012</v>
      </c>
      <c r="C33" s="84">
        <v>3776404.89</v>
      </c>
      <c r="D33" s="84">
        <v>164296789.88999999</v>
      </c>
      <c r="E33" s="84">
        <f t="shared" si="0"/>
        <v>168073194.77999997</v>
      </c>
      <c r="F33" s="85">
        <f t="shared" si="1"/>
        <v>2.2985262782847914E-2</v>
      </c>
      <c r="G33" s="86"/>
    </row>
    <row r="34" spans="1:7" ht="12.95" customHeight="1" x14ac:dyDescent="0.25">
      <c r="A34" s="14"/>
      <c r="B34" s="83">
        <v>2013</v>
      </c>
      <c r="C34" s="84">
        <v>1024849.81</v>
      </c>
      <c r="D34" s="84">
        <v>174347860.03999999</v>
      </c>
      <c r="E34" s="84">
        <f t="shared" si="0"/>
        <v>175372709.84999999</v>
      </c>
      <c r="F34" s="85">
        <f t="shared" si="1"/>
        <v>5.8781897854374154E-3</v>
      </c>
      <c r="G34" s="86"/>
    </row>
    <row r="35" spans="1:7" ht="12.95" customHeight="1" x14ac:dyDescent="0.25">
      <c r="A35" s="14"/>
      <c r="B35" s="83">
        <v>2014</v>
      </c>
      <c r="C35" s="84">
        <v>157650.98000000001</v>
      </c>
      <c r="D35" s="84">
        <v>178752507.62</v>
      </c>
      <c r="E35" s="84">
        <f t="shared" si="0"/>
        <v>178910158.59999999</v>
      </c>
      <c r="F35" s="85">
        <f t="shared" si="1"/>
        <v>8.8195115189735652E-4</v>
      </c>
      <c r="G35" s="86"/>
    </row>
    <row r="36" spans="1:7" ht="12.95" customHeight="1" x14ac:dyDescent="0.25">
      <c r="A36" s="14"/>
      <c r="B36" s="83">
        <v>2015</v>
      </c>
      <c r="C36" s="84">
        <v>1327556.8400000001</v>
      </c>
      <c r="D36" s="84">
        <v>195253394.18000001</v>
      </c>
      <c r="E36" s="84">
        <f t="shared" si="0"/>
        <v>196580951.02000001</v>
      </c>
      <c r="F36" s="85">
        <f t="shared" si="1"/>
        <v>6.7991485913743103E-3</v>
      </c>
      <c r="G36" s="86"/>
    </row>
    <row r="37" spans="1:7" ht="12.95" customHeight="1" x14ac:dyDescent="0.25">
      <c r="A37" s="14"/>
      <c r="B37" s="83">
        <v>2016</v>
      </c>
      <c r="C37" s="84">
        <v>963462.2</v>
      </c>
      <c r="D37" s="84">
        <v>207218857.16</v>
      </c>
      <c r="E37" s="84">
        <f t="shared" si="0"/>
        <v>208182319.35999998</v>
      </c>
      <c r="F37" s="85">
        <f t="shared" si="1"/>
        <v>4.6494909450064256E-3</v>
      </c>
      <c r="G37" s="86"/>
    </row>
    <row r="38" spans="1:7" ht="12.95" customHeight="1" x14ac:dyDescent="0.25">
      <c r="A38" s="14"/>
      <c r="B38" s="83">
        <v>2017</v>
      </c>
      <c r="C38" s="84">
        <v>30353820.949999999</v>
      </c>
      <c r="D38" s="84">
        <v>228593046.28</v>
      </c>
      <c r="E38" s="84">
        <f t="shared" si="0"/>
        <v>258946867.22999999</v>
      </c>
      <c r="F38" s="85">
        <f t="shared" si="1"/>
        <v>0.13278540814763054</v>
      </c>
      <c r="G38" s="86"/>
    </row>
    <row r="39" spans="1:7" ht="12.95" customHeight="1" x14ac:dyDescent="0.25">
      <c r="A39" s="14"/>
      <c r="B39" s="83">
        <v>2018</v>
      </c>
      <c r="C39" s="84">
        <v>14211672.550000001</v>
      </c>
      <c r="D39" s="84">
        <v>221348289.81</v>
      </c>
      <c r="E39" s="84">
        <f t="shared" si="0"/>
        <v>235559962.36000001</v>
      </c>
      <c r="F39" s="85">
        <f t="shared" si="1"/>
        <v>6.420502531191434E-2</v>
      </c>
      <c r="G39" s="86"/>
    </row>
    <row r="40" spans="1:7" ht="12.95" customHeight="1" x14ac:dyDescent="0.25">
      <c r="A40" s="14"/>
      <c r="B40" s="83">
        <v>2019</v>
      </c>
      <c r="C40" s="84">
        <v>9409336.5500000007</v>
      </c>
      <c r="D40" s="84">
        <v>236529795.15000001</v>
      </c>
      <c r="E40" s="84">
        <f t="shared" si="0"/>
        <v>245939131.70000002</v>
      </c>
      <c r="F40" s="85">
        <f t="shared" si="1"/>
        <v>3.978076649511697E-2</v>
      </c>
      <c r="G40" s="86"/>
    </row>
    <row r="41" spans="1:7" ht="12.95" customHeight="1" x14ac:dyDescent="0.25">
      <c r="A41" s="14"/>
      <c r="B41" s="83">
        <v>2020</v>
      </c>
      <c r="C41" s="84">
        <v>-9835366.4600000009</v>
      </c>
      <c r="D41" s="84">
        <v>232425981.06</v>
      </c>
      <c r="E41" s="84">
        <f t="shared" si="0"/>
        <v>222590614.59999999</v>
      </c>
      <c r="F41" s="85">
        <f t="shared" si="1"/>
        <v>-4.231612324553783E-2</v>
      </c>
      <c r="G41" s="86"/>
    </row>
    <row r="42" spans="1:7" ht="12.95" customHeight="1" x14ac:dyDescent="0.25">
      <c r="A42" s="14"/>
      <c r="B42" s="83">
        <v>2021</v>
      </c>
      <c r="C42" s="84">
        <v>8446490.4100000001</v>
      </c>
      <c r="D42" s="84">
        <v>283885532.51999998</v>
      </c>
      <c r="E42" s="84">
        <f t="shared" si="0"/>
        <v>292332022.93000001</v>
      </c>
      <c r="F42" s="85">
        <f t="shared" si="1"/>
        <v>2.9753155558939721E-2</v>
      </c>
      <c r="G42" s="86"/>
    </row>
    <row r="43" spans="1:7" ht="12.95" customHeight="1" x14ac:dyDescent="0.25">
      <c r="A43" s="14"/>
      <c r="B43" s="83">
        <v>2022</v>
      </c>
      <c r="C43" s="84">
        <v>484690.88</v>
      </c>
      <c r="D43" s="84">
        <v>387168828.87</v>
      </c>
      <c r="E43" s="84">
        <f t="shared" si="0"/>
        <v>387653519.75</v>
      </c>
      <c r="F43" s="85">
        <f t="shared" si="1"/>
        <v>1.2518850792162947E-3</v>
      </c>
      <c r="G43" s="86"/>
    </row>
    <row r="44" spans="1:7" ht="12.95" customHeight="1" x14ac:dyDescent="0.25">
      <c r="A44" s="14"/>
      <c r="B44" s="83">
        <v>2023</v>
      </c>
      <c r="C44" s="84">
        <v>47215948.380000003</v>
      </c>
      <c r="D44" s="84">
        <v>489386920.14999998</v>
      </c>
      <c r="E44" s="84">
        <v>387653519.75</v>
      </c>
      <c r="F44" s="85">
        <f t="shared" si="1"/>
        <v>9.6479792237863723E-2</v>
      </c>
      <c r="G44" s="86"/>
    </row>
    <row r="45" spans="1:7" ht="12.95" customHeight="1" x14ac:dyDescent="0.25">
      <c r="A45" s="14"/>
      <c r="B45" s="87" t="s">
        <v>115</v>
      </c>
      <c r="C45" s="88"/>
      <c r="D45" s="88"/>
      <c r="E45" s="88"/>
      <c r="F45" s="89">
        <f>AVERAGE(F35:F44)</f>
        <v>3.3427050027342191E-2</v>
      </c>
    </row>
    <row r="46" spans="1:7" x14ac:dyDescent="0.25">
      <c r="A46" s="14"/>
      <c r="B46" s="2"/>
      <c r="C46" s="2"/>
      <c r="D46" s="2"/>
      <c r="E46" s="2"/>
      <c r="F46" s="90"/>
    </row>
    <row r="47" spans="1:7" ht="44.25" customHeight="1" x14ac:dyDescent="0.25">
      <c r="A47" s="297" t="s">
        <v>116</v>
      </c>
      <c r="B47" s="297"/>
      <c r="C47" s="297"/>
      <c r="D47" s="297"/>
      <c r="E47" s="297"/>
      <c r="F47" s="297"/>
      <c r="G47" s="297"/>
    </row>
    <row r="48" spans="1:7" x14ac:dyDescent="0.25">
      <c r="B48" s="90"/>
      <c r="C48" s="90"/>
      <c r="D48" s="90"/>
      <c r="E48" s="90"/>
      <c r="F48" s="90"/>
    </row>
    <row r="49" spans="1:7" x14ac:dyDescent="0.25">
      <c r="A49" s="41" t="s">
        <v>117</v>
      </c>
      <c r="C49" s="90"/>
      <c r="D49" s="90"/>
      <c r="E49" s="90"/>
      <c r="F49" s="90"/>
    </row>
    <row r="51" spans="1:7" ht="30" customHeight="1" x14ac:dyDescent="0.25">
      <c r="A51" s="297" t="s">
        <v>118</v>
      </c>
      <c r="B51" s="297"/>
      <c r="C51" s="297"/>
      <c r="D51" s="297"/>
      <c r="E51" s="297"/>
      <c r="F51" s="297"/>
      <c r="G51" s="297"/>
    </row>
    <row r="52" spans="1:7" x14ac:dyDescent="0.25">
      <c r="B52" s="91"/>
      <c r="C52" s="91"/>
      <c r="D52" s="91"/>
      <c r="E52" s="91"/>
      <c r="F52" s="91"/>
    </row>
  </sheetData>
  <mergeCells count="2">
    <mergeCell ref="A47:G47"/>
    <mergeCell ref="A51:G51"/>
  </mergeCells>
  <printOptions horizontalCentered="1"/>
  <pageMargins left="0.7" right="0.7" top="0.75" bottom="0.75" header="0.3" footer="0.3"/>
  <pageSetup scale="83" orientation="portrait" r:id="rId1"/>
  <headerFooter>
    <oddHeader>&amp;R&amp;"Arial,Bold"&amp;10Exhibit 9
Page &amp;P</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E36C3-F87D-4A45-9FE6-AEDA55175D4C}">
  <sheetPr codeName="Sheet8"/>
  <dimension ref="A1:F35"/>
  <sheetViews>
    <sheetView view="pageBreakPreview" zoomScale="70" zoomScaleNormal="100" zoomScaleSheetLayoutView="70" workbookViewId="0">
      <selection activeCell="C31" sqref="C31"/>
    </sheetView>
  </sheetViews>
  <sheetFormatPr defaultRowHeight="15" x14ac:dyDescent="0.25"/>
  <cols>
    <col min="2" max="2" width="12.85546875" customWidth="1"/>
    <col min="3" max="3" width="17.42578125" customWidth="1"/>
    <col min="4" max="4" width="15" customWidth="1"/>
    <col min="5" max="5" width="4.7109375" customWidth="1"/>
  </cols>
  <sheetData>
    <row r="1" spans="1:6" x14ac:dyDescent="0.25">
      <c r="A1" s="11" t="s">
        <v>1</v>
      </c>
      <c r="B1" s="71"/>
      <c r="C1" s="71"/>
      <c r="D1" s="71"/>
      <c r="E1" s="71"/>
      <c r="F1" s="72"/>
    </row>
    <row r="2" spans="1:6" x14ac:dyDescent="0.25">
      <c r="A2" s="10" t="s">
        <v>0</v>
      </c>
      <c r="B2" s="71"/>
      <c r="C2" s="71"/>
      <c r="D2" s="71"/>
      <c r="E2" s="71"/>
      <c r="F2" s="72"/>
    </row>
    <row r="3" spans="1:6" x14ac:dyDescent="0.25">
      <c r="A3" s="10"/>
      <c r="B3" s="71"/>
      <c r="C3" s="71"/>
      <c r="D3" s="71"/>
      <c r="E3" s="71"/>
      <c r="F3" s="73"/>
    </row>
    <row r="4" spans="1:6" x14ac:dyDescent="0.25">
      <c r="A4" s="9" t="s">
        <v>119</v>
      </c>
      <c r="B4" s="21"/>
      <c r="C4" s="21"/>
      <c r="D4" s="21"/>
      <c r="E4" s="21"/>
      <c r="F4" s="35"/>
    </row>
    <row r="5" spans="1:6" x14ac:dyDescent="0.25">
      <c r="B5" s="21"/>
      <c r="C5" s="21"/>
      <c r="D5" s="21"/>
      <c r="E5" s="21"/>
    </row>
    <row r="6" spans="1:6" x14ac:dyDescent="0.25">
      <c r="B6" s="74" t="s">
        <v>104</v>
      </c>
      <c r="C6" s="74"/>
      <c r="D6" s="74"/>
      <c r="E6" s="74"/>
    </row>
    <row r="7" spans="1:6" x14ac:dyDescent="0.25">
      <c r="B7" s="76"/>
      <c r="C7" s="76"/>
      <c r="D7" s="76"/>
      <c r="E7" s="76"/>
    </row>
    <row r="8" spans="1:6" x14ac:dyDescent="0.25">
      <c r="B8" s="78"/>
      <c r="C8" s="79"/>
      <c r="D8" s="79"/>
      <c r="E8" s="78"/>
    </row>
    <row r="9" spans="1:6" x14ac:dyDescent="0.25">
      <c r="B9" s="76"/>
      <c r="C9" s="92" t="s">
        <v>120</v>
      </c>
    </row>
    <row r="10" spans="1:6" x14ac:dyDescent="0.25">
      <c r="B10" s="78" t="s">
        <v>121</v>
      </c>
      <c r="C10" s="78" t="s">
        <v>109</v>
      </c>
    </row>
    <row r="11" spans="1:6" x14ac:dyDescent="0.25">
      <c r="B11" s="80" t="s">
        <v>111</v>
      </c>
      <c r="C11" s="81" t="s">
        <v>112</v>
      </c>
    </row>
    <row r="12" spans="1:6" x14ac:dyDescent="0.25">
      <c r="A12" s="14"/>
      <c r="B12" s="83">
        <v>2007</v>
      </c>
      <c r="C12" s="84">
        <v>0</v>
      </c>
    </row>
    <row r="13" spans="1:6" x14ac:dyDescent="0.25">
      <c r="A13" s="14"/>
      <c r="B13" s="83">
        <v>2008</v>
      </c>
      <c r="C13" s="84">
        <v>-22080.11</v>
      </c>
    </row>
    <row r="14" spans="1:6" x14ac:dyDescent="0.25">
      <c r="A14" s="14"/>
      <c r="B14" s="83">
        <v>2009</v>
      </c>
      <c r="C14" s="84">
        <v>-313344.78000000003</v>
      </c>
    </row>
    <row r="15" spans="1:6" x14ac:dyDescent="0.25">
      <c r="A15" s="14"/>
      <c r="B15" s="83">
        <v>2010</v>
      </c>
      <c r="C15" s="84">
        <v>-24696.07</v>
      </c>
    </row>
    <row r="16" spans="1:6" x14ac:dyDescent="0.25">
      <c r="A16" s="14"/>
      <c r="B16" s="83">
        <v>2011</v>
      </c>
      <c r="C16" s="84">
        <v>-74293.790000000008</v>
      </c>
    </row>
    <row r="17" spans="1:6" x14ac:dyDescent="0.25">
      <c r="A17" s="14"/>
      <c r="B17" s="83">
        <v>2012</v>
      </c>
      <c r="C17" s="84">
        <v>-23325.83</v>
      </c>
    </row>
    <row r="18" spans="1:6" x14ac:dyDescent="0.25">
      <c r="A18" s="14"/>
      <c r="B18" s="83">
        <v>2013</v>
      </c>
      <c r="C18" s="84">
        <v>-7463.03</v>
      </c>
    </row>
    <row r="19" spans="1:6" x14ac:dyDescent="0.25">
      <c r="A19" s="14"/>
      <c r="B19" s="83">
        <v>2014</v>
      </c>
      <c r="C19" s="84">
        <v>4.25</v>
      </c>
    </row>
    <row r="20" spans="1:6" x14ac:dyDescent="0.25">
      <c r="A20" s="14"/>
      <c r="B20" s="83">
        <v>2015</v>
      </c>
      <c r="C20" s="84">
        <v>-97.48</v>
      </c>
    </row>
    <row r="21" spans="1:6" x14ac:dyDescent="0.25">
      <c r="A21" s="14"/>
      <c r="B21" s="83">
        <v>2016</v>
      </c>
      <c r="C21" s="84">
        <v>1014.75</v>
      </c>
    </row>
    <row r="22" spans="1:6" x14ac:dyDescent="0.25">
      <c r="A22" s="14"/>
      <c r="B22" s="83">
        <v>2017</v>
      </c>
      <c r="C22" s="84">
        <v>-22509.58</v>
      </c>
    </row>
    <row r="23" spans="1:6" x14ac:dyDescent="0.25">
      <c r="A23" s="14"/>
      <c r="B23" s="83">
        <v>2018</v>
      </c>
      <c r="C23" s="84">
        <v>-14933.31</v>
      </c>
    </row>
    <row r="24" spans="1:6" x14ac:dyDescent="0.25">
      <c r="A24" s="14"/>
      <c r="B24" s="83">
        <v>2019</v>
      </c>
      <c r="C24" s="84">
        <v>500</v>
      </c>
    </row>
    <row r="25" spans="1:6" x14ac:dyDescent="0.25">
      <c r="A25" s="14"/>
      <c r="B25" s="83">
        <v>2020</v>
      </c>
      <c r="C25" s="84">
        <v>-16752495.700000001</v>
      </c>
    </row>
    <row r="26" spans="1:6" x14ac:dyDescent="0.25">
      <c r="A26" s="14"/>
      <c r="B26" s="83">
        <v>2021</v>
      </c>
      <c r="C26" s="84">
        <v>-812527.24</v>
      </c>
    </row>
    <row r="27" spans="1:6" x14ac:dyDescent="0.25">
      <c r="A27" s="14"/>
      <c r="B27" s="83">
        <v>2022</v>
      </c>
      <c r="C27" s="84">
        <v>-578449.68000000005</v>
      </c>
    </row>
    <row r="28" spans="1:6" x14ac:dyDescent="0.25">
      <c r="A28" s="14"/>
      <c r="B28" s="233">
        <v>2023</v>
      </c>
      <c r="C28" s="84">
        <v>-248759.7</v>
      </c>
    </row>
    <row r="29" spans="1:6" x14ac:dyDescent="0.25">
      <c r="A29" s="14"/>
      <c r="D29" s="88"/>
      <c r="E29" s="88"/>
    </row>
    <row r="30" spans="1:6" x14ac:dyDescent="0.25">
      <c r="A30" s="14"/>
      <c r="B30" s="26" t="s">
        <v>122</v>
      </c>
      <c r="C30" s="2"/>
      <c r="D30" s="2"/>
      <c r="E30" s="2"/>
    </row>
    <row r="31" spans="1:6" ht="15.75" customHeight="1" x14ac:dyDescent="0.25">
      <c r="C31" s="93"/>
      <c r="D31" s="93"/>
      <c r="E31" s="93"/>
    </row>
    <row r="32" spans="1:6" ht="26.25" customHeight="1" x14ac:dyDescent="0.25">
      <c r="B32" s="297" t="s">
        <v>123</v>
      </c>
      <c r="C32" s="297"/>
      <c r="D32" s="297"/>
      <c r="E32" s="297"/>
      <c r="F32" s="93"/>
    </row>
    <row r="33" spans="2:6" x14ac:dyDescent="0.25">
      <c r="B33" s="297"/>
      <c r="C33" s="297"/>
      <c r="D33" s="297"/>
      <c r="E33" s="297"/>
      <c r="F33" s="93"/>
    </row>
    <row r="34" spans="2:6" x14ac:dyDescent="0.25">
      <c r="B34" s="41"/>
      <c r="C34" s="90"/>
      <c r="D34" s="90"/>
      <c r="E34" s="90"/>
    </row>
    <row r="35" spans="2:6" x14ac:dyDescent="0.25">
      <c r="B35" s="26"/>
    </row>
  </sheetData>
  <mergeCells count="1">
    <mergeCell ref="B32:E33"/>
  </mergeCells>
  <printOptions horizontalCentered="1"/>
  <pageMargins left="0.7" right="0.7" top="0.75" bottom="0.75" header="0.3" footer="0.3"/>
  <pageSetup scale="83" orientation="portrait" r:id="rId1"/>
  <headerFooter>
    <oddHeader>&amp;R&amp;"Arial,Bold"&amp;10Exhibit 9
Page &amp;P</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65D5-22F9-4BA5-92A4-B737DB747DB8}">
  <dimension ref="A1:O46"/>
  <sheetViews>
    <sheetView view="pageBreakPreview" topLeftCell="B1" zoomScale="90" zoomScaleNormal="100" zoomScaleSheetLayoutView="90" workbookViewId="0">
      <selection activeCell="I18" sqref="I18:O19"/>
    </sheetView>
  </sheetViews>
  <sheetFormatPr defaultRowHeight="15" x14ac:dyDescent="0.25"/>
  <cols>
    <col min="1" max="1" width="7.140625" customWidth="1"/>
    <col min="2" max="2" width="16.28515625" customWidth="1"/>
    <col min="3" max="3" width="22.140625" customWidth="1"/>
    <col min="4" max="4" width="22" bestFit="1" customWidth="1"/>
    <col min="5" max="5" width="11.140625" bestFit="1" customWidth="1"/>
    <col min="6" max="6" width="16.85546875" customWidth="1"/>
    <col min="7" max="7" width="6.140625" customWidth="1"/>
    <col min="9" max="9" width="21.140625" customWidth="1"/>
    <col min="10" max="10" width="10.140625" customWidth="1"/>
    <col min="11" max="11" width="11" customWidth="1"/>
    <col min="12" max="12" width="12.28515625" customWidth="1"/>
    <col min="13" max="13" width="14.42578125" customWidth="1"/>
    <col min="14" max="14" width="11" customWidth="1"/>
    <col min="15" max="15" width="10.28515625" customWidth="1"/>
  </cols>
  <sheetData>
    <row r="1" spans="1:15" ht="18.75" x14ac:dyDescent="0.3">
      <c r="A1" s="11" t="s">
        <v>1</v>
      </c>
      <c r="B1" s="36"/>
      <c r="C1" s="15"/>
      <c r="D1" s="15"/>
      <c r="E1" s="15"/>
      <c r="F1" s="15"/>
      <c r="G1" s="36"/>
      <c r="I1" s="11" t="s">
        <v>1</v>
      </c>
      <c r="J1" s="94"/>
      <c r="K1" s="15"/>
      <c r="L1" s="15"/>
      <c r="M1" s="15"/>
      <c r="N1" s="15"/>
      <c r="O1" s="94"/>
    </row>
    <row r="2" spans="1:15" ht="18.75" x14ac:dyDescent="0.3">
      <c r="A2" s="10" t="s">
        <v>0</v>
      </c>
      <c r="B2" s="36"/>
      <c r="C2" s="15"/>
      <c r="D2" s="15"/>
      <c r="E2" s="15"/>
      <c r="F2" s="15"/>
      <c r="G2" s="36"/>
      <c r="I2" s="10" t="s">
        <v>0</v>
      </c>
      <c r="J2" s="94"/>
      <c r="K2" s="15"/>
      <c r="L2" s="15"/>
      <c r="M2" s="15"/>
      <c r="N2" s="15"/>
      <c r="O2" s="94"/>
    </row>
    <row r="3" spans="1:15" ht="18.75" x14ac:dyDescent="0.3">
      <c r="A3" s="95"/>
      <c r="B3" s="36"/>
      <c r="C3" s="15"/>
      <c r="D3" s="15"/>
      <c r="E3" s="15"/>
      <c r="F3" s="15"/>
      <c r="G3" s="96"/>
      <c r="I3" s="10"/>
      <c r="J3" s="94"/>
      <c r="K3" s="15"/>
      <c r="L3" s="15"/>
      <c r="M3" s="15"/>
      <c r="N3" s="15"/>
      <c r="O3" s="94"/>
    </row>
    <row r="4" spans="1:15" ht="18.75" x14ac:dyDescent="0.3">
      <c r="A4" s="9" t="s">
        <v>124</v>
      </c>
      <c r="B4" s="36"/>
      <c r="C4" s="15"/>
      <c r="D4" s="15"/>
      <c r="E4" s="15"/>
      <c r="F4" s="15"/>
      <c r="G4" s="36"/>
      <c r="I4" s="9" t="s">
        <v>124</v>
      </c>
      <c r="J4" s="94"/>
      <c r="K4" s="15"/>
      <c r="L4" s="15"/>
      <c r="M4" s="15"/>
      <c r="N4" s="15"/>
      <c r="O4" s="94"/>
    </row>
    <row r="5" spans="1:15" ht="15.75" x14ac:dyDescent="0.25">
      <c r="A5" s="21" t="s">
        <v>125</v>
      </c>
      <c r="B5" s="97"/>
      <c r="C5" s="98"/>
      <c r="D5" s="98"/>
      <c r="E5" s="98"/>
      <c r="F5" s="98"/>
      <c r="G5" s="99"/>
      <c r="I5" s="21" t="s">
        <v>126</v>
      </c>
      <c r="J5" s="99"/>
      <c r="K5" s="98"/>
      <c r="L5" s="98"/>
      <c r="M5" s="98"/>
      <c r="N5" s="98"/>
      <c r="O5" s="99"/>
    </row>
    <row r="6" spans="1:15" ht="15.75" x14ac:dyDescent="0.25">
      <c r="A6" s="98"/>
      <c r="B6" s="19"/>
      <c r="C6" s="21"/>
      <c r="D6" s="21"/>
      <c r="E6" s="21"/>
      <c r="F6" s="21"/>
      <c r="G6" s="35"/>
      <c r="I6" s="100"/>
      <c r="K6" s="21"/>
      <c r="L6" s="21"/>
      <c r="M6" s="21"/>
      <c r="N6" s="21"/>
    </row>
    <row r="7" spans="1:15" ht="15" customHeight="1" x14ac:dyDescent="0.25">
      <c r="A7" s="100"/>
      <c r="B7" s="304" t="s">
        <v>310</v>
      </c>
      <c r="C7" s="304"/>
      <c r="D7" s="304"/>
      <c r="E7" s="304"/>
      <c r="F7" s="304"/>
      <c r="I7" s="304" t="s">
        <v>127</v>
      </c>
      <c r="J7" s="304"/>
      <c r="K7" s="304"/>
      <c r="L7" s="304"/>
      <c r="M7" s="304"/>
      <c r="N7" s="304"/>
      <c r="O7" s="304"/>
    </row>
    <row r="8" spans="1:15" x14ac:dyDescent="0.25">
      <c r="A8" s="21"/>
      <c r="B8" s="304"/>
      <c r="C8" s="304"/>
      <c r="D8" s="304"/>
      <c r="E8" s="304"/>
      <c r="F8" s="304"/>
      <c r="I8" s="304"/>
      <c r="J8" s="304"/>
      <c r="K8" s="304"/>
      <c r="L8" s="304"/>
      <c r="M8" s="304"/>
      <c r="N8" s="304"/>
      <c r="O8" s="304"/>
    </row>
    <row r="9" spans="1:15" x14ac:dyDescent="0.25">
      <c r="A9" s="100"/>
      <c r="B9" s="304"/>
      <c r="C9" s="304"/>
      <c r="D9" s="304"/>
      <c r="E9" s="304"/>
      <c r="F9" s="304"/>
      <c r="I9" s="101"/>
      <c r="N9" s="2"/>
      <c r="O9" s="101"/>
    </row>
    <row r="10" spans="1:15" x14ac:dyDescent="0.25">
      <c r="B10" s="102"/>
      <c r="C10" s="102"/>
      <c r="D10" s="78" t="s">
        <v>128</v>
      </c>
      <c r="E10" s="102"/>
      <c r="F10" s="102"/>
      <c r="J10" s="295" t="s">
        <v>41</v>
      </c>
      <c r="K10" s="295"/>
      <c r="L10" s="295" t="s">
        <v>128</v>
      </c>
      <c r="M10" s="295"/>
      <c r="N10" s="2"/>
      <c r="O10" s="101"/>
    </row>
    <row r="11" spans="1:15" ht="15" customHeight="1" x14ac:dyDescent="0.25">
      <c r="B11" s="102"/>
      <c r="C11" s="47" t="s">
        <v>41</v>
      </c>
      <c r="D11" s="103" t="s">
        <v>129</v>
      </c>
      <c r="E11" s="102"/>
      <c r="F11" s="102"/>
      <c r="J11" s="302" t="s">
        <v>130</v>
      </c>
      <c r="K11" s="302"/>
      <c r="L11" s="303">
        <v>301107</v>
      </c>
      <c r="M11" s="303"/>
      <c r="N11" s="2"/>
    </row>
    <row r="12" spans="1:15" ht="15" customHeight="1" x14ac:dyDescent="0.25">
      <c r="B12" s="102"/>
      <c r="C12" s="83" t="s">
        <v>130</v>
      </c>
      <c r="D12" s="84">
        <v>131396</v>
      </c>
      <c r="E12" s="102"/>
      <c r="F12" s="102"/>
      <c r="J12" s="302" t="s">
        <v>131</v>
      </c>
      <c r="K12" s="302"/>
      <c r="L12" s="303">
        <v>38442</v>
      </c>
      <c r="M12" s="303"/>
      <c r="N12" s="2"/>
    </row>
    <row r="13" spans="1:15" x14ac:dyDescent="0.25">
      <c r="B13" s="102"/>
      <c r="C13" s="83" t="s">
        <v>131</v>
      </c>
      <c r="D13" s="84">
        <v>10344</v>
      </c>
      <c r="E13" s="102"/>
      <c r="F13" s="102"/>
      <c r="J13" s="302" t="s">
        <v>132</v>
      </c>
      <c r="K13" s="302"/>
      <c r="L13" s="303">
        <v>36328</v>
      </c>
      <c r="M13" s="303"/>
      <c r="N13" s="2"/>
    </row>
    <row r="14" spans="1:15" x14ac:dyDescent="0.25">
      <c r="B14" s="102"/>
      <c r="C14" s="83" t="s">
        <v>132</v>
      </c>
      <c r="D14" s="84">
        <v>19182</v>
      </c>
      <c r="E14" s="102"/>
      <c r="F14" s="102"/>
      <c r="J14" s="302" t="s">
        <v>133</v>
      </c>
      <c r="K14" s="302"/>
      <c r="L14" s="303">
        <v>232245</v>
      </c>
      <c r="M14" s="303"/>
      <c r="N14" s="2"/>
    </row>
    <row r="15" spans="1:15" x14ac:dyDescent="0.25">
      <c r="B15" s="102"/>
      <c r="C15" s="83" t="s">
        <v>133</v>
      </c>
      <c r="D15" s="84">
        <v>151227</v>
      </c>
      <c r="E15" s="102"/>
      <c r="F15" s="102"/>
      <c r="J15" s="302" t="s">
        <v>134</v>
      </c>
      <c r="K15" s="302"/>
      <c r="L15" s="303">
        <v>382247</v>
      </c>
      <c r="M15" s="303"/>
      <c r="N15" s="2"/>
    </row>
    <row r="16" spans="1:15" x14ac:dyDescent="0.25">
      <c r="B16" s="102"/>
      <c r="C16" s="83" t="s">
        <v>134</v>
      </c>
      <c r="D16" s="84">
        <v>213532</v>
      </c>
      <c r="E16" s="102"/>
      <c r="F16" s="102"/>
      <c r="I16" s="104"/>
      <c r="J16" s="302" t="s">
        <v>27</v>
      </c>
      <c r="K16" s="302"/>
      <c r="L16" s="303">
        <v>446066</v>
      </c>
      <c r="M16" s="303"/>
      <c r="N16" s="105"/>
    </row>
    <row r="17" spans="2:15" ht="15" customHeight="1" x14ac:dyDescent="0.25">
      <c r="B17" s="102"/>
      <c r="C17" s="83" t="s">
        <v>27</v>
      </c>
      <c r="D17" s="84">
        <v>324610</v>
      </c>
      <c r="E17" s="102"/>
      <c r="F17" s="102"/>
    </row>
    <row r="18" spans="2:15" x14ac:dyDescent="0.25">
      <c r="B18" s="102"/>
      <c r="C18" s="102"/>
      <c r="D18" s="102"/>
      <c r="E18" s="102"/>
      <c r="F18" s="102"/>
      <c r="I18" s="304" t="s">
        <v>135</v>
      </c>
      <c r="J18" s="304"/>
      <c r="K18" s="304"/>
      <c r="L18" s="304"/>
      <c r="M18" s="304"/>
      <c r="N18" s="304"/>
      <c r="O18" s="304"/>
    </row>
    <row r="19" spans="2:15" ht="15" customHeight="1" x14ac:dyDescent="0.25">
      <c r="B19" s="301" t="s">
        <v>311</v>
      </c>
      <c r="C19" s="301"/>
      <c r="D19" s="301"/>
      <c r="E19" s="301"/>
      <c r="F19" s="301"/>
      <c r="I19" s="304"/>
      <c r="J19" s="304"/>
      <c r="K19" s="304"/>
      <c r="L19" s="304"/>
      <c r="M19" s="304"/>
      <c r="N19" s="304"/>
      <c r="O19" s="304"/>
    </row>
    <row r="20" spans="2:15" x14ac:dyDescent="0.25">
      <c r="B20" s="301"/>
      <c r="C20" s="301"/>
      <c r="D20" s="301"/>
      <c r="E20" s="301"/>
      <c r="F20" s="301"/>
      <c r="I20" s="20"/>
      <c r="O20" s="2"/>
    </row>
    <row r="21" spans="2:15" x14ac:dyDescent="0.25">
      <c r="B21" s="106"/>
      <c r="C21" s="106"/>
      <c r="D21" s="106"/>
      <c r="E21" s="106"/>
      <c r="F21" s="106"/>
      <c r="I21" s="107" t="s">
        <v>136</v>
      </c>
      <c r="J21" s="107"/>
      <c r="K21" s="107"/>
      <c r="L21" s="107"/>
      <c r="M21" s="107"/>
      <c r="N21" s="107"/>
      <c r="O21" s="2"/>
    </row>
    <row r="22" spans="2:15" x14ac:dyDescent="0.25">
      <c r="B22" s="104" t="s">
        <v>137</v>
      </c>
      <c r="C22" s="26"/>
      <c r="D22" s="26"/>
      <c r="E22" s="26"/>
      <c r="F22" s="26"/>
      <c r="I22" s="26"/>
      <c r="J22" s="20" t="s">
        <v>138</v>
      </c>
      <c r="K22" s="20" t="s">
        <v>139</v>
      </c>
      <c r="L22" s="20" t="s">
        <v>140</v>
      </c>
      <c r="M22" s="298" t="s">
        <v>65</v>
      </c>
      <c r="N22" s="298"/>
      <c r="O22" s="26"/>
    </row>
    <row r="23" spans="2:15" x14ac:dyDescent="0.25">
      <c r="B23" s="26"/>
      <c r="C23" s="26"/>
      <c r="D23" s="78" t="s">
        <v>128</v>
      </c>
      <c r="E23" s="26"/>
      <c r="F23" s="26"/>
      <c r="I23" s="26" t="s">
        <v>141</v>
      </c>
      <c r="J23" s="20" t="s">
        <v>84</v>
      </c>
      <c r="K23" s="108">
        <v>-6.497E-2</v>
      </c>
      <c r="L23" s="108">
        <v>-2.494E-2</v>
      </c>
      <c r="M23" s="299">
        <f>(1+K23)*(1+L23)-1</f>
        <v>-8.8289648199999959E-2</v>
      </c>
      <c r="N23" s="299"/>
      <c r="O23" s="2"/>
    </row>
    <row r="24" spans="2:15" x14ac:dyDescent="0.25">
      <c r="B24" s="26"/>
      <c r="C24" s="47" t="s">
        <v>142</v>
      </c>
      <c r="D24" s="103" t="s">
        <v>129</v>
      </c>
      <c r="E24" s="26"/>
      <c r="F24" s="26"/>
      <c r="I24" s="20"/>
      <c r="O24" s="2"/>
    </row>
    <row r="25" spans="2:15" x14ac:dyDescent="0.25">
      <c r="B25" s="26"/>
      <c r="C25" s="83" t="s">
        <v>304</v>
      </c>
      <c r="D25" s="84">
        <v>29</v>
      </c>
      <c r="E25" s="26"/>
      <c r="F25" s="26"/>
      <c r="I25" s="128" t="s">
        <v>143</v>
      </c>
      <c r="J25" s="128"/>
      <c r="K25" s="128"/>
      <c r="L25" s="128"/>
      <c r="M25" s="128"/>
      <c r="N25" s="128"/>
      <c r="O25" s="2"/>
    </row>
    <row r="26" spans="2:15" x14ac:dyDescent="0.25">
      <c r="B26" s="26"/>
      <c r="C26" s="83" t="s">
        <v>44</v>
      </c>
      <c r="D26" s="84">
        <v>28</v>
      </c>
      <c r="E26" s="26"/>
      <c r="F26" s="26"/>
      <c r="I26" s="26"/>
      <c r="J26" s="20" t="s">
        <v>138</v>
      </c>
      <c r="K26" s="20" t="s">
        <v>139</v>
      </c>
      <c r="L26" s="20" t="s">
        <v>140</v>
      </c>
      <c r="M26" s="298" t="s">
        <v>65</v>
      </c>
      <c r="N26" s="298"/>
      <c r="O26" s="26"/>
    </row>
    <row r="27" spans="2:15" x14ac:dyDescent="0.25">
      <c r="B27" s="26"/>
      <c r="C27" s="83" t="s">
        <v>56</v>
      </c>
      <c r="D27" s="84">
        <v>16</v>
      </c>
      <c r="E27" s="26"/>
      <c r="F27" s="26"/>
      <c r="I27" s="26" t="s">
        <v>130</v>
      </c>
      <c r="J27" s="108" t="s">
        <v>84</v>
      </c>
      <c r="K27" s="20" t="s">
        <v>144</v>
      </c>
      <c r="L27" s="20" t="s">
        <v>144</v>
      </c>
      <c r="M27" s="299">
        <v>3.7872821015239033E-3</v>
      </c>
      <c r="N27" s="299"/>
      <c r="O27" s="26"/>
    </row>
    <row r="28" spans="2:15" x14ac:dyDescent="0.25">
      <c r="B28" s="26"/>
      <c r="C28" s="83" t="s">
        <v>55</v>
      </c>
      <c r="D28" s="84">
        <v>17</v>
      </c>
      <c r="E28" s="26"/>
      <c r="F28" s="26"/>
      <c r="I28" s="26"/>
      <c r="J28" s="26"/>
      <c r="K28" s="26"/>
      <c r="N28" s="26"/>
      <c r="O28" s="26"/>
    </row>
    <row r="29" spans="2:15" x14ac:dyDescent="0.25">
      <c r="B29" s="26"/>
      <c r="C29" s="83" t="s">
        <v>54</v>
      </c>
      <c r="D29" s="84">
        <v>39</v>
      </c>
      <c r="E29" s="26"/>
      <c r="F29" s="26"/>
      <c r="I29" s="26"/>
      <c r="J29" s="26"/>
      <c r="K29" s="26"/>
      <c r="L29" s="109" t="s">
        <v>145</v>
      </c>
      <c r="M29" s="83">
        <v>271</v>
      </c>
      <c r="N29" s="26"/>
      <c r="O29" s="26"/>
    </row>
    <row r="30" spans="2:15" x14ac:dyDescent="0.25">
      <c r="B30" s="26"/>
      <c r="C30" s="83" t="s">
        <v>53</v>
      </c>
      <c r="D30" s="84">
        <v>38</v>
      </c>
      <c r="E30" s="26"/>
      <c r="F30" s="26"/>
      <c r="I30" s="26"/>
      <c r="J30" s="26"/>
      <c r="K30" s="26"/>
      <c r="L30" s="109" t="s">
        <v>146</v>
      </c>
      <c r="M30" s="110">
        <f>ROUND(SQRT(M29/6000),3)</f>
        <v>0.21299999999999999</v>
      </c>
      <c r="N30" s="26"/>
      <c r="O30" s="26"/>
    </row>
    <row r="31" spans="2:15" x14ac:dyDescent="0.25">
      <c r="B31" s="26"/>
      <c r="C31" s="20"/>
      <c r="D31" s="20"/>
      <c r="E31" s="26"/>
      <c r="F31" s="26"/>
      <c r="I31" s="26"/>
      <c r="J31" s="26"/>
      <c r="K31" s="26"/>
      <c r="L31" s="109" t="s">
        <v>147</v>
      </c>
      <c r="M31" s="108">
        <f>(M30*(1+M23)+(1-M30)*(1+M27))-1</f>
        <v>-1.5825104052700656E-2</v>
      </c>
      <c r="N31" s="26"/>
      <c r="O31" s="26"/>
    </row>
    <row r="32" spans="2:15" x14ac:dyDescent="0.25">
      <c r="B32" s="26"/>
      <c r="C32" s="20" t="s">
        <v>148</v>
      </c>
      <c r="D32" s="111">
        <f>SUM(D25:D30)</f>
        <v>167</v>
      </c>
      <c r="E32" s="26"/>
      <c r="F32" s="26"/>
      <c r="I32" s="26"/>
      <c r="J32" s="26"/>
      <c r="K32" s="26"/>
      <c r="L32" s="109" t="s">
        <v>149</v>
      </c>
      <c r="M32" s="43">
        <f>M31</f>
        <v>-1.5825104052700656E-2</v>
      </c>
      <c r="N32" s="26"/>
      <c r="O32" s="26"/>
    </row>
    <row r="33" spans="2:15" x14ac:dyDescent="0.25">
      <c r="B33" s="26"/>
      <c r="C33" s="20"/>
      <c r="D33" s="20"/>
      <c r="E33" s="26"/>
      <c r="F33" s="26"/>
      <c r="I33" s="26"/>
      <c r="J33" s="26"/>
      <c r="K33" s="26"/>
      <c r="N33" s="26"/>
      <c r="O33" s="26"/>
    </row>
    <row r="34" spans="2:15" x14ac:dyDescent="0.25">
      <c r="B34" s="26"/>
      <c r="C34" s="20" t="s">
        <v>150</v>
      </c>
      <c r="D34" s="110">
        <f>ROUND(SQRT(D32/3000),3)</f>
        <v>0.23599999999999999</v>
      </c>
      <c r="E34" s="26"/>
      <c r="F34" s="26"/>
      <c r="I34" s="26"/>
      <c r="J34" s="26"/>
      <c r="K34" s="26"/>
      <c r="L34" s="109" t="s">
        <v>151</v>
      </c>
      <c r="M34" s="112">
        <v>45017</v>
      </c>
      <c r="N34" s="26"/>
      <c r="O34" s="26"/>
    </row>
    <row r="35" spans="2:15" x14ac:dyDescent="0.25">
      <c r="B35" s="261"/>
      <c r="C35" s="261"/>
      <c r="D35" s="261"/>
      <c r="E35" s="261"/>
      <c r="F35" s="261"/>
      <c r="L35" s="109" t="s">
        <v>152</v>
      </c>
      <c r="M35" s="112">
        <v>45839</v>
      </c>
    </row>
    <row r="36" spans="2:15" x14ac:dyDescent="0.25">
      <c r="B36" s="261" t="s">
        <v>153</v>
      </c>
      <c r="C36" s="261"/>
      <c r="D36" s="261"/>
      <c r="E36" s="261"/>
      <c r="F36" s="261"/>
    </row>
    <row r="37" spans="2:15" x14ac:dyDescent="0.25">
      <c r="B37" s="261" t="s">
        <v>154</v>
      </c>
      <c r="C37" s="261"/>
      <c r="D37" s="261"/>
      <c r="E37" s="261"/>
      <c r="F37" s="261"/>
      <c r="I37" s="26" t="s">
        <v>155</v>
      </c>
      <c r="J37" s="113" t="s">
        <v>304</v>
      </c>
      <c r="K37" s="114" t="s">
        <v>56</v>
      </c>
      <c r="L37" s="114" t="s">
        <v>55</v>
      </c>
      <c r="M37" s="114" t="s">
        <v>54</v>
      </c>
      <c r="N37" s="114" t="s">
        <v>53</v>
      </c>
      <c r="O37" s="114" t="s">
        <v>52</v>
      </c>
    </row>
    <row r="38" spans="2:15" x14ac:dyDescent="0.25">
      <c r="I38" s="26" t="s">
        <v>156</v>
      </c>
      <c r="J38" s="109">
        <v>2.25</v>
      </c>
      <c r="K38" s="115">
        <f>J38+1</f>
        <v>3.25</v>
      </c>
      <c r="L38" s="115">
        <f t="shared" ref="L38:O38" si="0">K38+1</f>
        <v>4.25</v>
      </c>
      <c r="M38" s="115">
        <f t="shared" si="0"/>
        <v>5.25</v>
      </c>
      <c r="N38" s="115">
        <f t="shared" si="0"/>
        <v>6.25</v>
      </c>
      <c r="O38" s="115">
        <f t="shared" si="0"/>
        <v>7.25</v>
      </c>
    </row>
    <row r="39" spans="2:15" x14ac:dyDescent="0.25">
      <c r="I39" s="26" t="s">
        <v>157</v>
      </c>
      <c r="J39" s="115">
        <f t="shared" ref="J39:O39" si="1">ROUND((1+$M$32)^J38,3)</f>
        <v>0.96499999999999997</v>
      </c>
      <c r="K39" s="115">
        <f t="shared" si="1"/>
        <v>0.94899999999999995</v>
      </c>
      <c r="L39" s="115">
        <f t="shared" si="1"/>
        <v>0.93400000000000005</v>
      </c>
      <c r="M39" s="115">
        <f t="shared" si="1"/>
        <v>0.92</v>
      </c>
      <c r="N39" s="115">
        <f t="shared" si="1"/>
        <v>0.90500000000000003</v>
      </c>
      <c r="O39" s="115">
        <f t="shared" si="1"/>
        <v>0.89100000000000001</v>
      </c>
    </row>
    <row r="40" spans="2:15" x14ac:dyDescent="0.25">
      <c r="J40" s="26"/>
      <c r="K40" s="116"/>
      <c r="L40" s="116"/>
      <c r="M40" s="116"/>
      <c r="N40" s="116"/>
      <c r="O40" s="116"/>
    </row>
    <row r="41" spans="2:15" x14ac:dyDescent="0.25">
      <c r="I41" s="26" t="s">
        <v>158</v>
      </c>
      <c r="J41" s="26"/>
      <c r="K41" s="26"/>
      <c r="L41" s="26"/>
      <c r="M41" s="26"/>
      <c r="N41" s="26"/>
      <c r="O41" s="26"/>
    </row>
    <row r="42" spans="2:15" ht="15" customHeight="1" x14ac:dyDescent="0.25">
      <c r="I42" s="26" t="s">
        <v>159</v>
      </c>
      <c r="O42" s="294"/>
    </row>
    <row r="43" spans="2:15" x14ac:dyDescent="0.25">
      <c r="O43" s="294"/>
    </row>
    <row r="44" spans="2:15" x14ac:dyDescent="0.25">
      <c r="I44" s="300" t="str">
        <f>"**Credibility Weighted Annual Trend = ( [MISC LIAB "&amp;J23&amp;" credibility] * (1+[MISC LIAB pure premium trend]) + (1-[MISC LIAB "&amp;J23&amp;" credibility])*(1+ [ Fast Track BIPD "&amp;J23&amp;" pure premium trend]) ) - 1"</f>
        <v>**Credibility Weighted Annual Trend = ( [MISC LIAB 24 pt credibility] * (1+[MISC LIAB pure premium trend]) + (1-[MISC LIAB 24 pt credibility])*(1+ [ Fast Track BIPD 24 pt pure premium trend]) ) - 1</v>
      </c>
      <c r="J44" s="300"/>
      <c r="K44" s="300"/>
      <c r="L44" s="300"/>
      <c r="M44" s="300"/>
      <c r="N44" s="300"/>
      <c r="O44" s="294"/>
    </row>
    <row r="45" spans="2:15" x14ac:dyDescent="0.25">
      <c r="I45" s="300"/>
      <c r="J45" s="300"/>
      <c r="K45" s="300"/>
      <c r="L45" s="300"/>
      <c r="M45" s="300"/>
      <c r="N45" s="300"/>
    </row>
    <row r="46" spans="2:15" x14ac:dyDescent="0.25">
      <c r="I46" s="300"/>
      <c r="J46" s="300"/>
      <c r="K46" s="300"/>
      <c r="L46" s="300"/>
      <c r="M46" s="300"/>
      <c r="N46" s="300"/>
    </row>
  </sheetData>
  <mergeCells count="23">
    <mergeCell ref="B7:F9"/>
    <mergeCell ref="I7:O8"/>
    <mergeCell ref="J10:K10"/>
    <mergeCell ref="L10:M10"/>
    <mergeCell ref="J11:K11"/>
    <mergeCell ref="L11:M11"/>
    <mergeCell ref="B19:F20"/>
    <mergeCell ref="J12:K12"/>
    <mergeCell ref="L12:M12"/>
    <mergeCell ref="J13:K13"/>
    <mergeCell ref="L13:M13"/>
    <mergeCell ref="J14:K14"/>
    <mergeCell ref="L14:M14"/>
    <mergeCell ref="J15:K15"/>
    <mergeCell ref="L15:M15"/>
    <mergeCell ref="J16:K16"/>
    <mergeCell ref="L16:M16"/>
    <mergeCell ref="I18:O19"/>
    <mergeCell ref="M22:N22"/>
    <mergeCell ref="M23:N23"/>
    <mergeCell ref="M26:N26"/>
    <mergeCell ref="M27:N27"/>
    <mergeCell ref="I44:N46"/>
  </mergeCells>
  <printOptions horizontalCentered="1"/>
  <pageMargins left="0.7" right="0.7" top="0.75" bottom="0.75" header="0.3" footer="0.3"/>
  <pageSetup scale="83" orientation="portrait" useFirstPageNumber="1" r:id="rId1"/>
  <headerFooter>
    <oddHeader>&amp;R&amp;"Arial,Bold"&amp;10Exhibit 10
Page &amp;P</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91F8C-BCA2-4480-89DF-14FC720A6910}">
  <sheetPr codeName="Sheet10"/>
  <dimension ref="A1:Q99"/>
  <sheetViews>
    <sheetView view="pageBreakPreview" zoomScale="70" zoomScaleNormal="100" zoomScaleSheetLayoutView="70" workbookViewId="0">
      <selection activeCell="H35" sqref="H35"/>
    </sheetView>
  </sheetViews>
  <sheetFormatPr defaultRowHeight="15" x14ac:dyDescent="0.25"/>
  <cols>
    <col min="1" max="1" width="12.7109375" customWidth="1"/>
    <col min="2" max="2" width="10.5703125" bestFit="1" customWidth="1"/>
    <col min="3" max="3" width="14" customWidth="1"/>
    <col min="4" max="4" width="14.7109375" customWidth="1"/>
    <col min="5" max="6" width="18.42578125" bestFit="1" customWidth="1"/>
    <col min="7" max="7" width="17.7109375" customWidth="1"/>
    <col min="8" max="8" width="23.140625" bestFit="1" customWidth="1"/>
    <col min="9" max="9" width="13.85546875" bestFit="1" customWidth="1"/>
    <col min="10" max="10" width="9.5703125" bestFit="1" customWidth="1"/>
    <col min="11" max="11" width="10.140625" bestFit="1" customWidth="1"/>
    <col min="12" max="13" width="14.85546875" bestFit="1" customWidth="1"/>
    <col min="14" max="14" width="6.5703125" customWidth="1"/>
    <col min="15" max="15" width="17" bestFit="1" customWidth="1"/>
    <col min="16" max="16" width="6.5703125" customWidth="1"/>
    <col min="17" max="18" width="14.5703125" bestFit="1" customWidth="1"/>
  </cols>
  <sheetData>
    <row r="1" spans="1:17" ht="18" customHeight="1" x14ac:dyDescent="0.25">
      <c r="A1" s="305" t="s">
        <v>1</v>
      </c>
      <c r="B1" s="305"/>
      <c r="C1" s="305"/>
      <c r="D1" s="305"/>
      <c r="E1" s="305"/>
      <c r="F1" s="305"/>
      <c r="G1" s="305"/>
      <c r="H1" s="305"/>
      <c r="I1" s="305"/>
      <c r="J1" s="305"/>
      <c r="K1" s="305"/>
      <c r="L1" s="305"/>
      <c r="M1" s="305"/>
      <c r="N1" s="1"/>
      <c r="O1" s="1"/>
      <c r="P1" s="1"/>
      <c r="Q1" s="1"/>
    </row>
    <row r="2" spans="1:17" ht="18" customHeight="1" x14ac:dyDescent="0.25">
      <c r="A2" s="306" t="s">
        <v>0</v>
      </c>
      <c r="B2" s="306"/>
      <c r="C2" s="306"/>
      <c r="D2" s="306"/>
      <c r="E2" s="306"/>
      <c r="F2" s="306"/>
      <c r="G2" s="306"/>
      <c r="H2" s="306"/>
      <c r="I2" s="306"/>
      <c r="J2" s="306"/>
      <c r="K2" s="306"/>
      <c r="L2" s="306"/>
      <c r="M2" s="306"/>
      <c r="N2" s="1"/>
      <c r="O2" s="1"/>
      <c r="P2" s="1"/>
      <c r="Q2" s="1"/>
    </row>
    <row r="3" spans="1:17" ht="18" x14ac:dyDescent="0.25">
      <c r="A3" s="10"/>
      <c r="B3" s="28"/>
      <c r="C3" s="28"/>
      <c r="D3" s="28"/>
      <c r="E3" s="28"/>
      <c r="F3" s="28"/>
      <c r="G3" s="28"/>
      <c r="H3" s="28"/>
      <c r="I3" s="1"/>
      <c r="J3" s="1"/>
      <c r="K3" s="1"/>
      <c r="L3" s="1"/>
      <c r="M3" s="1"/>
      <c r="N3" s="1"/>
      <c r="O3" s="1"/>
      <c r="P3" s="1"/>
      <c r="Q3" s="1"/>
    </row>
    <row r="4" spans="1:17" ht="18" customHeight="1" x14ac:dyDescent="0.25">
      <c r="A4" s="307" t="s">
        <v>160</v>
      </c>
      <c r="B4" s="307"/>
      <c r="C4" s="307"/>
      <c r="D4" s="307"/>
      <c r="E4" s="307"/>
      <c r="F4" s="307"/>
      <c r="G4" s="307"/>
      <c r="H4" s="307"/>
      <c r="I4" s="307"/>
      <c r="J4" s="307"/>
      <c r="K4" s="307"/>
      <c r="L4" s="307"/>
      <c r="M4" s="307"/>
      <c r="N4" s="1"/>
      <c r="O4" s="1"/>
      <c r="P4" s="1"/>
      <c r="Q4" s="1"/>
    </row>
    <row r="5" spans="1:17" x14ac:dyDescent="0.25">
      <c r="A5" s="1"/>
      <c r="B5" s="1"/>
      <c r="C5" s="1"/>
      <c r="D5" s="1"/>
      <c r="E5" s="1"/>
      <c r="F5" s="1"/>
      <c r="G5" s="1"/>
      <c r="H5" s="1"/>
      <c r="I5" s="1"/>
      <c r="J5" s="1"/>
      <c r="K5" s="1"/>
      <c r="L5" s="1"/>
      <c r="M5" s="1"/>
      <c r="N5" s="1"/>
      <c r="O5" s="1"/>
      <c r="P5" s="1"/>
      <c r="Q5" s="1"/>
    </row>
    <row r="6" spans="1:17" x14ac:dyDescent="0.25">
      <c r="A6" s="1"/>
      <c r="B6" s="1"/>
      <c r="C6" s="1"/>
      <c r="D6" s="1"/>
      <c r="E6" s="1"/>
      <c r="F6" s="1"/>
      <c r="G6" s="1"/>
      <c r="H6" s="1"/>
      <c r="I6" s="1"/>
      <c r="J6" s="1"/>
      <c r="K6" s="1"/>
      <c r="L6" s="1"/>
      <c r="M6" s="1"/>
      <c r="N6" s="1"/>
      <c r="O6" s="1"/>
      <c r="P6" s="1"/>
      <c r="Q6" s="1"/>
    </row>
    <row r="7" spans="1:17" x14ac:dyDescent="0.25">
      <c r="A7" s="117" t="s">
        <v>161</v>
      </c>
      <c r="B7" s="117" t="s">
        <v>162</v>
      </c>
      <c r="C7" s="117" t="s">
        <v>163</v>
      </c>
      <c r="D7" s="117" t="s">
        <v>164</v>
      </c>
      <c r="E7" s="117" t="s">
        <v>165</v>
      </c>
      <c r="F7" s="117" t="s">
        <v>166</v>
      </c>
      <c r="G7" s="117" t="s">
        <v>167</v>
      </c>
      <c r="H7" s="117" t="s">
        <v>168</v>
      </c>
      <c r="I7" s="117" t="s">
        <v>169</v>
      </c>
      <c r="J7" s="117" t="s">
        <v>170</v>
      </c>
      <c r="K7" s="117" t="s">
        <v>171</v>
      </c>
      <c r="L7" s="117" t="s">
        <v>172</v>
      </c>
      <c r="M7" s="117" t="s">
        <v>173</v>
      </c>
      <c r="N7" s="1"/>
      <c r="O7" s="1"/>
      <c r="P7" s="1"/>
      <c r="Q7" s="1"/>
    </row>
    <row r="8" spans="1:17" x14ac:dyDescent="0.25">
      <c r="A8" s="118"/>
      <c r="B8" s="118" t="s">
        <v>174</v>
      </c>
      <c r="C8" s="118" t="s">
        <v>175</v>
      </c>
      <c r="D8" s="118" t="s">
        <v>174</v>
      </c>
      <c r="E8" s="118" t="s">
        <v>174</v>
      </c>
      <c r="F8" s="118" t="s">
        <v>174</v>
      </c>
      <c r="G8" s="118" t="s">
        <v>174</v>
      </c>
      <c r="H8" s="118" t="s">
        <v>174</v>
      </c>
      <c r="I8" s="118" t="s">
        <v>175</v>
      </c>
      <c r="J8" s="118" t="s">
        <v>174</v>
      </c>
      <c r="K8" s="118" t="s">
        <v>174</v>
      </c>
      <c r="L8" s="118" t="s">
        <v>113</v>
      </c>
      <c r="M8" s="118" t="s">
        <v>176</v>
      </c>
      <c r="N8" s="1"/>
      <c r="O8" s="1"/>
      <c r="P8" s="1"/>
      <c r="Q8" s="1"/>
    </row>
    <row r="9" spans="1:17" x14ac:dyDescent="0.25">
      <c r="A9" s="118"/>
      <c r="B9" s="118" t="s">
        <v>177</v>
      </c>
      <c r="C9" s="118" t="s">
        <v>178</v>
      </c>
      <c r="D9" s="118" t="s">
        <v>179</v>
      </c>
      <c r="E9" s="118" t="s">
        <v>180</v>
      </c>
      <c r="F9" s="118" t="s">
        <v>181</v>
      </c>
      <c r="G9" s="118" t="s">
        <v>182</v>
      </c>
      <c r="H9" s="118" t="s">
        <v>183</v>
      </c>
      <c r="I9" s="118" t="s">
        <v>184</v>
      </c>
      <c r="J9" s="118" t="s">
        <v>185</v>
      </c>
      <c r="K9" s="118" t="s">
        <v>186</v>
      </c>
      <c r="L9" s="118" t="s">
        <v>174</v>
      </c>
      <c r="M9" s="118" t="s">
        <v>160</v>
      </c>
      <c r="N9" s="1"/>
      <c r="O9" s="1"/>
      <c r="P9" s="1"/>
      <c r="Q9" s="1"/>
    </row>
    <row r="10" spans="1:17" x14ac:dyDescent="0.25">
      <c r="A10" s="118"/>
      <c r="B10" s="118" t="s">
        <v>187</v>
      </c>
      <c r="C10" s="118" t="s">
        <v>188</v>
      </c>
      <c r="D10" s="118" t="s">
        <v>189</v>
      </c>
      <c r="E10" s="118" t="s">
        <v>189</v>
      </c>
      <c r="F10" s="118" t="s">
        <v>185</v>
      </c>
      <c r="G10" s="118" t="s">
        <v>190</v>
      </c>
      <c r="H10" s="118" t="s">
        <v>191</v>
      </c>
      <c r="I10" s="118" t="s">
        <v>192</v>
      </c>
      <c r="J10" s="118" t="s">
        <v>193</v>
      </c>
      <c r="K10" s="118" t="s">
        <v>194</v>
      </c>
      <c r="L10" s="118" t="s">
        <v>160</v>
      </c>
      <c r="M10" s="118" t="s">
        <v>195</v>
      </c>
      <c r="N10" s="1"/>
      <c r="O10" s="1"/>
      <c r="P10" s="1"/>
      <c r="Q10" s="1"/>
    </row>
    <row r="11" spans="1:17" x14ac:dyDescent="0.25">
      <c r="A11" s="119" t="s">
        <v>111</v>
      </c>
      <c r="B11" s="119" t="s">
        <v>196</v>
      </c>
      <c r="C11" s="119" t="s">
        <v>194</v>
      </c>
      <c r="D11" s="119" t="s">
        <v>35</v>
      </c>
      <c r="E11" s="119" t="s">
        <v>35</v>
      </c>
      <c r="F11" s="120" t="s">
        <v>197</v>
      </c>
      <c r="G11" s="120" t="s">
        <v>198</v>
      </c>
      <c r="H11" s="120" t="s">
        <v>199</v>
      </c>
      <c r="I11" s="119" t="s">
        <v>35</v>
      </c>
      <c r="J11" s="119" t="s">
        <v>200</v>
      </c>
      <c r="K11" s="119" t="s">
        <v>201</v>
      </c>
      <c r="L11" s="119" t="s">
        <v>202</v>
      </c>
      <c r="M11" s="120" t="s">
        <v>203</v>
      </c>
      <c r="N11" s="1"/>
      <c r="O11" s="1"/>
      <c r="P11" s="1"/>
      <c r="Q11" s="1"/>
    </row>
    <row r="12" spans="1:17" x14ac:dyDescent="0.25">
      <c r="A12" s="118">
        <v>2020</v>
      </c>
      <c r="B12" s="236">
        <v>10305783.225917421</v>
      </c>
      <c r="C12" s="239">
        <v>-5507158</v>
      </c>
      <c r="D12" s="239">
        <v>3873849975</v>
      </c>
      <c r="E12" s="239">
        <v>120605646.36</v>
      </c>
      <c r="F12" s="239">
        <v>3994455621.3600001</v>
      </c>
      <c r="G12" s="237">
        <v>0.96980673769034453</v>
      </c>
      <c r="H12" s="238">
        <v>9994618.0096708499</v>
      </c>
      <c r="I12" s="239">
        <v>39458699247</v>
      </c>
      <c r="J12" s="240">
        <v>9.8174801727518288E-2</v>
      </c>
      <c r="K12" s="239">
        <v>-540664.14473211614</v>
      </c>
      <c r="L12" s="239">
        <v>9453953.8649387341</v>
      </c>
      <c r="M12" s="240">
        <v>2.4404543092659994E-3</v>
      </c>
      <c r="N12" s="1"/>
      <c r="O12" s="1"/>
      <c r="P12" s="1"/>
      <c r="Q12" s="1"/>
    </row>
    <row r="13" spans="1:17" x14ac:dyDescent="0.25">
      <c r="A13" s="118">
        <v>2021</v>
      </c>
      <c r="B13" s="236">
        <v>23202.923924868144</v>
      </c>
      <c r="C13" s="239">
        <v>-5478077</v>
      </c>
      <c r="D13" s="239">
        <v>3822754870.1599998</v>
      </c>
      <c r="E13" s="239">
        <v>132024710.95999999</v>
      </c>
      <c r="F13" s="239">
        <v>3954779581.1199999</v>
      </c>
      <c r="G13" s="237">
        <v>0.9666164173623526</v>
      </c>
      <c r="H13" s="238">
        <v>22428.327196587263</v>
      </c>
      <c r="I13" s="239">
        <v>40624420247</v>
      </c>
      <c r="J13" s="240">
        <v>9.4099924304576379E-2</v>
      </c>
      <c r="K13" s="239">
        <v>-515486.63103464089</v>
      </c>
      <c r="L13" s="239">
        <v>-493058.3038380536</v>
      </c>
      <c r="M13" s="240">
        <v>-1.2897983799244151E-4</v>
      </c>
      <c r="N13" s="1"/>
      <c r="O13" s="1"/>
      <c r="P13" s="1"/>
      <c r="Q13" s="1"/>
    </row>
    <row r="14" spans="1:17" x14ac:dyDescent="0.25">
      <c r="A14" s="118">
        <v>2022</v>
      </c>
      <c r="B14" s="236">
        <v>0</v>
      </c>
      <c r="C14" s="239">
        <v>-8336029</v>
      </c>
      <c r="D14" s="239">
        <v>4051471580.9000001</v>
      </c>
      <c r="E14" s="239">
        <v>174064453.08000001</v>
      </c>
      <c r="F14" s="239">
        <v>4225536033.98</v>
      </c>
      <c r="G14" s="237">
        <v>0.95880653917509018</v>
      </c>
      <c r="H14" s="238">
        <v>0</v>
      </c>
      <c r="I14" s="239">
        <v>45345527409</v>
      </c>
      <c r="J14" s="240">
        <v>8.9346663549796534E-2</v>
      </c>
      <c r="K14" s="239">
        <v>-744796.37840434688</v>
      </c>
      <c r="L14" s="239">
        <v>-744796.37840434688</v>
      </c>
      <c r="M14" s="240">
        <v>-1.838335438203658E-4</v>
      </c>
      <c r="N14" s="1"/>
      <c r="O14" s="1"/>
      <c r="P14" s="1"/>
      <c r="Q14" s="1"/>
    </row>
    <row r="15" spans="1:17" x14ac:dyDescent="0.25">
      <c r="A15" s="118"/>
      <c r="B15" s="122"/>
      <c r="C15" s="121"/>
      <c r="D15" s="121"/>
      <c r="E15" s="121"/>
      <c r="F15" s="121"/>
      <c r="G15" s="123"/>
      <c r="H15" s="118"/>
      <c r="I15" s="124"/>
      <c r="J15" s="124"/>
      <c r="K15" s="124"/>
      <c r="L15" s="124"/>
      <c r="M15" s="124"/>
      <c r="N15" s="1"/>
      <c r="O15" s="1"/>
      <c r="P15" s="1"/>
      <c r="Q15" s="1"/>
    </row>
    <row r="16" spans="1:17" x14ac:dyDescent="0.25">
      <c r="A16" s="124" t="s">
        <v>204</v>
      </c>
      <c r="B16" s="118" t="s">
        <v>205</v>
      </c>
      <c r="C16" s="124" t="s">
        <v>206</v>
      </c>
      <c r="D16" s="121"/>
      <c r="E16" s="121"/>
      <c r="F16" s="121"/>
      <c r="G16" s="123"/>
      <c r="H16" s="118"/>
      <c r="I16" s="121"/>
      <c r="J16" s="124"/>
      <c r="K16" s="124"/>
      <c r="L16" s="124"/>
      <c r="M16" s="124"/>
      <c r="N16" s="1"/>
      <c r="O16" s="1"/>
      <c r="P16" s="1"/>
      <c r="Q16" s="1"/>
    </row>
    <row r="17" spans="1:17" x14ac:dyDescent="0.25">
      <c r="A17" s="124"/>
      <c r="B17" s="118" t="s">
        <v>207</v>
      </c>
      <c r="C17" s="125" t="s">
        <v>208</v>
      </c>
      <c r="D17" s="121"/>
      <c r="E17" s="121"/>
      <c r="F17" s="121"/>
      <c r="G17" s="123"/>
      <c r="H17" s="118"/>
      <c r="I17" s="124"/>
      <c r="J17" s="124"/>
      <c r="K17" s="124"/>
      <c r="L17" s="124"/>
      <c r="M17" s="124"/>
      <c r="N17" s="1"/>
      <c r="O17" s="1"/>
      <c r="P17" s="1"/>
      <c r="Q17" s="1"/>
    </row>
    <row r="18" spans="1:17" x14ac:dyDescent="0.25">
      <c r="A18" s="124"/>
      <c r="B18" s="118" t="s">
        <v>209</v>
      </c>
      <c r="C18" s="124" t="s">
        <v>210</v>
      </c>
      <c r="D18" s="121"/>
      <c r="E18" s="121"/>
      <c r="F18" s="121"/>
      <c r="G18" s="123"/>
      <c r="H18" s="118"/>
      <c r="I18" s="126"/>
      <c r="J18" s="124"/>
      <c r="K18" s="124"/>
      <c r="L18" s="124"/>
      <c r="M18" s="124"/>
      <c r="N18" s="1"/>
      <c r="O18" s="1"/>
      <c r="P18" s="1"/>
      <c r="Q18" s="1"/>
    </row>
    <row r="19" spans="1:17" x14ac:dyDescent="0.25">
      <c r="A19" s="124"/>
      <c r="B19" s="118" t="s">
        <v>211</v>
      </c>
      <c r="C19" s="124" t="s">
        <v>212</v>
      </c>
      <c r="D19" s="121"/>
      <c r="E19" s="121"/>
      <c r="F19" s="121"/>
      <c r="G19" s="123"/>
      <c r="H19" s="118"/>
      <c r="I19" s="124"/>
      <c r="J19" s="124"/>
      <c r="K19" s="124"/>
      <c r="L19" s="124"/>
      <c r="M19" s="124"/>
      <c r="N19" s="1"/>
      <c r="O19" s="1"/>
      <c r="P19" s="1"/>
      <c r="Q19" s="1"/>
    </row>
    <row r="20" spans="1:17" x14ac:dyDescent="0.25">
      <c r="A20" s="124"/>
      <c r="B20" s="118" t="s">
        <v>213</v>
      </c>
      <c r="C20" s="124" t="s">
        <v>214</v>
      </c>
      <c r="D20" s="124"/>
      <c r="E20" s="124"/>
      <c r="F20" s="124"/>
      <c r="G20" s="124"/>
      <c r="H20" s="127"/>
      <c r="I20" s="124"/>
      <c r="J20" s="124"/>
      <c r="K20" s="124"/>
      <c r="L20" s="124"/>
      <c r="M20" s="124"/>
      <c r="N20" s="1"/>
      <c r="O20" s="1"/>
      <c r="P20" s="1"/>
      <c r="Q20" s="1"/>
    </row>
    <row r="21" spans="1:17" x14ac:dyDescent="0.25">
      <c r="A21" s="124"/>
      <c r="B21" s="124"/>
      <c r="C21" s="124"/>
      <c r="D21" s="124"/>
      <c r="E21" s="124"/>
      <c r="F21" s="124"/>
      <c r="G21" s="124"/>
      <c r="H21" s="124"/>
      <c r="I21" s="124"/>
      <c r="J21" s="124"/>
      <c r="K21" s="124"/>
      <c r="L21" s="124"/>
      <c r="M21" s="124"/>
      <c r="N21" s="1"/>
      <c r="O21" s="1"/>
      <c r="P21" s="1"/>
      <c r="Q21" s="1"/>
    </row>
    <row r="22" spans="1:17" x14ac:dyDescent="0.25">
      <c r="A22" s="308" t="s">
        <v>215</v>
      </c>
      <c r="B22" s="308"/>
      <c r="C22" s="308"/>
      <c r="D22" s="308"/>
      <c r="E22" s="308"/>
      <c r="F22" s="308"/>
      <c r="G22" s="308"/>
      <c r="H22" s="308"/>
      <c r="I22" s="308"/>
      <c r="J22" s="308"/>
      <c r="K22" s="308"/>
      <c r="L22" s="308"/>
      <c r="M22" s="308"/>
      <c r="N22" s="1"/>
      <c r="O22" s="1"/>
      <c r="P22" s="1"/>
      <c r="Q22" s="1"/>
    </row>
    <row r="23" spans="1:17" x14ac:dyDescent="0.25">
      <c r="A23" s="308"/>
      <c r="B23" s="308"/>
      <c r="C23" s="308"/>
      <c r="D23" s="308"/>
      <c r="E23" s="308"/>
      <c r="F23" s="308"/>
      <c r="G23" s="308"/>
      <c r="H23" s="308"/>
      <c r="I23" s="308"/>
      <c r="J23" s="308"/>
      <c r="K23" s="308"/>
      <c r="L23" s="308"/>
      <c r="M23" s="308"/>
      <c r="N23" s="1"/>
      <c r="O23" s="1"/>
      <c r="P23" s="1"/>
      <c r="Q23" s="1"/>
    </row>
    <row r="24" spans="1:17" x14ac:dyDescent="0.25">
      <c r="A24" s="1"/>
      <c r="B24" s="1"/>
      <c r="C24" s="1"/>
      <c r="D24" s="1"/>
      <c r="E24" s="1"/>
      <c r="F24" s="1"/>
      <c r="G24" s="1"/>
      <c r="H24" s="1"/>
      <c r="I24" s="1"/>
      <c r="J24" s="1"/>
      <c r="K24" s="1"/>
      <c r="L24" s="1"/>
      <c r="M24" s="1"/>
      <c r="N24" s="1"/>
      <c r="O24" s="1"/>
      <c r="P24" s="1"/>
      <c r="Q24" s="1"/>
    </row>
    <row r="25" spans="1:17" x14ac:dyDescent="0.25">
      <c r="A25" s="1"/>
      <c r="B25" s="1"/>
      <c r="C25" s="1"/>
      <c r="D25" s="1"/>
      <c r="E25" s="1"/>
      <c r="F25" s="1"/>
      <c r="G25" s="1"/>
      <c r="H25" s="1"/>
      <c r="I25" s="1"/>
      <c r="J25" s="1"/>
      <c r="K25" s="1"/>
      <c r="L25" s="1"/>
      <c r="M25" s="1"/>
      <c r="N25" s="1"/>
      <c r="O25" s="1"/>
      <c r="P25" s="1"/>
      <c r="Q25" s="1"/>
    </row>
    <row r="26" spans="1:17" x14ac:dyDescent="0.25">
      <c r="A26" s="1"/>
      <c r="B26" s="1"/>
      <c r="C26" s="1"/>
      <c r="D26" s="1"/>
      <c r="E26" s="1"/>
      <c r="F26" s="1"/>
      <c r="G26" s="1"/>
      <c r="H26" s="1"/>
      <c r="I26" s="1"/>
      <c r="J26" s="1"/>
      <c r="K26" s="1"/>
      <c r="L26" s="1"/>
      <c r="M26" s="1"/>
      <c r="N26" s="1"/>
      <c r="O26" s="1"/>
      <c r="P26" s="1"/>
      <c r="Q26" s="1"/>
    </row>
    <row r="27" spans="1:17" x14ac:dyDescent="0.25">
      <c r="A27" s="1"/>
      <c r="B27" s="1"/>
      <c r="C27" s="1"/>
      <c r="D27" s="1"/>
      <c r="E27" s="1"/>
      <c r="F27" s="1"/>
      <c r="G27" s="1"/>
      <c r="H27" s="1"/>
      <c r="I27" s="1"/>
      <c r="J27" s="1"/>
      <c r="K27" s="1"/>
      <c r="L27" s="1"/>
      <c r="M27" s="1"/>
      <c r="N27" s="1"/>
      <c r="O27" s="1"/>
      <c r="P27" s="1"/>
      <c r="Q27" s="1"/>
    </row>
    <row r="28" spans="1:17" x14ac:dyDescent="0.25">
      <c r="A28" s="1"/>
      <c r="B28" s="1"/>
      <c r="C28" s="1"/>
      <c r="D28" s="1"/>
      <c r="E28" s="1"/>
      <c r="F28" s="1"/>
      <c r="G28" s="1"/>
      <c r="H28" s="1"/>
      <c r="I28" s="1"/>
      <c r="J28" s="1"/>
      <c r="K28" s="1"/>
      <c r="L28" s="1"/>
      <c r="M28" s="1"/>
      <c r="N28" s="1"/>
      <c r="O28" s="1"/>
      <c r="P28" s="1"/>
      <c r="Q28" s="1"/>
    </row>
    <row r="29" spans="1:17" x14ac:dyDescent="0.25">
      <c r="A29" s="1"/>
      <c r="B29" s="1"/>
      <c r="C29" s="1"/>
      <c r="D29" s="1"/>
      <c r="E29" s="1"/>
      <c r="F29" s="1"/>
      <c r="G29" s="1"/>
      <c r="H29" s="1"/>
      <c r="I29" s="1"/>
      <c r="J29" s="1"/>
      <c r="K29" s="1"/>
      <c r="L29" s="1"/>
      <c r="M29" s="1"/>
      <c r="N29" s="1"/>
      <c r="O29" s="1"/>
      <c r="P29" s="1"/>
      <c r="Q29" s="1"/>
    </row>
    <row r="30" spans="1:17" x14ac:dyDescent="0.25">
      <c r="A30" s="1"/>
      <c r="B30" s="1"/>
      <c r="C30" s="1"/>
      <c r="D30" s="1"/>
      <c r="E30" s="1"/>
      <c r="F30" s="1"/>
      <c r="G30" s="1"/>
      <c r="H30" s="1"/>
      <c r="I30" s="1"/>
      <c r="J30" s="1"/>
      <c r="K30" s="1"/>
      <c r="L30" s="1"/>
      <c r="M30" s="1"/>
      <c r="N30" s="1"/>
      <c r="O30" s="1"/>
      <c r="P30" s="1"/>
      <c r="Q30" s="1"/>
    </row>
    <row r="31" spans="1:17" x14ac:dyDescent="0.25">
      <c r="A31" s="1"/>
      <c r="B31" s="1"/>
      <c r="C31" s="1"/>
      <c r="D31" s="1"/>
      <c r="E31" s="1"/>
      <c r="F31" s="1"/>
      <c r="G31" s="1"/>
      <c r="H31" s="1"/>
      <c r="I31" s="1"/>
      <c r="J31" s="1"/>
      <c r="K31" s="1"/>
      <c r="L31" s="1"/>
      <c r="M31" s="1"/>
      <c r="N31" s="1"/>
      <c r="O31" s="1"/>
      <c r="P31" s="1"/>
      <c r="Q31" s="1"/>
    </row>
    <row r="32" spans="1:17" x14ac:dyDescent="0.25">
      <c r="A32" s="1"/>
      <c r="B32" s="1"/>
      <c r="C32" s="1"/>
      <c r="D32" s="1"/>
      <c r="E32" s="1"/>
      <c r="F32" s="1"/>
      <c r="G32" s="1"/>
      <c r="H32" s="1"/>
      <c r="I32" s="1"/>
      <c r="J32" s="1"/>
      <c r="K32" s="1"/>
      <c r="L32" s="1"/>
      <c r="M32" s="1"/>
      <c r="N32" s="1"/>
      <c r="O32" s="1"/>
      <c r="P32" s="1"/>
      <c r="Q32" s="1"/>
    </row>
    <row r="33" spans="1:17" x14ac:dyDescent="0.25">
      <c r="A33" s="1"/>
      <c r="B33" s="1"/>
      <c r="C33" s="1"/>
      <c r="D33" s="1"/>
      <c r="E33" s="1"/>
      <c r="F33" s="1"/>
      <c r="G33" s="1"/>
      <c r="H33" s="1"/>
      <c r="I33" s="1"/>
      <c r="J33" s="1"/>
      <c r="K33" s="1"/>
      <c r="L33" s="1"/>
      <c r="M33" s="1"/>
      <c r="N33" s="1"/>
      <c r="O33" s="1"/>
      <c r="P33" s="1"/>
      <c r="Q33" s="1"/>
    </row>
    <row r="34" spans="1:17" x14ac:dyDescent="0.25">
      <c r="A34" s="1"/>
      <c r="B34" s="1"/>
      <c r="C34" s="1"/>
      <c r="D34" s="1"/>
      <c r="E34" s="1"/>
      <c r="F34" s="1"/>
      <c r="G34" s="1"/>
      <c r="H34" s="1"/>
      <c r="I34" s="1"/>
      <c r="J34" s="1"/>
      <c r="K34" s="1"/>
      <c r="L34" s="1"/>
      <c r="M34" s="1"/>
      <c r="N34" s="1"/>
      <c r="O34" s="1"/>
      <c r="P34" s="1"/>
      <c r="Q34" s="1"/>
    </row>
    <row r="35" spans="1:17" x14ac:dyDescent="0.25">
      <c r="A35" s="1"/>
      <c r="B35" s="1"/>
      <c r="C35" s="1"/>
      <c r="D35" s="1"/>
      <c r="E35" s="1"/>
      <c r="F35" s="1"/>
      <c r="G35" s="1"/>
      <c r="H35" s="1"/>
      <c r="I35" s="1"/>
      <c r="J35" s="1"/>
      <c r="K35" s="1"/>
      <c r="L35" s="1"/>
      <c r="M35" s="1"/>
      <c r="N35" s="1"/>
      <c r="O35" s="1"/>
      <c r="P35" s="1"/>
      <c r="Q35" s="1"/>
    </row>
    <row r="36" spans="1:17" x14ac:dyDescent="0.25">
      <c r="A36" s="1"/>
      <c r="B36" s="1"/>
      <c r="C36" s="1"/>
      <c r="D36" s="1"/>
      <c r="E36" s="1"/>
      <c r="F36" s="1"/>
      <c r="G36" s="1"/>
      <c r="H36" s="1"/>
      <c r="I36" s="1"/>
      <c r="J36" s="1"/>
      <c r="K36" s="1"/>
      <c r="L36" s="1"/>
      <c r="M36" s="1"/>
      <c r="N36" s="1"/>
      <c r="O36" s="1"/>
      <c r="P36" s="1"/>
      <c r="Q36" s="1"/>
    </row>
    <row r="37" spans="1:17" x14ac:dyDescent="0.25">
      <c r="A37" s="1"/>
      <c r="B37" s="1"/>
      <c r="C37" s="1"/>
      <c r="D37" s="1"/>
      <c r="E37" s="1"/>
      <c r="F37" s="1"/>
      <c r="G37" s="1"/>
      <c r="H37" s="1"/>
      <c r="I37" s="1"/>
      <c r="J37" s="1"/>
      <c r="K37" s="1"/>
      <c r="L37" s="1"/>
      <c r="M37" s="1"/>
      <c r="N37" s="1"/>
      <c r="O37" s="1"/>
      <c r="P37" s="1"/>
      <c r="Q37" s="1"/>
    </row>
    <row r="38" spans="1:17" x14ac:dyDescent="0.25">
      <c r="A38" s="1"/>
      <c r="B38" s="1"/>
      <c r="C38" s="1"/>
      <c r="D38" s="1"/>
      <c r="E38" s="1"/>
      <c r="F38" s="1"/>
      <c r="G38" s="1"/>
      <c r="H38" s="1"/>
      <c r="I38" s="1"/>
      <c r="J38" s="1"/>
      <c r="K38" s="1"/>
      <c r="L38" s="1"/>
      <c r="M38" s="1"/>
      <c r="N38" s="1"/>
      <c r="O38" s="1"/>
      <c r="P38" s="1"/>
      <c r="Q38" s="1"/>
    </row>
    <row r="39" spans="1:17" x14ac:dyDescent="0.25">
      <c r="A39" s="1"/>
      <c r="B39" s="1"/>
      <c r="C39" s="1"/>
      <c r="D39" s="1"/>
      <c r="E39" s="1"/>
      <c r="F39" s="1"/>
      <c r="G39" s="1"/>
      <c r="H39" s="1"/>
      <c r="I39" s="1"/>
      <c r="J39" s="1"/>
      <c r="K39" s="1"/>
      <c r="L39" s="1"/>
      <c r="M39" s="1"/>
      <c r="N39" s="1"/>
      <c r="O39" s="1"/>
      <c r="P39" s="1"/>
      <c r="Q39" s="1"/>
    </row>
    <row r="40" spans="1:17" x14ac:dyDescent="0.25">
      <c r="A40" s="1"/>
      <c r="B40" s="1"/>
      <c r="C40" s="1"/>
      <c r="D40" s="1"/>
      <c r="E40" s="1"/>
      <c r="F40" s="1"/>
      <c r="G40" s="1"/>
      <c r="H40" s="1"/>
      <c r="I40" s="1"/>
      <c r="J40" s="1"/>
      <c r="K40" s="1"/>
      <c r="L40" s="1"/>
      <c r="M40" s="1"/>
      <c r="N40" s="1"/>
      <c r="O40" s="1"/>
      <c r="P40" s="1"/>
      <c r="Q40" s="1"/>
    </row>
    <row r="41" spans="1:17" x14ac:dyDescent="0.25">
      <c r="A41" s="1"/>
      <c r="B41" s="1"/>
      <c r="C41" s="1"/>
      <c r="D41" s="1"/>
      <c r="E41" s="1"/>
      <c r="F41" s="1"/>
      <c r="G41" s="1"/>
      <c r="H41" s="1"/>
      <c r="I41" s="1"/>
      <c r="J41" s="1"/>
      <c r="K41" s="1"/>
      <c r="L41" s="1"/>
      <c r="M41" s="1"/>
      <c r="N41" s="1"/>
      <c r="O41" s="1"/>
      <c r="P41" s="1"/>
      <c r="Q41" s="1"/>
    </row>
    <row r="42" spans="1:17" x14ac:dyDescent="0.25">
      <c r="A42" s="1"/>
      <c r="B42" s="1"/>
      <c r="C42" s="1"/>
      <c r="D42" s="1"/>
      <c r="E42" s="1"/>
      <c r="F42" s="1"/>
      <c r="G42" s="1"/>
      <c r="H42" s="1"/>
      <c r="I42" s="1"/>
      <c r="J42" s="1"/>
      <c r="K42" s="1"/>
      <c r="L42" s="1"/>
      <c r="M42" s="1"/>
      <c r="N42" s="1"/>
      <c r="O42" s="1"/>
      <c r="P42" s="1"/>
      <c r="Q42" s="1"/>
    </row>
    <row r="43" spans="1:17" x14ac:dyDescent="0.25">
      <c r="A43" s="1"/>
      <c r="B43" s="1"/>
      <c r="C43" s="1"/>
      <c r="D43" s="1"/>
      <c r="E43" s="1"/>
      <c r="F43" s="1"/>
      <c r="G43" s="1"/>
      <c r="H43" s="1"/>
      <c r="I43" s="1"/>
      <c r="J43" s="1"/>
      <c r="K43" s="1"/>
      <c r="L43" s="1"/>
      <c r="M43" s="1"/>
      <c r="N43" s="1"/>
      <c r="O43" s="1"/>
      <c r="P43" s="1"/>
      <c r="Q43" s="1"/>
    </row>
    <row r="44" spans="1:17" x14ac:dyDescent="0.25">
      <c r="A44" s="1"/>
      <c r="B44" s="1"/>
      <c r="C44" s="1"/>
      <c r="D44" s="1"/>
      <c r="E44" s="1"/>
      <c r="F44" s="1"/>
      <c r="G44" s="1"/>
      <c r="H44" s="1"/>
      <c r="I44" s="1"/>
      <c r="J44" s="1"/>
      <c r="K44" s="1"/>
      <c r="L44" s="1"/>
      <c r="M44" s="1"/>
      <c r="N44" s="1"/>
      <c r="O44" s="1"/>
      <c r="P44" s="1"/>
      <c r="Q44" s="1"/>
    </row>
    <row r="45" spans="1:17" x14ac:dyDescent="0.25">
      <c r="A45" s="1"/>
      <c r="B45" s="1"/>
      <c r="C45" s="1"/>
      <c r="D45" s="1"/>
      <c r="E45" s="1"/>
      <c r="F45" s="1"/>
      <c r="G45" s="1"/>
      <c r="H45" s="1"/>
      <c r="I45" s="1"/>
      <c r="J45" s="1"/>
      <c r="K45" s="1"/>
      <c r="L45" s="1"/>
      <c r="M45" s="1"/>
      <c r="N45" s="1"/>
      <c r="O45" s="1"/>
      <c r="P45" s="1"/>
      <c r="Q45" s="1"/>
    </row>
    <row r="46" spans="1:17" x14ac:dyDescent="0.25">
      <c r="A46" s="1"/>
      <c r="B46" s="1"/>
      <c r="C46" s="1"/>
      <c r="D46" s="1"/>
      <c r="E46" s="1"/>
      <c r="F46" s="1"/>
      <c r="G46" s="1"/>
      <c r="H46" s="1"/>
      <c r="I46" s="1"/>
      <c r="J46" s="1"/>
      <c r="K46" s="1"/>
      <c r="L46" s="1"/>
      <c r="M46" s="1"/>
      <c r="N46" s="1"/>
      <c r="O46" s="1"/>
      <c r="P46" s="1"/>
      <c r="Q46" s="1"/>
    </row>
    <row r="47" spans="1:17" x14ac:dyDescent="0.25">
      <c r="A47" s="1"/>
      <c r="B47" s="1"/>
      <c r="C47" s="1"/>
      <c r="D47" s="1"/>
      <c r="E47" s="1"/>
      <c r="F47" s="1"/>
      <c r="G47" s="1"/>
      <c r="H47" s="1"/>
      <c r="I47" s="1"/>
      <c r="J47" s="1"/>
      <c r="K47" s="1"/>
      <c r="L47" s="1"/>
      <c r="M47" s="1"/>
      <c r="N47" s="1"/>
      <c r="O47" s="1"/>
      <c r="P47" s="1"/>
      <c r="Q47" s="1"/>
    </row>
    <row r="48" spans="1:17" x14ac:dyDescent="0.25">
      <c r="A48" s="1"/>
      <c r="B48" s="1"/>
      <c r="C48" s="1"/>
      <c r="D48" s="1"/>
      <c r="E48" s="1"/>
      <c r="F48" s="1"/>
      <c r="G48" s="1"/>
      <c r="H48" s="1"/>
      <c r="I48" s="1"/>
      <c r="J48" s="1"/>
      <c r="K48" s="1"/>
      <c r="L48" s="1"/>
      <c r="M48" s="1"/>
      <c r="N48" s="1"/>
      <c r="O48" s="1"/>
      <c r="P48" s="1"/>
      <c r="Q48" s="1"/>
    </row>
    <row r="49" spans="1:17" x14ac:dyDescent="0.25">
      <c r="A49" s="1"/>
      <c r="B49" s="1"/>
      <c r="C49" s="1"/>
      <c r="D49" s="1"/>
      <c r="E49" s="1"/>
      <c r="F49" s="1"/>
      <c r="G49" s="1"/>
      <c r="H49" s="1"/>
      <c r="I49" s="1"/>
      <c r="J49" s="1"/>
      <c r="K49" s="1"/>
      <c r="L49" s="1"/>
      <c r="M49" s="1"/>
      <c r="N49" s="1"/>
      <c r="O49" s="1"/>
      <c r="P49" s="1"/>
      <c r="Q49" s="1"/>
    </row>
    <row r="50" spans="1:17" x14ac:dyDescent="0.25">
      <c r="A50" s="1"/>
      <c r="B50" s="1"/>
      <c r="C50" s="1"/>
      <c r="D50" s="1"/>
      <c r="E50" s="1"/>
      <c r="F50" s="1"/>
      <c r="G50" s="1"/>
      <c r="H50" s="1"/>
      <c r="I50" s="1"/>
      <c r="J50" s="1"/>
      <c r="K50" s="1"/>
      <c r="L50" s="1"/>
      <c r="M50" s="1"/>
      <c r="N50" s="1"/>
      <c r="O50" s="1"/>
      <c r="P50" s="1"/>
      <c r="Q50" s="1"/>
    </row>
    <row r="51" spans="1:17" x14ac:dyDescent="0.25">
      <c r="A51" s="1"/>
      <c r="B51" s="1"/>
      <c r="C51" s="1"/>
      <c r="D51" s="1"/>
      <c r="E51" s="1"/>
      <c r="F51" s="1"/>
      <c r="G51" s="1"/>
      <c r="H51" s="1"/>
      <c r="I51" s="1"/>
      <c r="J51" s="1"/>
      <c r="K51" s="1"/>
      <c r="L51" s="1"/>
      <c r="M51" s="1"/>
      <c r="N51" s="1"/>
      <c r="O51" s="1"/>
      <c r="P51" s="1"/>
      <c r="Q51" s="1"/>
    </row>
    <row r="52" spans="1:17" x14ac:dyDescent="0.25">
      <c r="A52" s="1"/>
      <c r="B52" s="1"/>
      <c r="C52" s="1"/>
      <c r="D52" s="1"/>
      <c r="E52" s="1"/>
      <c r="F52" s="1"/>
      <c r="G52" s="1"/>
      <c r="H52" s="1"/>
      <c r="I52" s="1"/>
      <c r="J52" s="1"/>
      <c r="K52" s="1"/>
      <c r="L52" s="1"/>
      <c r="M52" s="1"/>
      <c r="N52" s="1"/>
      <c r="O52" s="1"/>
      <c r="P52" s="1"/>
      <c r="Q52" s="1"/>
    </row>
    <row r="53" spans="1:17" x14ac:dyDescent="0.25">
      <c r="A53" s="1"/>
      <c r="B53" s="1"/>
      <c r="C53" s="1"/>
      <c r="D53" s="1"/>
      <c r="E53" s="1"/>
      <c r="F53" s="1"/>
      <c r="G53" s="1"/>
      <c r="H53" s="1"/>
      <c r="I53" s="1"/>
      <c r="J53" s="1"/>
      <c r="K53" s="1"/>
      <c r="L53" s="1"/>
      <c r="M53" s="1"/>
      <c r="N53" s="1"/>
      <c r="O53" s="1"/>
      <c r="P53" s="1"/>
      <c r="Q53" s="1"/>
    </row>
    <row r="54" spans="1:17" x14ac:dyDescent="0.25">
      <c r="A54" s="1"/>
      <c r="B54" s="1"/>
      <c r="C54" s="1"/>
      <c r="D54" s="1"/>
      <c r="E54" s="1"/>
      <c r="F54" s="1"/>
      <c r="G54" s="1"/>
      <c r="H54" s="1"/>
      <c r="I54" s="1"/>
      <c r="J54" s="1"/>
      <c r="K54" s="1"/>
      <c r="L54" s="1"/>
      <c r="M54" s="1"/>
      <c r="N54" s="1"/>
      <c r="O54" s="1"/>
      <c r="P54" s="1"/>
      <c r="Q54" s="1"/>
    </row>
    <row r="55" spans="1:17" x14ac:dyDescent="0.25">
      <c r="A55" s="1"/>
      <c r="B55" s="1"/>
      <c r="C55" s="1"/>
      <c r="D55" s="1"/>
      <c r="E55" s="1"/>
      <c r="F55" s="1"/>
      <c r="G55" s="1"/>
      <c r="H55" s="1"/>
      <c r="I55" s="1"/>
      <c r="J55" s="1"/>
      <c r="K55" s="1"/>
      <c r="L55" s="1"/>
      <c r="M55" s="1"/>
      <c r="N55" s="1"/>
      <c r="O55" s="1"/>
      <c r="P55" s="1"/>
      <c r="Q55" s="1"/>
    </row>
    <row r="56" spans="1:17" x14ac:dyDescent="0.25">
      <c r="A56" s="1"/>
      <c r="B56" s="1"/>
      <c r="C56" s="1"/>
      <c r="D56" s="1"/>
      <c r="E56" s="1"/>
      <c r="F56" s="1"/>
      <c r="G56" s="1"/>
      <c r="H56" s="1"/>
      <c r="I56" s="1"/>
      <c r="J56" s="1"/>
      <c r="K56" s="1"/>
      <c r="L56" s="1"/>
      <c r="M56" s="1"/>
      <c r="N56" s="1"/>
      <c r="O56" s="1"/>
      <c r="P56" s="1"/>
      <c r="Q56" s="1"/>
    </row>
    <row r="57" spans="1:17" x14ac:dyDescent="0.25">
      <c r="A57" s="1"/>
      <c r="B57" s="1"/>
      <c r="C57" s="1"/>
      <c r="D57" s="1"/>
      <c r="E57" s="1"/>
      <c r="F57" s="1"/>
      <c r="G57" s="1"/>
      <c r="H57" s="1"/>
      <c r="I57" s="1"/>
      <c r="J57" s="1"/>
      <c r="K57" s="1"/>
      <c r="L57" s="1"/>
      <c r="M57" s="1"/>
      <c r="N57" s="1"/>
      <c r="O57" s="1"/>
      <c r="P57" s="1"/>
      <c r="Q57" s="1"/>
    </row>
    <row r="58" spans="1:17" x14ac:dyDescent="0.25">
      <c r="A58" s="1"/>
      <c r="B58" s="1"/>
      <c r="C58" s="1"/>
      <c r="D58" s="1"/>
      <c r="E58" s="1"/>
      <c r="F58" s="1"/>
      <c r="G58" s="1"/>
      <c r="H58" s="1"/>
      <c r="I58" s="1"/>
      <c r="J58" s="1"/>
      <c r="K58" s="1"/>
      <c r="L58" s="1"/>
      <c r="M58" s="1"/>
      <c r="N58" s="1"/>
      <c r="O58" s="1"/>
      <c r="P58" s="1"/>
      <c r="Q58" s="1"/>
    </row>
    <row r="59" spans="1:17" x14ac:dyDescent="0.25">
      <c r="A59" s="1"/>
      <c r="B59" s="1"/>
      <c r="C59" s="1"/>
      <c r="D59" s="1"/>
      <c r="E59" s="1"/>
      <c r="F59" s="1"/>
      <c r="G59" s="1"/>
      <c r="H59" s="1"/>
      <c r="I59" s="1"/>
      <c r="J59" s="1"/>
      <c r="K59" s="1"/>
      <c r="L59" s="1"/>
      <c r="M59" s="1"/>
      <c r="N59" s="1"/>
      <c r="O59" s="1"/>
      <c r="P59" s="1"/>
      <c r="Q59" s="1"/>
    </row>
    <row r="60" spans="1:17" x14ac:dyDescent="0.25">
      <c r="A60" s="1"/>
      <c r="B60" s="1"/>
      <c r="C60" s="1"/>
      <c r="D60" s="1"/>
      <c r="E60" s="1"/>
      <c r="F60" s="1"/>
      <c r="G60" s="1"/>
      <c r="H60" s="1"/>
      <c r="I60" s="1"/>
      <c r="J60" s="1"/>
      <c r="K60" s="1"/>
      <c r="L60" s="1"/>
      <c r="M60" s="1"/>
      <c r="N60" s="1"/>
      <c r="O60" s="1"/>
      <c r="P60" s="1"/>
      <c r="Q60" s="1"/>
    </row>
    <row r="61" spans="1:17" x14ac:dyDescent="0.25">
      <c r="A61" s="1"/>
      <c r="B61" s="1"/>
      <c r="C61" s="1"/>
      <c r="D61" s="1"/>
      <c r="E61" s="1"/>
      <c r="F61" s="1"/>
      <c r="G61" s="1"/>
      <c r="H61" s="1"/>
      <c r="I61" s="1"/>
      <c r="J61" s="1"/>
      <c r="K61" s="1"/>
      <c r="L61" s="1"/>
      <c r="M61" s="1"/>
      <c r="N61" s="1"/>
      <c r="O61" s="1"/>
      <c r="P61" s="1"/>
      <c r="Q61" s="1"/>
    </row>
    <row r="62" spans="1:17" x14ac:dyDescent="0.25">
      <c r="A62" s="1"/>
      <c r="B62" s="1"/>
      <c r="C62" s="1"/>
      <c r="D62" s="1"/>
      <c r="E62" s="1"/>
      <c r="F62" s="1"/>
      <c r="G62" s="1"/>
      <c r="H62" s="1"/>
      <c r="I62" s="1"/>
      <c r="J62" s="1"/>
      <c r="K62" s="1"/>
      <c r="L62" s="1"/>
      <c r="M62" s="1"/>
      <c r="N62" s="1"/>
      <c r="O62" s="1"/>
      <c r="P62" s="1"/>
      <c r="Q62" s="1"/>
    </row>
    <row r="63" spans="1:17" x14ac:dyDescent="0.25">
      <c r="A63" s="1"/>
      <c r="B63" s="1"/>
      <c r="C63" s="1"/>
      <c r="D63" s="1"/>
      <c r="E63" s="1"/>
      <c r="F63" s="1"/>
      <c r="G63" s="1"/>
      <c r="H63" s="1"/>
      <c r="I63" s="1"/>
      <c r="J63" s="1"/>
      <c r="K63" s="1"/>
      <c r="L63" s="1"/>
      <c r="M63" s="1"/>
      <c r="N63" s="1"/>
      <c r="O63" s="1"/>
      <c r="P63" s="1"/>
      <c r="Q63" s="1"/>
    </row>
    <row r="64" spans="1:17" x14ac:dyDescent="0.25">
      <c r="A64" s="1"/>
      <c r="B64" s="1"/>
      <c r="C64" s="1"/>
      <c r="D64" s="1"/>
      <c r="E64" s="1"/>
      <c r="F64" s="1"/>
      <c r="G64" s="1"/>
      <c r="H64" s="1"/>
      <c r="I64" s="1"/>
      <c r="J64" s="1"/>
      <c r="K64" s="1"/>
      <c r="L64" s="1"/>
      <c r="M64" s="1"/>
      <c r="N64" s="1"/>
      <c r="O64" s="1"/>
      <c r="P64" s="1"/>
      <c r="Q64" s="1"/>
    </row>
    <row r="65" spans="1:17" x14ac:dyDescent="0.25">
      <c r="A65" s="1"/>
      <c r="B65" s="1"/>
      <c r="C65" s="1"/>
      <c r="D65" s="1"/>
      <c r="E65" s="1"/>
      <c r="F65" s="1"/>
      <c r="G65" s="1"/>
      <c r="H65" s="1"/>
      <c r="I65" s="1"/>
      <c r="J65" s="1"/>
      <c r="K65" s="1"/>
      <c r="L65" s="1"/>
      <c r="M65" s="1"/>
      <c r="N65" s="1"/>
      <c r="O65" s="1"/>
      <c r="P65" s="1"/>
      <c r="Q65" s="1"/>
    </row>
    <row r="66" spans="1:17" x14ac:dyDescent="0.25">
      <c r="A66" s="1"/>
      <c r="B66" s="1"/>
      <c r="C66" s="1"/>
      <c r="D66" s="1"/>
      <c r="E66" s="1"/>
      <c r="F66" s="1"/>
      <c r="G66" s="1"/>
      <c r="H66" s="1"/>
      <c r="I66" s="1"/>
      <c r="J66" s="1"/>
      <c r="K66" s="1"/>
      <c r="L66" s="1"/>
      <c r="M66" s="1"/>
      <c r="N66" s="1"/>
      <c r="O66" s="1"/>
      <c r="P66" s="1"/>
      <c r="Q66" s="1"/>
    </row>
    <row r="67" spans="1:17" x14ac:dyDescent="0.25">
      <c r="A67" s="1"/>
      <c r="B67" s="1"/>
      <c r="C67" s="1"/>
      <c r="D67" s="1"/>
      <c r="E67" s="1"/>
      <c r="F67" s="1"/>
      <c r="G67" s="1"/>
      <c r="H67" s="1"/>
      <c r="I67" s="1"/>
      <c r="J67" s="1"/>
      <c r="K67" s="1"/>
      <c r="L67" s="1"/>
      <c r="M67" s="1"/>
      <c r="N67" s="1"/>
      <c r="O67" s="1"/>
      <c r="P67" s="1"/>
      <c r="Q67" s="1"/>
    </row>
    <row r="68" spans="1:17" x14ac:dyDescent="0.25">
      <c r="A68" s="1"/>
      <c r="B68" s="1"/>
      <c r="C68" s="1"/>
      <c r="D68" s="1"/>
      <c r="E68" s="1"/>
      <c r="F68" s="1"/>
      <c r="G68" s="1"/>
      <c r="H68" s="1"/>
      <c r="I68" s="1"/>
      <c r="J68" s="1"/>
      <c r="K68" s="1"/>
      <c r="L68" s="1"/>
      <c r="M68" s="1"/>
      <c r="N68" s="1"/>
      <c r="O68" s="1"/>
      <c r="P68" s="1"/>
      <c r="Q68" s="1"/>
    </row>
    <row r="69" spans="1:17" x14ac:dyDescent="0.25">
      <c r="A69" s="1"/>
      <c r="B69" s="1"/>
      <c r="C69" s="1"/>
      <c r="D69" s="1"/>
      <c r="E69" s="1"/>
      <c r="F69" s="1"/>
      <c r="G69" s="1"/>
      <c r="H69" s="1"/>
      <c r="I69" s="1"/>
      <c r="J69" s="1"/>
      <c r="K69" s="1"/>
      <c r="L69" s="1"/>
      <c r="M69" s="1"/>
      <c r="N69" s="1"/>
      <c r="O69" s="1"/>
      <c r="P69" s="1"/>
      <c r="Q69" s="1"/>
    </row>
    <row r="70" spans="1:17" x14ac:dyDescent="0.25">
      <c r="A70" s="1"/>
      <c r="B70" s="1"/>
      <c r="C70" s="1"/>
      <c r="D70" s="1"/>
      <c r="E70" s="1"/>
      <c r="F70" s="1"/>
      <c r="G70" s="1"/>
      <c r="H70" s="1"/>
      <c r="I70" s="1"/>
      <c r="J70" s="1"/>
      <c r="K70" s="1"/>
      <c r="L70" s="1"/>
      <c r="M70" s="1"/>
      <c r="N70" s="1"/>
      <c r="O70" s="1"/>
      <c r="P70" s="1"/>
      <c r="Q70" s="1"/>
    </row>
    <row r="71" spans="1:17" x14ac:dyDescent="0.25">
      <c r="A71" s="1"/>
      <c r="B71" s="1"/>
      <c r="C71" s="1"/>
      <c r="D71" s="1"/>
      <c r="E71" s="1"/>
      <c r="F71" s="1"/>
      <c r="G71" s="1"/>
      <c r="H71" s="1"/>
      <c r="I71" s="1"/>
      <c r="J71" s="1"/>
      <c r="K71" s="1"/>
      <c r="L71" s="1"/>
      <c r="M71" s="1"/>
      <c r="N71" s="1"/>
      <c r="O71" s="1"/>
      <c r="P71" s="1"/>
      <c r="Q71" s="1"/>
    </row>
    <row r="72" spans="1:17" x14ac:dyDescent="0.25">
      <c r="A72" s="1"/>
      <c r="B72" s="1"/>
      <c r="C72" s="1"/>
      <c r="D72" s="1"/>
      <c r="E72" s="1"/>
      <c r="F72" s="1"/>
      <c r="G72" s="1"/>
      <c r="H72" s="1"/>
      <c r="I72" s="1"/>
      <c r="J72" s="1"/>
      <c r="K72" s="1"/>
      <c r="L72" s="1"/>
      <c r="M72" s="1"/>
      <c r="N72" s="1"/>
      <c r="O72" s="1"/>
      <c r="P72" s="1"/>
      <c r="Q72" s="1"/>
    </row>
    <row r="73" spans="1:17" x14ac:dyDescent="0.25">
      <c r="A73" s="1"/>
      <c r="B73" s="1"/>
      <c r="C73" s="1"/>
      <c r="D73" s="1"/>
      <c r="E73" s="1"/>
      <c r="F73" s="1"/>
      <c r="G73" s="1"/>
      <c r="H73" s="1"/>
      <c r="I73" s="1"/>
      <c r="J73" s="1"/>
      <c r="K73" s="1"/>
      <c r="L73" s="1"/>
      <c r="M73" s="1"/>
      <c r="N73" s="1"/>
      <c r="O73" s="1"/>
      <c r="P73" s="1"/>
      <c r="Q73" s="1"/>
    </row>
    <row r="74" spans="1:17" x14ac:dyDescent="0.25">
      <c r="A74" s="1"/>
      <c r="B74" s="1"/>
      <c r="C74" s="1"/>
      <c r="D74" s="1"/>
      <c r="E74" s="1"/>
      <c r="F74" s="1"/>
      <c r="G74" s="1"/>
      <c r="H74" s="1"/>
      <c r="I74" s="1"/>
      <c r="J74" s="1"/>
      <c r="K74" s="1"/>
      <c r="L74" s="1"/>
      <c r="M74" s="1"/>
      <c r="N74" s="1"/>
      <c r="O74" s="1"/>
      <c r="P74" s="1"/>
      <c r="Q74" s="1"/>
    </row>
    <row r="75" spans="1:17" x14ac:dyDescent="0.25">
      <c r="A75" s="1"/>
      <c r="B75" s="1"/>
      <c r="C75" s="1"/>
      <c r="D75" s="1"/>
      <c r="E75" s="1"/>
      <c r="F75" s="1"/>
      <c r="G75" s="1"/>
      <c r="H75" s="1"/>
      <c r="I75" s="1"/>
      <c r="J75" s="1"/>
      <c r="K75" s="1"/>
      <c r="L75" s="1"/>
      <c r="M75" s="1"/>
      <c r="N75" s="1"/>
      <c r="O75" s="1"/>
      <c r="P75" s="1"/>
      <c r="Q75" s="1"/>
    </row>
    <row r="76" spans="1:17" x14ac:dyDescent="0.25">
      <c r="A76" s="1"/>
      <c r="B76" s="1"/>
      <c r="C76" s="1"/>
      <c r="D76" s="1"/>
      <c r="E76" s="1"/>
      <c r="F76" s="1"/>
      <c r="G76" s="1"/>
      <c r="H76" s="1"/>
      <c r="I76" s="1"/>
      <c r="J76" s="1"/>
      <c r="K76" s="1"/>
      <c r="L76" s="1"/>
      <c r="M76" s="1"/>
      <c r="N76" s="1"/>
      <c r="O76" s="1"/>
      <c r="P76" s="1"/>
      <c r="Q76" s="1"/>
    </row>
    <row r="77" spans="1:17" x14ac:dyDescent="0.25">
      <c r="A77" s="1"/>
      <c r="B77" s="1"/>
      <c r="C77" s="1"/>
      <c r="D77" s="1"/>
      <c r="E77" s="1"/>
      <c r="F77" s="1"/>
      <c r="G77" s="1"/>
      <c r="H77" s="1"/>
      <c r="I77" s="1"/>
      <c r="J77" s="1"/>
      <c r="K77" s="1"/>
      <c r="L77" s="1"/>
      <c r="M77" s="1"/>
      <c r="N77" s="1"/>
      <c r="O77" s="1"/>
      <c r="P77" s="1"/>
      <c r="Q77" s="1"/>
    </row>
    <row r="78" spans="1:17" x14ac:dyDescent="0.25">
      <c r="A78" s="1"/>
      <c r="B78" s="1"/>
      <c r="C78" s="1"/>
      <c r="D78" s="1"/>
      <c r="E78" s="1"/>
      <c r="F78" s="1"/>
      <c r="G78" s="1"/>
      <c r="H78" s="1"/>
      <c r="I78" s="1"/>
      <c r="J78" s="1"/>
      <c r="K78" s="1"/>
      <c r="L78" s="1"/>
      <c r="M78" s="1"/>
      <c r="N78" s="1"/>
      <c r="O78" s="1"/>
      <c r="P78" s="1"/>
      <c r="Q78" s="1"/>
    </row>
    <row r="79" spans="1:17" x14ac:dyDescent="0.25">
      <c r="A79" s="1"/>
      <c r="B79" s="1"/>
      <c r="C79" s="1"/>
      <c r="D79" s="1"/>
      <c r="E79" s="1"/>
      <c r="F79" s="1"/>
      <c r="G79" s="1"/>
      <c r="H79" s="1"/>
      <c r="I79" s="1"/>
      <c r="J79" s="1"/>
      <c r="K79" s="1"/>
      <c r="L79" s="1"/>
      <c r="M79" s="1"/>
      <c r="N79" s="1"/>
      <c r="O79" s="1"/>
      <c r="P79" s="1"/>
      <c r="Q79" s="1"/>
    </row>
    <row r="80" spans="1:17" x14ac:dyDescent="0.25">
      <c r="A80" s="1"/>
      <c r="B80" s="1"/>
      <c r="C80" s="1"/>
      <c r="D80" s="1"/>
      <c r="E80" s="1"/>
      <c r="F80" s="1"/>
      <c r="G80" s="1"/>
      <c r="H80" s="1"/>
      <c r="I80" s="1"/>
      <c r="J80" s="1"/>
      <c r="K80" s="1"/>
      <c r="L80" s="1"/>
      <c r="M80" s="1"/>
      <c r="N80" s="1"/>
      <c r="O80" s="1"/>
      <c r="P80" s="1"/>
      <c r="Q80" s="1"/>
    </row>
    <row r="81" spans="1:17" x14ac:dyDescent="0.25">
      <c r="A81" s="1"/>
      <c r="B81" s="1"/>
      <c r="C81" s="1"/>
      <c r="D81" s="1"/>
      <c r="E81" s="1"/>
      <c r="F81" s="1"/>
      <c r="G81" s="1"/>
      <c r="H81" s="1"/>
      <c r="I81" s="1"/>
      <c r="J81" s="1"/>
      <c r="K81" s="1"/>
      <c r="L81" s="1"/>
      <c r="M81" s="1"/>
      <c r="N81" s="1"/>
      <c r="O81" s="1"/>
      <c r="P81" s="1"/>
      <c r="Q81" s="1"/>
    </row>
    <row r="82" spans="1:17" x14ac:dyDescent="0.25">
      <c r="A82" s="1"/>
      <c r="B82" s="1"/>
      <c r="C82" s="1"/>
      <c r="D82" s="1"/>
      <c r="E82" s="1"/>
      <c r="F82" s="1"/>
      <c r="G82" s="1"/>
      <c r="H82" s="1"/>
      <c r="I82" s="1"/>
      <c r="J82" s="1"/>
      <c r="K82" s="1"/>
      <c r="L82" s="1"/>
      <c r="M82" s="1"/>
      <c r="N82" s="1"/>
      <c r="O82" s="1"/>
      <c r="P82" s="1"/>
      <c r="Q82" s="1"/>
    </row>
    <row r="83" spans="1:17" x14ac:dyDescent="0.25">
      <c r="A83" s="1"/>
      <c r="B83" s="1"/>
      <c r="C83" s="1"/>
      <c r="D83" s="1"/>
      <c r="E83" s="1"/>
      <c r="F83" s="1"/>
      <c r="G83" s="1"/>
      <c r="H83" s="1"/>
      <c r="I83" s="1"/>
      <c r="J83" s="1"/>
      <c r="K83" s="1"/>
      <c r="L83" s="1"/>
      <c r="M83" s="1"/>
      <c r="N83" s="1"/>
      <c r="O83" s="1"/>
      <c r="P83" s="1"/>
      <c r="Q83" s="1"/>
    </row>
    <row r="84" spans="1:17" x14ac:dyDescent="0.25">
      <c r="A84" s="1"/>
      <c r="B84" s="1"/>
      <c r="C84" s="1"/>
      <c r="D84" s="1"/>
      <c r="E84" s="1"/>
      <c r="F84" s="1"/>
      <c r="G84" s="1"/>
      <c r="H84" s="1"/>
      <c r="I84" s="1"/>
      <c r="J84" s="1"/>
      <c r="K84" s="1"/>
      <c r="L84" s="1"/>
      <c r="M84" s="1"/>
      <c r="N84" s="1"/>
      <c r="O84" s="1"/>
      <c r="P84" s="1"/>
      <c r="Q84" s="1"/>
    </row>
    <row r="85" spans="1:17" x14ac:dyDescent="0.25">
      <c r="A85" s="1"/>
      <c r="B85" s="1"/>
      <c r="C85" s="1"/>
      <c r="D85" s="1"/>
      <c r="E85" s="1"/>
      <c r="F85" s="1"/>
      <c r="G85" s="1"/>
      <c r="H85" s="1"/>
      <c r="I85" s="1"/>
      <c r="J85" s="1"/>
      <c r="K85" s="1"/>
      <c r="L85" s="1"/>
      <c r="M85" s="1"/>
      <c r="N85" s="1"/>
      <c r="O85" s="1"/>
      <c r="P85" s="1"/>
      <c r="Q85" s="1"/>
    </row>
    <row r="86" spans="1:17" x14ac:dyDescent="0.25">
      <c r="A86" s="1"/>
      <c r="B86" s="1"/>
      <c r="C86" s="1"/>
      <c r="D86" s="1"/>
      <c r="E86" s="1"/>
      <c r="F86" s="1"/>
      <c r="G86" s="1"/>
      <c r="H86" s="1"/>
      <c r="I86" s="1"/>
      <c r="J86" s="1"/>
      <c r="K86" s="1"/>
      <c r="L86" s="1"/>
      <c r="M86" s="1"/>
      <c r="N86" s="1"/>
      <c r="O86" s="1"/>
      <c r="P86" s="1"/>
      <c r="Q86" s="1"/>
    </row>
    <row r="87" spans="1:17" x14ac:dyDescent="0.25">
      <c r="A87" s="1"/>
      <c r="B87" s="1"/>
      <c r="C87" s="1"/>
      <c r="D87" s="1"/>
      <c r="E87" s="1"/>
      <c r="F87" s="1"/>
      <c r="G87" s="1"/>
      <c r="H87" s="1"/>
      <c r="I87" s="1"/>
      <c r="J87" s="1"/>
      <c r="K87" s="1"/>
      <c r="L87" s="1"/>
      <c r="M87" s="1"/>
      <c r="N87" s="1"/>
      <c r="O87" s="1"/>
      <c r="P87" s="1"/>
      <c r="Q87" s="1"/>
    </row>
    <row r="88" spans="1:17" x14ac:dyDescent="0.25">
      <c r="A88" s="1"/>
      <c r="B88" s="1"/>
      <c r="C88" s="1"/>
      <c r="D88" s="1"/>
      <c r="E88" s="1"/>
      <c r="F88" s="1"/>
      <c r="G88" s="1"/>
      <c r="H88" s="1"/>
      <c r="I88" s="1"/>
      <c r="J88" s="1"/>
      <c r="K88" s="1"/>
      <c r="L88" s="1"/>
      <c r="M88" s="1"/>
      <c r="N88" s="1"/>
      <c r="O88" s="1"/>
      <c r="P88" s="1"/>
      <c r="Q88" s="1"/>
    </row>
    <row r="89" spans="1:17" x14ac:dyDescent="0.25">
      <c r="A89" s="1"/>
      <c r="B89" s="1"/>
      <c r="C89" s="1"/>
      <c r="D89" s="1"/>
      <c r="E89" s="1"/>
      <c r="F89" s="1"/>
      <c r="G89" s="1"/>
      <c r="H89" s="1"/>
      <c r="I89" s="1"/>
      <c r="J89" s="1"/>
      <c r="K89" s="1"/>
      <c r="L89" s="1"/>
      <c r="M89" s="1"/>
      <c r="N89" s="1"/>
      <c r="O89" s="1"/>
      <c r="P89" s="1"/>
      <c r="Q89" s="1"/>
    </row>
    <row r="90" spans="1:17" x14ac:dyDescent="0.25">
      <c r="A90" s="1"/>
      <c r="B90" s="1"/>
      <c r="C90" s="1"/>
      <c r="D90" s="1"/>
      <c r="E90" s="1"/>
      <c r="F90" s="1"/>
      <c r="G90" s="1"/>
      <c r="H90" s="1"/>
      <c r="I90" s="1"/>
      <c r="J90" s="1"/>
      <c r="K90" s="1"/>
      <c r="L90" s="1"/>
      <c r="M90" s="1"/>
      <c r="N90" s="1"/>
      <c r="O90" s="1"/>
      <c r="P90" s="1"/>
      <c r="Q90" s="1"/>
    </row>
    <row r="91" spans="1:17" x14ac:dyDescent="0.25">
      <c r="A91" s="1"/>
      <c r="B91" s="1"/>
      <c r="C91" s="1"/>
      <c r="D91" s="1"/>
      <c r="E91" s="1"/>
      <c r="F91" s="1"/>
      <c r="G91" s="1"/>
      <c r="H91" s="1"/>
      <c r="I91" s="1"/>
      <c r="J91" s="1"/>
      <c r="K91" s="1"/>
      <c r="L91" s="1"/>
      <c r="M91" s="1"/>
      <c r="N91" s="1"/>
      <c r="O91" s="1"/>
      <c r="P91" s="1"/>
      <c r="Q91" s="1"/>
    </row>
    <row r="92" spans="1:17" x14ac:dyDescent="0.25">
      <c r="A92" s="1"/>
      <c r="B92" s="1"/>
      <c r="C92" s="1"/>
      <c r="D92" s="1"/>
      <c r="E92" s="1"/>
      <c r="F92" s="1"/>
      <c r="G92" s="1"/>
      <c r="H92" s="1"/>
      <c r="I92" s="1"/>
      <c r="J92" s="1"/>
      <c r="K92" s="1"/>
      <c r="L92" s="1"/>
      <c r="M92" s="1"/>
      <c r="N92" s="1"/>
      <c r="O92" s="1"/>
      <c r="P92" s="1"/>
      <c r="Q92" s="1"/>
    </row>
    <row r="93" spans="1:17" x14ac:dyDescent="0.25">
      <c r="A93" s="1"/>
      <c r="B93" s="1"/>
      <c r="C93" s="1"/>
      <c r="D93" s="1"/>
      <c r="E93" s="1"/>
      <c r="F93" s="1"/>
      <c r="G93" s="1"/>
      <c r="H93" s="1"/>
      <c r="I93" s="1"/>
      <c r="J93" s="1"/>
      <c r="K93" s="1"/>
      <c r="L93" s="1"/>
      <c r="M93" s="1"/>
      <c r="N93" s="1"/>
      <c r="O93" s="1"/>
      <c r="P93" s="1"/>
      <c r="Q93" s="1"/>
    </row>
    <row r="94" spans="1:17" x14ac:dyDescent="0.25">
      <c r="A94" s="1"/>
      <c r="B94" s="1"/>
      <c r="C94" s="1"/>
      <c r="D94" s="1"/>
      <c r="E94" s="1"/>
      <c r="F94" s="1"/>
      <c r="G94" s="1"/>
      <c r="H94" s="1"/>
      <c r="I94" s="1"/>
      <c r="J94" s="1"/>
      <c r="K94" s="1"/>
      <c r="L94" s="1"/>
      <c r="M94" s="1"/>
      <c r="N94" s="1"/>
      <c r="O94" s="1"/>
      <c r="P94" s="1"/>
      <c r="Q94" s="1"/>
    </row>
    <row r="95" spans="1:17" x14ac:dyDescent="0.25">
      <c r="A95" s="1"/>
      <c r="B95" s="1"/>
      <c r="C95" s="1"/>
      <c r="D95" s="1"/>
      <c r="E95" s="1"/>
      <c r="F95" s="1"/>
      <c r="G95" s="1"/>
      <c r="H95" s="1"/>
      <c r="I95" s="1"/>
      <c r="J95" s="1"/>
      <c r="K95" s="1"/>
      <c r="L95" s="1"/>
      <c r="M95" s="1"/>
      <c r="N95" s="1"/>
      <c r="O95" s="1"/>
      <c r="P95" s="1"/>
      <c r="Q95" s="1"/>
    </row>
    <row r="96" spans="1:17" x14ac:dyDescent="0.25">
      <c r="A96" s="1"/>
      <c r="B96" s="1"/>
      <c r="C96" s="1"/>
      <c r="D96" s="1"/>
      <c r="E96" s="1"/>
      <c r="F96" s="1"/>
      <c r="G96" s="1"/>
      <c r="H96" s="1"/>
      <c r="I96" s="1"/>
      <c r="J96" s="1"/>
      <c r="K96" s="1"/>
      <c r="L96" s="1"/>
      <c r="M96" s="1"/>
      <c r="N96" s="1"/>
      <c r="O96" s="1"/>
      <c r="P96" s="1"/>
      <c r="Q96" s="1"/>
    </row>
    <row r="97" spans="1:17" x14ac:dyDescent="0.25">
      <c r="A97" s="1"/>
      <c r="B97" s="1"/>
      <c r="C97" s="1"/>
      <c r="D97" s="1"/>
      <c r="E97" s="1"/>
      <c r="F97" s="1"/>
      <c r="G97" s="1"/>
      <c r="H97" s="1"/>
      <c r="I97" s="1"/>
      <c r="J97" s="1"/>
      <c r="K97" s="1"/>
      <c r="L97" s="1"/>
      <c r="M97" s="1"/>
      <c r="N97" s="1"/>
      <c r="O97" s="1"/>
      <c r="P97" s="1"/>
      <c r="Q97" s="1"/>
    </row>
    <row r="98" spans="1:17" x14ac:dyDescent="0.25">
      <c r="A98" s="1"/>
      <c r="B98" s="1"/>
      <c r="C98" s="1"/>
      <c r="D98" s="1"/>
      <c r="E98" s="1"/>
      <c r="F98" s="1"/>
      <c r="G98" s="1"/>
      <c r="H98" s="1"/>
      <c r="I98" s="1"/>
      <c r="J98" s="1"/>
      <c r="K98" s="1"/>
      <c r="L98" s="1"/>
      <c r="M98" s="1"/>
      <c r="N98" s="1"/>
      <c r="O98" s="1"/>
      <c r="P98" s="1"/>
      <c r="Q98" s="1"/>
    </row>
    <row r="99" spans="1:17" x14ac:dyDescent="0.25">
      <c r="A99" s="1"/>
      <c r="B99" s="1"/>
      <c r="C99" s="1"/>
      <c r="D99" s="1"/>
      <c r="E99" s="1"/>
      <c r="F99" s="1"/>
      <c r="G99" s="1"/>
      <c r="H99" s="1"/>
      <c r="I99" s="1"/>
      <c r="J99" s="1"/>
      <c r="K99" s="1"/>
      <c r="L99" s="1"/>
      <c r="M99" s="1"/>
      <c r="N99" s="1"/>
      <c r="O99" s="1"/>
      <c r="P99" s="1"/>
      <c r="Q99" s="1"/>
    </row>
  </sheetData>
  <mergeCells count="4">
    <mergeCell ref="A1:M1"/>
    <mergeCell ref="A2:M2"/>
    <mergeCell ref="A4:M4"/>
    <mergeCell ref="A22:M23"/>
  </mergeCells>
  <printOptions horizontalCentered="1"/>
  <pageMargins left="0.5" right="0.5" top="0.75" bottom="0.5" header="0.5" footer="0.3"/>
  <pageSetup scale="67" orientation="landscape" r:id="rId1"/>
  <headerFooter>
    <oddHeader>&amp;R&amp;"Arial,Bold"&amp;10Exhibit 11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87B4-ED9C-4BFF-AF25-561BDF13DD6F}">
  <sheetPr codeName="Sheet11"/>
  <dimension ref="A1:S41"/>
  <sheetViews>
    <sheetView view="pageBreakPreview" topLeftCell="A5" zoomScaleNormal="100" zoomScaleSheetLayoutView="100" workbookViewId="0">
      <selection activeCell="H32" sqref="H32"/>
    </sheetView>
  </sheetViews>
  <sheetFormatPr defaultColWidth="9.140625" defaultRowHeight="15" x14ac:dyDescent="0.25"/>
  <cols>
    <col min="1" max="1" width="29.28515625" style="140" customWidth="1"/>
    <col min="2" max="2" width="9.7109375" style="140" customWidth="1"/>
    <col min="3" max="3" width="3" style="140" customWidth="1"/>
    <col min="4" max="4" width="9.7109375" style="140" customWidth="1"/>
    <col min="5" max="5" width="3" style="140" customWidth="1"/>
    <col min="6" max="6" width="16" style="140" customWidth="1"/>
    <col min="7" max="7" width="2.28515625" style="140" customWidth="1"/>
    <col min="8" max="8" width="15.7109375" style="140" customWidth="1"/>
    <col min="9" max="9" width="1.42578125" style="140" customWidth="1"/>
    <col min="10" max="10" width="10.42578125" style="140" bestFit="1" customWidth="1"/>
    <col min="11" max="14" width="9.140625" style="140" customWidth="1"/>
    <col min="15" max="16384" width="9.140625" style="140"/>
  </cols>
  <sheetData>
    <row r="1" spans="1:19" ht="14.1" customHeight="1" x14ac:dyDescent="0.25">
      <c r="A1" s="11" t="s">
        <v>1</v>
      </c>
      <c r="B1" s="138"/>
      <c r="C1" s="138"/>
      <c r="D1" s="138"/>
      <c r="E1" s="138"/>
      <c r="F1" s="138"/>
      <c r="G1" s="138"/>
      <c r="H1" s="139"/>
      <c r="K1" s="139"/>
      <c r="L1" s="139"/>
    </row>
    <row r="2" spans="1:19" x14ac:dyDescent="0.25">
      <c r="A2" s="10" t="s">
        <v>0</v>
      </c>
      <c r="B2" s="138"/>
      <c r="C2" s="138"/>
      <c r="D2" s="138"/>
      <c r="E2" s="138"/>
      <c r="F2" s="138"/>
      <c r="G2" s="138"/>
      <c r="H2" s="139"/>
      <c r="K2" s="139"/>
      <c r="L2" s="139"/>
    </row>
    <row r="3" spans="1:19" ht="14.1" customHeight="1" x14ac:dyDescent="0.25">
      <c r="A3" s="95"/>
      <c r="B3" s="138"/>
      <c r="C3" s="138"/>
      <c r="D3" s="138"/>
      <c r="E3" s="138"/>
      <c r="F3" s="138"/>
      <c r="G3" s="138"/>
      <c r="H3" s="139"/>
      <c r="K3" s="139"/>
      <c r="L3" s="139"/>
    </row>
    <row r="4" spans="1:19" x14ac:dyDescent="0.25">
      <c r="A4" s="9" t="s">
        <v>217</v>
      </c>
      <c r="B4" s="138"/>
      <c r="C4" s="138"/>
      <c r="D4" s="138"/>
      <c r="E4" s="138"/>
      <c r="F4" s="138"/>
      <c r="G4" s="138"/>
      <c r="H4" s="139"/>
      <c r="K4" s="139"/>
      <c r="L4" s="139"/>
    </row>
    <row r="5" spans="1:19" ht="14.1" customHeight="1" x14ac:dyDescent="0.25">
      <c r="A5" s="138"/>
      <c r="B5" s="138"/>
      <c r="C5" s="138"/>
      <c r="D5" s="138"/>
      <c r="E5" s="138"/>
      <c r="F5" s="138"/>
      <c r="G5" s="138"/>
      <c r="H5" s="139"/>
      <c r="K5" s="139"/>
      <c r="L5" s="139"/>
    </row>
    <row r="6" spans="1:19" ht="14.1" customHeight="1" x14ac:dyDescent="0.25">
      <c r="A6" s="138" t="s">
        <v>218</v>
      </c>
      <c r="B6" s="138"/>
      <c r="C6" s="138"/>
      <c r="D6" s="138"/>
      <c r="E6" s="138"/>
      <c r="F6" s="138"/>
      <c r="G6" s="138"/>
      <c r="H6" s="139"/>
      <c r="K6" s="139"/>
      <c r="L6" s="139"/>
    </row>
    <row r="7" spans="1:19" x14ac:dyDescent="0.25">
      <c r="A7" s="138" t="s">
        <v>267</v>
      </c>
      <c r="B7" s="138"/>
      <c r="C7" s="138"/>
      <c r="D7" s="138"/>
      <c r="E7" s="138"/>
      <c r="F7" s="138"/>
      <c r="G7" s="138"/>
      <c r="H7" s="139"/>
      <c r="J7" s="142"/>
      <c r="K7" s="142"/>
      <c r="L7" s="142"/>
      <c r="M7" s="142"/>
    </row>
    <row r="8" spans="1:19" x14ac:dyDescent="0.25">
      <c r="A8" s="142"/>
      <c r="B8" s="142"/>
      <c r="C8" s="142"/>
      <c r="D8" s="142"/>
      <c r="E8" s="142"/>
      <c r="F8" s="142"/>
      <c r="G8" s="142"/>
      <c r="H8" s="142"/>
      <c r="J8" s="143"/>
    </row>
    <row r="9" spans="1:19" ht="13.9" customHeight="1" x14ac:dyDescent="0.25">
      <c r="A9" s="144" t="s">
        <v>161</v>
      </c>
      <c r="B9" s="145" t="s">
        <v>162</v>
      </c>
      <c r="C9" s="145"/>
      <c r="D9" s="145" t="s">
        <v>163</v>
      </c>
      <c r="E9" s="145"/>
      <c r="F9" s="311" t="s">
        <v>167</v>
      </c>
      <c r="G9" s="310"/>
      <c r="H9" s="145" t="s">
        <v>168</v>
      </c>
      <c r="I9" s="145"/>
      <c r="J9" s="311"/>
      <c r="K9" s="310"/>
      <c r="L9" s="143"/>
      <c r="M9" s="143"/>
      <c r="N9" s="143"/>
    </row>
    <row r="10" spans="1:19" x14ac:dyDescent="0.25">
      <c r="A10" s="144"/>
      <c r="B10" s="142"/>
      <c r="C10" s="142"/>
      <c r="D10" s="147" t="s">
        <v>220</v>
      </c>
      <c r="E10" s="147"/>
      <c r="F10" s="142"/>
      <c r="G10" s="142"/>
      <c r="H10" s="148"/>
      <c r="J10" s="149"/>
      <c r="K10" s="149"/>
      <c r="L10" s="149"/>
      <c r="M10" s="147"/>
    </row>
    <row r="11" spans="1:19" ht="13.9" customHeight="1" x14ac:dyDescent="0.25">
      <c r="A11" s="144"/>
      <c r="B11" s="147" t="s">
        <v>222</v>
      </c>
      <c r="C11" s="147"/>
      <c r="D11" s="147" t="s">
        <v>113</v>
      </c>
      <c r="E11" s="147"/>
      <c r="F11" s="310" t="s">
        <v>221</v>
      </c>
      <c r="G11" s="310"/>
      <c r="H11" s="310" t="s">
        <v>220</v>
      </c>
      <c r="I11" s="310"/>
      <c r="J11" s="142"/>
      <c r="K11" s="142"/>
      <c r="L11" s="142"/>
      <c r="M11" s="142"/>
    </row>
    <row r="12" spans="1:19" ht="13.9" customHeight="1" x14ac:dyDescent="0.25">
      <c r="A12" s="151" t="s">
        <v>41</v>
      </c>
      <c r="B12" s="153" t="s">
        <v>224</v>
      </c>
      <c r="C12" s="153"/>
      <c r="D12" s="153" t="s">
        <v>224</v>
      </c>
      <c r="E12" s="147"/>
      <c r="F12" s="309" t="s">
        <v>35</v>
      </c>
      <c r="G12" s="310"/>
      <c r="H12" s="309" t="s">
        <v>35</v>
      </c>
      <c r="I12" s="310"/>
      <c r="J12" s="142"/>
      <c r="K12" s="142"/>
      <c r="L12" s="142"/>
      <c r="M12" s="142"/>
    </row>
    <row r="13" spans="1:19" x14ac:dyDescent="0.25">
      <c r="A13" s="142"/>
      <c r="B13" s="155"/>
      <c r="C13" s="142"/>
      <c r="D13" s="155"/>
      <c r="E13" s="142"/>
      <c r="F13" s="171"/>
      <c r="G13" s="169"/>
      <c r="H13" s="171"/>
      <c r="J13" s="142"/>
      <c r="K13" s="208"/>
      <c r="L13" s="208"/>
      <c r="M13" s="208"/>
      <c r="P13" s="159"/>
      <c r="Q13" s="160"/>
      <c r="R13" s="161"/>
      <c r="S13" s="162"/>
    </row>
    <row r="14" spans="1:19" x14ac:dyDescent="0.25">
      <c r="A14" s="142" t="s">
        <v>22</v>
      </c>
      <c r="B14" s="155">
        <v>31.759114543739287</v>
      </c>
      <c r="C14" s="142" t="s">
        <v>225</v>
      </c>
      <c r="D14" s="155">
        <v>31.8</v>
      </c>
      <c r="E14" s="142" t="s">
        <v>225</v>
      </c>
      <c r="F14" s="171">
        <f>'Exhibit 14 PP'!J14+'Exhibit 14 MCY'!L14+'Exhibit 14 MH'!J14+'Exhibit 14 ORV'!L14+'Exhibit 14 LCM'!L14</f>
        <v>2280459847.0900259</v>
      </c>
      <c r="G14" s="169"/>
      <c r="H14" s="171">
        <f>'Exhibit 14 PP'!L14+'Exhibit 14 MCY'!N14+'Exhibit 14 MH'!L14+'Exhibit 14 ORV'!N14+'Exhibit 14 LCM'!N14</f>
        <v>3006055264.3199773</v>
      </c>
      <c r="J14" s="158"/>
      <c r="K14" s="208"/>
      <c r="L14" s="208"/>
      <c r="M14" s="208"/>
      <c r="N14" s="279"/>
      <c r="P14" s="159"/>
      <c r="Q14" s="160"/>
      <c r="R14" s="161"/>
      <c r="S14" s="162"/>
    </row>
    <row r="15" spans="1:19" x14ac:dyDescent="0.25">
      <c r="A15" s="142" t="s">
        <v>23</v>
      </c>
      <c r="B15" s="155">
        <v>21.027679720983024</v>
      </c>
      <c r="C15" s="142"/>
      <c r="D15" s="155">
        <v>21</v>
      </c>
      <c r="E15" s="142"/>
      <c r="F15" s="171">
        <f>'Exhibit 14 PP'!J15+'Exhibit 14 MH'!J15+'Exhibit 14 ORV'!L21+'Exhibit 14 LCM'!L15</f>
        <v>95981678.700001568</v>
      </c>
      <c r="G15" s="169"/>
      <c r="H15" s="171">
        <f>'Exhibit 14 PP'!L15+'Exhibit 14 MH'!L15+'Exhibit 14 ORV'!N21+'Exhibit 14 LCM'!N15</f>
        <v>116144301.04000059</v>
      </c>
      <c r="J15" s="158"/>
      <c r="K15" s="208"/>
      <c r="L15" s="208"/>
      <c r="M15" s="208"/>
      <c r="N15" s="279"/>
      <c r="P15" s="159"/>
      <c r="Q15" s="160"/>
      <c r="R15" s="161"/>
      <c r="S15" s="162"/>
    </row>
    <row r="16" spans="1:19" x14ac:dyDescent="0.25">
      <c r="A16" s="142" t="s">
        <v>226</v>
      </c>
      <c r="B16" s="155">
        <v>43.360440829481348</v>
      </c>
      <c r="C16" s="142"/>
      <c r="D16" s="155">
        <v>43</v>
      </c>
      <c r="E16" s="142"/>
      <c r="F16" s="171">
        <f>'Exhibit 14 PP'!J16+'Exhibit 14 MCY'!L17+'Exhibit 14 MH'!J16+'Exhibit 14 ORV'!L43+'Exhibit 14 LCM'!L16</f>
        <v>421567019.47000355</v>
      </c>
      <c r="G16" s="169"/>
      <c r="H16" s="171">
        <f>'Exhibit 14 PP'!L16+'Exhibit 14 MCY'!N17+'Exhibit 14 MH'!L16+'Exhibit 14 ORV'!N43+'Exhibit 14 LCM'!N16</f>
        <v>602792488.76000011</v>
      </c>
      <c r="J16" s="158"/>
      <c r="K16" s="280"/>
      <c r="L16" s="280"/>
      <c r="M16" s="208"/>
      <c r="N16" s="279"/>
      <c r="P16" s="159"/>
      <c r="Q16" s="160"/>
      <c r="R16" s="161"/>
      <c r="S16" s="162"/>
    </row>
    <row r="17" spans="1:19" x14ac:dyDescent="0.25">
      <c r="A17" s="142" t="s">
        <v>227</v>
      </c>
      <c r="B17" s="155">
        <v>43.360440829481348</v>
      </c>
      <c r="C17" s="142"/>
      <c r="D17" s="155">
        <v>43</v>
      </c>
      <c r="E17" s="142"/>
      <c r="F17" s="171">
        <f>'Exhibit 14 PP'!J17+'Exhibit 14 MCY'!L18+'Exhibit 14 MH'!J17+'Exhibit 14 ORV'!L44+'Exhibit 14 LCM'!L17</f>
        <v>44468026.789999418</v>
      </c>
      <c r="G17" s="169"/>
      <c r="H17" s="171">
        <f>'Exhibit 14 PP'!L17+'Exhibit 14 MCY'!N18+'Exhibit 14 MH'!L17+'Exhibit 14 ORV'!N44+'Exhibit 14 LCM'!N17</f>
        <v>63606687.449999452</v>
      </c>
      <c r="J17" s="158"/>
      <c r="K17" s="276"/>
      <c r="L17" s="276"/>
      <c r="M17" s="208"/>
      <c r="N17" s="279"/>
      <c r="P17" s="159"/>
      <c r="Q17" s="160"/>
      <c r="R17" s="161"/>
      <c r="S17" s="162"/>
    </row>
    <row r="18" spans="1:19" x14ac:dyDescent="0.25">
      <c r="A18" s="142" t="s">
        <v>24</v>
      </c>
      <c r="B18" s="155">
        <v>22.680332552152159</v>
      </c>
      <c r="C18" s="142"/>
      <c r="D18" s="155">
        <v>15.5</v>
      </c>
      <c r="E18" s="142"/>
      <c r="F18" s="171">
        <f>'Exhibit 14 PP'!J18+'Exhibit 14 MCY'!L15+'Exhibit 14 MH'!J18+'Exhibit 14 ORV'!L29+'Exhibit 14 PPT'!L14+'Exhibit 14 TCT'!J15+'Exhibit 14 LCM'!L18</f>
        <v>806963946.57999802</v>
      </c>
      <c r="G18" s="169"/>
      <c r="H18" s="171">
        <f>'Exhibit 14 PP'!L18+'Exhibit 14 MCY'!N15+'Exhibit 14 MH'!L18+'Exhibit 14 ORV'!N29+'Exhibit 14 PPT'!N14+'Exhibit 14 TCT'!L15+'Exhibit 14 LCM'!N18</f>
        <v>931860849.51999581</v>
      </c>
      <c r="J18" s="158"/>
      <c r="K18" s="208"/>
      <c r="L18" s="208"/>
      <c r="M18" s="208"/>
      <c r="N18" s="279"/>
      <c r="P18" s="159"/>
      <c r="Q18" s="160"/>
      <c r="R18" s="161"/>
      <c r="S18" s="162"/>
    </row>
    <row r="19" spans="1:19" x14ac:dyDescent="0.25">
      <c r="A19" s="142" t="s">
        <v>25</v>
      </c>
      <c r="B19" s="155">
        <v>19.988017132279662</v>
      </c>
      <c r="C19" s="142"/>
      <c r="D19" s="155">
        <v>15</v>
      </c>
      <c r="E19" s="142"/>
      <c r="F19" s="171">
        <f>'Exhibit 14 PP'!J19+'Exhibit 14 MCY'!L16+'Exhibit 14 MH'!J19+'Exhibit 14 ORV'!L36+'Exhibit 14 PPT'!L15+'Exhibit 14 TCT'!J16+'Exhibit 14 LCM'!L19</f>
        <v>2247774163.6499777</v>
      </c>
      <c r="G19" s="169"/>
      <c r="H19" s="171">
        <f>'Exhibit 14 PP'!L19+'Exhibit 14 MCY'!N16+'Exhibit 14 MH'!L19+'Exhibit 14 ORV'!N36+'Exhibit 14 PPT'!N15+'Exhibit 14 TCT'!L16+'Exhibit 14 LCM'!N19</f>
        <v>2584801904.0200047</v>
      </c>
      <c r="J19" s="158"/>
      <c r="K19" s="208"/>
      <c r="L19" s="208"/>
      <c r="M19" s="208"/>
      <c r="N19" s="279"/>
      <c r="P19" s="159"/>
      <c r="Q19" s="160"/>
      <c r="R19" s="161"/>
      <c r="S19" s="162"/>
    </row>
    <row r="20" spans="1:19" x14ac:dyDescent="0.25">
      <c r="A20" s="142" t="s">
        <v>27</v>
      </c>
      <c r="B20" s="155">
        <v>12.087049883452119</v>
      </c>
      <c r="C20" s="142"/>
      <c r="D20" s="155">
        <v>12</v>
      </c>
      <c r="E20" s="142"/>
      <c r="F20" s="171"/>
      <c r="G20" s="169"/>
      <c r="H20" s="171"/>
      <c r="J20" s="158"/>
      <c r="K20" s="208"/>
      <c r="L20" s="208"/>
      <c r="M20" s="208"/>
      <c r="N20" s="279"/>
      <c r="P20" s="159"/>
      <c r="Q20" s="160"/>
      <c r="R20" s="161"/>
      <c r="S20" s="162"/>
    </row>
    <row r="21" spans="1:19" x14ac:dyDescent="0.25">
      <c r="A21" s="142" t="s">
        <v>228</v>
      </c>
      <c r="B21" s="155"/>
      <c r="C21" s="142"/>
      <c r="D21" s="155"/>
      <c r="E21" s="142"/>
      <c r="F21" s="171">
        <f>'Exhibit 14 PP'!J21+'Exhibit 14 MH'!J21+'Exhibit 14 PPT'!L17+'Exhibit 14 LCM'!L21</f>
        <v>30447195.670001224</v>
      </c>
      <c r="G21" s="169"/>
      <c r="H21" s="171">
        <f>'Exhibit 14 PP'!L21+'Exhibit 14 MH'!L21+'Exhibit 14 PPT'!N17+'Exhibit 14 LCM'!N21</f>
        <v>34095204.730000459</v>
      </c>
      <c r="J21" s="158"/>
      <c r="K21" s="208"/>
      <c r="L21" s="208"/>
      <c r="M21" s="208"/>
      <c r="N21" s="279"/>
      <c r="P21" s="159"/>
      <c r="Q21" s="160"/>
      <c r="R21" s="161"/>
      <c r="S21" s="162"/>
    </row>
    <row r="22" spans="1:19" x14ac:dyDescent="0.25">
      <c r="A22" s="142" t="s">
        <v>229</v>
      </c>
      <c r="B22" s="155"/>
      <c r="C22" s="142"/>
      <c r="D22" s="155"/>
      <c r="E22" s="142"/>
      <c r="F22" s="171">
        <f>'Exhibit 14 PP'!J22+'Exhibit 14 MH'!J22+'Exhibit 14 LCM'!L22</f>
        <v>105804083.13999563</v>
      </c>
      <c r="G22" s="169"/>
      <c r="H22" s="171">
        <f>'Exhibit 14 PP'!L22+'Exhibit 14 MH'!L22+'Exhibit 14 LCM'!N22</f>
        <v>118510619.1900166</v>
      </c>
      <c r="I22" s="142"/>
      <c r="J22" s="158"/>
      <c r="K22" s="208"/>
      <c r="L22" s="208"/>
      <c r="M22" s="208"/>
      <c r="N22" s="279"/>
      <c r="P22" s="159"/>
      <c r="Q22" s="160"/>
      <c r="R22" s="161"/>
      <c r="S22" s="162"/>
    </row>
    <row r="23" spans="1:19" x14ac:dyDescent="0.25">
      <c r="A23" s="142" t="s">
        <v>28</v>
      </c>
      <c r="B23" s="155">
        <v>-7.3999999999999995</v>
      </c>
      <c r="C23" s="142"/>
      <c r="D23" s="155">
        <v>-7.3999999999999995</v>
      </c>
      <c r="E23" s="142"/>
      <c r="F23" s="171"/>
      <c r="G23" s="169"/>
      <c r="H23" s="171"/>
      <c r="J23" s="158"/>
      <c r="K23" s="208"/>
      <c r="L23" s="208"/>
      <c r="M23" s="208"/>
      <c r="N23" s="279"/>
      <c r="P23" s="159"/>
      <c r="Q23" s="160"/>
      <c r="R23" s="161"/>
      <c r="S23" s="162"/>
    </row>
    <row r="24" spans="1:19" x14ac:dyDescent="0.25">
      <c r="A24" s="142" t="s">
        <v>230</v>
      </c>
      <c r="B24" s="155"/>
      <c r="C24" s="142"/>
      <c r="D24" s="155"/>
      <c r="E24" s="142"/>
      <c r="F24" s="171">
        <f>'Exhibit 14 PP'!J24+'Exhibit 14 MH'!J24+'Exhibit 14 LCM'!L24</f>
        <v>23747.900000002737</v>
      </c>
      <c r="G24" s="169"/>
      <c r="H24" s="171">
        <f>'Exhibit 14 PP'!L24+'Exhibit 14 MH'!L24+'Exhibit 14 LCM'!N24</f>
        <v>21845.960000000712</v>
      </c>
      <c r="J24" s="158"/>
      <c r="K24" s="208"/>
      <c r="L24" s="208"/>
      <c r="M24" s="208"/>
      <c r="N24" s="279"/>
      <c r="P24" s="159"/>
      <c r="Q24" s="160"/>
      <c r="R24" s="161"/>
      <c r="S24" s="162"/>
    </row>
    <row r="25" spans="1:19" x14ac:dyDescent="0.25">
      <c r="A25" s="142" t="s">
        <v>231</v>
      </c>
      <c r="B25" s="155"/>
      <c r="C25" s="142"/>
      <c r="D25" s="155"/>
      <c r="E25" s="142"/>
      <c r="F25" s="171">
        <f>'Exhibit 14 PP'!J25+'Exhibit 14 MH'!J25+'Exhibit 14 LCM'!L25</f>
        <v>379374.7200000232</v>
      </c>
      <c r="G25" s="169"/>
      <c r="H25" s="171">
        <f>'Exhibit 14 PP'!L25+'Exhibit 14 MH'!L25+'Exhibit 14 LCM'!N25</f>
        <v>350968.76000004431</v>
      </c>
      <c r="J25" s="158"/>
      <c r="K25" s="208"/>
      <c r="L25" s="208"/>
      <c r="M25" s="208"/>
      <c r="N25" s="279"/>
      <c r="P25" s="159"/>
      <c r="Q25" s="160"/>
      <c r="R25" s="161"/>
      <c r="S25" s="162"/>
    </row>
    <row r="26" spans="1:19" x14ac:dyDescent="0.25">
      <c r="A26" s="142" t="s">
        <v>232</v>
      </c>
      <c r="B26" s="155"/>
      <c r="C26" s="142"/>
      <c r="D26" s="155"/>
      <c r="E26" s="142"/>
      <c r="F26" s="171">
        <f>'Exhibit 14 PP'!J26+'Exhibit 14 MH'!J26+'Exhibit 14 LCM'!L26</f>
        <v>179491.39999998</v>
      </c>
      <c r="G26" s="169"/>
      <c r="H26" s="171">
        <f>'Exhibit 14 PP'!L26+'Exhibit 14 MH'!L26+'Exhibit 14 LCM'!N26</f>
        <v>166659.12000000483</v>
      </c>
      <c r="J26" s="158"/>
      <c r="K26" s="208"/>
      <c r="L26" s="208"/>
      <c r="M26" s="208"/>
      <c r="N26" s="279"/>
      <c r="P26" s="159"/>
      <c r="Q26" s="160"/>
      <c r="R26" s="161"/>
      <c r="S26" s="162"/>
    </row>
    <row r="27" spans="1:19" x14ac:dyDescent="0.25">
      <c r="A27" s="142"/>
      <c r="B27" s="155"/>
      <c r="C27" s="142"/>
      <c r="D27" s="155"/>
      <c r="E27" s="142"/>
      <c r="F27" s="171"/>
      <c r="G27" s="169"/>
      <c r="H27" s="171"/>
      <c r="J27" s="158"/>
      <c r="K27" s="208"/>
      <c r="L27" s="208"/>
      <c r="M27" s="208"/>
      <c r="N27" s="279"/>
      <c r="P27" s="159"/>
      <c r="Q27" s="160"/>
      <c r="R27" s="161"/>
      <c r="S27" s="162"/>
    </row>
    <row r="28" spans="1:19" x14ac:dyDescent="0.25">
      <c r="A28" s="142" t="s">
        <v>233</v>
      </c>
      <c r="B28" s="155">
        <v>26.304182828260785</v>
      </c>
      <c r="C28" s="142" t="s">
        <v>225</v>
      </c>
      <c r="D28" s="155">
        <v>23.402495268309046</v>
      </c>
      <c r="E28" s="142" t="s">
        <v>225</v>
      </c>
      <c r="F28" s="171">
        <f>SUM(F14:F26)</f>
        <v>6034048575.1100025</v>
      </c>
      <c r="G28" s="169"/>
      <c r="H28" s="171">
        <f>SUM(H14:H26)</f>
        <v>7458406792.8699951</v>
      </c>
      <c r="I28" s="142"/>
      <c r="J28" s="158"/>
      <c r="K28" s="208"/>
      <c r="L28" s="208"/>
      <c r="M28" s="208"/>
      <c r="N28" s="279"/>
      <c r="P28" s="159"/>
      <c r="Q28" s="160"/>
      <c r="R28" s="161"/>
      <c r="S28" s="162"/>
    </row>
    <row r="29" spans="1:19" x14ac:dyDescent="0.25">
      <c r="A29" s="142"/>
      <c r="B29" s="142"/>
      <c r="C29" s="142"/>
      <c r="D29" s="142"/>
      <c r="E29" s="142"/>
      <c r="F29" s="172"/>
      <c r="G29" s="142"/>
      <c r="H29" s="148"/>
      <c r="J29" s="142"/>
      <c r="K29" s="142"/>
      <c r="L29" s="142"/>
      <c r="M29" s="142"/>
    </row>
    <row r="30" spans="1:19" x14ac:dyDescent="0.25">
      <c r="A30" s="142"/>
      <c r="B30" s="142"/>
      <c r="C30" s="142"/>
      <c r="D30" s="142"/>
      <c r="E30" s="142"/>
      <c r="F30" s="142"/>
      <c r="G30" s="142"/>
      <c r="H30" s="148"/>
    </row>
    <row r="31" spans="1:19" x14ac:dyDescent="0.25">
      <c r="A31" s="167" t="s">
        <v>234</v>
      </c>
      <c r="B31" s="142"/>
      <c r="C31" s="142"/>
      <c r="D31" s="142"/>
      <c r="E31" s="142"/>
      <c r="F31" s="142"/>
      <c r="G31" s="142"/>
      <c r="H31" s="148"/>
    </row>
    <row r="32" spans="1:19" x14ac:dyDescent="0.25">
      <c r="A32" s="141"/>
      <c r="B32" s="142"/>
      <c r="C32" s="142"/>
      <c r="D32" s="142"/>
      <c r="E32" s="142"/>
      <c r="F32" s="142"/>
      <c r="G32" s="142"/>
      <c r="H32" s="148"/>
    </row>
    <row r="33" spans="1:8" x14ac:dyDescent="0.25">
      <c r="A33" s="141" t="s">
        <v>266</v>
      </c>
      <c r="B33" s="142"/>
      <c r="C33" s="142"/>
      <c r="D33" s="142"/>
      <c r="E33" s="142"/>
      <c r="F33" s="142"/>
      <c r="G33" s="142"/>
      <c r="H33" s="148"/>
    </row>
    <row r="34" spans="1:8" x14ac:dyDescent="0.25">
      <c r="A34" s="167"/>
      <c r="B34" s="142"/>
      <c r="C34" s="142"/>
      <c r="D34" s="142"/>
      <c r="E34" s="142"/>
      <c r="F34" s="142"/>
      <c r="G34" s="142"/>
      <c r="H34" s="148"/>
    </row>
    <row r="35" spans="1:8" x14ac:dyDescent="0.25">
      <c r="A35" s="141"/>
      <c r="B35" s="142"/>
      <c r="C35" s="142"/>
      <c r="D35" s="142"/>
      <c r="E35" s="142"/>
      <c r="F35" s="142"/>
      <c r="G35" s="142"/>
      <c r="H35" s="148"/>
    </row>
    <row r="36" spans="1:8" x14ac:dyDescent="0.25">
      <c r="A36" s="141"/>
      <c r="B36" s="148"/>
      <c r="C36" s="148"/>
      <c r="D36" s="148"/>
      <c r="E36" s="148"/>
      <c r="F36" s="148"/>
      <c r="G36" s="168"/>
      <c r="H36" s="148"/>
    </row>
    <row r="37" spans="1:8" ht="15" customHeight="1" x14ac:dyDescent="0.25">
      <c r="A37" s="148"/>
      <c r="B37" s="148"/>
      <c r="C37" s="148"/>
      <c r="D37" s="148"/>
      <c r="E37" s="148"/>
      <c r="F37" s="148"/>
      <c r="G37" s="168"/>
      <c r="H37" s="148"/>
    </row>
    <row r="38" spans="1:8" x14ac:dyDescent="0.25">
      <c r="A38" s="148"/>
      <c r="B38" s="148"/>
      <c r="C38" s="148"/>
      <c r="D38" s="148"/>
      <c r="E38" s="148"/>
      <c r="F38" s="148"/>
      <c r="G38" s="168"/>
      <c r="H38" s="148"/>
    </row>
    <row r="39" spans="1:8" ht="15.75" customHeight="1" x14ac:dyDescent="0.25">
      <c r="A39" s="148"/>
      <c r="B39" s="148"/>
      <c r="C39" s="148"/>
      <c r="D39" s="148"/>
      <c r="E39" s="148"/>
      <c r="F39" s="148"/>
      <c r="G39" s="148"/>
      <c r="H39" s="148"/>
    </row>
    <row r="40" spans="1:8" ht="15" customHeight="1" x14ac:dyDescent="0.25">
      <c r="A40" s="148"/>
      <c r="B40" s="148"/>
      <c r="C40" s="148"/>
      <c r="D40" s="148"/>
      <c r="E40" s="148"/>
      <c r="F40" s="148"/>
      <c r="G40" s="148"/>
      <c r="H40" s="148"/>
    </row>
    <row r="41" spans="1:8" ht="15" customHeight="1" x14ac:dyDescent="0.25"/>
  </sheetData>
  <mergeCells count="6">
    <mergeCell ref="F12:G12"/>
    <mergeCell ref="H12:I12"/>
    <mergeCell ref="F9:G9"/>
    <mergeCell ref="J9:K9"/>
    <mergeCell ref="F11:G11"/>
    <mergeCell ref="H11:I11"/>
  </mergeCells>
  <printOptions horizontalCentered="1"/>
  <pageMargins left="0.7" right="0.7" top="0.75" bottom="0.75" header="0.3" footer="0.3"/>
  <pageSetup scale="98" orientation="landscape"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CC47-C15C-4F0C-87A6-518AD0453CF6}">
  <sheetPr codeName="Sheet12"/>
  <dimension ref="A1:W37"/>
  <sheetViews>
    <sheetView view="pageBreakPreview" topLeftCell="A4" zoomScaleNormal="100" zoomScaleSheetLayoutView="100" workbookViewId="0">
      <selection activeCell="L23" sqref="L23"/>
    </sheetView>
  </sheetViews>
  <sheetFormatPr defaultColWidth="9.140625" defaultRowHeight="15" x14ac:dyDescent="0.25"/>
  <cols>
    <col min="1" max="1" width="29.28515625" style="140" customWidth="1"/>
    <col min="2" max="2" width="9.7109375" style="140" customWidth="1"/>
    <col min="3" max="3" width="3" style="140" customWidth="1"/>
    <col min="4" max="4" width="9.7109375" style="140" customWidth="1"/>
    <col min="5" max="5" width="1.85546875" style="140" customWidth="1"/>
    <col min="6" max="6" width="9.7109375" style="140" customWidth="1"/>
    <col min="7" max="7" width="1.85546875" style="140" customWidth="1"/>
    <col min="8" max="8" width="9.7109375" style="140" customWidth="1"/>
    <col min="9" max="9" width="1.7109375" style="140" customWidth="1"/>
    <col min="10" max="10" width="16" style="140" customWidth="1"/>
    <col min="11" max="11" width="2.28515625" style="140" customWidth="1"/>
    <col min="12" max="12" width="15.7109375" style="140" customWidth="1"/>
    <col min="13" max="13" width="1.42578125" style="140" customWidth="1"/>
    <col min="14" max="14" width="10.42578125" style="140" bestFit="1" customWidth="1"/>
    <col min="15" max="16" width="9.140625" style="140"/>
    <col min="17" max="18" width="9.140625" style="140" customWidth="1"/>
    <col min="19" max="16384" width="9.140625" style="140"/>
  </cols>
  <sheetData>
    <row r="1" spans="1:18" ht="14.1" customHeight="1" x14ac:dyDescent="0.25">
      <c r="A1" s="11" t="s">
        <v>1</v>
      </c>
      <c r="B1" s="138"/>
      <c r="C1" s="138"/>
      <c r="D1" s="138"/>
      <c r="E1" s="138"/>
      <c r="F1" s="138"/>
      <c r="G1" s="138"/>
      <c r="H1" s="138"/>
      <c r="I1" s="138"/>
      <c r="J1" s="138"/>
      <c r="K1" s="138"/>
      <c r="L1" s="139"/>
      <c r="O1" s="139"/>
      <c r="P1" s="139"/>
    </row>
    <row r="2" spans="1:18" x14ac:dyDescent="0.25">
      <c r="A2" s="10" t="s">
        <v>0</v>
      </c>
      <c r="B2" s="138"/>
      <c r="C2" s="138"/>
      <c r="D2" s="138"/>
      <c r="E2" s="138"/>
      <c r="F2" s="138"/>
      <c r="G2" s="138"/>
      <c r="H2" s="138"/>
      <c r="I2" s="138"/>
      <c r="J2" s="138"/>
      <c r="K2" s="138"/>
      <c r="L2" s="139"/>
      <c r="O2" s="139"/>
      <c r="P2" s="139"/>
    </row>
    <row r="3" spans="1:18" ht="14.1" customHeight="1" x14ac:dyDescent="0.25">
      <c r="A3" s="95"/>
      <c r="B3" s="138"/>
      <c r="C3" s="138"/>
      <c r="D3" s="138"/>
      <c r="E3" s="138"/>
      <c r="F3" s="138"/>
      <c r="G3" s="138"/>
      <c r="H3" s="138"/>
      <c r="I3" s="138"/>
      <c r="J3" s="138"/>
      <c r="K3" s="138"/>
      <c r="L3" s="139"/>
      <c r="O3" s="139"/>
      <c r="P3" s="139"/>
    </row>
    <row r="4" spans="1:18" x14ac:dyDescent="0.25">
      <c r="A4" s="9" t="s">
        <v>217</v>
      </c>
      <c r="B4" s="138"/>
      <c r="C4" s="138"/>
      <c r="D4" s="138"/>
      <c r="E4" s="138"/>
      <c r="F4" s="138"/>
      <c r="G4" s="138"/>
      <c r="H4" s="138"/>
      <c r="I4" s="138"/>
      <c r="J4" s="138"/>
      <c r="K4" s="138"/>
      <c r="L4" s="139"/>
      <c r="O4" s="139"/>
      <c r="P4" s="139"/>
    </row>
    <row r="5" spans="1:18" ht="14.1" customHeight="1" x14ac:dyDescent="0.25">
      <c r="A5" s="138"/>
      <c r="B5" s="138"/>
      <c r="C5" s="138"/>
      <c r="D5" s="138"/>
      <c r="E5" s="138"/>
      <c r="F5" s="138"/>
      <c r="G5" s="138"/>
      <c r="H5" s="138"/>
      <c r="I5" s="138"/>
      <c r="J5" s="138"/>
      <c r="K5" s="138"/>
      <c r="L5" s="139"/>
      <c r="O5" s="139"/>
      <c r="P5" s="139"/>
    </row>
    <row r="6" spans="1:18" ht="14.1" customHeight="1" x14ac:dyDescent="0.25">
      <c r="A6" s="138" t="s">
        <v>218</v>
      </c>
      <c r="B6" s="138"/>
      <c r="C6" s="138"/>
      <c r="D6" s="138"/>
      <c r="E6" s="138"/>
      <c r="F6" s="138"/>
      <c r="G6" s="138"/>
      <c r="H6" s="138"/>
      <c r="I6" s="138"/>
      <c r="J6" s="138"/>
      <c r="K6" s="138"/>
      <c r="L6" s="139"/>
      <c r="O6" s="139"/>
      <c r="P6" s="139"/>
    </row>
    <row r="7" spans="1:18" x14ac:dyDescent="0.25">
      <c r="A7" s="138" t="s">
        <v>219</v>
      </c>
      <c r="B7" s="138"/>
      <c r="C7" s="138"/>
      <c r="D7" s="138"/>
      <c r="E7" s="138"/>
      <c r="F7" s="138"/>
      <c r="G7" s="138"/>
      <c r="H7" s="138"/>
      <c r="I7" s="138"/>
      <c r="J7" s="138"/>
      <c r="K7" s="138"/>
      <c r="L7" s="139"/>
      <c r="N7" s="142"/>
      <c r="O7" s="142"/>
      <c r="P7" s="142"/>
      <c r="Q7" s="142"/>
    </row>
    <row r="8" spans="1:18" x14ac:dyDescent="0.25">
      <c r="A8" s="142"/>
      <c r="B8" s="142"/>
      <c r="C8" s="142"/>
      <c r="D8" s="142"/>
      <c r="E8" s="142"/>
      <c r="F8" s="142"/>
      <c r="G8" s="142"/>
      <c r="H8" s="142"/>
      <c r="I8" s="142"/>
      <c r="J8" s="142"/>
      <c r="K8" s="142"/>
      <c r="L8" s="142"/>
      <c r="N8" s="143"/>
    </row>
    <row r="9" spans="1:18" x14ac:dyDescent="0.25">
      <c r="A9" s="144" t="s">
        <v>161</v>
      </c>
      <c r="B9" s="147" t="s">
        <v>162</v>
      </c>
      <c r="C9" s="147"/>
      <c r="D9" s="147" t="s">
        <v>163</v>
      </c>
      <c r="E9" s="147"/>
      <c r="F9" s="147" t="s">
        <v>164</v>
      </c>
      <c r="G9" s="147"/>
      <c r="H9" s="147" t="s">
        <v>165</v>
      </c>
      <c r="I9" s="147"/>
      <c r="J9" s="147" t="s">
        <v>166</v>
      </c>
      <c r="K9" s="147"/>
      <c r="L9" s="147" t="s">
        <v>167</v>
      </c>
      <c r="M9" s="147"/>
      <c r="N9" s="311"/>
      <c r="O9" s="310"/>
      <c r="P9" s="143"/>
      <c r="Q9" s="143"/>
      <c r="R9" s="143"/>
    </row>
    <row r="10" spans="1:18" x14ac:dyDescent="0.25">
      <c r="A10" s="144"/>
      <c r="B10" s="147" t="s">
        <v>220</v>
      </c>
      <c r="C10" s="147"/>
      <c r="D10" s="149"/>
      <c r="E10" s="149"/>
      <c r="F10" s="147"/>
      <c r="G10" s="147"/>
      <c r="H10" s="147"/>
      <c r="I10" s="147"/>
      <c r="J10" s="142"/>
      <c r="K10" s="142"/>
      <c r="L10" s="148"/>
      <c r="N10" s="149"/>
      <c r="O10" s="149"/>
      <c r="P10" s="149"/>
      <c r="Q10" s="147"/>
    </row>
    <row r="11" spans="1:18" x14ac:dyDescent="0.25">
      <c r="A11" s="144"/>
      <c r="B11" s="147" t="s">
        <v>113</v>
      </c>
      <c r="C11" s="147"/>
      <c r="D11" s="150" t="s">
        <v>221</v>
      </c>
      <c r="E11" s="150"/>
      <c r="F11" s="147" t="s">
        <v>220</v>
      </c>
      <c r="G11" s="147"/>
      <c r="H11" s="310" t="s">
        <v>268</v>
      </c>
      <c r="I11" s="310"/>
      <c r="J11" s="310" t="s">
        <v>221</v>
      </c>
      <c r="K11" s="310"/>
      <c r="L11" s="310" t="s">
        <v>220</v>
      </c>
      <c r="M11" s="310"/>
      <c r="N11" s="142"/>
      <c r="O11" s="142"/>
      <c r="P11" s="142"/>
      <c r="Q11" s="142"/>
    </row>
    <row r="12" spans="1:18" x14ac:dyDescent="0.25">
      <c r="A12" s="151" t="s">
        <v>41</v>
      </c>
      <c r="B12" s="153" t="s">
        <v>224</v>
      </c>
      <c r="C12" s="147"/>
      <c r="D12" s="152" t="s">
        <v>223</v>
      </c>
      <c r="E12" s="152"/>
      <c r="F12" s="153" t="s">
        <v>223</v>
      </c>
      <c r="G12" s="153"/>
      <c r="H12" s="309" t="s">
        <v>223</v>
      </c>
      <c r="I12" s="309"/>
      <c r="J12" s="309" t="s">
        <v>35</v>
      </c>
      <c r="K12" s="310"/>
      <c r="L12" s="309" t="s">
        <v>35</v>
      </c>
      <c r="M12" s="310"/>
      <c r="N12" s="142"/>
      <c r="O12" s="142"/>
      <c r="P12" s="142"/>
      <c r="Q12" s="142"/>
    </row>
    <row r="13" spans="1:18" x14ac:dyDescent="0.25">
      <c r="A13" s="142"/>
      <c r="B13" s="142"/>
      <c r="C13" s="142"/>
      <c r="D13" s="142"/>
      <c r="E13" s="142"/>
      <c r="F13" s="142"/>
      <c r="G13" s="142"/>
      <c r="H13" s="142"/>
      <c r="I13" s="142"/>
      <c r="J13" s="142"/>
      <c r="K13" s="142"/>
      <c r="L13" s="148"/>
      <c r="N13" s="142"/>
      <c r="O13" s="142"/>
      <c r="P13" s="142"/>
      <c r="Q13" s="142"/>
      <c r="R13" s="142"/>
    </row>
    <row r="14" spans="1:18" x14ac:dyDescent="0.25">
      <c r="A14" s="142" t="s">
        <v>22</v>
      </c>
      <c r="B14" s="155">
        <f t="shared" ref="B14:B19" si="0">(L14/J14-1)*100</f>
        <v>31.83154845533678</v>
      </c>
      <c r="C14" s="142" t="s">
        <v>225</v>
      </c>
      <c r="D14" s="154">
        <v>841.98</v>
      </c>
      <c r="E14" s="142"/>
      <c r="F14" s="156">
        <v>1110.4000000000001</v>
      </c>
      <c r="G14" s="142"/>
      <c r="H14" s="158">
        <f t="shared" ref="H14:H19" si="1">F14/D14-1</f>
        <v>0.31879617093042589</v>
      </c>
      <c r="I14" s="142"/>
      <c r="J14" s="171">
        <v>2268048357.8200259</v>
      </c>
      <c r="K14" s="169"/>
      <c r="L14" s="170">
        <v>2990003269.8299775</v>
      </c>
      <c r="N14" s="158"/>
      <c r="O14" s="208"/>
      <c r="P14" s="142"/>
      <c r="Q14" s="155"/>
      <c r="R14" s="281"/>
    </row>
    <row r="15" spans="1:18" x14ac:dyDescent="0.25">
      <c r="A15" s="142" t="s">
        <v>23</v>
      </c>
      <c r="B15" s="155">
        <f t="shared" si="0"/>
        <v>21.117554201618226</v>
      </c>
      <c r="C15" s="142"/>
      <c r="D15" s="157">
        <v>91.88</v>
      </c>
      <c r="E15" s="142"/>
      <c r="F15" s="157">
        <v>111.32</v>
      </c>
      <c r="G15" s="142"/>
      <c r="H15" s="158">
        <f t="shared" si="1"/>
        <v>0.2115803221593382</v>
      </c>
      <c r="I15" s="142"/>
      <c r="J15" s="171">
        <v>95445969.820001572</v>
      </c>
      <c r="K15" s="169"/>
      <c r="L15" s="170">
        <v>115601824.23000059</v>
      </c>
      <c r="N15" s="158"/>
      <c r="O15" s="174"/>
      <c r="P15" s="142"/>
      <c r="Q15" s="155"/>
      <c r="R15" s="281"/>
    </row>
    <row r="16" spans="1:18" x14ac:dyDescent="0.25">
      <c r="A16" s="142" t="s">
        <v>226</v>
      </c>
      <c r="B16" s="155">
        <f t="shared" si="0"/>
        <v>43.679931833884275</v>
      </c>
      <c r="C16" s="142"/>
      <c r="D16" s="157">
        <v>86.2</v>
      </c>
      <c r="E16" s="142"/>
      <c r="F16" s="157">
        <v>123.99</v>
      </c>
      <c r="G16" s="142"/>
      <c r="H16" s="158">
        <f t="shared" si="1"/>
        <v>0.438399071925754</v>
      </c>
      <c r="I16" s="142"/>
      <c r="J16" s="171">
        <v>408582830.30000353</v>
      </c>
      <c r="K16" s="169"/>
      <c r="L16" s="170">
        <v>587051532.06000018</v>
      </c>
      <c r="N16" s="158"/>
      <c r="O16" s="209"/>
      <c r="P16" s="142"/>
      <c r="Q16" s="155"/>
      <c r="R16" s="281"/>
    </row>
    <row r="17" spans="1:23" x14ac:dyDescent="0.25">
      <c r="A17" s="142" t="s">
        <v>227</v>
      </c>
      <c r="B17" s="155">
        <f t="shared" si="0"/>
        <v>43.785948885437186</v>
      </c>
      <c r="C17" s="142"/>
      <c r="D17" s="157">
        <v>32.85</v>
      </c>
      <c r="E17" s="142"/>
      <c r="F17" s="157">
        <v>47.27</v>
      </c>
      <c r="G17" s="142"/>
      <c r="H17" s="158">
        <f t="shared" si="1"/>
        <v>0.43896499238964992</v>
      </c>
      <c r="I17" s="142"/>
      <c r="J17" s="171">
        <v>42963825.059999429</v>
      </c>
      <c r="K17" s="169"/>
      <c r="L17" s="170">
        <v>61775943.539999433</v>
      </c>
      <c r="N17" s="158"/>
      <c r="O17" s="157"/>
      <c r="P17" s="142"/>
      <c r="Q17" s="155"/>
      <c r="R17" s="281"/>
      <c r="T17" s="159"/>
      <c r="U17" s="160"/>
      <c r="V17" s="161"/>
      <c r="W17" s="162"/>
    </row>
    <row r="18" spans="1:23" x14ac:dyDescent="0.25">
      <c r="A18" s="142" t="s">
        <v>318</v>
      </c>
      <c r="B18" s="155">
        <f t="shared" si="0"/>
        <v>14.835819648381431</v>
      </c>
      <c r="C18" s="142"/>
      <c r="D18" s="157">
        <v>321.5</v>
      </c>
      <c r="E18" s="163"/>
      <c r="F18" s="157">
        <v>369.5</v>
      </c>
      <c r="G18" s="142"/>
      <c r="H18" s="158">
        <f t="shared" si="1"/>
        <v>0.1493001555209954</v>
      </c>
      <c r="I18" s="142"/>
      <c r="J18" s="171">
        <v>772218221.60999799</v>
      </c>
      <c r="K18" s="169"/>
      <c r="L18" s="170">
        <v>886783124.25999582</v>
      </c>
      <c r="N18" s="158"/>
      <c r="O18" s="157"/>
      <c r="P18" s="142"/>
      <c r="Q18" s="155"/>
      <c r="R18" s="281"/>
      <c r="T18" s="159"/>
      <c r="U18" s="160"/>
      <c r="V18" s="161"/>
      <c r="W18" s="162"/>
    </row>
    <row r="19" spans="1:23" x14ac:dyDescent="0.25">
      <c r="A19" s="142" t="s">
        <v>319</v>
      </c>
      <c r="B19" s="155">
        <f t="shared" si="0"/>
        <v>14.8085620322012</v>
      </c>
      <c r="C19" s="142"/>
      <c r="D19" s="157">
        <v>869.39</v>
      </c>
      <c r="E19" s="163"/>
      <c r="F19" s="157">
        <v>998.38</v>
      </c>
      <c r="G19" s="142"/>
      <c r="H19" s="158">
        <f t="shared" si="1"/>
        <v>0.14836839623184073</v>
      </c>
      <c r="I19" s="142"/>
      <c r="J19" s="171">
        <v>2215375108.3099775</v>
      </c>
      <c r="K19" s="169"/>
      <c r="L19" s="170">
        <v>2543440305.470005</v>
      </c>
      <c r="N19" s="158"/>
      <c r="O19" s="157"/>
      <c r="P19" s="142"/>
      <c r="Q19" s="155"/>
      <c r="R19" s="281"/>
    </row>
    <row r="20" spans="1:23" x14ac:dyDescent="0.25">
      <c r="A20" s="142" t="s">
        <v>27</v>
      </c>
      <c r="B20" s="155">
        <f>(SUM(L21:L22)/SUM(J21:J22)-1)*100</f>
        <v>12.0317218030759</v>
      </c>
      <c r="C20" s="142"/>
      <c r="D20" s="157"/>
      <c r="E20" s="163"/>
      <c r="F20" s="157"/>
      <c r="G20" s="142"/>
      <c r="H20" s="158"/>
      <c r="I20" s="142"/>
      <c r="J20" s="173"/>
      <c r="K20" s="158"/>
      <c r="L20" s="172"/>
      <c r="N20" s="158"/>
      <c r="O20" s="157"/>
      <c r="P20" s="142"/>
      <c r="Q20" s="155"/>
      <c r="R20" s="281"/>
    </row>
    <row r="21" spans="1:23" x14ac:dyDescent="0.25">
      <c r="A21" s="142" t="s">
        <v>228</v>
      </c>
      <c r="B21" s="155"/>
      <c r="C21" s="142"/>
      <c r="D21" s="157">
        <v>6.93</v>
      </c>
      <c r="E21" s="163"/>
      <c r="F21" s="157">
        <v>7.77</v>
      </c>
      <c r="G21" s="142"/>
      <c r="H21" s="158">
        <f>F21/D21-1</f>
        <v>0.1212121212121211</v>
      </c>
      <c r="I21" s="142"/>
      <c r="J21" s="171">
        <v>30059574.320001226</v>
      </c>
      <c r="K21" s="169"/>
      <c r="L21" s="170">
        <v>33683242.690000467</v>
      </c>
      <c r="N21" s="158"/>
      <c r="O21" s="157"/>
      <c r="P21" s="142"/>
      <c r="Q21" s="155"/>
      <c r="R21" s="281"/>
    </row>
    <row r="22" spans="1:23" x14ac:dyDescent="0.25">
      <c r="A22" s="142" t="s">
        <v>229</v>
      </c>
      <c r="B22" s="155"/>
      <c r="C22" s="142"/>
      <c r="D22" s="157">
        <v>20.52</v>
      </c>
      <c r="E22" s="163"/>
      <c r="F22" s="157">
        <v>22.99</v>
      </c>
      <c r="G22" s="142"/>
      <c r="H22" s="158">
        <f>F22/D22-1</f>
        <v>0.12037037037037024</v>
      </c>
      <c r="I22" s="142"/>
      <c r="J22" s="171">
        <v>105629463.01999563</v>
      </c>
      <c r="K22" s="169"/>
      <c r="L22" s="170">
        <v>118331522.14001659</v>
      </c>
      <c r="M22" s="142"/>
      <c r="N22" s="158"/>
      <c r="O22" s="157"/>
      <c r="P22" s="142"/>
      <c r="Q22" s="155"/>
      <c r="R22" s="281"/>
    </row>
    <row r="23" spans="1:23" x14ac:dyDescent="0.25">
      <c r="A23" s="142" t="s">
        <v>28</v>
      </c>
      <c r="B23" s="155">
        <f>(SUM(L24:L26)/SUM(J24:J26)-1)*100</f>
        <v>-7.4237403569690326</v>
      </c>
      <c r="C23" s="142"/>
      <c r="D23" s="157"/>
      <c r="E23" s="163"/>
      <c r="F23" s="157"/>
      <c r="G23" s="142"/>
      <c r="H23" s="158"/>
      <c r="I23" s="142"/>
      <c r="J23" s="171"/>
      <c r="K23" s="169"/>
      <c r="L23" s="170"/>
      <c r="M23" s="142"/>
      <c r="N23" s="158"/>
      <c r="O23" s="157"/>
      <c r="P23" s="142"/>
      <c r="Q23" s="155"/>
      <c r="R23" s="281"/>
    </row>
    <row r="24" spans="1:23" x14ac:dyDescent="0.25">
      <c r="A24" s="141" t="s">
        <v>230</v>
      </c>
      <c r="B24" s="155"/>
      <c r="C24" s="142"/>
      <c r="D24" s="157">
        <v>0.42</v>
      </c>
      <c r="E24" s="163"/>
      <c r="F24" s="157">
        <v>0.39</v>
      </c>
      <c r="G24" s="142"/>
      <c r="H24" s="158">
        <f>F24/D24-1</f>
        <v>-7.1428571428571397E-2</v>
      </c>
      <c r="I24" s="142"/>
      <c r="J24" s="171">
        <v>23631.220000002737</v>
      </c>
      <c r="K24" s="169"/>
      <c r="L24" s="170">
        <v>21729.580000000715</v>
      </c>
      <c r="M24" s="142"/>
      <c r="N24" s="158"/>
      <c r="O24" s="157"/>
      <c r="P24" s="142"/>
      <c r="Q24" s="155"/>
      <c r="R24" s="281"/>
    </row>
    <row r="25" spans="1:23" x14ac:dyDescent="0.25">
      <c r="A25" s="141" t="s">
        <v>231</v>
      </c>
      <c r="B25" s="155"/>
      <c r="C25" s="142"/>
      <c r="D25" s="157">
        <v>0.89</v>
      </c>
      <c r="E25" s="163"/>
      <c r="F25" s="157">
        <v>0.82</v>
      </c>
      <c r="G25" s="142"/>
      <c r="H25" s="158">
        <f>F25/D25-1</f>
        <v>-7.8651685393258508E-2</v>
      </c>
      <c r="I25" s="142"/>
      <c r="J25" s="171">
        <v>378552.86000002321</v>
      </c>
      <c r="K25" s="169"/>
      <c r="L25" s="170">
        <v>350149.0000000443</v>
      </c>
      <c r="M25" s="142"/>
      <c r="N25" s="158"/>
      <c r="O25" s="157"/>
      <c r="P25" s="142"/>
      <c r="Q25" s="155"/>
      <c r="R25" s="281"/>
    </row>
    <row r="26" spans="1:23" x14ac:dyDescent="0.25">
      <c r="A26" s="141" t="s">
        <v>232</v>
      </c>
      <c r="B26" s="155"/>
      <c r="C26" s="142"/>
      <c r="D26" s="157">
        <v>1.78</v>
      </c>
      <c r="E26" s="163"/>
      <c r="F26" s="157">
        <v>1.65</v>
      </c>
      <c r="G26" s="142"/>
      <c r="H26" s="158">
        <f>F26/D26-1</f>
        <v>-7.3033707865168607E-2</v>
      </c>
      <c r="I26" s="142"/>
      <c r="J26" s="171">
        <v>178849.97999997999</v>
      </c>
      <c r="K26" s="169"/>
      <c r="L26" s="170">
        <v>166021.02000000482</v>
      </c>
      <c r="M26" s="142"/>
      <c r="N26" s="158"/>
      <c r="O26" s="157"/>
      <c r="P26" s="142"/>
      <c r="Q26" s="155"/>
      <c r="R26" s="281"/>
    </row>
    <row r="27" spans="1:23" x14ac:dyDescent="0.25">
      <c r="A27" s="142"/>
      <c r="B27" s="164"/>
      <c r="C27" s="164"/>
      <c r="D27" s="164"/>
      <c r="E27" s="142"/>
      <c r="F27" s="164"/>
      <c r="G27" s="164"/>
      <c r="H27" s="164"/>
      <c r="I27" s="164"/>
      <c r="J27" s="142"/>
      <c r="K27" s="142"/>
      <c r="L27" s="142"/>
      <c r="M27" s="142"/>
      <c r="N27" s="158"/>
      <c r="O27" s="164"/>
      <c r="P27" s="142"/>
      <c r="Q27" s="155"/>
      <c r="R27" s="281"/>
    </row>
    <row r="28" spans="1:23" x14ac:dyDescent="0.25">
      <c r="A28" s="141" t="s">
        <v>233</v>
      </c>
      <c r="B28" s="155">
        <f>(L28/J28-1)*100</f>
        <v>23.544818859044447</v>
      </c>
      <c r="C28" s="142" t="s">
        <v>225</v>
      </c>
      <c r="D28" s="157"/>
      <c r="E28" s="163"/>
      <c r="F28" s="157"/>
      <c r="G28" s="142"/>
      <c r="H28" s="158"/>
      <c r="I28" s="142"/>
      <c r="J28" s="171">
        <f>SUM(J14:J26)</f>
        <v>5938904384.3200026</v>
      </c>
      <c r="K28" s="169"/>
      <c r="L28" s="171">
        <f>SUM(L14:L26)</f>
        <v>7337208663.8199959</v>
      </c>
      <c r="M28" s="142"/>
      <c r="N28" s="158"/>
      <c r="O28" s="157"/>
      <c r="P28" s="142"/>
      <c r="Q28" s="155"/>
      <c r="R28" s="281"/>
    </row>
    <row r="29" spans="1:23" x14ac:dyDescent="0.25">
      <c r="A29" s="142"/>
      <c r="B29" s="142"/>
      <c r="C29" s="142"/>
      <c r="D29" s="142"/>
      <c r="E29" s="142"/>
      <c r="F29" s="142"/>
      <c r="G29" s="142"/>
      <c r="H29" s="142"/>
      <c r="I29" s="142"/>
      <c r="J29" s="227"/>
      <c r="K29" s="142"/>
      <c r="L29" s="148"/>
      <c r="N29" s="142"/>
      <c r="O29" s="142"/>
      <c r="P29" s="142"/>
      <c r="Q29" s="142"/>
    </row>
    <row r="30" spans="1:23" x14ac:dyDescent="0.25">
      <c r="A30" s="142"/>
      <c r="B30" s="142"/>
      <c r="C30" s="142"/>
      <c r="D30" s="142"/>
      <c r="E30" s="142"/>
      <c r="F30" s="142"/>
      <c r="G30" s="142"/>
      <c r="H30" s="142"/>
      <c r="I30" s="142"/>
      <c r="J30" s="172"/>
      <c r="K30" s="142"/>
      <c r="L30" s="148"/>
    </row>
    <row r="31" spans="1:23" x14ac:dyDescent="0.25">
      <c r="A31" s="167" t="s">
        <v>344</v>
      </c>
      <c r="B31" s="142"/>
      <c r="C31" s="142"/>
      <c r="D31" s="142"/>
      <c r="E31" s="142"/>
      <c r="F31" s="142"/>
      <c r="G31" s="142"/>
      <c r="H31" s="142"/>
      <c r="I31" s="142"/>
      <c r="J31" s="142"/>
      <c r="K31" s="142"/>
      <c r="L31" s="148"/>
    </row>
    <row r="32" spans="1:23" x14ac:dyDescent="0.25">
      <c r="A32" s="141"/>
      <c r="B32" s="142"/>
      <c r="C32" s="142"/>
      <c r="D32" s="142"/>
      <c r="E32" s="142"/>
      <c r="F32" s="142"/>
      <c r="G32" s="142"/>
      <c r="H32" s="142"/>
      <c r="I32" s="142"/>
      <c r="J32" s="142"/>
      <c r="K32" s="142"/>
      <c r="L32" s="148"/>
    </row>
    <row r="33" spans="1:12" x14ac:dyDescent="0.25">
      <c r="A33" s="167" t="s">
        <v>360</v>
      </c>
      <c r="B33" s="142"/>
      <c r="C33" s="142"/>
      <c r="D33" s="142"/>
      <c r="E33" s="142"/>
      <c r="F33" s="142"/>
      <c r="G33" s="142"/>
      <c r="H33" s="142"/>
      <c r="I33" s="142"/>
      <c r="J33" s="142"/>
      <c r="K33" s="142"/>
      <c r="L33" s="148"/>
    </row>
    <row r="34" spans="1:12" x14ac:dyDescent="0.25">
      <c r="A34" s="148"/>
      <c r="B34" s="148"/>
      <c r="C34" s="148"/>
      <c r="D34" s="148"/>
      <c r="E34" s="148"/>
      <c r="F34" s="148"/>
      <c r="G34" s="148"/>
      <c r="H34" s="148"/>
      <c r="I34" s="148"/>
      <c r="J34" s="148"/>
      <c r="K34" s="168"/>
      <c r="L34" s="148"/>
    </row>
    <row r="35" spans="1:12" ht="15.75" customHeight="1" x14ac:dyDescent="0.25">
      <c r="A35" s="148"/>
      <c r="B35" s="148"/>
      <c r="C35" s="148"/>
      <c r="D35" s="148"/>
      <c r="E35" s="148"/>
      <c r="F35" s="148"/>
      <c r="G35" s="148"/>
      <c r="H35" s="148"/>
      <c r="I35" s="148"/>
      <c r="J35" s="148"/>
      <c r="K35" s="148"/>
      <c r="L35" s="148"/>
    </row>
    <row r="36" spans="1:12" ht="15" customHeight="1" x14ac:dyDescent="0.25">
      <c r="A36" s="148"/>
      <c r="B36" s="148"/>
      <c r="C36" s="148"/>
      <c r="D36" s="148"/>
      <c r="E36" s="148"/>
      <c r="F36" s="148"/>
      <c r="G36" s="148"/>
      <c r="H36" s="148"/>
      <c r="I36" s="148"/>
      <c r="J36" s="148"/>
      <c r="K36" s="148"/>
      <c r="L36" s="148"/>
    </row>
    <row r="37" spans="1:12" ht="15" customHeight="1" x14ac:dyDescent="0.25"/>
  </sheetData>
  <mergeCells count="7">
    <mergeCell ref="L11:M11"/>
    <mergeCell ref="L12:M12"/>
    <mergeCell ref="N9:O9"/>
    <mergeCell ref="H11:I11"/>
    <mergeCell ref="H12:I12"/>
    <mergeCell ref="J11:K11"/>
    <mergeCell ref="J12:K12"/>
  </mergeCells>
  <printOptions horizontalCentered="1"/>
  <pageMargins left="0.7" right="0.7" top="0.75" bottom="0.5" header="0.3" footer="0.3"/>
  <pageSetup scale="98" orientation="landscape"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51FF6-8C6A-46EE-8DB8-50BAE0C56ED7}">
  <sheetPr codeName="Sheet13"/>
  <dimension ref="A1:O37"/>
  <sheetViews>
    <sheetView view="pageBreakPreview" zoomScale="110" zoomScaleNormal="100" zoomScaleSheetLayoutView="110" workbookViewId="0">
      <selection activeCell="L14" sqref="L14:N22"/>
    </sheetView>
  </sheetViews>
  <sheetFormatPr defaultColWidth="9.140625" defaultRowHeight="15" x14ac:dyDescent="0.25"/>
  <cols>
    <col min="1" max="1" width="29.28515625" style="140" customWidth="1"/>
    <col min="2" max="2" width="14.42578125" style="140" customWidth="1"/>
    <col min="3" max="3" width="3" style="140" customWidth="1"/>
    <col min="4" max="4" width="9.7109375" style="140" customWidth="1"/>
    <col min="5" max="5" width="3" style="140" customWidth="1"/>
    <col min="6" max="6" width="9.7109375" style="140" customWidth="1"/>
    <col min="7" max="7" width="1.85546875" style="140" customWidth="1"/>
    <col min="8" max="8" width="9.7109375" style="140" customWidth="1"/>
    <col min="9" max="9" width="1.85546875" style="140" customWidth="1"/>
    <col min="10" max="10" width="9.7109375" style="140" customWidth="1"/>
    <col min="11" max="11" width="1.7109375" style="140" customWidth="1"/>
    <col min="12" max="12" width="13.140625" style="140" customWidth="1"/>
    <col min="13" max="13" width="2.28515625" style="140" customWidth="1"/>
    <col min="14" max="14" width="13" style="140" customWidth="1"/>
    <col min="15" max="15" width="1.42578125" style="140" customWidth="1"/>
    <col min="16" max="16384" width="9.140625" style="140"/>
  </cols>
  <sheetData>
    <row r="1" spans="1:15" ht="14.1" customHeight="1" x14ac:dyDescent="0.25">
      <c r="A1" s="11" t="s">
        <v>1</v>
      </c>
      <c r="B1" s="138"/>
      <c r="C1" s="138"/>
      <c r="D1" s="138"/>
      <c r="E1" s="138"/>
      <c r="F1" s="138"/>
      <c r="G1" s="138"/>
      <c r="H1" s="138"/>
      <c r="I1" s="138"/>
      <c r="J1" s="138"/>
      <c r="K1" s="138"/>
      <c r="L1" s="138"/>
      <c r="M1" s="138"/>
      <c r="N1" s="138"/>
      <c r="O1" s="138"/>
    </row>
    <row r="2" spans="1:15" x14ac:dyDescent="0.25">
      <c r="A2" s="10" t="s">
        <v>0</v>
      </c>
      <c r="B2" s="138"/>
      <c r="C2" s="138"/>
      <c r="D2" s="138"/>
      <c r="E2" s="138"/>
      <c r="F2" s="138"/>
      <c r="G2" s="138"/>
      <c r="H2" s="138"/>
      <c r="I2" s="138"/>
      <c r="J2" s="138"/>
      <c r="K2" s="138"/>
      <c r="L2" s="138"/>
      <c r="M2" s="138"/>
      <c r="N2" s="138"/>
      <c r="O2" s="138"/>
    </row>
    <row r="3" spans="1:15" ht="14.1" customHeight="1" x14ac:dyDescent="0.25">
      <c r="A3" s="95"/>
      <c r="B3" s="138"/>
      <c r="C3" s="138"/>
      <c r="D3" s="138"/>
      <c r="E3" s="138"/>
      <c r="F3" s="138"/>
      <c r="G3" s="138"/>
      <c r="H3" s="138"/>
      <c r="I3" s="138"/>
      <c r="J3" s="138"/>
      <c r="K3" s="138"/>
      <c r="L3" s="138"/>
      <c r="M3" s="138"/>
      <c r="N3" s="138"/>
      <c r="O3" s="138"/>
    </row>
    <row r="4" spans="1:15" x14ac:dyDescent="0.25">
      <c r="A4" s="9" t="s">
        <v>217</v>
      </c>
      <c r="B4" s="138"/>
      <c r="C4" s="138"/>
      <c r="D4" s="138"/>
      <c r="E4" s="138"/>
      <c r="F4" s="138"/>
      <c r="G4" s="138"/>
      <c r="H4" s="138"/>
      <c r="I4" s="138"/>
      <c r="J4" s="138"/>
      <c r="K4" s="138"/>
      <c r="L4" s="138"/>
      <c r="M4" s="138"/>
      <c r="N4" s="138"/>
      <c r="O4" s="138"/>
    </row>
    <row r="5" spans="1:15" ht="14.1" customHeight="1" x14ac:dyDescent="0.25">
      <c r="A5" s="138"/>
      <c r="B5" s="138"/>
      <c r="C5" s="138"/>
      <c r="D5" s="138"/>
      <c r="E5" s="138"/>
      <c r="F5" s="138"/>
      <c r="G5" s="138"/>
      <c r="H5" s="138"/>
      <c r="I5" s="138"/>
      <c r="J5" s="138"/>
      <c r="K5" s="138"/>
      <c r="L5" s="138"/>
      <c r="M5" s="138"/>
      <c r="N5" s="138"/>
      <c r="O5" s="138"/>
    </row>
    <row r="6" spans="1:15" ht="14.1" customHeight="1" x14ac:dyDescent="0.25">
      <c r="A6" s="138" t="s">
        <v>218</v>
      </c>
      <c r="B6" s="138"/>
      <c r="C6" s="138"/>
      <c r="D6" s="138"/>
      <c r="E6" s="138"/>
      <c r="F6" s="138"/>
      <c r="G6" s="138"/>
      <c r="H6" s="138"/>
      <c r="I6" s="138"/>
      <c r="J6" s="138"/>
      <c r="K6" s="138"/>
      <c r="L6" s="138"/>
      <c r="M6" s="138"/>
      <c r="N6" s="138"/>
      <c r="O6" s="138"/>
    </row>
    <row r="7" spans="1:15" x14ac:dyDescent="0.25">
      <c r="A7" s="138" t="s">
        <v>271</v>
      </c>
      <c r="B7" s="138"/>
      <c r="C7" s="138"/>
      <c r="D7" s="138"/>
      <c r="E7" s="138"/>
      <c r="F7" s="138"/>
      <c r="G7" s="138"/>
      <c r="H7" s="138"/>
      <c r="I7" s="138"/>
      <c r="J7" s="138"/>
      <c r="K7" s="138"/>
      <c r="L7" s="138"/>
      <c r="M7" s="138"/>
      <c r="N7" s="138"/>
      <c r="O7" s="138"/>
    </row>
    <row r="8" spans="1:15" x14ac:dyDescent="0.25">
      <c r="A8" s="142"/>
      <c r="B8" s="142"/>
      <c r="C8" s="142"/>
      <c r="D8" s="142"/>
      <c r="E8" s="142"/>
      <c r="F8" s="142"/>
      <c r="G8" s="142"/>
      <c r="H8" s="142"/>
      <c r="I8" s="142"/>
      <c r="J8" s="142"/>
      <c r="K8" s="142"/>
      <c r="L8" s="142"/>
      <c r="M8" s="142"/>
      <c r="N8" s="142"/>
      <c r="O8" s="142"/>
    </row>
    <row r="9" spans="1:15" x14ac:dyDescent="0.25">
      <c r="A9" s="144" t="s">
        <v>161</v>
      </c>
      <c r="B9" s="146" t="s">
        <v>162</v>
      </c>
      <c r="C9" s="147"/>
      <c r="D9" s="146" t="s">
        <v>163</v>
      </c>
      <c r="E9" s="146"/>
      <c r="F9" s="146" t="s">
        <v>164</v>
      </c>
      <c r="G9" s="147"/>
      <c r="H9" s="311" t="s">
        <v>165</v>
      </c>
      <c r="I9" s="311"/>
      <c r="J9" s="311" t="s">
        <v>166</v>
      </c>
      <c r="K9" s="311"/>
      <c r="L9" s="311" t="s">
        <v>167</v>
      </c>
      <c r="M9" s="311"/>
      <c r="N9" s="311" t="s">
        <v>168</v>
      </c>
      <c r="O9" s="311"/>
    </row>
    <row r="10" spans="1:15" x14ac:dyDescent="0.25">
      <c r="A10" s="144"/>
      <c r="B10" s="147"/>
      <c r="C10" s="147"/>
      <c r="D10" s="149"/>
      <c r="E10" s="149"/>
      <c r="F10" s="147"/>
      <c r="G10" s="147"/>
      <c r="H10" s="147"/>
      <c r="I10" s="147"/>
      <c r="J10" s="142"/>
      <c r="K10" s="142"/>
      <c r="L10" s="147"/>
      <c r="M10" s="147"/>
      <c r="N10" s="142"/>
      <c r="O10" s="142"/>
    </row>
    <row r="11" spans="1:15" x14ac:dyDescent="0.25">
      <c r="A11" s="144"/>
      <c r="B11" s="147" t="s">
        <v>270</v>
      </c>
      <c r="C11" s="147"/>
      <c r="D11" s="150" t="s">
        <v>221</v>
      </c>
      <c r="E11" s="150"/>
      <c r="F11" s="147" t="s">
        <v>220</v>
      </c>
      <c r="G11" s="147"/>
      <c r="H11" s="310" t="s">
        <v>268</v>
      </c>
      <c r="I11" s="310"/>
      <c r="J11" s="310" t="s">
        <v>268</v>
      </c>
      <c r="K11" s="310"/>
      <c r="L11" s="310" t="s">
        <v>221</v>
      </c>
      <c r="M11" s="310"/>
      <c r="N11" s="310" t="s">
        <v>220</v>
      </c>
      <c r="O11" s="310"/>
    </row>
    <row r="12" spans="1:15" x14ac:dyDescent="0.25">
      <c r="A12" s="151" t="s">
        <v>41</v>
      </c>
      <c r="B12" s="153" t="s">
        <v>269</v>
      </c>
      <c r="C12" s="153"/>
      <c r="D12" s="152" t="s">
        <v>43</v>
      </c>
      <c r="E12" s="152"/>
      <c r="F12" s="153" t="s">
        <v>43</v>
      </c>
      <c r="G12" s="153"/>
      <c r="H12" s="309" t="s">
        <v>43</v>
      </c>
      <c r="I12" s="309"/>
      <c r="J12" s="309" t="s">
        <v>35</v>
      </c>
      <c r="K12" s="309"/>
      <c r="L12" s="309" t="s">
        <v>35</v>
      </c>
      <c r="M12" s="309"/>
      <c r="N12" s="309" t="s">
        <v>35</v>
      </c>
      <c r="O12" s="309"/>
    </row>
    <row r="13" spans="1:15" x14ac:dyDescent="0.25">
      <c r="A13" s="142"/>
      <c r="B13" s="142"/>
      <c r="C13" s="142"/>
      <c r="D13" s="142"/>
      <c r="E13" s="142"/>
      <c r="F13" s="142"/>
      <c r="G13" s="142"/>
      <c r="H13" s="142"/>
      <c r="I13" s="142"/>
      <c r="J13" s="142"/>
      <c r="K13" s="142"/>
      <c r="L13" s="142"/>
      <c r="M13" s="142"/>
      <c r="N13" s="142"/>
      <c r="O13" s="142"/>
    </row>
    <row r="14" spans="1:15" x14ac:dyDescent="0.25">
      <c r="A14" s="142" t="s">
        <v>22</v>
      </c>
      <c r="B14" s="206">
        <f>'Exhibit 14 PP'!H14</f>
        <v>0.31879617093042589</v>
      </c>
      <c r="C14" s="142"/>
      <c r="D14" s="212">
        <v>4.9000000000000002E-2</v>
      </c>
      <c r="E14" s="210"/>
      <c r="F14" s="211">
        <v>3.6999999999999998E-2</v>
      </c>
      <c r="G14" s="142"/>
      <c r="H14" s="158">
        <f t="shared" ref="H14:H19" si="0">F14/D14-1</f>
        <v>-0.24489795918367352</v>
      </c>
      <c r="I14" s="142"/>
      <c r="J14" s="158">
        <f t="shared" ref="J14:J19" si="1">N14/L14-1</f>
        <v>-4.1712839931790091E-3</v>
      </c>
      <c r="K14" s="169"/>
      <c r="L14" s="171">
        <v>3087130.9700000016</v>
      </c>
      <c r="M14" s="169"/>
      <c r="N14" s="170">
        <v>3074253.6699999934</v>
      </c>
      <c r="O14" s="169"/>
    </row>
    <row r="15" spans="1:15" x14ac:dyDescent="0.25">
      <c r="A15" s="142" t="s">
        <v>23</v>
      </c>
      <c r="B15" s="206">
        <f>'Exhibit 14 PP'!H15</f>
        <v>0.2115803221593382</v>
      </c>
      <c r="C15" s="142"/>
      <c r="D15" s="210">
        <v>4.9000000000000002E-2</v>
      </c>
      <c r="E15" s="210"/>
      <c r="F15" s="210">
        <v>0.04</v>
      </c>
      <c r="G15" s="142"/>
      <c r="H15" s="158">
        <f t="shared" si="0"/>
        <v>-0.18367346938775508</v>
      </c>
      <c r="I15" s="142"/>
      <c r="J15" s="158">
        <f t="shared" si="1"/>
        <v>-1.1054413100801352E-2</v>
      </c>
      <c r="K15" s="169"/>
      <c r="L15" s="171">
        <v>165792.60999999996</v>
      </c>
      <c r="M15" s="169"/>
      <c r="N15" s="170">
        <v>163959.86999999991</v>
      </c>
      <c r="O15" s="169"/>
    </row>
    <row r="16" spans="1:15" x14ac:dyDescent="0.25">
      <c r="A16" s="142" t="s">
        <v>226</v>
      </c>
      <c r="B16" s="206">
        <f>'Exhibit 14 PP'!H16</f>
        <v>0.438399071925754</v>
      </c>
      <c r="C16" s="142"/>
      <c r="D16" s="210">
        <v>0.129</v>
      </c>
      <c r="E16" s="210"/>
      <c r="F16" s="210">
        <v>0.09</v>
      </c>
      <c r="G16" s="142"/>
      <c r="H16" s="158">
        <f t="shared" si="0"/>
        <v>-0.30232558139534893</v>
      </c>
      <c r="I16" s="142"/>
      <c r="J16" s="158">
        <f t="shared" si="1"/>
        <v>3.4983185398302918E-3</v>
      </c>
      <c r="K16" s="169"/>
      <c r="L16" s="171">
        <v>1470403.5499999963</v>
      </c>
      <c r="M16" s="169"/>
      <c r="N16" s="170">
        <v>1475547.4899999937</v>
      </c>
      <c r="O16" s="169"/>
    </row>
    <row r="17" spans="1:15" x14ac:dyDescent="0.25">
      <c r="A17" s="142" t="s">
        <v>227</v>
      </c>
      <c r="B17" s="206">
        <f>'Exhibit 14 PP'!H17</f>
        <v>0.43896499238964992</v>
      </c>
      <c r="C17" s="142"/>
      <c r="D17" s="210">
        <v>0.129</v>
      </c>
      <c r="E17" s="210"/>
      <c r="F17" s="210">
        <v>0.09</v>
      </c>
      <c r="G17" s="142"/>
      <c r="H17" s="158">
        <f t="shared" si="0"/>
        <v>-0.30232558139534893</v>
      </c>
      <c r="I17" s="142"/>
      <c r="J17" s="158">
        <f t="shared" si="1"/>
        <v>2.8032607269432575E-3</v>
      </c>
      <c r="K17" s="169"/>
      <c r="L17" s="171">
        <v>107999.23000000131</v>
      </c>
      <c r="M17" s="169"/>
      <c r="N17" s="170">
        <v>108301.98000000043</v>
      </c>
      <c r="O17" s="169"/>
    </row>
    <row r="18" spans="1:15" x14ac:dyDescent="0.25">
      <c r="A18" s="142" t="s">
        <v>24</v>
      </c>
      <c r="B18" s="206">
        <f>'Exhibit 14 PP'!H18</f>
        <v>0.1493001555209954</v>
      </c>
      <c r="C18" s="142"/>
      <c r="D18" s="210">
        <v>0.38400000000000001</v>
      </c>
      <c r="E18" s="210"/>
      <c r="F18" s="210">
        <v>0.33400000000000002</v>
      </c>
      <c r="G18" s="142"/>
      <c r="H18" s="158">
        <f t="shared" si="0"/>
        <v>-0.13020833333333326</v>
      </c>
      <c r="I18" s="142"/>
      <c r="J18" s="158">
        <f t="shared" si="1"/>
        <v>-3.551874983551695E-4</v>
      </c>
      <c r="K18" s="169"/>
      <c r="L18" s="171">
        <v>4652218.9199999934</v>
      </c>
      <c r="M18" s="169"/>
      <c r="N18" s="170">
        <v>4650566.5099999979</v>
      </c>
      <c r="O18" s="169"/>
    </row>
    <row r="19" spans="1:15" x14ac:dyDescent="0.25">
      <c r="A19" s="142" t="s">
        <v>25</v>
      </c>
      <c r="B19" s="206">
        <f>'Exhibit 14 PP'!H19</f>
        <v>0.14836839623184073</v>
      </c>
      <c r="C19" s="142"/>
      <c r="D19" s="210">
        <v>0.13400000000000001</v>
      </c>
      <c r="E19" s="210"/>
      <c r="F19" s="210">
        <v>0.11700000000000001</v>
      </c>
      <c r="G19" s="142"/>
      <c r="H19" s="158">
        <f t="shared" si="0"/>
        <v>-0.12686567164179108</v>
      </c>
      <c r="I19" s="142"/>
      <c r="J19" s="158">
        <f t="shared" si="1"/>
        <v>2.6825643187780024E-3</v>
      </c>
      <c r="K19" s="169"/>
      <c r="L19" s="171">
        <v>4027974.2499999958</v>
      </c>
      <c r="M19" s="169"/>
      <c r="N19" s="170">
        <v>4038779.5500000026</v>
      </c>
      <c r="O19" s="169"/>
    </row>
    <row r="20" spans="1:15" x14ac:dyDescent="0.25">
      <c r="A20" s="142" t="s">
        <v>27</v>
      </c>
      <c r="B20" s="158"/>
      <c r="C20" s="142"/>
      <c r="D20" s="210"/>
      <c r="E20" s="210"/>
      <c r="F20" s="210"/>
      <c r="G20" s="142"/>
      <c r="H20" s="158"/>
      <c r="I20" s="142"/>
      <c r="J20" s="173"/>
      <c r="K20" s="158"/>
      <c r="L20" s="173"/>
      <c r="M20" s="158"/>
      <c r="N20" s="172"/>
      <c r="O20" s="158"/>
    </row>
    <row r="21" spans="1:15" x14ac:dyDescent="0.25">
      <c r="A21" s="141" t="s">
        <v>228</v>
      </c>
      <c r="B21" s="206">
        <f>'Exhibit 14 PP'!H21</f>
        <v>0.1212121212121211</v>
      </c>
      <c r="C21" s="142"/>
      <c r="D21" s="210">
        <v>0.67300000000000004</v>
      </c>
      <c r="E21" s="210"/>
      <c r="F21" s="210">
        <v>0.6</v>
      </c>
      <c r="G21" s="142"/>
      <c r="H21" s="158">
        <f>F21/D21-1</f>
        <v>-0.10846953937592874</v>
      </c>
      <c r="I21" s="142"/>
      <c r="J21" s="158">
        <f>N21/L21-1</f>
        <v>-2.2052523653437461E-4</v>
      </c>
      <c r="K21" s="169"/>
      <c r="L21" s="171">
        <v>141797.82999999871</v>
      </c>
      <c r="M21" s="169"/>
      <c r="N21" s="170">
        <v>141766.5599999979</v>
      </c>
      <c r="O21" s="169"/>
    </row>
    <row r="22" spans="1:15" x14ac:dyDescent="0.25">
      <c r="A22" s="142" t="s">
        <v>229</v>
      </c>
      <c r="B22" s="206">
        <f>'Exhibit 14 PP'!H22</f>
        <v>0.12037037037037024</v>
      </c>
      <c r="C22" s="142"/>
      <c r="D22" s="210">
        <v>0.65900000000000003</v>
      </c>
      <c r="E22" s="210"/>
      <c r="F22" s="210">
        <v>0.58799999999999997</v>
      </c>
      <c r="G22" s="142"/>
      <c r="H22" s="158">
        <f>F22/D22-1</f>
        <v>-0.10773899848254942</v>
      </c>
      <c r="I22" s="142"/>
      <c r="J22" s="158">
        <f>N22/L22-1</f>
        <v>-3.8131991343282046E-4</v>
      </c>
      <c r="K22" s="142"/>
      <c r="L22" s="171">
        <v>182602.58000000042</v>
      </c>
      <c r="M22" s="169"/>
      <c r="N22" s="170">
        <v>182532.95000000222</v>
      </c>
      <c r="O22" s="142"/>
    </row>
    <row r="23" spans="1:15" x14ac:dyDescent="0.25">
      <c r="A23" s="142"/>
      <c r="B23" s="164"/>
      <c r="C23" s="164"/>
      <c r="D23" s="164"/>
      <c r="E23" s="142"/>
      <c r="F23" s="164"/>
      <c r="G23" s="164"/>
      <c r="H23" s="164"/>
      <c r="I23" s="164"/>
      <c r="J23" s="142"/>
      <c r="K23" s="142"/>
      <c r="L23" s="171"/>
      <c r="M23" s="169"/>
      <c r="N23" s="170"/>
      <c r="O23" s="142"/>
    </row>
    <row r="24" spans="1:15" x14ac:dyDescent="0.25">
      <c r="A24" s="142" t="s">
        <v>233</v>
      </c>
      <c r="B24" s="155"/>
      <c r="C24" s="142"/>
      <c r="D24" s="165"/>
      <c r="E24" s="166"/>
      <c r="F24" s="155"/>
      <c r="G24" s="142"/>
      <c r="H24" s="158"/>
      <c r="I24" s="142"/>
      <c r="J24" s="158">
        <f>N24/L24-1</f>
        <v>-1.5276179749279528E-5</v>
      </c>
      <c r="K24" s="142"/>
      <c r="L24" s="173">
        <f>SUM(L14:L22)</f>
        <v>13835919.939999988</v>
      </c>
      <c r="M24" s="158"/>
      <c r="N24" s="173">
        <f>SUM(N14:N22)</f>
        <v>13835708.579999989</v>
      </c>
      <c r="O24" s="142"/>
    </row>
    <row r="25" spans="1:15" x14ac:dyDescent="0.25">
      <c r="A25" s="142"/>
      <c r="B25" s="142"/>
      <c r="C25" s="142"/>
      <c r="D25" s="142"/>
      <c r="E25" s="142"/>
      <c r="F25" s="142"/>
      <c r="G25" s="142"/>
      <c r="H25" s="142"/>
      <c r="I25" s="142"/>
      <c r="J25" s="142"/>
      <c r="K25" s="142"/>
      <c r="L25" s="171"/>
      <c r="M25" s="169"/>
      <c r="N25" s="170"/>
      <c r="O25" s="142"/>
    </row>
    <row r="26" spans="1:15" x14ac:dyDescent="0.25">
      <c r="A26" s="167"/>
      <c r="B26" s="142"/>
      <c r="C26" s="142"/>
      <c r="D26" s="142"/>
      <c r="E26" s="142"/>
      <c r="F26" s="142"/>
      <c r="G26" s="142"/>
      <c r="H26" s="142"/>
      <c r="I26" s="142"/>
      <c r="J26" s="142"/>
      <c r="K26" s="142"/>
      <c r="L26" s="171"/>
      <c r="M26" s="169"/>
      <c r="N26" s="170"/>
      <c r="O26" s="142"/>
    </row>
    <row r="27" spans="1:15" x14ac:dyDescent="0.25">
      <c r="A27" s="141"/>
      <c r="B27" s="142"/>
      <c r="C27" s="142"/>
      <c r="D27" s="142"/>
      <c r="E27" s="142"/>
      <c r="F27" s="142"/>
      <c r="G27" s="142"/>
      <c r="H27" s="142"/>
      <c r="I27" s="142"/>
      <c r="J27" s="142"/>
      <c r="K27" s="142"/>
      <c r="L27" s="142"/>
      <c r="M27" s="142"/>
      <c r="N27" s="148"/>
      <c r="O27" s="142"/>
    </row>
    <row r="28" spans="1:15" x14ac:dyDescent="0.25">
      <c r="A28" s="167"/>
      <c r="B28" s="142"/>
      <c r="C28" s="142"/>
      <c r="D28" s="142"/>
      <c r="E28" s="142"/>
      <c r="F28" s="142"/>
      <c r="G28" s="142"/>
      <c r="H28" s="142"/>
      <c r="I28" s="142"/>
      <c r="J28" s="142"/>
      <c r="K28" s="142"/>
      <c r="L28" s="172"/>
      <c r="M28" s="142"/>
      <c r="N28" s="172"/>
      <c r="O28" s="142"/>
    </row>
    <row r="29" spans="1:15" x14ac:dyDescent="0.25">
      <c r="A29" s="141"/>
      <c r="B29" s="142"/>
      <c r="C29" s="142"/>
      <c r="D29" s="142"/>
      <c r="E29" s="142"/>
      <c r="F29" s="142"/>
      <c r="G29" s="142"/>
      <c r="H29" s="142"/>
      <c r="I29" s="142"/>
      <c r="J29" s="142"/>
      <c r="K29" s="142"/>
      <c r="L29" s="142"/>
      <c r="M29" s="142"/>
      <c r="N29" s="142"/>
      <c r="O29" s="142"/>
    </row>
    <row r="30" spans="1:15" x14ac:dyDescent="0.25">
      <c r="A30" s="167"/>
      <c r="B30" s="142"/>
      <c r="C30" s="142"/>
      <c r="D30" s="142"/>
      <c r="E30" s="142"/>
      <c r="F30" s="142"/>
      <c r="G30" s="142"/>
      <c r="H30" s="142"/>
      <c r="I30" s="142"/>
      <c r="J30" s="142"/>
      <c r="K30" s="142"/>
      <c r="L30" s="142"/>
      <c r="M30" s="142"/>
      <c r="N30" s="142"/>
      <c r="O30" s="142"/>
    </row>
    <row r="31" spans="1:15" x14ac:dyDescent="0.25">
      <c r="A31" s="141"/>
      <c r="B31" s="142"/>
      <c r="C31" s="142"/>
      <c r="D31" s="142"/>
      <c r="E31" s="142"/>
      <c r="F31" s="142"/>
      <c r="G31" s="142"/>
      <c r="H31" s="142"/>
      <c r="I31" s="142"/>
      <c r="J31" s="142"/>
      <c r="K31" s="142"/>
      <c r="L31" s="142"/>
      <c r="M31" s="142"/>
      <c r="N31" s="142"/>
      <c r="O31" s="142"/>
    </row>
    <row r="32" spans="1:15" x14ac:dyDescent="0.25">
      <c r="A32" s="141"/>
      <c r="B32" s="148"/>
      <c r="C32" s="148"/>
      <c r="D32" s="148"/>
      <c r="E32" s="148"/>
      <c r="F32" s="148"/>
      <c r="G32" s="148"/>
      <c r="H32" s="148"/>
      <c r="I32" s="148"/>
      <c r="J32" s="148"/>
      <c r="K32" s="168"/>
      <c r="L32" s="148"/>
      <c r="M32" s="148"/>
      <c r="N32" s="148"/>
      <c r="O32" s="168"/>
    </row>
    <row r="33" spans="1:15" ht="15" customHeight="1" x14ac:dyDescent="0.25">
      <c r="A33" s="148"/>
      <c r="B33" s="148"/>
      <c r="C33" s="148"/>
      <c r="D33" s="148"/>
      <c r="E33" s="148"/>
      <c r="F33" s="148"/>
      <c r="G33" s="148"/>
      <c r="H33" s="148"/>
      <c r="I33" s="148"/>
      <c r="J33" s="148"/>
      <c r="K33" s="168"/>
      <c r="L33" s="148"/>
      <c r="M33" s="148"/>
      <c r="N33" s="148"/>
      <c r="O33" s="168"/>
    </row>
    <row r="34" spans="1:15" x14ac:dyDescent="0.25">
      <c r="A34" s="148"/>
      <c r="B34" s="148"/>
      <c r="C34" s="148"/>
      <c r="D34" s="148"/>
      <c r="E34" s="148"/>
      <c r="F34" s="148"/>
      <c r="G34" s="148"/>
      <c r="H34" s="148"/>
      <c r="I34" s="148"/>
      <c r="J34" s="148"/>
      <c r="K34" s="168"/>
      <c r="L34" s="148"/>
      <c r="M34" s="148"/>
      <c r="N34" s="148"/>
      <c r="O34" s="168"/>
    </row>
    <row r="35" spans="1:15" ht="15.75" customHeight="1" x14ac:dyDescent="0.25">
      <c r="A35" s="148"/>
      <c r="B35" s="148"/>
      <c r="C35" s="148"/>
      <c r="D35" s="148"/>
      <c r="E35" s="148"/>
      <c r="F35" s="148"/>
      <c r="G35" s="148"/>
      <c r="H35" s="148"/>
      <c r="I35" s="148"/>
      <c r="J35" s="148"/>
      <c r="K35" s="148"/>
      <c r="L35" s="148"/>
      <c r="M35" s="148"/>
      <c r="N35" s="148"/>
      <c r="O35" s="148"/>
    </row>
    <row r="36" spans="1:15" ht="15" customHeight="1" x14ac:dyDescent="0.25">
      <c r="A36" s="148"/>
      <c r="B36" s="148"/>
      <c r="C36" s="148"/>
      <c r="D36" s="148"/>
      <c r="E36" s="148"/>
      <c r="F36" s="148"/>
      <c r="G36" s="148"/>
      <c r="H36" s="148"/>
      <c r="I36" s="148"/>
      <c r="J36" s="148"/>
      <c r="K36" s="148"/>
      <c r="L36" s="148"/>
      <c r="M36" s="148"/>
      <c r="N36" s="148"/>
      <c r="O36" s="148"/>
    </row>
    <row r="37" spans="1:15" ht="15" customHeight="1" x14ac:dyDescent="0.25"/>
  </sheetData>
  <mergeCells count="12">
    <mergeCell ref="L9:M9"/>
    <mergeCell ref="N9:O9"/>
    <mergeCell ref="L11:M11"/>
    <mergeCell ref="N11:O11"/>
    <mergeCell ref="L12:M12"/>
    <mergeCell ref="N12:O12"/>
    <mergeCell ref="H9:I9"/>
    <mergeCell ref="J9:K9"/>
    <mergeCell ref="H11:I11"/>
    <mergeCell ref="J11:K11"/>
    <mergeCell ref="H12:I12"/>
    <mergeCell ref="J12:K12"/>
  </mergeCells>
  <printOptions horizontalCentered="1"/>
  <pageMargins left="0.7" right="0.7" top="0.75" bottom="0.5" header="0.3" footer="0.3"/>
  <pageSetup scale="98" orientation="landscape"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23E84-BFC3-4AD1-8226-DF0FA497447F}">
  <sheetPr codeName="Sheet14"/>
  <dimension ref="A1:O37"/>
  <sheetViews>
    <sheetView view="pageBreakPreview" zoomScale="110" zoomScaleNormal="100" zoomScaleSheetLayoutView="110" workbookViewId="0">
      <selection activeCell="L14" sqref="L14:N22"/>
    </sheetView>
  </sheetViews>
  <sheetFormatPr defaultColWidth="9.140625" defaultRowHeight="15" x14ac:dyDescent="0.25"/>
  <cols>
    <col min="1" max="1" width="29.28515625" style="140" customWidth="1"/>
    <col min="2" max="2" width="14.42578125" style="140" customWidth="1"/>
    <col min="3" max="3" width="3" style="140" customWidth="1"/>
    <col min="4" max="4" width="9.7109375" style="140" customWidth="1"/>
    <col min="5" max="5" width="3" style="140" customWidth="1"/>
    <col min="6" max="6" width="9.7109375" style="140" customWidth="1"/>
    <col min="7" max="7" width="1.85546875" style="140" customWidth="1"/>
    <col min="8" max="8" width="9.7109375" style="140" customWidth="1"/>
    <col min="9" max="9" width="1.85546875" style="140" customWidth="1"/>
    <col min="10" max="10" width="9.7109375" style="140" customWidth="1"/>
    <col min="11" max="11" width="1.7109375" style="140" customWidth="1"/>
    <col min="12" max="12" width="13.140625" style="140" customWidth="1"/>
    <col min="13" max="13" width="2.28515625" style="140" customWidth="1"/>
    <col min="14" max="14" width="13" style="140" customWidth="1"/>
    <col min="15" max="15" width="1.42578125" style="140" customWidth="1"/>
    <col min="16" max="16384" width="9.140625" style="140"/>
  </cols>
  <sheetData>
    <row r="1" spans="1:15" ht="14.1" customHeight="1" x14ac:dyDescent="0.25">
      <c r="A1" s="11" t="s">
        <v>1</v>
      </c>
      <c r="B1" s="138"/>
      <c r="C1" s="138"/>
      <c r="D1" s="138"/>
      <c r="E1" s="138"/>
      <c r="F1" s="138"/>
      <c r="G1" s="138"/>
      <c r="H1" s="138"/>
      <c r="I1" s="138"/>
      <c r="J1" s="138"/>
      <c r="K1" s="138"/>
      <c r="L1" s="138"/>
      <c r="M1" s="138"/>
      <c r="N1" s="138"/>
      <c r="O1" s="138"/>
    </row>
    <row r="2" spans="1:15" x14ac:dyDescent="0.25">
      <c r="A2" s="10" t="s">
        <v>0</v>
      </c>
      <c r="B2" s="138"/>
      <c r="C2" s="138"/>
      <c r="D2" s="138"/>
      <c r="E2" s="138"/>
      <c r="F2" s="138"/>
      <c r="G2" s="138"/>
      <c r="H2" s="138"/>
      <c r="I2" s="138"/>
      <c r="J2" s="138"/>
      <c r="K2" s="138"/>
      <c r="L2" s="138"/>
      <c r="M2" s="138"/>
      <c r="N2" s="138"/>
      <c r="O2" s="138"/>
    </row>
    <row r="3" spans="1:15" ht="14.1" customHeight="1" x14ac:dyDescent="0.25">
      <c r="A3" s="95"/>
      <c r="B3" s="138"/>
      <c r="C3" s="138"/>
      <c r="D3" s="138"/>
      <c r="E3" s="138"/>
      <c r="F3" s="138"/>
      <c r="G3" s="138"/>
      <c r="H3" s="138"/>
      <c r="I3" s="138"/>
      <c r="J3" s="138"/>
      <c r="K3" s="138"/>
      <c r="L3" s="138"/>
      <c r="M3" s="138"/>
      <c r="N3" s="138"/>
      <c r="O3" s="138"/>
    </row>
    <row r="4" spans="1:15" x14ac:dyDescent="0.25">
      <c r="A4" s="9" t="s">
        <v>217</v>
      </c>
      <c r="B4" s="138"/>
      <c r="C4" s="138"/>
      <c r="D4" s="138"/>
      <c r="E4" s="138"/>
      <c r="F4" s="138"/>
      <c r="G4" s="138"/>
      <c r="H4" s="138"/>
      <c r="I4" s="138"/>
      <c r="J4" s="138"/>
      <c r="K4" s="138"/>
      <c r="L4" s="138"/>
      <c r="M4" s="138"/>
      <c r="N4" s="138"/>
      <c r="O4" s="138"/>
    </row>
    <row r="5" spans="1:15" ht="14.1" customHeight="1" x14ac:dyDescent="0.25">
      <c r="A5" s="138"/>
      <c r="B5" s="138"/>
      <c r="C5" s="138"/>
      <c r="D5" s="138"/>
      <c r="E5" s="138"/>
      <c r="F5" s="138"/>
      <c r="G5" s="138"/>
      <c r="H5" s="138"/>
      <c r="I5" s="138"/>
      <c r="J5" s="138"/>
      <c r="K5" s="138"/>
      <c r="L5" s="138"/>
      <c r="M5" s="138"/>
      <c r="N5" s="138"/>
      <c r="O5" s="138"/>
    </row>
    <row r="6" spans="1:15" ht="14.1" customHeight="1" x14ac:dyDescent="0.25">
      <c r="A6" s="138" t="s">
        <v>218</v>
      </c>
      <c r="B6" s="138"/>
      <c r="C6" s="138"/>
      <c r="D6" s="138"/>
      <c r="E6" s="138"/>
      <c r="F6" s="138"/>
      <c r="G6" s="138"/>
      <c r="H6" s="138"/>
      <c r="I6" s="138"/>
      <c r="J6" s="138"/>
      <c r="K6" s="138"/>
      <c r="L6" s="138"/>
      <c r="M6" s="138"/>
      <c r="N6" s="138"/>
      <c r="O6" s="138"/>
    </row>
    <row r="7" spans="1:15" x14ac:dyDescent="0.25">
      <c r="A7" s="138" t="s">
        <v>272</v>
      </c>
      <c r="B7" s="138"/>
      <c r="C7" s="138"/>
      <c r="D7" s="138"/>
      <c r="E7" s="138"/>
      <c r="F7" s="138"/>
      <c r="G7" s="138"/>
      <c r="H7" s="138"/>
      <c r="I7" s="138"/>
      <c r="J7" s="138"/>
      <c r="K7" s="138"/>
      <c r="L7" s="138"/>
      <c r="M7" s="138"/>
      <c r="N7" s="138"/>
      <c r="O7" s="138"/>
    </row>
    <row r="8" spans="1:15" x14ac:dyDescent="0.25">
      <c r="A8" s="142"/>
      <c r="B8" s="142"/>
      <c r="C8" s="142"/>
      <c r="D8" s="142"/>
      <c r="E8" s="142"/>
      <c r="F8" s="142"/>
      <c r="G8" s="142"/>
      <c r="H8" s="142"/>
      <c r="I8" s="142"/>
      <c r="J8" s="142"/>
      <c r="K8" s="142"/>
      <c r="L8" s="142"/>
      <c r="M8" s="142"/>
      <c r="N8" s="142"/>
      <c r="O8" s="142"/>
    </row>
    <row r="9" spans="1:15" x14ac:dyDescent="0.25">
      <c r="A9" s="144" t="s">
        <v>161</v>
      </c>
      <c r="B9" s="146" t="s">
        <v>162</v>
      </c>
      <c r="C9" s="147"/>
      <c r="D9" s="146" t="s">
        <v>163</v>
      </c>
      <c r="E9" s="146"/>
      <c r="F9" s="146" t="s">
        <v>164</v>
      </c>
      <c r="G9" s="147"/>
      <c r="H9" s="311" t="s">
        <v>165</v>
      </c>
      <c r="I9" s="311"/>
      <c r="J9" s="311" t="s">
        <v>166</v>
      </c>
      <c r="K9" s="311"/>
      <c r="L9" s="311" t="s">
        <v>167</v>
      </c>
      <c r="M9" s="311"/>
      <c r="N9" s="311" t="s">
        <v>168</v>
      </c>
      <c r="O9" s="311"/>
    </row>
    <row r="10" spans="1:15" x14ac:dyDescent="0.25">
      <c r="A10" s="144"/>
      <c r="B10" s="147"/>
      <c r="C10" s="147"/>
      <c r="D10" s="149"/>
      <c r="E10" s="149"/>
      <c r="F10" s="147"/>
      <c r="G10" s="147"/>
      <c r="H10" s="147"/>
      <c r="I10" s="147"/>
      <c r="J10" s="142"/>
      <c r="K10" s="142"/>
      <c r="L10" s="147"/>
      <c r="M10" s="147"/>
      <c r="N10" s="142"/>
      <c r="O10" s="142"/>
    </row>
    <row r="11" spans="1:15" x14ac:dyDescent="0.25">
      <c r="A11" s="144"/>
      <c r="B11" s="147" t="s">
        <v>270</v>
      </c>
      <c r="C11" s="147"/>
      <c r="D11" s="150" t="s">
        <v>221</v>
      </c>
      <c r="E11" s="150"/>
      <c r="F11" s="147" t="s">
        <v>220</v>
      </c>
      <c r="G11" s="147"/>
      <c r="H11" s="310" t="s">
        <v>268</v>
      </c>
      <c r="I11" s="310"/>
      <c r="J11" s="310" t="s">
        <v>268</v>
      </c>
      <c r="K11" s="310"/>
      <c r="L11" s="310" t="s">
        <v>221</v>
      </c>
      <c r="M11" s="310"/>
      <c r="N11" s="310" t="s">
        <v>220</v>
      </c>
      <c r="O11" s="310"/>
    </row>
    <row r="12" spans="1:15" x14ac:dyDescent="0.25">
      <c r="A12" s="151" t="s">
        <v>41</v>
      </c>
      <c r="B12" s="153" t="s">
        <v>269</v>
      </c>
      <c r="C12" s="153"/>
      <c r="D12" s="152" t="s">
        <v>43</v>
      </c>
      <c r="E12" s="152"/>
      <c r="F12" s="153" t="s">
        <v>43</v>
      </c>
      <c r="G12" s="153"/>
      <c r="H12" s="309" t="s">
        <v>43</v>
      </c>
      <c r="I12" s="309"/>
      <c r="J12" s="309" t="s">
        <v>35</v>
      </c>
      <c r="K12" s="309"/>
      <c r="L12" s="309" t="s">
        <v>35</v>
      </c>
      <c r="M12" s="309"/>
      <c r="N12" s="309" t="s">
        <v>35</v>
      </c>
      <c r="O12" s="309"/>
    </row>
    <row r="13" spans="1:15" x14ac:dyDescent="0.25">
      <c r="A13" s="142"/>
      <c r="B13" s="142"/>
      <c r="C13" s="142"/>
      <c r="D13" s="142"/>
      <c r="E13" s="142"/>
      <c r="F13" s="142"/>
      <c r="G13" s="142"/>
      <c r="H13" s="142"/>
      <c r="I13" s="142"/>
      <c r="J13" s="142"/>
      <c r="K13" s="142"/>
      <c r="L13" s="142"/>
      <c r="M13" s="142"/>
      <c r="N13" s="142"/>
      <c r="O13" s="142"/>
    </row>
    <row r="14" spans="1:15" x14ac:dyDescent="0.25">
      <c r="A14" s="142" t="s">
        <v>22</v>
      </c>
      <c r="B14" s="206">
        <f>'Exhibit 14 PP'!H14</f>
        <v>0.31879617093042589</v>
      </c>
      <c r="C14" s="142"/>
      <c r="D14" s="212">
        <v>5.7000000000000002E-2</v>
      </c>
      <c r="E14" s="210"/>
      <c r="F14" s="211">
        <v>4.2999999999999997E-2</v>
      </c>
      <c r="G14" s="142"/>
      <c r="H14" s="158">
        <f t="shared" ref="H14:H19" si="0">F14/D14-1</f>
        <v>-0.2456140350877194</v>
      </c>
      <c r="I14" s="142"/>
      <c r="J14" s="158">
        <f>N14/L14-1</f>
        <v>-5.1211755993427754E-3</v>
      </c>
      <c r="K14" s="169"/>
      <c r="L14" s="171">
        <v>68866.999999999913</v>
      </c>
      <c r="M14" s="169"/>
      <c r="N14" s="170">
        <v>68514.319999999978</v>
      </c>
      <c r="O14" s="169"/>
    </row>
    <row r="15" spans="1:15" x14ac:dyDescent="0.25">
      <c r="A15" s="142" t="s">
        <v>23</v>
      </c>
      <c r="B15" s="206">
        <f>'Exhibit 14 PP'!H15</f>
        <v>0.2115803221593382</v>
      </c>
      <c r="C15" s="142"/>
      <c r="D15" s="210">
        <v>5.7000000000000002E-2</v>
      </c>
      <c r="E15" s="210"/>
      <c r="F15" s="210">
        <v>4.7E-2</v>
      </c>
      <c r="G15" s="142"/>
      <c r="H15" s="158">
        <f t="shared" si="0"/>
        <v>-0.17543859649122806</v>
      </c>
      <c r="I15" s="142"/>
      <c r="J15" s="158">
        <f t="shared" ref="J15:J24" si="1">N15/L15-1</f>
        <v>-1.0791366906474087E-3</v>
      </c>
      <c r="K15" s="169"/>
      <c r="L15" s="171">
        <v>3169.2000000000012</v>
      </c>
      <c r="M15" s="169"/>
      <c r="N15" s="170">
        <v>3165.7800000000016</v>
      </c>
      <c r="O15" s="169"/>
    </row>
    <row r="16" spans="1:15" x14ac:dyDescent="0.25">
      <c r="A16" s="142" t="s">
        <v>226</v>
      </c>
      <c r="B16" s="206">
        <f>'Exhibit 14 PP'!H16</f>
        <v>0.438399071925754</v>
      </c>
      <c r="C16" s="142"/>
      <c r="D16" s="210">
        <v>0.14599999999999999</v>
      </c>
      <c r="E16" s="210"/>
      <c r="F16" s="210">
        <v>0.10199999999999999</v>
      </c>
      <c r="G16" s="142"/>
      <c r="H16" s="158">
        <f t="shared" si="0"/>
        <v>-0.30136986301369861</v>
      </c>
      <c r="I16" s="142"/>
      <c r="J16" s="158">
        <f t="shared" si="1"/>
        <v>4.9102962029603514E-3</v>
      </c>
      <c r="K16" s="169"/>
      <c r="L16" s="171">
        <v>36967.219999999994</v>
      </c>
      <c r="M16" s="169"/>
      <c r="N16" s="170">
        <v>37148.739999999991</v>
      </c>
      <c r="O16" s="169"/>
    </row>
    <row r="17" spans="1:15" x14ac:dyDescent="0.25">
      <c r="A17" s="142" t="s">
        <v>227</v>
      </c>
      <c r="B17" s="206">
        <f>'Exhibit 14 PP'!H17</f>
        <v>0.43896499238964992</v>
      </c>
      <c r="C17" s="142"/>
      <c r="D17" s="210">
        <v>0.14599999999999999</v>
      </c>
      <c r="E17" s="210"/>
      <c r="F17" s="210">
        <v>0.10199999999999999</v>
      </c>
      <c r="G17" s="142"/>
      <c r="H17" s="158">
        <f t="shared" si="0"/>
        <v>-0.30136986301369861</v>
      </c>
      <c r="I17" s="142"/>
      <c r="J17" s="158">
        <f t="shared" si="1"/>
        <v>3.3557538723079094E-3</v>
      </c>
      <c r="K17" s="169"/>
      <c r="L17" s="171">
        <v>2729.6400000000076</v>
      </c>
      <c r="M17" s="169"/>
      <c r="N17" s="170">
        <v>2738.8000000000143</v>
      </c>
      <c r="O17" s="169"/>
    </row>
    <row r="18" spans="1:15" x14ac:dyDescent="0.25">
      <c r="A18" s="142" t="s">
        <v>24</v>
      </c>
      <c r="B18" s="206">
        <f>'Exhibit 14 PP'!H18</f>
        <v>0.1493001555209954</v>
      </c>
      <c r="C18" s="142"/>
      <c r="D18" s="210">
        <v>0.58399999999999996</v>
      </c>
      <c r="E18" s="210"/>
      <c r="F18" s="210">
        <v>0.50800000000000001</v>
      </c>
      <c r="G18" s="142"/>
      <c r="H18" s="158">
        <f t="shared" si="0"/>
        <v>-0.13013698630136983</v>
      </c>
      <c r="I18" s="142"/>
      <c r="J18" s="158">
        <f t="shared" si="1"/>
        <v>-2.6759064258896625E-4</v>
      </c>
      <c r="K18" s="169"/>
      <c r="L18" s="171">
        <v>200455.43999999997</v>
      </c>
      <c r="M18" s="169"/>
      <c r="N18" s="170">
        <v>200401.79999999993</v>
      </c>
      <c r="O18" s="169"/>
    </row>
    <row r="19" spans="1:15" x14ac:dyDescent="0.25">
      <c r="A19" s="142" t="s">
        <v>25</v>
      </c>
      <c r="B19" s="206">
        <f>'Exhibit 14 PP'!H19</f>
        <v>0.14836839623184073</v>
      </c>
      <c r="C19" s="142"/>
      <c r="D19" s="210">
        <v>0.27600000000000002</v>
      </c>
      <c r="E19" s="210"/>
      <c r="F19" s="210">
        <v>0.24</v>
      </c>
      <c r="G19" s="142"/>
      <c r="H19" s="158">
        <f t="shared" si="0"/>
        <v>-0.13043478260869579</v>
      </c>
      <c r="I19" s="142"/>
      <c r="J19" s="158">
        <f t="shared" si="1"/>
        <v>-1.4194304022709936E-3</v>
      </c>
      <c r="K19" s="169"/>
      <c r="L19" s="171">
        <v>253510.1399999999</v>
      </c>
      <c r="M19" s="169"/>
      <c r="N19" s="170">
        <v>253150.29999999993</v>
      </c>
      <c r="O19" s="169"/>
    </row>
    <row r="20" spans="1:15" x14ac:dyDescent="0.25">
      <c r="A20" s="142" t="s">
        <v>27</v>
      </c>
      <c r="B20" s="158"/>
      <c r="C20" s="142"/>
      <c r="D20" s="210"/>
      <c r="E20" s="210"/>
      <c r="F20" s="210"/>
      <c r="G20" s="142"/>
      <c r="H20" s="158"/>
      <c r="I20" s="142"/>
      <c r="J20" s="173"/>
      <c r="K20" s="158"/>
      <c r="L20" s="173"/>
      <c r="M20" s="158"/>
      <c r="N20" s="172"/>
      <c r="O20" s="158"/>
    </row>
    <row r="21" spans="1:15" x14ac:dyDescent="0.25">
      <c r="A21" s="141" t="s">
        <v>228</v>
      </c>
      <c r="B21" s="206">
        <f>'Exhibit 14 PP'!H21</f>
        <v>0.1212121212121211</v>
      </c>
      <c r="C21" s="142"/>
      <c r="D21" s="210">
        <v>0.67300000000000004</v>
      </c>
      <c r="E21" s="210"/>
      <c r="F21" s="210">
        <v>0.6</v>
      </c>
      <c r="G21" s="142"/>
      <c r="H21" s="158">
        <f>F21/D21-1</f>
        <v>-0.10846953937592874</v>
      </c>
      <c r="I21" s="142"/>
      <c r="J21" s="158">
        <f t="shared" si="1"/>
        <v>-2.545656169042898E-4</v>
      </c>
      <c r="K21" s="169"/>
      <c r="L21" s="171">
        <v>5735.2600000000075</v>
      </c>
      <c r="M21" s="169"/>
      <c r="N21" s="170">
        <v>5733.8000000000011</v>
      </c>
      <c r="O21" s="169"/>
    </row>
    <row r="22" spans="1:15" x14ac:dyDescent="0.25">
      <c r="A22" s="142" t="s">
        <v>229</v>
      </c>
      <c r="B22" s="206">
        <f>'Exhibit 14 PP'!H22</f>
        <v>0.12037037037037024</v>
      </c>
      <c r="C22" s="142"/>
      <c r="D22" s="210">
        <v>0.65900000000000003</v>
      </c>
      <c r="E22" s="210"/>
      <c r="F22" s="210">
        <v>0.58799999999999997</v>
      </c>
      <c r="G22" s="142"/>
      <c r="H22" s="158">
        <f>F22/D22-1</f>
        <v>-0.10773899848254942</v>
      </c>
      <c r="I22" s="142"/>
      <c r="J22" s="158">
        <f t="shared" si="1"/>
        <v>-4.1162272905870267E-4</v>
      </c>
      <c r="K22" s="142"/>
      <c r="L22" s="171">
        <v>3206.8200000000015</v>
      </c>
      <c r="M22" s="169"/>
      <c r="N22" s="170">
        <v>3205.5000000000014</v>
      </c>
      <c r="O22" s="142"/>
    </row>
    <row r="23" spans="1:15" x14ac:dyDescent="0.25">
      <c r="A23" s="142"/>
      <c r="B23" s="164"/>
      <c r="C23" s="164"/>
      <c r="D23" s="164"/>
      <c r="E23" s="142"/>
      <c r="F23" s="164"/>
      <c r="G23" s="164"/>
      <c r="H23" s="164"/>
      <c r="I23" s="164"/>
      <c r="J23" s="142"/>
      <c r="K23" s="142"/>
      <c r="L23" s="171"/>
      <c r="M23" s="169"/>
      <c r="N23" s="170"/>
      <c r="O23" s="142"/>
    </row>
    <row r="24" spans="1:15" x14ac:dyDescent="0.25">
      <c r="A24" s="142" t="s">
        <v>233</v>
      </c>
      <c r="B24" s="155"/>
      <c r="C24" s="142"/>
      <c r="D24" s="165"/>
      <c r="E24" s="166"/>
      <c r="F24" s="155"/>
      <c r="G24" s="142"/>
      <c r="H24" s="158"/>
      <c r="I24" s="142"/>
      <c r="J24" s="158">
        <f t="shared" si="1"/>
        <v>-1.0122498802378477E-3</v>
      </c>
      <c r="K24" s="142"/>
      <c r="L24" s="173">
        <f>SUM(L14:L22)</f>
        <v>574640.71999999974</v>
      </c>
      <c r="M24" s="158"/>
      <c r="N24" s="173">
        <f>SUM(N14:N22)</f>
        <v>574059.03999999992</v>
      </c>
      <c r="O24" s="142"/>
    </row>
    <row r="25" spans="1:15" x14ac:dyDescent="0.25">
      <c r="A25" s="142"/>
      <c r="B25" s="142"/>
      <c r="C25" s="142"/>
      <c r="D25" s="142"/>
      <c r="E25" s="142"/>
      <c r="F25" s="142"/>
      <c r="G25" s="142"/>
      <c r="H25" s="142"/>
      <c r="I25" s="142"/>
      <c r="J25" s="142"/>
      <c r="K25" s="142"/>
      <c r="L25" s="171"/>
      <c r="M25" s="169"/>
      <c r="N25" s="170"/>
      <c r="O25" s="142"/>
    </row>
    <row r="26" spans="1:15" x14ac:dyDescent="0.25">
      <c r="A26" s="167"/>
      <c r="B26" s="142"/>
      <c r="C26" s="142"/>
      <c r="D26" s="142"/>
      <c r="E26" s="142"/>
      <c r="F26" s="142"/>
      <c r="G26" s="142"/>
      <c r="H26" s="142"/>
      <c r="I26" s="142"/>
      <c r="J26" s="142"/>
      <c r="K26" s="142"/>
      <c r="L26" s="171"/>
      <c r="M26" s="169"/>
      <c r="N26" s="170"/>
      <c r="O26" s="142"/>
    </row>
    <row r="27" spans="1:15" x14ac:dyDescent="0.25">
      <c r="A27" s="141"/>
      <c r="B27" s="142"/>
      <c r="C27" s="142"/>
      <c r="D27" s="142"/>
      <c r="E27" s="142"/>
      <c r="F27" s="142"/>
      <c r="G27" s="142"/>
      <c r="H27" s="142"/>
      <c r="I27" s="142"/>
      <c r="J27" s="142"/>
      <c r="K27" s="142"/>
      <c r="L27" s="142"/>
      <c r="M27" s="142"/>
      <c r="N27" s="148"/>
      <c r="O27" s="142"/>
    </row>
    <row r="28" spans="1:15" x14ac:dyDescent="0.25">
      <c r="A28" s="167"/>
      <c r="B28" s="142"/>
      <c r="C28" s="142"/>
      <c r="D28" s="142"/>
      <c r="E28" s="142"/>
      <c r="F28" s="142"/>
      <c r="G28" s="142"/>
      <c r="H28" s="142"/>
      <c r="I28" s="142"/>
      <c r="J28" s="142"/>
      <c r="K28" s="142"/>
      <c r="L28" s="172"/>
      <c r="M28" s="142"/>
      <c r="N28" s="172"/>
      <c r="O28" s="142"/>
    </row>
    <row r="29" spans="1:15" x14ac:dyDescent="0.25">
      <c r="A29" s="141"/>
      <c r="B29" s="142"/>
      <c r="C29" s="142"/>
      <c r="D29" s="142"/>
      <c r="E29" s="142"/>
      <c r="F29" s="142"/>
      <c r="G29" s="142"/>
      <c r="H29" s="142"/>
      <c r="I29" s="142"/>
      <c r="J29" s="142"/>
      <c r="K29" s="142"/>
      <c r="L29" s="142"/>
      <c r="M29" s="142"/>
      <c r="N29" s="142"/>
      <c r="O29" s="142"/>
    </row>
    <row r="30" spans="1:15" x14ac:dyDescent="0.25">
      <c r="A30" s="167"/>
      <c r="B30" s="142"/>
      <c r="C30" s="142"/>
      <c r="D30" s="142"/>
      <c r="E30" s="142"/>
      <c r="F30" s="142"/>
      <c r="G30" s="142"/>
      <c r="H30" s="142"/>
      <c r="I30" s="142"/>
      <c r="J30" s="142"/>
      <c r="K30" s="142"/>
      <c r="L30" s="142"/>
      <c r="M30" s="142"/>
      <c r="N30" s="142"/>
      <c r="O30" s="142"/>
    </row>
    <row r="31" spans="1:15" x14ac:dyDescent="0.25">
      <c r="A31" s="141"/>
      <c r="B31" s="142"/>
      <c r="C31" s="142"/>
      <c r="D31" s="142"/>
      <c r="E31" s="142"/>
      <c r="F31" s="142"/>
      <c r="G31" s="142"/>
      <c r="H31" s="142"/>
      <c r="I31" s="142"/>
      <c r="J31" s="142"/>
      <c r="K31" s="142"/>
      <c r="L31" s="142"/>
      <c r="M31" s="142"/>
      <c r="N31" s="142"/>
      <c r="O31" s="142"/>
    </row>
    <row r="32" spans="1:15" x14ac:dyDescent="0.25">
      <c r="A32" s="141"/>
      <c r="B32" s="148"/>
      <c r="C32" s="148"/>
      <c r="D32" s="148"/>
      <c r="E32" s="148"/>
      <c r="F32" s="148"/>
      <c r="G32" s="148"/>
      <c r="H32" s="148"/>
      <c r="I32" s="148"/>
      <c r="J32" s="148"/>
      <c r="K32" s="168"/>
      <c r="L32" s="148"/>
      <c r="M32" s="148"/>
      <c r="N32" s="148"/>
      <c r="O32" s="168"/>
    </row>
    <row r="33" spans="1:15" ht="15" customHeight="1" x14ac:dyDescent="0.25">
      <c r="A33" s="148"/>
      <c r="B33" s="148"/>
      <c r="C33" s="148"/>
      <c r="D33" s="148"/>
      <c r="E33" s="148"/>
      <c r="F33" s="148"/>
      <c r="G33" s="148"/>
      <c r="H33" s="148"/>
      <c r="I33" s="148"/>
      <c r="J33" s="148"/>
      <c r="K33" s="168"/>
      <c r="L33" s="148"/>
      <c r="M33" s="148"/>
      <c r="N33" s="148"/>
      <c r="O33" s="168"/>
    </row>
    <row r="34" spans="1:15" x14ac:dyDescent="0.25">
      <c r="A34" s="148"/>
      <c r="B34" s="148"/>
      <c r="C34" s="148"/>
      <c r="D34" s="148"/>
      <c r="E34" s="148"/>
      <c r="F34" s="148"/>
      <c r="G34" s="148"/>
      <c r="H34" s="148"/>
      <c r="I34" s="148"/>
      <c r="J34" s="148"/>
      <c r="K34" s="168"/>
      <c r="L34" s="148"/>
      <c r="M34" s="148"/>
      <c r="N34" s="148"/>
      <c r="O34" s="168"/>
    </row>
    <row r="35" spans="1:15" ht="15.75" customHeight="1" x14ac:dyDescent="0.25">
      <c r="A35" s="148"/>
      <c r="B35" s="148"/>
      <c r="C35" s="148"/>
      <c r="D35" s="148"/>
      <c r="E35" s="148"/>
      <c r="F35" s="148"/>
      <c r="G35" s="148"/>
      <c r="H35" s="148"/>
      <c r="I35" s="148"/>
      <c r="J35" s="148"/>
      <c r="K35" s="148"/>
      <c r="L35" s="148"/>
      <c r="M35" s="148"/>
      <c r="N35" s="148"/>
      <c r="O35" s="148"/>
    </row>
    <row r="36" spans="1:15" ht="15" customHeight="1" x14ac:dyDescent="0.25">
      <c r="A36" s="148"/>
      <c r="B36" s="148"/>
      <c r="C36" s="148"/>
      <c r="D36" s="148"/>
      <c r="E36" s="148"/>
      <c r="F36" s="148"/>
      <c r="G36" s="148"/>
      <c r="H36" s="148"/>
      <c r="I36" s="148"/>
      <c r="J36" s="148"/>
      <c r="K36" s="148"/>
      <c r="L36" s="148"/>
      <c r="M36" s="148"/>
      <c r="N36" s="148"/>
      <c r="O36" s="148"/>
    </row>
    <row r="37" spans="1:15" ht="15" customHeight="1" x14ac:dyDescent="0.25"/>
  </sheetData>
  <mergeCells count="12">
    <mergeCell ref="H12:I12"/>
    <mergeCell ref="J12:K12"/>
    <mergeCell ref="L12:M12"/>
    <mergeCell ref="N12:O12"/>
    <mergeCell ref="H9:I9"/>
    <mergeCell ref="J9:K9"/>
    <mergeCell ref="L9:M9"/>
    <mergeCell ref="N9:O9"/>
    <mergeCell ref="H11:I11"/>
    <mergeCell ref="J11:K11"/>
    <mergeCell ref="L11:M11"/>
    <mergeCell ref="N11:O11"/>
  </mergeCells>
  <printOptions horizontalCentered="1"/>
  <pageMargins left="0.7" right="0.7" top="0.75" bottom="0.5" header="0.3" footer="0.3"/>
  <pageSetup scale="98" orientation="landscape"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CC98E-A9FD-4EB3-95E1-A96F51A9E52B}">
  <sheetPr codeName="Sheet15"/>
  <dimension ref="A1:P32"/>
  <sheetViews>
    <sheetView view="pageBreakPreview" zoomScale="120" zoomScaleNormal="100" zoomScaleSheetLayoutView="120" workbookViewId="0">
      <selection activeCell="J20" sqref="J20"/>
    </sheetView>
  </sheetViews>
  <sheetFormatPr defaultColWidth="9.140625" defaultRowHeight="15" x14ac:dyDescent="0.25"/>
  <cols>
    <col min="1" max="1" width="24.7109375" style="140" customWidth="1"/>
    <col min="2" max="2" width="15.5703125" style="140" customWidth="1"/>
    <col min="3" max="3" width="3" style="140" customWidth="1"/>
    <col min="4" max="4" width="13.140625" style="140" customWidth="1"/>
    <col min="5" max="5" width="3" style="140" customWidth="1"/>
    <col min="6" max="6" width="16" style="140" customWidth="1"/>
    <col min="7" max="7" width="1.85546875" style="140" customWidth="1"/>
    <col min="8" max="8" width="14.7109375" style="140" customWidth="1"/>
    <col min="9" max="9" width="1.85546875" style="140" customWidth="1"/>
    <col min="10" max="10" width="9.7109375" style="140" customWidth="1"/>
    <col min="11" max="11" width="1.7109375" style="140" customWidth="1"/>
    <col min="12" max="12" width="13.140625" style="140" customWidth="1"/>
    <col min="13" max="13" width="2.28515625" style="140" customWidth="1"/>
    <col min="14" max="14" width="13" style="140" customWidth="1"/>
    <col min="15" max="15" width="1.42578125" style="140" customWidth="1"/>
    <col min="16" max="16384" width="9.140625" style="140"/>
  </cols>
  <sheetData>
    <row r="1" spans="1:16" ht="14.1" customHeight="1" x14ac:dyDescent="0.25">
      <c r="A1" s="11" t="s">
        <v>1</v>
      </c>
      <c r="B1" s="138"/>
      <c r="C1" s="138"/>
      <c r="D1" s="138"/>
      <c r="E1" s="138"/>
      <c r="F1" s="138"/>
      <c r="G1" s="138"/>
      <c r="H1" s="138"/>
      <c r="I1" s="138"/>
      <c r="J1" s="138"/>
      <c r="K1" s="138"/>
      <c r="L1" s="138"/>
      <c r="M1" s="138"/>
      <c r="N1" s="138"/>
      <c r="O1" s="138"/>
    </row>
    <row r="2" spans="1:16" x14ac:dyDescent="0.25">
      <c r="A2" s="10" t="s">
        <v>0</v>
      </c>
      <c r="B2" s="138"/>
      <c r="C2" s="138"/>
      <c r="D2" s="138"/>
      <c r="E2" s="138"/>
      <c r="F2" s="138"/>
      <c r="G2" s="138"/>
      <c r="H2" s="138"/>
      <c r="I2" s="138"/>
      <c r="J2" s="138"/>
      <c r="K2" s="138"/>
      <c r="L2" s="138"/>
      <c r="M2" s="138"/>
      <c r="N2" s="138"/>
      <c r="O2" s="138"/>
    </row>
    <row r="3" spans="1:16" ht="14.1" customHeight="1" x14ac:dyDescent="0.25">
      <c r="A3" s="95"/>
      <c r="B3" s="138"/>
      <c r="C3" s="138"/>
      <c r="D3" s="138"/>
      <c r="E3" s="138"/>
      <c r="F3" s="138"/>
      <c r="G3" s="138"/>
      <c r="H3" s="138"/>
      <c r="I3" s="138"/>
      <c r="J3" s="138"/>
      <c r="K3" s="138"/>
      <c r="L3" s="138"/>
      <c r="M3" s="138"/>
      <c r="N3" s="138"/>
      <c r="O3" s="138"/>
    </row>
    <row r="4" spans="1:16" x14ac:dyDescent="0.25">
      <c r="A4" s="9" t="s">
        <v>217</v>
      </c>
      <c r="B4" s="138"/>
      <c r="C4" s="138"/>
      <c r="D4" s="138"/>
      <c r="E4" s="138"/>
      <c r="F4" s="138"/>
      <c r="G4" s="138"/>
      <c r="H4" s="138"/>
      <c r="I4" s="138"/>
      <c r="J4" s="138"/>
      <c r="K4" s="138"/>
      <c r="L4" s="138"/>
      <c r="M4" s="138"/>
      <c r="N4" s="138"/>
      <c r="O4" s="138"/>
    </row>
    <row r="5" spans="1:16" ht="14.1" customHeight="1" x14ac:dyDescent="0.25">
      <c r="A5" s="138"/>
      <c r="B5" s="138"/>
      <c r="C5" s="138"/>
      <c r="D5" s="138"/>
      <c r="E5" s="138"/>
      <c r="F5" s="138"/>
      <c r="G5" s="138"/>
      <c r="H5" s="138"/>
      <c r="I5" s="138"/>
      <c r="J5" s="138"/>
      <c r="K5" s="138"/>
      <c r="L5" s="138"/>
      <c r="M5" s="138"/>
      <c r="N5" s="138"/>
      <c r="O5" s="138"/>
    </row>
    <row r="6" spans="1:16" ht="14.1" customHeight="1" x14ac:dyDescent="0.25">
      <c r="A6" s="138" t="s">
        <v>218</v>
      </c>
      <c r="B6" s="138"/>
      <c r="C6" s="138"/>
      <c r="D6" s="138"/>
      <c r="E6" s="138"/>
      <c r="F6" s="138"/>
      <c r="G6" s="138"/>
      <c r="H6" s="138"/>
      <c r="I6" s="138"/>
      <c r="J6" s="138"/>
      <c r="K6" s="138"/>
      <c r="L6" s="138"/>
      <c r="M6" s="138"/>
      <c r="N6" s="138"/>
      <c r="O6" s="138"/>
    </row>
    <row r="7" spans="1:16" x14ac:dyDescent="0.25">
      <c r="A7" s="138" t="s">
        <v>277</v>
      </c>
      <c r="B7" s="138"/>
      <c r="C7" s="138"/>
      <c r="D7" s="138"/>
      <c r="E7" s="138"/>
      <c r="F7" s="138"/>
      <c r="G7" s="138"/>
      <c r="H7" s="138"/>
      <c r="I7" s="138"/>
      <c r="J7" s="138"/>
      <c r="K7" s="138"/>
      <c r="L7" s="138"/>
      <c r="M7" s="138"/>
      <c r="N7" s="138"/>
      <c r="O7" s="138"/>
    </row>
    <row r="8" spans="1:16" x14ac:dyDescent="0.25">
      <c r="A8" s="142"/>
      <c r="B8" s="142"/>
      <c r="C8" s="142"/>
      <c r="D8" s="142"/>
      <c r="E8" s="142"/>
      <c r="F8" s="142"/>
      <c r="G8" s="142"/>
      <c r="H8" s="142"/>
      <c r="I8" s="142"/>
      <c r="J8" s="142"/>
      <c r="K8" s="142"/>
      <c r="L8" s="142"/>
      <c r="M8" s="142"/>
      <c r="N8" s="142"/>
      <c r="O8" s="142"/>
    </row>
    <row r="9" spans="1:16" x14ac:dyDescent="0.25">
      <c r="A9" s="144" t="s">
        <v>161</v>
      </c>
      <c r="B9" s="146" t="s">
        <v>162</v>
      </c>
      <c r="C9" s="147"/>
      <c r="D9" s="146" t="s">
        <v>163</v>
      </c>
      <c r="E9" s="146"/>
      <c r="F9" s="146" t="s">
        <v>164</v>
      </c>
      <c r="G9" s="147"/>
      <c r="H9" s="311" t="s">
        <v>165</v>
      </c>
      <c r="I9" s="311"/>
      <c r="J9" s="311" t="s">
        <v>166</v>
      </c>
      <c r="K9" s="311"/>
      <c r="L9" s="311" t="s">
        <v>167</v>
      </c>
      <c r="M9" s="311"/>
      <c r="N9" s="311" t="s">
        <v>168</v>
      </c>
      <c r="O9" s="311"/>
    </row>
    <row r="10" spans="1:16" x14ac:dyDescent="0.25">
      <c r="A10" s="144"/>
      <c r="B10" s="147"/>
      <c r="C10" s="147"/>
      <c r="D10" s="149"/>
      <c r="E10" s="149"/>
      <c r="F10" s="147"/>
      <c r="G10" s="147"/>
      <c r="H10" s="147"/>
      <c r="I10" s="147"/>
      <c r="J10" s="142"/>
      <c r="K10" s="142"/>
      <c r="L10" s="147"/>
      <c r="M10" s="147"/>
      <c r="N10" s="142"/>
      <c r="O10" s="142"/>
    </row>
    <row r="11" spans="1:16" x14ac:dyDescent="0.25">
      <c r="A11" s="144"/>
      <c r="B11" s="147" t="s">
        <v>270</v>
      </c>
      <c r="C11" s="147"/>
      <c r="D11" s="150" t="s">
        <v>221</v>
      </c>
      <c r="E11" s="150"/>
      <c r="F11" s="147" t="s">
        <v>220</v>
      </c>
      <c r="G11" s="147"/>
      <c r="H11" s="310" t="s">
        <v>268</v>
      </c>
      <c r="I11" s="310"/>
      <c r="J11" s="310" t="s">
        <v>268</v>
      </c>
      <c r="K11" s="310"/>
      <c r="L11" s="310" t="s">
        <v>221</v>
      </c>
      <c r="M11" s="310"/>
      <c r="N11" s="310" t="s">
        <v>220</v>
      </c>
      <c r="O11" s="310"/>
    </row>
    <row r="12" spans="1:16" x14ac:dyDescent="0.25">
      <c r="A12" s="151" t="s">
        <v>41</v>
      </c>
      <c r="B12" s="153" t="s">
        <v>269</v>
      </c>
      <c r="C12" s="153"/>
      <c r="D12" s="152" t="s">
        <v>276</v>
      </c>
      <c r="E12" s="152"/>
      <c r="F12" s="153" t="s">
        <v>276</v>
      </c>
      <c r="G12" s="153"/>
      <c r="H12" s="309" t="s">
        <v>276</v>
      </c>
      <c r="I12" s="309"/>
      <c r="J12" s="309" t="s">
        <v>35</v>
      </c>
      <c r="K12" s="309"/>
      <c r="L12" s="309" t="s">
        <v>35</v>
      </c>
      <c r="M12" s="309"/>
      <c r="N12" s="309" t="s">
        <v>35</v>
      </c>
      <c r="O12" s="309"/>
    </row>
    <row r="13" spans="1:16" x14ac:dyDescent="0.25">
      <c r="A13" s="142"/>
      <c r="B13" s="142"/>
      <c r="C13" s="142"/>
      <c r="D13" s="142"/>
      <c r="E13" s="142"/>
      <c r="F13" s="142"/>
      <c r="G13" s="142"/>
      <c r="H13" s="142"/>
      <c r="I13" s="142"/>
      <c r="J13" s="142"/>
      <c r="K13" s="142"/>
      <c r="L13" s="142"/>
      <c r="M13" s="142"/>
      <c r="N13" s="142"/>
      <c r="O13" s="142"/>
    </row>
    <row r="14" spans="1:16" x14ac:dyDescent="0.25">
      <c r="A14" s="142" t="s">
        <v>22</v>
      </c>
      <c r="B14" s="206"/>
      <c r="C14" s="142"/>
      <c r="D14" s="213">
        <v>105.1</v>
      </c>
      <c r="E14" s="213"/>
      <c r="F14" s="219">
        <v>129.27000000000001</v>
      </c>
      <c r="G14" s="142"/>
      <c r="H14" s="158">
        <f>F14/D14-1</f>
        <v>0.22997145575642253</v>
      </c>
      <c r="I14" s="142"/>
      <c r="J14" s="158">
        <f>N14/L14-1</f>
        <v>0.22996551545424393</v>
      </c>
      <c r="K14" s="169"/>
      <c r="L14" s="217">
        <v>6140066.3800000018</v>
      </c>
      <c r="M14" s="216"/>
      <c r="N14" s="215">
        <v>7552069.9099999759</v>
      </c>
      <c r="O14" s="169"/>
      <c r="P14" s="218"/>
    </row>
    <row r="15" spans="1:16" x14ac:dyDescent="0.25">
      <c r="A15" s="142" t="s">
        <v>318</v>
      </c>
      <c r="B15" s="206"/>
      <c r="C15" s="142"/>
      <c r="D15" s="213">
        <v>934.1</v>
      </c>
      <c r="E15" s="213"/>
      <c r="F15" s="213">
        <v>934.1</v>
      </c>
      <c r="G15" s="142"/>
      <c r="H15" s="158">
        <f>F15/D15-1</f>
        <v>0</v>
      </c>
      <c r="I15" s="142"/>
      <c r="J15" s="158">
        <f>N15/L15-1</f>
        <v>0</v>
      </c>
      <c r="K15" s="169"/>
      <c r="L15" s="217">
        <v>12841963.850000024</v>
      </c>
      <c r="M15" s="216"/>
      <c r="N15" s="215">
        <v>12841963.850000024</v>
      </c>
      <c r="O15" s="169"/>
      <c r="P15" s="214"/>
    </row>
    <row r="16" spans="1:16" x14ac:dyDescent="0.25">
      <c r="A16" s="142" t="s">
        <v>319</v>
      </c>
      <c r="B16" s="206"/>
      <c r="C16" s="142"/>
      <c r="D16" s="213">
        <v>708.8</v>
      </c>
      <c r="E16" s="213"/>
      <c r="F16" s="213">
        <v>779.68</v>
      </c>
      <c r="G16" s="142"/>
      <c r="H16" s="158">
        <f>F16/D16-1</f>
        <v>0.10000000000000009</v>
      </c>
      <c r="I16" s="142"/>
      <c r="J16" s="158">
        <f>N16/L16-1</f>
        <v>0.10000516206952548</v>
      </c>
      <c r="K16" s="169"/>
      <c r="L16" s="171">
        <v>16179944.780000035</v>
      </c>
      <c r="M16" s="169"/>
      <c r="N16" s="170">
        <v>17798022.779999912</v>
      </c>
      <c r="O16" s="169"/>
    </row>
    <row r="17" spans="1:15" x14ac:dyDescent="0.25">
      <c r="A17" s="142" t="s">
        <v>275</v>
      </c>
      <c r="B17" s="206">
        <f>'Exhibit 14 PP'!H16</f>
        <v>0.438399071925754</v>
      </c>
      <c r="C17" s="142"/>
      <c r="D17" s="164">
        <v>1.036</v>
      </c>
      <c r="E17" s="164"/>
      <c r="F17" s="164">
        <v>0.86499999999999999</v>
      </c>
      <c r="G17" s="142"/>
      <c r="H17" s="158">
        <f>F17/D17-1</f>
        <v>-0.16505791505791512</v>
      </c>
      <c r="I17" s="142"/>
      <c r="J17" s="158">
        <f>N17/L17-1</f>
        <v>0.20077994437726776</v>
      </c>
      <c r="K17" s="169"/>
      <c r="L17" s="171">
        <v>11462017.370000064</v>
      </c>
      <c r="M17" s="169"/>
      <c r="N17" s="170">
        <v>13763360.579999954</v>
      </c>
      <c r="O17" s="169"/>
    </row>
    <row r="18" spans="1:15" x14ac:dyDescent="0.25">
      <c r="A18" s="142" t="s">
        <v>274</v>
      </c>
      <c r="B18" s="206">
        <f>'Exhibit 14 PP'!H17</f>
        <v>0.43896499238964992</v>
      </c>
      <c r="C18" s="142"/>
      <c r="D18" s="164">
        <v>1.036</v>
      </c>
      <c r="E18" s="164"/>
      <c r="F18" s="164">
        <v>0.86499999999999999</v>
      </c>
      <c r="G18" s="142"/>
      <c r="H18" s="158">
        <f>F18/D18-1</f>
        <v>-0.16505791505791512</v>
      </c>
      <c r="I18" s="142"/>
      <c r="J18" s="158">
        <f>N18/L18-1</f>
        <v>0.20118372232877801</v>
      </c>
      <c r="K18" s="169"/>
      <c r="L18" s="171">
        <v>1333915.8699999957</v>
      </c>
      <c r="M18" s="169"/>
      <c r="N18" s="170">
        <v>1602278.0300000252</v>
      </c>
      <c r="O18" s="169"/>
    </row>
    <row r="19" spans="1:15" x14ac:dyDescent="0.25">
      <c r="A19" s="142"/>
      <c r="B19" s="164"/>
      <c r="C19" s="164"/>
      <c r="D19" s="164"/>
      <c r="E19" s="142"/>
      <c r="F19" s="164"/>
      <c r="G19" s="164"/>
      <c r="H19" s="164"/>
      <c r="I19" s="164"/>
      <c r="J19" s="142"/>
      <c r="K19" s="142"/>
      <c r="L19" s="171"/>
      <c r="M19" s="169"/>
      <c r="N19" s="170"/>
      <c r="O19" s="142"/>
    </row>
    <row r="20" spans="1:15" x14ac:dyDescent="0.25">
      <c r="A20" s="142" t="s">
        <v>233</v>
      </c>
      <c r="B20" s="155"/>
      <c r="C20" s="142"/>
      <c r="D20" s="165"/>
      <c r="E20" s="166"/>
      <c r="F20" s="155"/>
      <c r="G20" s="142"/>
      <c r="H20" s="158"/>
      <c r="I20" s="142"/>
      <c r="J20" s="158">
        <f>N20/L20-1</f>
        <v>0.11676461931593418</v>
      </c>
      <c r="K20" s="142"/>
      <c r="L20" s="173">
        <f>SUM(L14:L18)</f>
        <v>47957908.250000127</v>
      </c>
      <c r="M20" s="158"/>
      <c r="N20" s="173">
        <f>SUM(N14:N18)</f>
        <v>53557695.149999887</v>
      </c>
      <c r="O20" s="142"/>
    </row>
    <row r="21" spans="1:15" x14ac:dyDescent="0.25">
      <c r="A21" s="142"/>
      <c r="B21" s="142"/>
      <c r="C21" s="142"/>
      <c r="D21" s="142"/>
      <c r="E21" s="142"/>
      <c r="F21" s="142"/>
      <c r="G21" s="142"/>
      <c r="H21" s="142"/>
      <c r="I21" s="142"/>
      <c r="J21" s="142"/>
      <c r="K21" s="142"/>
      <c r="L21" s="171"/>
      <c r="M21" s="169"/>
      <c r="N21" s="170"/>
      <c r="O21" s="142"/>
    </row>
    <row r="22" spans="1:15" x14ac:dyDescent="0.25">
      <c r="A22" s="142" t="s">
        <v>273</v>
      </c>
      <c r="B22" s="142"/>
      <c r="C22" s="142"/>
      <c r="D22" s="142"/>
      <c r="E22" s="142"/>
      <c r="F22" s="142"/>
      <c r="G22" s="142"/>
      <c r="H22" s="142"/>
      <c r="I22" s="142"/>
      <c r="J22" s="142"/>
      <c r="K22" s="142"/>
      <c r="L22" s="171"/>
      <c r="M22" s="169"/>
      <c r="N22" s="170"/>
      <c r="O22" s="142"/>
    </row>
    <row r="23" spans="1:15" x14ac:dyDescent="0.25">
      <c r="A23" s="167"/>
      <c r="B23" s="142"/>
      <c r="C23" s="142"/>
      <c r="D23" s="142"/>
      <c r="E23" s="142"/>
      <c r="F23" s="142"/>
      <c r="G23" s="142"/>
      <c r="H23" s="142"/>
      <c r="I23" s="142"/>
      <c r="J23" s="142"/>
      <c r="K23" s="142"/>
      <c r="L23" s="172"/>
      <c r="M23" s="142"/>
      <c r="N23" s="172"/>
      <c r="O23" s="142"/>
    </row>
    <row r="24" spans="1:15" x14ac:dyDescent="0.25">
      <c r="A24" s="141"/>
      <c r="B24" s="142"/>
      <c r="C24" s="142"/>
      <c r="D24" s="142"/>
      <c r="E24" s="142"/>
      <c r="F24" s="142"/>
      <c r="G24" s="142"/>
      <c r="H24" s="142"/>
      <c r="I24" s="142"/>
      <c r="J24" s="142"/>
      <c r="K24" s="142"/>
      <c r="L24" s="142"/>
      <c r="M24" s="142"/>
      <c r="N24" s="142"/>
      <c r="O24" s="142"/>
    </row>
    <row r="25" spans="1:15" x14ac:dyDescent="0.25">
      <c r="A25" s="167"/>
      <c r="B25" s="142"/>
      <c r="C25" s="142"/>
      <c r="D25" s="142"/>
      <c r="E25" s="142"/>
      <c r="F25" s="142"/>
      <c r="G25" s="142"/>
      <c r="H25" s="142"/>
      <c r="I25" s="142"/>
      <c r="J25" s="142"/>
      <c r="K25" s="142"/>
      <c r="L25" s="142"/>
      <c r="M25" s="142"/>
      <c r="N25" s="142"/>
      <c r="O25" s="142"/>
    </row>
    <row r="26" spans="1:15" x14ac:dyDescent="0.25">
      <c r="A26" s="141"/>
      <c r="B26" s="142"/>
      <c r="C26" s="142"/>
      <c r="D26" s="142"/>
      <c r="E26" s="142"/>
      <c r="F26" s="142"/>
      <c r="G26" s="142"/>
      <c r="H26" s="142"/>
      <c r="I26" s="142"/>
      <c r="J26" s="142"/>
      <c r="K26" s="142"/>
      <c r="L26" s="142"/>
      <c r="M26" s="142"/>
      <c r="N26" s="142"/>
      <c r="O26" s="142"/>
    </row>
    <row r="27" spans="1:15" x14ac:dyDescent="0.25">
      <c r="A27" s="141"/>
      <c r="B27" s="148"/>
      <c r="C27" s="148"/>
      <c r="D27" s="148"/>
      <c r="E27" s="148"/>
      <c r="F27" s="148"/>
      <c r="G27" s="148"/>
      <c r="H27" s="148"/>
      <c r="I27" s="148"/>
      <c r="J27" s="148"/>
      <c r="K27" s="168"/>
      <c r="L27" s="148"/>
      <c r="M27" s="148"/>
      <c r="N27" s="148"/>
      <c r="O27" s="168"/>
    </row>
    <row r="28" spans="1:15" ht="15" customHeight="1" x14ac:dyDescent="0.25">
      <c r="A28" s="148"/>
      <c r="B28" s="148"/>
      <c r="C28" s="148"/>
      <c r="D28" s="148"/>
      <c r="E28" s="148"/>
      <c r="F28" s="148"/>
      <c r="G28" s="148"/>
      <c r="H28" s="148"/>
      <c r="I28" s="148"/>
      <c r="J28" s="148"/>
      <c r="K28" s="168"/>
      <c r="L28" s="148"/>
      <c r="M28" s="148"/>
      <c r="N28" s="148"/>
      <c r="O28" s="168"/>
    </row>
    <row r="29" spans="1:15" x14ac:dyDescent="0.25">
      <c r="A29" s="148"/>
      <c r="B29" s="148"/>
      <c r="C29" s="148"/>
      <c r="D29" s="148"/>
      <c r="E29" s="148"/>
      <c r="F29" s="148"/>
      <c r="G29" s="148"/>
      <c r="H29" s="148"/>
      <c r="I29" s="148"/>
      <c r="J29" s="148"/>
      <c r="K29" s="168"/>
      <c r="L29" s="148"/>
      <c r="M29" s="148"/>
      <c r="N29" s="148"/>
      <c r="O29" s="168"/>
    </row>
    <row r="30" spans="1:15" ht="15.75" customHeight="1" x14ac:dyDescent="0.25">
      <c r="A30" s="148"/>
      <c r="B30" s="148"/>
      <c r="C30" s="148"/>
      <c r="D30" s="148"/>
      <c r="E30" s="148"/>
      <c r="F30" s="148"/>
      <c r="G30" s="148"/>
      <c r="H30" s="148"/>
      <c r="I30" s="148"/>
      <c r="J30" s="148"/>
      <c r="K30" s="148"/>
      <c r="L30" s="148"/>
      <c r="M30" s="148"/>
      <c r="N30" s="148"/>
      <c r="O30" s="148"/>
    </row>
    <row r="31" spans="1:15" ht="15" customHeight="1" x14ac:dyDescent="0.25">
      <c r="A31" s="148"/>
      <c r="B31" s="148"/>
      <c r="C31" s="148"/>
      <c r="D31" s="148"/>
      <c r="E31" s="148"/>
      <c r="F31" s="148"/>
      <c r="G31" s="148"/>
      <c r="H31" s="148"/>
      <c r="I31" s="148"/>
      <c r="J31" s="148"/>
      <c r="K31" s="148"/>
      <c r="L31" s="148"/>
      <c r="M31" s="148"/>
      <c r="N31" s="148"/>
      <c r="O31" s="148"/>
    </row>
    <row r="32" spans="1:15" ht="15" customHeight="1" x14ac:dyDescent="0.25"/>
  </sheetData>
  <mergeCells count="12">
    <mergeCell ref="H12:I12"/>
    <mergeCell ref="J12:K12"/>
    <mergeCell ref="L12:M12"/>
    <mergeCell ref="N12:O12"/>
    <mergeCell ref="H9:I9"/>
    <mergeCell ref="J9:K9"/>
    <mergeCell ref="L9:M9"/>
    <mergeCell ref="N9:O9"/>
    <mergeCell ref="H11:I11"/>
    <mergeCell ref="J11:K11"/>
    <mergeCell ref="L11:M11"/>
    <mergeCell ref="N11:O11"/>
  </mergeCells>
  <printOptions horizontalCentered="1"/>
  <pageMargins left="0.7" right="0.7" top="0.75" bottom="0.5" header="0.3" footer="0.3"/>
  <pageSetup scale="91" orientation="landscape"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0A47-D800-49C5-A7A6-CCCE2364BC6A}">
  <sheetPr codeName="Sheet16"/>
  <dimension ref="A1:M39"/>
  <sheetViews>
    <sheetView view="pageBreakPreview" zoomScale="110" zoomScaleNormal="100" zoomScaleSheetLayoutView="110" workbookViewId="0">
      <selection activeCell="J22" sqref="J22"/>
    </sheetView>
  </sheetViews>
  <sheetFormatPr defaultColWidth="9.140625" defaultRowHeight="15" x14ac:dyDescent="0.25"/>
  <cols>
    <col min="1" max="1" width="29.28515625" style="140" customWidth="1"/>
    <col min="2" max="2" width="10" style="140" customWidth="1"/>
    <col min="3" max="3" width="3" style="140" customWidth="1"/>
    <col min="4" max="4" width="9.7109375" style="140" customWidth="1"/>
    <col min="5" max="5" width="1.85546875" style="140" customWidth="1"/>
    <col min="6" max="6" width="9.7109375" style="140" customWidth="1"/>
    <col min="7" max="7" width="1.85546875" style="140" customWidth="1"/>
    <col min="8" max="8" width="9.7109375" style="140" customWidth="1"/>
    <col min="9" max="9" width="1.7109375" style="140" customWidth="1"/>
    <col min="10" max="10" width="16" style="140" customWidth="1"/>
    <col min="11" max="11" width="2.28515625" style="140" customWidth="1"/>
    <col min="12" max="12" width="15.7109375" style="140" customWidth="1"/>
    <col min="13" max="13" width="1.42578125" style="140" customWidth="1"/>
    <col min="14" max="16384" width="9.140625" style="140"/>
  </cols>
  <sheetData>
    <row r="1" spans="1:13" ht="14.1" customHeight="1" x14ac:dyDescent="0.25">
      <c r="A1" s="11" t="s">
        <v>1</v>
      </c>
      <c r="B1" s="138"/>
      <c r="C1" s="138"/>
      <c r="D1" s="138"/>
      <c r="E1" s="138"/>
      <c r="F1" s="138"/>
      <c r="G1" s="138"/>
      <c r="H1" s="138"/>
      <c r="I1" s="138"/>
      <c r="J1" s="138"/>
      <c r="K1" s="138"/>
      <c r="L1" s="138"/>
      <c r="M1" s="138"/>
    </row>
    <row r="2" spans="1:13" x14ac:dyDescent="0.25">
      <c r="A2" s="10" t="s">
        <v>0</v>
      </c>
      <c r="B2" s="138"/>
      <c r="C2" s="138"/>
      <c r="D2" s="138"/>
      <c r="E2" s="138"/>
      <c r="F2" s="138"/>
      <c r="G2" s="138"/>
      <c r="H2" s="138"/>
      <c r="I2" s="138"/>
      <c r="J2" s="138"/>
      <c r="K2" s="138"/>
      <c r="L2" s="138"/>
      <c r="M2" s="138"/>
    </row>
    <row r="3" spans="1:13" ht="14.1" customHeight="1" x14ac:dyDescent="0.25">
      <c r="A3" s="95"/>
      <c r="B3" s="138"/>
      <c r="C3" s="138"/>
      <c r="D3" s="138"/>
      <c r="E3" s="138"/>
      <c r="F3" s="138"/>
      <c r="G3" s="138"/>
      <c r="H3" s="138"/>
      <c r="I3" s="138"/>
      <c r="J3" s="138"/>
      <c r="K3" s="138"/>
      <c r="L3" s="138"/>
      <c r="M3" s="138"/>
    </row>
    <row r="4" spans="1:13" x14ac:dyDescent="0.25">
      <c r="A4" s="9" t="s">
        <v>217</v>
      </c>
      <c r="B4" s="138"/>
      <c r="C4" s="138"/>
      <c r="D4" s="138"/>
      <c r="E4" s="138"/>
      <c r="F4" s="138"/>
      <c r="G4" s="138"/>
      <c r="H4" s="138"/>
      <c r="I4" s="138"/>
      <c r="J4" s="138"/>
      <c r="K4" s="138"/>
      <c r="L4" s="138"/>
      <c r="M4" s="138"/>
    </row>
    <row r="5" spans="1:13" ht="14.1" customHeight="1" x14ac:dyDescent="0.25">
      <c r="A5" s="138"/>
      <c r="B5" s="138"/>
      <c r="C5" s="138"/>
      <c r="D5" s="138"/>
      <c r="E5" s="138"/>
      <c r="F5" s="138"/>
      <c r="G5" s="138"/>
      <c r="H5" s="138"/>
      <c r="I5" s="138"/>
      <c r="J5" s="138"/>
      <c r="K5" s="138"/>
      <c r="L5" s="138"/>
      <c r="M5" s="138"/>
    </row>
    <row r="6" spans="1:13" ht="14.1" customHeight="1" x14ac:dyDescent="0.25">
      <c r="A6" s="138" t="s">
        <v>218</v>
      </c>
      <c r="B6" s="138"/>
      <c r="C6" s="138"/>
      <c r="D6" s="138"/>
      <c r="E6" s="138"/>
      <c r="F6" s="138"/>
      <c r="G6" s="138"/>
      <c r="H6" s="138"/>
      <c r="I6" s="138"/>
      <c r="J6" s="138"/>
      <c r="K6" s="138"/>
      <c r="L6" s="138"/>
      <c r="M6" s="138"/>
    </row>
    <row r="7" spans="1:13" x14ac:dyDescent="0.25">
      <c r="A7" s="138" t="s">
        <v>278</v>
      </c>
      <c r="B7" s="138"/>
      <c r="C7" s="138"/>
      <c r="D7" s="138"/>
      <c r="E7" s="138"/>
      <c r="F7" s="138"/>
      <c r="G7" s="138"/>
      <c r="H7" s="138"/>
      <c r="I7" s="138"/>
      <c r="J7" s="138"/>
      <c r="K7" s="138"/>
      <c r="L7" s="138"/>
      <c r="M7" s="138"/>
    </row>
    <row r="8" spans="1:13" x14ac:dyDescent="0.25">
      <c r="A8" s="142"/>
      <c r="B8" s="142"/>
      <c r="C8" s="142"/>
      <c r="D8" s="142"/>
      <c r="E8" s="142"/>
      <c r="F8" s="142"/>
      <c r="G8" s="142"/>
      <c r="H8" s="142"/>
      <c r="I8" s="142"/>
      <c r="J8" s="142"/>
      <c r="K8" s="142"/>
      <c r="L8" s="142"/>
      <c r="M8" s="142"/>
    </row>
    <row r="9" spans="1:13" x14ac:dyDescent="0.25">
      <c r="A9" s="144" t="s">
        <v>161</v>
      </c>
      <c r="B9" s="146" t="s">
        <v>162</v>
      </c>
      <c r="C9" s="146"/>
      <c r="D9" s="146" t="s">
        <v>163</v>
      </c>
      <c r="E9" s="147"/>
      <c r="F9" s="311" t="s">
        <v>164</v>
      </c>
      <c r="G9" s="311"/>
      <c r="H9" s="311" t="s">
        <v>165</v>
      </c>
      <c r="I9" s="311"/>
      <c r="J9" s="311" t="s">
        <v>166</v>
      </c>
      <c r="K9" s="311"/>
      <c r="L9" s="311" t="s">
        <v>167</v>
      </c>
      <c r="M9" s="311"/>
    </row>
    <row r="10" spans="1:13" x14ac:dyDescent="0.25">
      <c r="A10" s="144"/>
      <c r="B10" s="149"/>
      <c r="C10" s="149"/>
      <c r="D10" s="147"/>
      <c r="E10" s="147"/>
      <c r="F10" s="147"/>
      <c r="G10" s="147"/>
      <c r="H10" s="142"/>
      <c r="I10" s="142"/>
      <c r="J10" s="147"/>
      <c r="K10" s="147"/>
      <c r="L10" s="142"/>
      <c r="M10" s="142"/>
    </row>
    <row r="11" spans="1:13" x14ac:dyDescent="0.25">
      <c r="A11" s="144"/>
      <c r="B11" s="150" t="s">
        <v>221</v>
      </c>
      <c r="C11" s="150"/>
      <c r="D11" s="147" t="s">
        <v>220</v>
      </c>
      <c r="E11" s="147"/>
      <c r="F11" s="310" t="s">
        <v>268</v>
      </c>
      <c r="G11" s="310"/>
      <c r="H11" s="310" t="s">
        <v>268</v>
      </c>
      <c r="I11" s="310"/>
      <c r="J11" s="310" t="s">
        <v>221</v>
      </c>
      <c r="K11" s="310"/>
      <c r="L11" s="310" t="s">
        <v>220</v>
      </c>
      <c r="M11" s="310"/>
    </row>
    <row r="12" spans="1:13" x14ac:dyDescent="0.25">
      <c r="A12" s="151" t="s">
        <v>41</v>
      </c>
      <c r="B12" s="152" t="s">
        <v>223</v>
      </c>
      <c r="C12" s="152"/>
      <c r="D12" s="153" t="s">
        <v>223</v>
      </c>
      <c r="E12" s="153"/>
      <c r="F12" s="309" t="s">
        <v>223</v>
      </c>
      <c r="G12" s="309"/>
      <c r="H12" s="309" t="s">
        <v>35</v>
      </c>
      <c r="I12" s="309"/>
      <c r="J12" s="309" t="s">
        <v>35</v>
      </c>
      <c r="K12" s="309"/>
      <c r="L12" s="309" t="s">
        <v>35</v>
      </c>
      <c r="M12" s="309"/>
    </row>
    <row r="13" spans="1:13" x14ac:dyDescent="0.25">
      <c r="A13" s="142"/>
      <c r="B13" s="142"/>
      <c r="C13" s="142"/>
      <c r="D13" s="142"/>
      <c r="E13" s="142"/>
      <c r="F13" s="142"/>
      <c r="G13" s="142"/>
      <c r="H13" s="142"/>
      <c r="I13" s="142"/>
      <c r="J13" s="142"/>
      <c r="K13" s="142"/>
      <c r="L13" s="142"/>
      <c r="M13" s="142"/>
    </row>
    <row r="14" spans="1:13" x14ac:dyDescent="0.25">
      <c r="A14" s="142" t="s">
        <v>22</v>
      </c>
      <c r="B14" s="213">
        <v>204.8</v>
      </c>
      <c r="C14" s="213"/>
      <c r="D14" s="213">
        <v>278.52999999999997</v>
      </c>
      <c r="E14" s="142"/>
      <c r="F14" s="158">
        <f t="shared" ref="F14:F19" si="0">D14/B14-1</f>
        <v>0.36000976562499987</v>
      </c>
      <c r="G14" s="142"/>
      <c r="H14" s="158">
        <f t="shared" ref="H14:H19" si="1">L14/J14-1</f>
        <v>0.3599973734055304</v>
      </c>
      <c r="I14" s="169"/>
      <c r="J14" s="171">
        <v>1871168.1800000023</v>
      </c>
      <c r="K14" s="169"/>
      <c r="L14" s="170">
        <v>2544783.8100000098</v>
      </c>
      <c r="M14" s="169"/>
    </row>
    <row r="15" spans="1:13" x14ac:dyDescent="0.25">
      <c r="A15" s="142" t="s">
        <v>23</v>
      </c>
      <c r="B15" s="213">
        <v>25</v>
      </c>
      <c r="C15" s="213"/>
      <c r="D15" s="213">
        <v>25</v>
      </c>
      <c r="E15" s="142"/>
      <c r="F15" s="158">
        <f t="shared" si="0"/>
        <v>0</v>
      </c>
      <c r="G15" s="142"/>
      <c r="H15" s="158">
        <f t="shared" si="1"/>
        <v>0</v>
      </c>
      <c r="I15" s="169"/>
      <c r="J15" s="171">
        <v>142659.7199999998</v>
      </c>
      <c r="K15" s="169"/>
      <c r="L15" s="170">
        <v>142659.7199999998</v>
      </c>
      <c r="M15" s="169"/>
    </row>
    <row r="16" spans="1:13" x14ac:dyDescent="0.25">
      <c r="A16" s="142" t="s">
        <v>226</v>
      </c>
      <c r="B16" s="213">
        <v>24.3</v>
      </c>
      <c r="C16" s="213"/>
      <c r="D16" s="213">
        <v>24.3</v>
      </c>
      <c r="E16" s="142"/>
      <c r="F16" s="158">
        <f t="shared" si="0"/>
        <v>0</v>
      </c>
      <c r="G16" s="142"/>
      <c r="H16" s="158">
        <f t="shared" si="1"/>
        <v>0</v>
      </c>
      <c r="I16" s="169"/>
      <c r="J16" s="171">
        <v>518505.14000000118</v>
      </c>
      <c r="K16" s="169"/>
      <c r="L16" s="170">
        <v>518505.14000000118</v>
      </c>
      <c r="M16" s="169"/>
    </row>
    <row r="17" spans="1:13" x14ac:dyDescent="0.25">
      <c r="A17" s="142" t="s">
        <v>227</v>
      </c>
      <c r="B17" s="213">
        <v>9.3000000000000007</v>
      </c>
      <c r="C17" s="213"/>
      <c r="D17" s="213">
        <v>9.3000000000000007</v>
      </c>
      <c r="E17" s="142"/>
      <c r="F17" s="158">
        <f t="shared" si="0"/>
        <v>0</v>
      </c>
      <c r="G17" s="142"/>
      <c r="H17" s="158">
        <f t="shared" si="1"/>
        <v>0</v>
      </c>
      <c r="I17" s="169"/>
      <c r="J17" s="171">
        <v>46360.650000000103</v>
      </c>
      <c r="K17" s="169"/>
      <c r="L17" s="170">
        <v>46360.650000000103</v>
      </c>
      <c r="M17" s="169"/>
    </row>
    <row r="18" spans="1:13" x14ac:dyDescent="0.25">
      <c r="A18" s="142" t="s">
        <v>318</v>
      </c>
      <c r="B18" s="213">
        <v>514.79999999999995</v>
      </c>
      <c r="C18" s="213"/>
      <c r="D18" s="213">
        <v>643.5</v>
      </c>
      <c r="E18" s="142"/>
      <c r="F18" s="158">
        <f t="shared" si="0"/>
        <v>0.25</v>
      </c>
      <c r="G18" s="142"/>
      <c r="H18" s="158">
        <f t="shared" si="1"/>
        <v>0.25000123557096554</v>
      </c>
      <c r="I18" s="169"/>
      <c r="J18" s="171">
        <v>9084868.7000000253</v>
      </c>
      <c r="K18" s="169"/>
      <c r="L18" s="170">
        <v>11356097.100000024</v>
      </c>
      <c r="M18" s="169"/>
    </row>
    <row r="19" spans="1:13" x14ac:dyDescent="0.25">
      <c r="A19" s="142" t="s">
        <v>319</v>
      </c>
      <c r="B19" s="213">
        <v>455.7</v>
      </c>
      <c r="C19" s="213"/>
      <c r="D19" s="213">
        <v>455.7</v>
      </c>
      <c r="E19" s="142"/>
      <c r="F19" s="158">
        <f t="shared" si="0"/>
        <v>0</v>
      </c>
      <c r="G19" s="142"/>
      <c r="H19" s="158">
        <f t="shared" si="1"/>
        <v>0</v>
      </c>
      <c r="I19" s="169"/>
      <c r="J19" s="171">
        <v>6743760.8399999961</v>
      </c>
      <c r="K19" s="169"/>
      <c r="L19" s="170">
        <v>6743760.8399999961</v>
      </c>
      <c r="M19" s="169"/>
    </row>
    <row r="20" spans="1:13" x14ac:dyDescent="0.25">
      <c r="A20" s="142" t="s">
        <v>27</v>
      </c>
      <c r="B20" s="213"/>
      <c r="C20" s="213"/>
      <c r="D20" s="213"/>
      <c r="E20" s="142"/>
      <c r="F20" s="158"/>
      <c r="G20" s="142"/>
      <c r="H20" s="173"/>
      <c r="I20" s="158"/>
      <c r="J20" s="173"/>
      <c r="K20" s="158"/>
      <c r="L20" s="172"/>
      <c r="M20" s="158"/>
    </row>
    <row r="21" spans="1:13" x14ac:dyDescent="0.25">
      <c r="A21" s="141" t="s">
        <v>228</v>
      </c>
      <c r="B21" s="213">
        <v>12.6</v>
      </c>
      <c r="C21" s="213"/>
      <c r="D21" s="213">
        <v>12.6</v>
      </c>
      <c r="E21" s="142"/>
      <c r="F21" s="158">
        <f>D21/B21-1</f>
        <v>0</v>
      </c>
      <c r="G21" s="142"/>
      <c r="H21" s="158">
        <f>L21/J21-1</f>
        <v>0</v>
      </c>
      <c r="I21" s="169"/>
      <c r="J21" s="171">
        <v>187210.79999999638</v>
      </c>
      <c r="K21" s="169"/>
      <c r="L21" s="170">
        <v>187210.79999999638</v>
      </c>
      <c r="M21" s="169"/>
    </row>
    <row r="22" spans="1:13" x14ac:dyDescent="0.25">
      <c r="A22" s="142" t="s">
        <v>229</v>
      </c>
      <c r="B22" s="213">
        <v>13.3</v>
      </c>
      <c r="C22" s="213"/>
      <c r="D22" s="213">
        <v>13.3</v>
      </c>
      <c r="E22" s="142"/>
      <c r="F22" s="158">
        <f>D22/B22-1</f>
        <v>0</v>
      </c>
      <c r="G22" s="142"/>
      <c r="H22" s="158">
        <f>L22/J22-1</f>
        <v>0</v>
      </c>
      <c r="I22" s="142"/>
      <c r="J22" s="171">
        <v>137403.51000000187</v>
      </c>
      <c r="K22" s="169"/>
      <c r="L22" s="170">
        <v>137403.51000000187</v>
      </c>
      <c r="M22" s="142"/>
    </row>
    <row r="23" spans="1:13" s="141" customFormat="1" ht="12.75" x14ac:dyDescent="0.2">
      <c r="A23" s="141" t="s">
        <v>28</v>
      </c>
      <c r="B23" s="220"/>
      <c r="C23" s="220"/>
      <c r="D23" s="220"/>
    </row>
    <row r="24" spans="1:13" s="141" customFormat="1" ht="12.75" x14ac:dyDescent="0.2">
      <c r="A24" s="141" t="s">
        <v>230</v>
      </c>
      <c r="B24" s="213">
        <v>1.2</v>
      </c>
      <c r="C24" s="213"/>
      <c r="D24" s="213">
        <v>1.2</v>
      </c>
      <c r="F24" s="158">
        <f>D24/B24-1</f>
        <v>0</v>
      </c>
      <c r="G24" s="142"/>
      <c r="H24" s="158">
        <f>L24/J24-1</f>
        <v>0</v>
      </c>
      <c r="J24" s="171">
        <v>113.27999999999997</v>
      </c>
      <c r="L24" s="171">
        <v>113.27999999999997</v>
      </c>
    </row>
    <row r="25" spans="1:13" s="141" customFormat="1" ht="12.75" x14ac:dyDescent="0.2">
      <c r="A25" s="141" t="s">
        <v>231</v>
      </c>
      <c r="B25" s="213">
        <v>2.4</v>
      </c>
      <c r="C25" s="213"/>
      <c r="D25" s="213">
        <v>2.4</v>
      </c>
      <c r="F25" s="158">
        <f>D25/B25-1</f>
        <v>0</v>
      </c>
      <c r="G25" s="142"/>
      <c r="H25" s="158">
        <f>L25/J25-1</f>
        <v>0</v>
      </c>
      <c r="J25" s="171">
        <v>793.44</v>
      </c>
      <c r="L25" s="171">
        <v>793.44</v>
      </c>
    </row>
    <row r="26" spans="1:13" s="141" customFormat="1" ht="12.75" x14ac:dyDescent="0.2">
      <c r="A26" s="141" t="s">
        <v>232</v>
      </c>
      <c r="B26" s="213">
        <v>4.8</v>
      </c>
      <c r="C26" s="213"/>
      <c r="D26" s="213">
        <v>4.8</v>
      </c>
      <c r="F26" s="158">
        <f>D26/B26-1</f>
        <v>0</v>
      </c>
      <c r="G26" s="142"/>
      <c r="H26" s="158">
        <f>L26/J26-1</f>
        <v>0</v>
      </c>
      <c r="J26" s="171">
        <v>595.19999999999948</v>
      </c>
      <c r="L26" s="171">
        <v>595.19999999999948</v>
      </c>
    </row>
    <row r="27" spans="1:13" x14ac:dyDescent="0.25">
      <c r="A27" s="142"/>
      <c r="B27" s="164"/>
      <c r="C27" s="164"/>
      <c r="D27" s="164"/>
      <c r="E27" s="164"/>
      <c r="F27" s="164"/>
      <c r="G27" s="164"/>
      <c r="H27" s="142"/>
      <c r="I27" s="142"/>
      <c r="J27" s="171"/>
      <c r="K27" s="169"/>
      <c r="L27" s="171"/>
      <c r="M27" s="142"/>
    </row>
    <row r="28" spans="1:13" x14ac:dyDescent="0.25">
      <c r="A28" s="142" t="s">
        <v>233</v>
      </c>
      <c r="B28" s="165"/>
      <c r="C28" s="166"/>
      <c r="D28" s="155"/>
      <c r="E28" s="142"/>
      <c r="F28" s="158"/>
      <c r="G28" s="142"/>
      <c r="H28" s="158">
        <f>L28/J28-1</f>
        <v>0.15719718935158111</v>
      </c>
      <c r="I28" s="142"/>
      <c r="J28" s="172">
        <f>SUM(J14:J26)</f>
        <v>18733439.460000027</v>
      </c>
      <c r="K28" s="158"/>
      <c r="L28" s="172">
        <f>SUM(L14:L26)</f>
        <v>21678283.490000032</v>
      </c>
      <c r="M28" s="142"/>
    </row>
    <row r="29" spans="1:13" x14ac:dyDescent="0.25">
      <c r="A29" s="141"/>
      <c r="B29" s="142"/>
      <c r="C29" s="142"/>
      <c r="D29" s="142"/>
      <c r="E29" s="142"/>
      <c r="F29" s="142"/>
      <c r="G29" s="142"/>
      <c r="H29" s="142"/>
      <c r="I29" s="142"/>
      <c r="J29" s="142"/>
      <c r="K29" s="142"/>
      <c r="L29" s="148"/>
      <c r="M29" s="142"/>
    </row>
    <row r="30" spans="1:13" x14ac:dyDescent="0.25">
      <c r="A30" s="167"/>
      <c r="B30" s="142"/>
      <c r="C30" s="142"/>
      <c r="D30" s="142"/>
      <c r="E30" s="142"/>
      <c r="F30" s="142"/>
      <c r="G30" s="142"/>
      <c r="H30" s="142"/>
      <c r="I30" s="142"/>
      <c r="J30" s="172"/>
      <c r="K30" s="142"/>
      <c r="L30" s="172"/>
      <c r="M30" s="142"/>
    </row>
    <row r="31" spans="1:13" x14ac:dyDescent="0.25">
      <c r="A31" s="141"/>
      <c r="B31" s="142"/>
      <c r="C31" s="142"/>
      <c r="D31" s="142"/>
      <c r="E31" s="142"/>
      <c r="F31" s="142"/>
      <c r="G31" s="142"/>
      <c r="H31" s="142"/>
      <c r="I31" s="142"/>
      <c r="J31" s="142"/>
      <c r="K31" s="142"/>
      <c r="L31" s="142"/>
      <c r="M31" s="142"/>
    </row>
    <row r="32" spans="1:13" x14ac:dyDescent="0.25">
      <c r="A32" s="167"/>
      <c r="B32" s="142"/>
      <c r="C32" s="142"/>
      <c r="D32" s="142"/>
      <c r="E32" s="142"/>
      <c r="F32" s="142"/>
      <c r="G32" s="142"/>
      <c r="H32" s="142"/>
      <c r="I32" s="142"/>
      <c r="J32" s="142"/>
      <c r="K32" s="142"/>
      <c r="L32" s="142"/>
      <c r="M32" s="142"/>
    </row>
    <row r="33" spans="1:13" x14ac:dyDescent="0.25">
      <c r="A33" s="141"/>
      <c r="B33" s="142"/>
      <c r="C33" s="142"/>
      <c r="D33" s="142"/>
      <c r="E33" s="142"/>
      <c r="F33" s="142"/>
      <c r="G33" s="142"/>
      <c r="H33" s="142"/>
      <c r="I33" s="142"/>
      <c r="J33" s="142"/>
      <c r="K33" s="142"/>
      <c r="L33" s="142"/>
      <c r="M33" s="142"/>
    </row>
    <row r="34" spans="1:13" x14ac:dyDescent="0.25">
      <c r="A34" s="141"/>
      <c r="B34" s="148"/>
      <c r="C34" s="148"/>
      <c r="D34" s="148"/>
      <c r="E34" s="148"/>
      <c r="F34" s="148"/>
      <c r="G34" s="148"/>
      <c r="H34" s="148"/>
      <c r="I34" s="168"/>
      <c r="J34" s="148"/>
      <c r="K34" s="148"/>
      <c r="L34" s="148"/>
      <c r="M34" s="168"/>
    </row>
    <row r="35" spans="1:13" ht="15" customHeight="1" x14ac:dyDescent="0.25">
      <c r="A35" s="148"/>
      <c r="B35" s="148"/>
      <c r="C35" s="148"/>
      <c r="D35" s="148"/>
      <c r="E35" s="148"/>
      <c r="F35" s="148"/>
      <c r="G35" s="148"/>
      <c r="H35" s="148"/>
      <c r="I35" s="168"/>
      <c r="J35" s="148"/>
      <c r="K35" s="148"/>
      <c r="L35" s="148"/>
      <c r="M35" s="168"/>
    </row>
    <row r="36" spans="1:13" x14ac:dyDescent="0.25">
      <c r="A36" s="148"/>
      <c r="B36" s="148"/>
      <c r="C36" s="148"/>
      <c r="D36" s="148"/>
      <c r="E36" s="148"/>
      <c r="F36" s="148"/>
      <c r="G36" s="148"/>
      <c r="H36" s="148"/>
      <c r="I36" s="168"/>
      <c r="J36" s="148"/>
      <c r="K36" s="148"/>
      <c r="L36" s="148"/>
      <c r="M36" s="168"/>
    </row>
    <row r="37" spans="1:13" ht="15.75" customHeight="1" x14ac:dyDescent="0.25">
      <c r="A37" s="148"/>
      <c r="B37" s="148"/>
      <c r="C37" s="148"/>
      <c r="D37" s="148"/>
      <c r="E37" s="148"/>
      <c r="F37" s="148"/>
      <c r="G37" s="148"/>
      <c r="H37" s="148"/>
      <c r="I37" s="148"/>
      <c r="J37" s="148"/>
      <c r="K37" s="148"/>
      <c r="L37" s="148"/>
      <c r="M37" s="148"/>
    </row>
    <row r="38" spans="1:13" ht="15" customHeight="1" x14ac:dyDescent="0.25">
      <c r="A38" s="148"/>
      <c r="B38" s="148"/>
      <c r="C38" s="148"/>
      <c r="D38" s="148"/>
      <c r="E38" s="148"/>
      <c r="F38" s="148"/>
      <c r="G38" s="148"/>
      <c r="H38" s="148"/>
      <c r="I38" s="148"/>
      <c r="J38" s="148"/>
      <c r="K38" s="148"/>
      <c r="L38" s="148"/>
      <c r="M38" s="148"/>
    </row>
    <row r="39" spans="1:13" ht="15" customHeight="1" x14ac:dyDescent="0.25"/>
  </sheetData>
  <mergeCells count="12">
    <mergeCell ref="F12:G12"/>
    <mergeCell ref="H12:I12"/>
    <mergeCell ref="J12:K12"/>
    <mergeCell ref="L12:M12"/>
    <mergeCell ref="F9:G9"/>
    <mergeCell ref="H9:I9"/>
    <mergeCell ref="J9:K9"/>
    <mergeCell ref="L9:M9"/>
    <mergeCell ref="F11:G11"/>
    <mergeCell ref="H11:I11"/>
    <mergeCell ref="J11:K11"/>
    <mergeCell ref="L11:M11"/>
  </mergeCells>
  <printOptions horizontalCentered="1"/>
  <pageMargins left="0.7" right="0.7" top="0.75" bottom="0.5" header="0.3" footer="0.3"/>
  <pageSetup scale="88" orientation="landscape"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9D543-ACA7-46DF-83C6-74050A89D865}">
  <sheetPr codeName="Sheet17"/>
  <dimension ref="A1:O59"/>
  <sheetViews>
    <sheetView view="pageBreakPreview" topLeftCell="A7" zoomScaleNormal="100" zoomScaleSheetLayoutView="100" workbookViewId="0">
      <selection activeCell="N46" sqref="N46"/>
    </sheetView>
  </sheetViews>
  <sheetFormatPr defaultColWidth="9.140625" defaultRowHeight="15" x14ac:dyDescent="0.25"/>
  <cols>
    <col min="1" max="1" width="29.28515625" style="140" customWidth="1"/>
    <col min="2" max="2" width="14" style="140" customWidth="1"/>
    <col min="3" max="3" width="3" style="140" customWidth="1"/>
    <col min="4" max="4" width="16" style="140" customWidth="1"/>
    <col min="5" max="5" width="3" style="140" customWidth="1"/>
    <col min="6" max="6" width="15.7109375" style="140" customWidth="1"/>
    <col min="7" max="7" width="1.85546875" style="140" customWidth="1"/>
    <col min="8" max="8" width="14.7109375" style="140" customWidth="1"/>
    <col min="9" max="9" width="1.85546875" style="140" customWidth="1"/>
    <col min="10" max="10" width="9.7109375" style="140" customWidth="1"/>
    <col min="11" max="11" width="1.7109375" style="140" customWidth="1"/>
    <col min="12" max="12" width="11.7109375" style="140" customWidth="1"/>
    <col min="13" max="13" width="2.28515625" style="140" customWidth="1"/>
    <col min="14" max="14" width="12.28515625" style="140" bestFit="1" customWidth="1"/>
    <col min="15" max="15" width="1.42578125" style="140" customWidth="1"/>
    <col min="16" max="16384" width="9.140625" style="140"/>
  </cols>
  <sheetData>
    <row r="1" spans="1:15" ht="14.1" customHeight="1" x14ac:dyDescent="0.25">
      <c r="A1" s="11" t="s">
        <v>1</v>
      </c>
      <c r="B1" s="138"/>
      <c r="C1" s="138"/>
      <c r="D1" s="138"/>
      <c r="E1" s="138"/>
      <c r="F1" s="138"/>
      <c r="G1" s="138"/>
      <c r="H1" s="138"/>
      <c r="I1" s="138"/>
      <c r="J1" s="138"/>
      <c r="K1" s="138"/>
      <c r="L1" s="138"/>
      <c r="M1" s="138"/>
      <c r="N1" s="138"/>
      <c r="O1" s="138"/>
    </row>
    <row r="2" spans="1:15" x14ac:dyDescent="0.25">
      <c r="A2" s="10" t="s">
        <v>0</v>
      </c>
      <c r="B2" s="138"/>
      <c r="C2" s="138"/>
      <c r="D2" s="138"/>
      <c r="E2" s="138"/>
      <c r="F2" s="138"/>
      <c r="G2" s="138"/>
      <c r="H2" s="138"/>
      <c r="I2" s="138"/>
      <c r="J2" s="138"/>
      <c r="K2" s="138"/>
      <c r="L2" s="138"/>
      <c r="M2" s="138"/>
      <c r="N2" s="138"/>
      <c r="O2" s="138"/>
    </row>
    <row r="3" spans="1:15" ht="14.1" customHeight="1" x14ac:dyDescent="0.25">
      <c r="A3" s="95"/>
      <c r="B3" s="138"/>
      <c r="C3" s="138"/>
      <c r="D3" s="138"/>
      <c r="E3" s="138"/>
      <c r="F3" s="138"/>
      <c r="G3" s="138"/>
      <c r="H3" s="138"/>
      <c r="I3" s="138"/>
      <c r="J3" s="138"/>
      <c r="K3" s="138"/>
      <c r="L3" s="138"/>
      <c r="M3" s="138"/>
      <c r="N3" s="138"/>
      <c r="O3" s="138"/>
    </row>
    <row r="4" spans="1:15" x14ac:dyDescent="0.25">
      <c r="A4" s="9" t="s">
        <v>217</v>
      </c>
      <c r="B4" s="138"/>
      <c r="C4" s="138"/>
      <c r="D4" s="138"/>
      <c r="E4" s="138"/>
      <c r="F4" s="138"/>
      <c r="G4" s="138"/>
      <c r="H4" s="138"/>
      <c r="I4" s="138"/>
      <c r="J4" s="138"/>
      <c r="K4" s="138"/>
      <c r="L4" s="138"/>
      <c r="M4" s="138"/>
      <c r="N4" s="138"/>
      <c r="O4" s="138"/>
    </row>
    <row r="5" spans="1:15" ht="14.1" customHeight="1" x14ac:dyDescent="0.25">
      <c r="A5" s="138"/>
      <c r="B5" s="138"/>
      <c r="C5" s="138"/>
      <c r="D5" s="138"/>
      <c r="E5" s="138"/>
      <c r="F5" s="138"/>
      <c r="G5" s="138"/>
      <c r="H5" s="138"/>
      <c r="I5" s="138"/>
      <c r="J5" s="138"/>
      <c r="K5" s="138"/>
      <c r="L5" s="138"/>
      <c r="M5" s="138"/>
      <c r="N5" s="138"/>
      <c r="O5" s="138"/>
    </row>
    <row r="6" spans="1:15" ht="14.1" customHeight="1" x14ac:dyDescent="0.25">
      <c r="A6" s="138" t="s">
        <v>218</v>
      </c>
      <c r="B6" s="138"/>
      <c r="C6" s="138"/>
      <c r="D6" s="138"/>
      <c r="E6" s="138"/>
      <c r="F6" s="138"/>
      <c r="G6" s="138"/>
      <c r="H6" s="138"/>
      <c r="I6" s="138"/>
      <c r="J6" s="138"/>
      <c r="K6" s="138"/>
      <c r="L6" s="138"/>
      <c r="M6" s="138"/>
      <c r="N6" s="138"/>
      <c r="O6" s="138"/>
    </row>
    <row r="7" spans="1:15" x14ac:dyDescent="0.25">
      <c r="A7" s="138" t="s">
        <v>285</v>
      </c>
      <c r="B7" s="138"/>
      <c r="C7" s="138"/>
      <c r="D7" s="138"/>
      <c r="E7" s="138"/>
      <c r="F7" s="138"/>
      <c r="G7" s="138"/>
      <c r="H7" s="138"/>
      <c r="I7" s="138"/>
      <c r="J7" s="138"/>
      <c r="K7" s="138"/>
      <c r="L7" s="138"/>
      <c r="M7" s="138"/>
      <c r="N7" s="138"/>
      <c r="O7" s="138"/>
    </row>
    <row r="8" spans="1:15" x14ac:dyDescent="0.25">
      <c r="A8" s="142"/>
      <c r="B8" s="142"/>
      <c r="C8" s="142"/>
      <c r="D8" s="142"/>
      <c r="E8" s="142"/>
      <c r="F8" s="142"/>
      <c r="G8" s="142"/>
      <c r="H8" s="142"/>
      <c r="I8" s="142"/>
      <c r="J8" s="142"/>
      <c r="K8" s="142"/>
      <c r="L8" s="142"/>
      <c r="M8" s="142"/>
      <c r="N8" s="142"/>
      <c r="O8" s="142"/>
    </row>
    <row r="9" spans="1:15" x14ac:dyDescent="0.25">
      <c r="A9" s="144" t="s">
        <v>161</v>
      </c>
      <c r="B9" s="146" t="s">
        <v>162</v>
      </c>
      <c r="C9" s="147"/>
      <c r="D9" s="146" t="s">
        <v>163</v>
      </c>
      <c r="E9" s="146"/>
      <c r="F9" s="146" t="s">
        <v>164</v>
      </c>
      <c r="G9" s="147"/>
      <c r="H9" s="311" t="s">
        <v>165</v>
      </c>
      <c r="I9" s="311"/>
      <c r="J9" s="311" t="s">
        <v>166</v>
      </c>
      <c r="K9" s="311"/>
      <c r="L9" s="311" t="s">
        <v>167</v>
      </c>
      <c r="M9" s="311"/>
      <c r="N9" s="311" t="s">
        <v>168</v>
      </c>
      <c r="O9" s="311"/>
    </row>
    <row r="10" spans="1:15" x14ac:dyDescent="0.25">
      <c r="A10" s="144"/>
      <c r="B10" s="147"/>
      <c r="C10" s="147"/>
      <c r="D10" s="149"/>
      <c r="E10" s="149"/>
      <c r="F10" s="147"/>
      <c r="G10" s="147"/>
      <c r="H10" s="147"/>
      <c r="I10" s="147"/>
      <c r="J10" s="142"/>
      <c r="K10" s="142"/>
      <c r="L10" s="147"/>
      <c r="M10" s="147"/>
      <c r="N10" s="142"/>
      <c r="O10" s="142"/>
    </row>
    <row r="11" spans="1:15" x14ac:dyDescent="0.25">
      <c r="A11" s="144"/>
      <c r="B11" s="147" t="s">
        <v>270</v>
      </c>
      <c r="C11" s="147"/>
      <c r="D11" s="150" t="s">
        <v>221</v>
      </c>
      <c r="E11" s="150"/>
      <c r="F11" s="147" t="s">
        <v>220</v>
      </c>
      <c r="G11" s="147"/>
      <c r="H11" s="310" t="s">
        <v>268</v>
      </c>
      <c r="I11" s="310"/>
      <c r="J11" s="310" t="s">
        <v>268</v>
      </c>
      <c r="K11" s="310"/>
      <c r="L11" s="310" t="s">
        <v>221</v>
      </c>
      <c r="M11" s="310"/>
      <c r="N11" s="310" t="s">
        <v>220</v>
      </c>
      <c r="O11" s="310"/>
    </row>
    <row r="12" spans="1:15" x14ac:dyDescent="0.25">
      <c r="A12" s="151" t="s">
        <v>41</v>
      </c>
      <c r="B12" s="153" t="s">
        <v>269</v>
      </c>
      <c r="C12" s="153"/>
      <c r="D12" s="152" t="s">
        <v>276</v>
      </c>
      <c r="E12" s="152"/>
      <c r="F12" s="153" t="s">
        <v>276</v>
      </c>
      <c r="G12" s="153"/>
      <c r="H12" s="309" t="s">
        <v>276</v>
      </c>
      <c r="I12" s="309"/>
      <c r="J12" s="309" t="s">
        <v>35</v>
      </c>
      <c r="K12" s="309"/>
      <c r="L12" s="309" t="s">
        <v>35</v>
      </c>
      <c r="M12" s="309"/>
      <c r="N12" s="309" t="s">
        <v>35</v>
      </c>
      <c r="O12" s="309"/>
    </row>
    <row r="13" spans="1:15" x14ac:dyDescent="0.25">
      <c r="A13" s="142"/>
      <c r="B13" s="142"/>
      <c r="C13" s="142"/>
      <c r="D13" s="142"/>
      <c r="E13" s="142"/>
      <c r="F13" s="142"/>
      <c r="G13" s="142"/>
      <c r="H13" s="142"/>
      <c r="I13" s="142"/>
      <c r="J13" s="142"/>
      <c r="K13" s="142"/>
      <c r="L13" s="142"/>
      <c r="M13" s="142"/>
      <c r="N13" s="142"/>
      <c r="O13" s="142"/>
    </row>
    <row r="14" spans="1:15" x14ac:dyDescent="0.25">
      <c r="A14" s="142" t="s">
        <v>22</v>
      </c>
      <c r="B14" s="206"/>
      <c r="C14" s="142"/>
      <c r="D14" s="221"/>
      <c r="E14" s="164"/>
      <c r="F14" s="222"/>
      <c r="G14" s="142"/>
      <c r="H14" s="158"/>
      <c r="I14" s="142"/>
      <c r="J14" s="158">
        <f>N14/L14-1</f>
        <v>0.47984733470077523</v>
      </c>
      <c r="K14" s="169"/>
      <c r="L14" s="171">
        <v>944429.41999999958</v>
      </c>
      <c r="M14" s="169"/>
      <c r="N14" s="170">
        <v>1397611.3599999985</v>
      </c>
      <c r="O14" s="169"/>
    </row>
    <row r="15" spans="1:15" x14ac:dyDescent="0.25">
      <c r="A15" s="141" t="s">
        <v>284</v>
      </c>
      <c r="B15" s="206"/>
      <c r="C15" s="142"/>
      <c r="D15" s="213">
        <v>18</v>
      </c>
      <c r="E15" s="213"/>
      <c r="F15" s="219">
        <v>26.64</v>
      </c>
      <c r="G15" s="142"/>
      <c r="H15" s="158">
        <f t="shared" ref="H15:H20" si="0">F15/D15-1</f>
        <v>0.48</v>
      </c>
      <c r="I15" s="142"/>
      <c r="J15" s="158"/>
      <c r="K15" s="169"/>
      <c r="L15" s="171"/>
      <c r="M15" s="169"/>
      <c r="N15" s="170"/>
      <c r="O15" s="169"/>
    </row>
    <row r="16" spans="1:15" x14ac:dyDescent="0.25">
      <c r="A16" s="141" t="s">
        <v>283</v>
      </c>
      <c r="B16" s="206"/>
      <c r="C16" s="142"/>
      <c r="D16" s="213">
        <v>25</v>
      </c>
      <c r="E16" s="213"/>
      <c r="F16" s="219">
        <v>37</v>
      </c>
      <c r="G16" s="142"/>
      <c r="H16" s="158">
        <f t="shared" si="0"/>
        <v>0.48</v>
      </c>
      <c r="I16" s="142"/>
      <c r="J16" s="158"/>
      <c r="K16" s="169"/>
      <c r="L16" s="171"/>
      <c r="M16" s="169"/>
      <c r="N16" s="170"/>
      <c r="O16" s="169"/>
    </row>
    <row r="17" spans="1:15" x14ac:dyDescent="0.25">
      <c r="A17" s="141" t="s">
        <v>282</v>
      </c>
      <c r="B17" s="206"/>
      <c r="C17" s="142"/>
      <c r="D17" s="213">
        <v>9.6</v>
      </c>
      <c r="E17" s="213"/>
      <c r="F17" s="219">
        <v>14.2</v>
      </c>
      <c r="G17" s="142"/>
      <c r="H17" s="158">
        <f t="shared" si="0"/>
        <v>0.47916666666666674</v>
      </c>
      <c r="I17" s="142"/>
      <c r="J17" s="158"/>
      <c r="K17" s="169"/>
      <c r="L17" s="171"/>
      <c r="M17" s="169"/>
      <c r="N17" s="170"/>
      <c r="O17" s="169"/>
    </row>
    <row r="18" spans="1:15" x14ac:dyDescent="0.25">
      <c r="A18" s="141" t="s">
        <v>281</v>
      </c>
      <c r="B18" s="206"/>
      <c r="C18" s="142"/>
      <c r="D18" s="213">
        <v>9.6</v>
      </c>
      <c r="E18" s="213"/>
      <c r="F18" s="219">
        <v>14.2</v>
      </c>
      <c r="G18" s="142"/>
      <c r="H18" s="158">
        <f t="shared" si="0"/>
        <v>0.47916666666666674</v>
      </c>
      <c r="I18" s="142"/>
      <c r="J18" s="158"/>
      <c r="K18" s="169"/>
      <c r="L18" s="171"/>
      <c r="M18" s="169"/>
      <c r="N18" s="170"/>
      <c r="O18" s="169"/>
    </row>
    <row r="19" spans="1:15" x14ac:dyDescent="0.25">
      <c r="A19" s="141" t="s">
        <v>280</v>
      </c>
      <c r="B19" s="206"/>
      <c r="C19" s="142"/>
      <c r="D19" s="213">
        <v>9.6</v>
      </c>
      <c r="E19" s="213"/>
      <c r="F19" s="219">
        <v>14.2</v>
      </c>
      <c r="G19" s="142"/>
      <c r="H19" s="158">
        <f t="shared" si="0"/>
        <v>0.47916666666666674</v>
      </c>
      <c r="I19" s="142"/>
      <c r="J19" s="158"/>
      <c r="K19" s="169"/>
      <c r="L19" s="171"/>
      <c r="M19" s="169"/>
      <c r="N19" s="170"/>
      <c r="O19" s="169"/>
    </row>
    <row r="20" spans="1:15" x14ac:dyDescent="0.25">
      <c r="A20" s="141" t="s">
        <v>279</v>
      </c>
      <c r="B20" s="206"/>
      <c r="C20" s="142"/>
      <c r="D20" s="213">
        <v>18</v>
      </c>
      <c r="E20" s="213"/>
      <c r="F20" s="219">
        <v>26.64</v>
      </c>
      <c r="G20" s="142"/>
      <c r="H20" s="158">
        <f t="shared" si="0"/>
        <v>0.48</v>
      </c>
      <c r="I20" s="142"/>
      <c r="J20" s="158"/>
      <c r="K20" s="169"/>
      <c r="L20" s="171"/>
      <c r="M20" s="169"/>
      <c r="N20" s="170"/>
      <c r="O20" s="169"/>
    </row>
    <row r="21" spans="1:15" x14ac:dyDescent="0.25">
      <c r="A21" s="142" t="s">
        <v>23</v>
      </c>
      <c r="B21" s="206"/>
      <c r="C21" s="142"/>
      <c r="D21" s="213"/>
      <c r="E21" s="213"/>
      <c r="F21" s="213"/>
      <c r="G21" s="142"/>
      <c r="H21" s="158"/>
      <c r="I21" s="142"/>
      <c r="J21" s="158">
        <f>N21/L21-1</f>
        <v>0</v>
      </c>
      <c r="K21" s="169"/>
      <c r="L21" s="171">
        <v>361055.2000000003</v>
      </c>
      <c r="M21" s="169"/>
      <c r="N21" s="170">
        <v>361055.2000000003</v>
      </c>
      <c r="O21" s="169"/>
    </row>
    <row r="22" spans="1:15" x14ac:dyDescent="0.25">
      <c r="A22" s="141" t="s">
        <v>284</v>
      </c>
      <c r="B22" s="206"/>
      <c r="C22" s="142"/>
      <c r="D22" s="213">
        <v>16</v>
      </c>
      <c r="E22" s="213"/>
      <c r="F22" s="219">
        <v>16</v>
      </c>
      <c r="G22" s="142"/>
      <c r="H22" s="158">
        <f t="shared" ref="H22:H27" si="1">F22/D22-1</f>
        <v>0</v>
      </c>
      <c r="I22" s="142"/>
      <c r="J22" s="158"/>
      <c r="K22" s="169"/>
      <c r="L22" s="171"/>
      <c r="M22" s="169"/>
      <c r="N22" s="170"/>
      <c r="O22" s="169"/>
    </row>
    <row r="23" spans="1:15" x14ac:dyDescent="0.25">
      <c r="A23" s="141" t="s">
        <v>283</v>
      </c>
      <c r="B23" s="206"/>
      <c r="C23" s="142"/>
      <c r="D23" s="213">
        <v>16</v>
      </c>
      <c r="E23" s="213"/>
      <c r="F23" s="219">
        <v>16</v>
      </c>
      <c r="G23" s="142"/>
      <c r="H23" s="158">
        <f t="shared" si="1"/>
        <v>0</v>
      </c>
      <c r="I23" s="142"/>
      <c r="J23" s="158"/>
      <c r="K23" s="169"/>
      <c r="L23" s="171"/>
      <c r="M23" s="169"/>
      <c r="N23" s="170"/>
      <c r="O23" s="169"/>
    </row>
    <row r="24" spans="1:15" x14ac:dyDescent="0.25">
      <c r="A24" s="141" t="s">
        <v>282</v>
      </c>
      <c r="B24" s="206"/>
      <c r="C24" s="142"/>
      <c r="D24" s="213">
        <v>8</v>
      </c>
      <c r="E24" s="213"/>
      <c r="F24" s="219">
        <v>8</v>
      </c>
      <c r="G24" s="142"/>
      <c r="H24" s="158">
        <f t="shared" si="1"/>
        <v>0</v>
      </c>
      <c r="I24" s="142"/>
      <c r="J24" s="158"/>
      <c r="K24" s="169"/>
      <c r="L24" s="171"/>
      <c r="M24" s="169"/>
      <c r="N24" s="170"/>
      <c r="O24" s="169"/>
    </row>
    <row r="25" spans="1:15" x14ac:dyDescent="0.25">
      <c r="A25" s="141" t="s">
        <v>281</v>
      </c>
      <c r="B25" s="206"/>
      <c r="C25" s="142"/>
      <c r="D25" s="213">
        <v>16</v>
      </c>
      <c r="E25" s="213"/>
      <c r="F25" s="219">
        <v>16</v>
      </c>
      <c r="G25" s="142"/>
      <c r="H25" s="158">
        <f t="shared" si="1"/>
        <v>0</v>
      </c>
      <c r="I25" s="142"/>
      <c r="J25" s="158"/>
      <c r="K25" s="169"/>
      <c r="L25" s="171"/>
      <c r="M25" s="169"/>
      <c r="N25" s="170"/>
      <c r="O25" s="169"/>
    </row>
    <row r="26" spans="1:15" x14ac:dyDescent="0.25">
      <c r="A26" s="141" t="s">
        <v>280</v>
      </c>
      <c r="B26" s="206"/>
      <c r="C26" s="142"/>
      <c r="D26" s="213">
        <v>16</v>
      </c>
      <c r="E26" s="213"/>
      <c r="F26" s="219">
        <v>16</v>
      </c>
      <c r="G26" s="142"/>
      <c r="H26" s="158">
        <f t="shared" si="1"/>
        <v>0</v>
      </c>
      <c r="I26" s="142"/>
      <c r="J26" s="158"/>
      <c r="K26" s="169"/>
      <c r="L26" s="171"/>
      <c r="M26" s="169"/>
      <c r="N26" s="170"/>
      <c r="O26" s="169"/>
    </row>
    <row r="27" spans="1:15" x14ac:dyDescent="0.25">
      <c r="A27" s="141" t="s">
        <v>279</v>
      </c>
      <c r="B27" s="206"/>
      <c r="C27" s="142"/>
      <c r="D27" s="213">
        <v>16</v>
      </c>
      <c r="E27" s="213"/>
      <c r="F27" s="219">
        <v>16</v>
      </c>
      <c r="G27" s="142"/>
      <c r="H27" s="158">
        <f t="shared" si="1"/>
        <v>0</v>
      </c>
      <c r="I27" s="142"/>
      <c r="J27" s="158"/>
      <c r="K27" s="169"/>
      <c r="L27" s="171"/>
      <c r="M27" s="169"/>
      <c r="N27" s="170"/>
      <c r="O27" s="169"/>
    </row>
    <row r="28" spans="1:15" x14ac:dyDescent="0.25">
      <c r="A28" s="141" t="s">
        <v>322</v>
      </c>
      <c r="B28" s="206"/>
      <c r="C28" s="142"/>
      <c r="D28" s="213"/>
      <c r="E28" s="213"/>
      <c r="F28" s="219"/>
      <c r="G28" s="142"/>
      <c r="H28" s="158"/>
      <c r="I28" s="142"/>
      <c r="J28" s="158"/>
      <c r="K28" s="169"/>
      <c r="L28" s="171"/>
      <c r="M28" s="169"/>
      <c r="N28" s="170"/>
      <c r="O28" s="169"/>
    </row>
    <row r="29" spans="1:15" x14ac:dyDescent="0.25">
      <c r="A29" s="142" t="s">
        <v>345</v>
      </c>
      <c r="B29" s="206"/>
      <c r="C29" s="142"/>
      <c r="D29" s="210">
        <v>31.5</v>
      </c>
      <c r="E29" s="210"/>
      <c r="F29" s="210">
        <v>63.03</v>
      </c>
      <c r="G29" s="142"/>
      <c r="H29" s="158"/>
      <c r="I29" s="142"/>
      <c r="J29" s="158">
        <f>N29/L29-1</f>
        <v>1.0000215463067845</v>
      </c>
      <c r="K29" s="169"/>
      <c r="L29" s="171">
        <v>2006840.4499999988</v>
      </c>
      <c r="M29" s="169"/>
      <c r="N29" s="170">
        <v>4013724.1400000011</v>
      </c>
      <c r="O29" s="169"/>
    </row>
    <row r="30" spans="1:15" x14ac:dyDescent="0.25">
      <c r="A30" s="141" t="s">
        <v>350</v>
      </c>
      <c r="C30" s="142"/>
      <c r="D30" s="221">
        <v>31.5</v>
      </c>
      <c r="E30" s="164"/>
      <c r="F30" s="221">
        <v>63.03</v>
      </c>
      <c r="G30" s="142"/>
      <c r="H30" s="158">
        <f t="shared" ref="H30:H35" si="2">F30/D30-1</f>
        <v>1.000952380952381</v>
      </c>
      <c r="I30" s="142"/>
      <c r="J30" s="158"/>
      <c r="K30" s="169"/>
      <c r="L30" s="171"/>
      <c r="M30" s="169"/>
      <c r="N30" s="170"/>
      <c r="O30" s="169"/>
    </row>
    <row r="31" spans="1:15" x14ac:dyDescent="0.25">
      <c r="A31" s="141" t="s">
        <v>351</v>
      </c>
      <c r="B31" s="206"/>
      <c r="C31" s="142"/>
      <c r="D31" s="221">
        <v>31.5</v>
      </c>
      <c r="E31" s="164"/>
      <c r="F31" s="221">
        <v>63.03</v>
      </c>
      <c r="G31" s="142"/>
      <c r="H31" s="158">
        <f t="shared" si="2"/>
        <v>1.000952380952381</v>
      </c>
      <c r="I31" s="142"/>
      <c r="J31" s="158"/>
      <c r="K31" s="169"/>
      <c r="L31" s="171"/>
      <c r="M31" s="169"/>
      <c r="N31" s="170"/>
      <c r="O31" s="169"/>
    </row>
    <row r="32" spans="1:15" x14ac:dyDescent="0.25">
      <c r="A32" s="141" t="s">
        <v>352</v>
      </c>
      <c r="B32" s="206"/>
      <c r="C32" s="142"/>
      <c r="D32" s="221">
        <v>31.5</v>
      </c>
      <c r="E32" s="164"/>
      <c r="F32" s="221">
        <v>63.03</v>
      </c>
      <c r="G32" s="142"/>
      <c r="H32" s="158">
        <f t="shared" si="2"/>
        <v>1.000952380952381</v>
      </c>
      <c r="I32" s="142"/>
      <c r="J32" s="158"/>
      <c r="K32" s="169"/>
      <c r="L32" s="171"/>
      <c r="M32" s="169"/>
      <c r="N32" s="170"/>
      <c r="O32" s="169"/>
    </row>
    <row r="33" spans="1:15" x14ac:dyDescent="0.25">
      <c r="A33" s="141" t="s">
        <v>353</v>
      </c>
      <c r="B33" s="206"/>
      <c r="C33" s="142"/>
      <c r="D33" s="221">
        <v>31.5</v>
      </c>
      <c r="E33" s="164"/>
      <c r="F33" s="221">
        <v>63.03</v>
      </c>
      <c r="G33" s="142"/>
      <c r="H33" s="158">
        <f t="shared" si="2"/>
        <v>1.000952380952381</v>
      </c>
      <c r="I33" s="142"/>
      <c r="J33" s="158"/>
      <c r="K33" s="169"/>
      <c r="L33" s="171"/>
      <c r="M33" s="169"/>
      <c r="N33" s="170"/>
      <c r="O33" s="169"/>
    </row>
    <row r="34" spans="1:15" x14ac:dyDescent="0.25">
      <c r="A34" s="141" t="s">
        <v>354</v>
      </c>
      <c r="B34" s="206"/>
      <c r="C34" s="142"/>
      <c r="D34" s="221">
        <v>31.5</v>
      </c>
      <c r="E34" s="164"/>
      <c r="F34" s="221">
        <v>63.03</v>
      </c>
      <c r="G34" s="142"/>
      <c r="H34" s="158">
        <f t="shared" si="2"/>
        <v>1.000952380952381</v>
      </c>
      <c r="I34" s="142"/>
      <c r="J34" s="158"/>
      <c r="K34" s="169"/>
      <c r="L34" s="171"/>
      <c r="M34" s="169"/>
      <c r="N34" s="170"/>
      <c r="O34" s="169"/>
    </row>
    <row r="35" spans="1:15" x14ac:dyDescent="0.25">
      <c r="A35" s="141" t="s">
        <v>355</v>
      </c>
      <c r="B35" s="206"/>
      <c r="C35" s="142"/>
      <c r="D35" s="221"/>
      <c r="E35" s="164"/>
      <c r="F35" s="221"/>
      <c r="G35" s="142"/>
      <c r="H35" s="158" t="e">
        <f t="shared" si="2"/>
        <v>#DIV/0!</v>
      </c>
      <c r="I35" s="142"/>
      <c r="J35" s="158"/>
      <c r="K35" s="169"/>
      <c r="L35" s="171"/>
      <c r="M35" s="169"/>
      <c r="N35" s="170"/>
      <c r="O35" s="169"/>
    </row>
    <row r="36" spans="1:15" x14ac:dyDescent="0.25">
      <c r="A36" s="142" t="s">
        <v>346</v>
      </c>
      <c r="B36" s="206"/>
      <c r="C36" s="142"/>
      <c r="D36" s="210">
        <v>31.5</v>
      </c>
      <c r="E36" s="210"/>
      <c r="F36" s="210">
        <v>63.03</v>
      </c>
      <c r="G36" s="142"/>
      <c r="H36" s="158"/>
      <c r="I36" s="142"/>
      <c r="J36" s="158">
        <f>N36/L36-1</f>
        <v>1.0000149320246621</v>
      </c>
      <c r="K36" s="169"/>
      <c r="L36" s="171">
        <v>5713893.5899999961</v>
      </c>
      <c r="M36" s="169"/>
      <c r="N36" s="170">
        <v>11427872.499999994</v>
      </c>
      <c r="O36" s="169"/>
    </row>
    <row r="37" spans="1:15" x14ac:dyDescent="0.25">
      <c r="A37" s="141" t="s">
        <v>350</v>
      </c>
      <c r="B37" s="206"/>
      <c r="C37" s="142"/>
      <c r="D37" s="221">
        <v>31.5</v>
      </c>
      <c r="E37" s="164"/>
      <c r="F37" s="221">
        <v>63.03</v>
      </c>
      <c r="G37" s="142"/>
      <c r="H37" s="158">
        <f t="shared" ref="H37:H44" si="3">F37/D37-1</f>
        <v>1.000952380952381</v>
      </c>
      <c r="I37" s="142"/>
      <c r="J37" s="158"/>
      <c r="K37" s="169"/>
      <c r="L37" s="171"/>
      <c r="M37" s="169"/>
      <c r="N37" s="170"/>
      <c r="O37" s="169"/>
    </row>
    <row r="38" spans="1:15" x14ac:dyDescent="0.25">
      <c r="A38" s="141" t="s">
        <v>351</v>
      </c>
      <c r="B38" s="206"/>
      <c r="C38" s="142"/>
      <c r="D38" s="221">
        <v>31.5</v>
      </c>
      <c r="E38" s="164"/>
      <c r="F38" s="221">
        <v>63.03</v>
      </c>
      <c r="G38" s="142"/>
      <c r="H38" s="158">
        <f t="shared" si="3"/>
        <v>1.000952380952381</v>
      </c>
      <c r="I38" s="142"/>
      <c r="J38" s="158"/>
      <c r="K38" s="169"/>
      <c r="L38" s="171"/>
      <c r="M38" s="169"/>
      <c r="N38" s="170"/>
      <c r="O38" s="169"/>
    </row>
    <row r="39" spans="1:15" x14ac:dyDescent="0.25">
      <c r="A39" s="141" t="s">
        <v>352</v>
      </c>
      <c r="B39" s="206"/>
      <c r="C39" s="142"/>
      <c r="D39" s="221">
        <v>31.5</v>
      </c>
      <c r="E39" s="164"/>
      <c r="F39" s="221">
        <v>63.03</v>
      </c>
      <c r="G39" s="142"/>
      <c r="H39" s="158">
        <f t="shared" si="3"/>
        <v>1.000952380952381</v>
      </c>
      <c r="I39" s="142"/>
      <c r="J39" s="158"/>
      <c r="K39" s="169"/>
      <c r="L39" s="171"/>
      <c r="M39" s="169"/>
      <c r="N39" s="170"/>
      <c r="O39" s="169"/>
    </row>
    <row r="40" spans="1:15" x14ac:dyDescent="0.25">
      <c r="A40" s="141" t="s">
        <v>353</v>
      </c>
      <c r="B40" s="206"/>
      <c r="C40" s="142"/>
      <c r="D40" s="221">
        <v>31.5</v>
      </c>
      <c r="E40" s="164"/>
      <c r="F40" s="221">
        <v>63.03</v>
      </c>
      <c r="G40" s="142"/>
      <c r="H40" s="158">
        <f t="shared" si="3"/>
        <v>1.000952380952381</v>
      </c>
      <c r="I40" s="142"/>
      <c r="J40" s="158"/>
      <c r="K40" s="169"/>
      <c r="L40" s="171"/>
      <c r="M40" s="169"/>
      <c r="N40" s="170"/>
      <c r="O40" s="169"/>
    </row>
    <row r="41" spans="1:15" x14ac:dyDescent="0.25">
      <c r="A41" s="141" t="s">
        <v>354</v>
      </c>
      <c r="B41" s="206"/>
      <c r="C41" s="142"/>
      <c r="D41" s="221">
        <v>31.5</v>
      </c>
      <c r="E41" s="164"/>
      <c r="F41" s="221">
        <v>63.03</v>
      </c>
      <c r="G41" s="142"/>
      <c r="H41" s="158">
        <f t="shared" si="3"/>
        <v>1.000952380952381</v>
      </c>
      <c r="I41" s="142"/>
      <c r="J41" s="158"/>
      <c r="K41" s="169"/>
      <c r="L41" s="171"/>
      <c r="M41" s="169"/>
      <c r="N41" s="170"/>
      <c r="O41" s="169"/>
    </row>
    <row r="42" spans="1:15" x14ac:dyDescent="0.25">
      <c r="A42" s="141" t="s">
        <v>355</v>
      </c>
      <c r="B42" s="206"/>
      <c r="C42" s="142"/>
      <c r="D42" s="221">
        <v>0.08</v>
      </c>
      <c r="E42" s="164"/>
      <c r="F42" s="221">
        <v>8.2000000000000003E-2</v>
      </c>
      <c r="G42" s="142"/>
      <c r="H42" s="158">
        <f t="shared" si="3"/>
        <v>2.4999999999999911E-2</v>
      </c>
      <c r="I42" s="142"/>
      <c r="J42" s="158"/>
      <c r="K42" s="169"/>
      <c r="L42" s="171"/>
      <c r="M42" s="169"/>
      <c r="N42" s="170"/>
      <c r="O42" s="169"/>
    </row>
    <row r="43" spans="1:15" x14ac:dyDescent="0.25">
      <c r="A43" s="142" t="s">
        <v>275</v>
      </c>
      <c r="B43" s="206">
        <f>'Exhibit 14 PP'!H16</f>
        <v>0.438399071925754</v>
      </c>
      <c r="C43" s="142"/>
      <c r="D43" s="164">
        <v>0.224</v>
      </c>
      <c r="E43" s="164"/>
      <c r="F43" s="164">
        <v>0.23100000000000001</v>
      </c>
      <c r="G43" s="142"/>
      <c r="H43" s="158">
        <f t="shared" si="3"/>
        <v>3.125E-2</v>
      </c>
      <c r="I43" s="142"/>
      <c r="J43" s="158">
        <v>0.47424609534978845</v>
      </c>
      <c r="K43" s="169"/>
      <c r="L43" s="171">
        <v>430012.27000000066</v>
      </c>
      <c r="M43" s="169"/>
      <c r="N43" s="170">
        <v>633943.90999999992</v>
      </c>
      <c r="O43" s="169"/>
    </row>
    <row r="44" spans="1:15" x14ac:dyDescent="0.25">
      <c r="A44" s="142" t="s">
        <v>274</v>
      </c>
      <c r="B44" s="206">
        <f>'Exhibit 14 PP'!H17</f>
        <v>0.43896499238964992</v>
      </c>
      <c r="C44" s="142"/>
      <c r="D44" s="164">
        <v>0.224</v>
      </c>
      <c r="E44" s="164"/>
      <c r="F44" s="164">
        <v>0.23100000000000001</v>
      </c>
      <c r="G44" s="142"/>
      <c r="H44" s="158">
        <f t="shared" si="3"/>
        <v>3.125E-2</v>
      </c>
      <c r="I44" s="142"/>
      <c r="J44" s="158">
        <v>0.48455987143662127</v>
      </c>
      <c r="K44" s="169"/>
      <c r="L44" s="171">
        <v>83127.87</v>
      </c>
      <c r="M44" s="169"/>
      <c r="N44" s="170">
        <v>123408.30000000016</v>
      </c>
      <c r="O44" s="169"/>
    </row>
    <row r="45" spans="1:15" x14ac:dyDescent="0.25">
      <c r="A45" s="142"/>
      <c r="B45" s="164"/>
      <c r="C45" s="164"/>
      <c r="D45" s="164"/>
      <c r="E45" s="142"/>
      <c r="F45" s="164"/>
      <c r="G45" s="164"/>
      <c r="H45" s="164"/>
      <c r="I45" s="164"/>
      <c r="J45" s="142"/>
      <c r="K45" s="142"/>
      <c r="L45" s="171"/>
      <c r="M45" s="169"/>
      <c r="N45" s="170"/>
      <c r="O45" s="142"/>
    </row>
    <row r="46" spans="1:15" x14ac:dyDescent="0.25">
      <c r="A46" s="142" t="s">
        <v>233</v>
      </c>
      <c r="B46" s="155"/>
      <c r="C46" s="142"/>
      <c r="D46" s="165"/>
      <c r="E46" s="166"/>
      <c r="F46" s="155"/>
      <c r="G46" s="142"/>
      <c r="H46" s="158"/>
      <c r="I46" s="142"/>
      <c r="J46" s="158">
        <f>N46/L46-1</f>
        <v>0.88247614818723519</v>
      </c>
      <c r="K46" s="142"/>
      <c r="L46" s="173">
        <f>SUM(L14,L21,L29,L36,L43:L44)</f>
        <v>9539358.7999999952</v>
      </c>
      <c r="M46" s="158"/>
      <c r="N46" s="173">
        <f>SUM(N14,N21,N29,N36,N43:N44)</f>
        <v>17957615.409999996</v>
      </c>
      <c r="O46" s="142"/>
    </row>
    <row r="47" spans="1:15" x14ac:dyDescent="0.25">
      <c r="B47" s="142"/>
      <c r="C47" s="142"/>
      <c r="D47" s="142"/>
      <c r="E47" s="142"/>
      <c r="F47" s="142"/>
      <c r="G47" s="142"/>
      <c r="H47" s="142"/>
      <c r="I47" s="142"/>
      <c r="J47" s="142"/>
      <c r="K47" s="142"/>
      <c r="L47" s="171"/>
      <c r="M47" s="169"/>
      <c r="N47" s="170"/>
      <c r="O47" s="142"/>
    </row>
    <row r="48" spans="1:15" x14ac:dyDescent="0.25">
      <c r="A48" s="142" t="s">
        <v>273</v>
      </c>
      <c r="B48" s="142"/>
      <c r="C48" s="142"/>
      <c r="D48" s="142"/>
      <c r="E48" s="142"/>
      <c r="F48" s="142"/>
      <c r="G48" s="142"/>
      <c r="H48" s="142"/>
      <c r="I48" s="142"/>
      <c r="J48" s="142"/>
      <c r="K48" s="142"/>
      <c r="L48" s="171"/>
      <c r="M48" s="169"/>
      <c r="N48" s="170"/>
      <c r="O48" s="142"/>
    </row>
    <row r="49" spans="1:15" x14ac:dyDescent="0.25">
      <c r="A49" s="142" t="s">
        <v>349</v>
      </c>
      <c r="B49" s="142"/>
      <c r="C49" s="142"/>
      <c r="D49" s="142"/>
      <c r="E49" s="142"/>
      <c r="F49" s="142"/>
      <c r="G49" s="142"/>
      <c r="H49" s="142"/>
      <c r="I49" s="142"/>
      <c r="J49" s="142"/>
      <c r="K49" s="142"/>
      <c r="L49" s="142"/>
      <c r="M49" s="142"/>
      <c r="N49" s="148"/>
      <c r="O49" s="142"/>
    </row>
    <row r="50" spans="1:15" x14ac:dyDescent="0.25">
      <c r="A50" s="167"/>
      <c r="B50" s="142"/>
      <c r="C50" s="142"/>
      <c r="D50" s="142"/>
      <c r="E50" s="142"/>
      <c r="F50" s="142"/>
      <c r="G50" s="142"/>
      <c r="H50" s="142"/>
      <c r="I50" s="142"/>
      <c r="J50" s="142"/>
      <c r="K50" s="142"/>
      <c r="L50" s="172"/>
      <c r="M50" s="142"/>
      <c r="N50" s="172"/>
      <c r="O50" s="142"/>
    </row>
    <row r="51" spans="1:15" x14ac:dyDescent="0.25">
      <c r="A51" s="141"/>
      <c r="B51" s="142"/>
      <c r="C51" s="142"/>
      <c r="D51" s="142"/>
      <c r="E51" s="142"/>
      <c r="F51" s="142"/>
      <c r="G51" s="142"/>
      <c r="H51" s="142"/>
      <c r="I51" s="142"/>
      <c r="J51" s="142"/>
      <c r="K51" s="142"/>
      <c r="L51" s="142"/>
      <c r="M51" s="142"/>
      <c r="N51" s="142"/>
      <c r="O51" s="142"/>
    </row>
    <row r="52" spans="1:15" x14ac:dyDescent="0.25">
      <c r="A52" s="167"/>
      <c r="B52" s="142"/>
      <c r="C52" s="142"/>
      <c r="D52" s="142"/>
      <c r="E52" s="142"/>
      <c r="F52" s="142"/>
      <c r="G52" s="142"/>
      <c r="H52" s="142"/>
      <c r="I52" s="142"/>
      <c r="J52" s="142"/>
      <c r="K52" s="142"/>
      <c r="L52" s="142"/>
      <c r="M52" s="142"/>
      <c r="N52" s="142"/>
      <c r="O52" s="142"/>
    </row>
    <row r="53" spans="1:15" x14ac:dyDescent="0.25">
      <c r="A53" s="141"/>
      <c r="B53" s="142"/>
      <c r="C53" s="142"/>
      <c r="D53" s="142"/>
      <c r="E53" s="142"/>
      <c r="F53" s="142"/>
      <c r="G53" s="142"/>
      <c r="H53" s="142"/>
      <c r="I53" s="142"/>
      <c r="J53" s="142"/>
      <c r="K53" s="142"/>
      <c r="L53" s="142"/>
      <c r="M53" s="142"/>
      <c r="N53" s="142"/>
      <c r="O53" s="142"/>
    </row>
    <row r="54" spans="1:15" x14ac:dyDescent="0.25">
      <c r="A54" s="141"/>
      <c r="B54" s="148"/>
      <c r="C54" s="148"/>
      <c r="D54" s="148"/>
      <c r="E54" s="148"/>
      <c r="F54" s="148"/>
      <c r="G54" s="148"/>
      <c r="H54" s="148"/>
      <c r="I54" s="148"/>
      <c r="J54" s="148"/>
      <c r="K54" s="168"/>
      <c r="L54" s="148"/>
      <c r="M54" s="148"/>
      <c r="N54" s="148"/>
      <c r="O54" s="168"/>
    </row>
    <row r="55" spans="1:15" ht="15" customHeight="1" x14ac:dyDescent="0.25">
      <c r="A55" s="148"/>
      <c r="B55" s="148"/>
      <c r="C55" s="148"/>
      <c r="D55" s="148"/>
      <c r="E55" s="148"/>
      <c r="F55" s="148"/>
      <c r="G55" s="148"/>
      <c r="H55" s="148"/>
      <c r="I55" s="148"/>
      <c r="J55" s="148"/>
      <c r="K55" s="168"/>
      <c r="L55" s="148"/>
      <c r="M55" s="148"/>
      <c r="N55" s="148"/>
      <c r="O55" s="168"/>
    </row>
    <row r="56" spans="1:15" x14ac:dyDescent="0.25">
      <c r="A56" s="148"/>
      <c r="B56" s="148"/>
      <c r="C56" s="148"/>
      <c r="D56" s="148"/>
      <c r="E56" s="148"/>
      <c r="F56" s="148"/>
      <c r="G56" s="148"/>
      <c r="H56" s="148"/>
      <c r="I56" s="148"/>
      <c r="J56" s="148"/>
      <c r="K56" s="168"/>
      <c r="L56" s="148"/>
      <c r="M56" s="148"/>
      <c r="N56" s="148"/>
      <c r="O56" s="168"/>
    </row>
    <row r="57" spans="1:15" ht="15.75" customHeight="1" x14ac:dyDescent="0.25">
      <c r="A57" s="148"/>
      <c r="B57" s="148"/>
      <c r="C57" s="148"/>
      <c r="D57" s="148"/>
      <c r="E57" s="148"/>
      <c r="F57" s="148"/>
      <c r="G57" s="148"/>
      <c r="H57" s="148"/>
      <c r="I57" s="148"/>
      <c r="J57" s="148"/>
      <c r="K57" s="148"/>
      <c r="L57" s="148"/>
      <c r="M57" s="148"/>
      <c r="N57" s="148"/>
      <c r="O57" s="148"/>
    </row>
    <row r="58" spans="1:15" ht="15" customHeight="1" x14ac:dyDescent="0.25">
      <c r="A58" s="148"/>
      <c r="B58" s="148"/>
      <c r="C58" s="148"/>
      <c r="D58" s="148"/>
      <c r="E58" s="148"/>
      <c r="F58" s="148"/>
      <c r="G58" s="148"/>
      <c r="H58" s="148"/>
      <c r="I58" s="148"/>
      <c r="J58" s="148"/>
      <c r="K58" s="148"/>
      <c r="L58" s="148"/>
      <c r="M58" s="148"/>
      <c r="N58" s="148"/>
      <c r="O58" s="148"/>
    </row>
    <row r="59" spans="1:15" ht="15" customHeight="1" x14ac:dyDescent="0.25"/>
  </sheetData>
  <mergeCells count="12">
    <mergeCell ref="H12:I12"/>
    <mergeCell ref="J12:K12"/>
    <mergeCell ref="L12:M12"/>
    <mergeCell ref="N12:O12"/>
    <mergeCell ref="H9:I9"/>
    <mergeCell ref="J9:K9"/>
    <mergeCell ref="L9:M9"/>
    <mergeCell ref="N9:O9"/>
    <mergeCell ref="H11:I11"/>
    <mergeCell ref="J11:K11"/>
    <mergeCell ref="L11:M11"/>
    <mergeCell ref="N11:O11"/>
  </mergeCells>
  <printOptions horizontalCentered="1"/>
  <pageMargins left="0.7" right="0.7" top="0.75" bottom="0.5" header="0.3" footer="0.3"/>
  <pageSetup scale="74" orientation="landscape"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B31A-AB85-4836-B294-57F33ED0E7B3}">
  <sheetPr codeName="Sheet18"/>
  <dimension ref="A1:O33"/>
  <sheetViews>
    <sheetView view="pageBreakPreview" zoomScaleNormal="100" zoomScaleSheetLayoutView="100" workbookViewId="0">
      <selection activeCell="N19" sqref="N19"/>
    </sheetView>
  </sheetViews>
  <sheetFormatPr defaultColWidth="9.140625" defaultRowHeight="15" x14ac:dyDescent="0.25"/>
  <cols>
    <col min="1" max="1" width="29.28515625" style="140" customWidth="1"/>
    <col min="2" max="2" width="16.7109375" style="140" customWidth="1"/>
    <col min="3" max="3" width="1.7109375" style="140" customWidth="1"/>
    <col min="4" max="4" width="10.7109375" style="140" customWidth="1"/>
    <col min="5" max="5" width="1.5703125" style="140" customWidth="1"/>
    <col min="6" max="6" width="9.7109375" style="140" customWidth="1"/>
    <col min="7" max="7" width="1.7109375" style="140" customWidth="1"/>
    <col min="8" max="8" width="9.7109375" style="140" customWidth="1"/>
    <col min="9" max="9" width="1.7109375" style="140" customWidth="1"/>
    <col min="10" max="10" width="9.7109375" style="140" customWidth="1"/>
    <col min="11" max="11" width="1.7109375" style="140" customWidth="1"/>
    <col min="12" max="12" width="13.42578125" style="140" customWidth="1"/>
    <col min="13" max="13" width="1.7109375" style="140" customWidth="1"/>
    <col min="14" max="14" width="15.7109375" style="140" customWidth="1"/>
    <col min="15" max="15" width="1.42578125" style="140" customWidth="1"/>
    <col min="16" max="16384" width="9.140625" style="140"/>
  </cols>
  <sheetData>
    <row r="1" spans="1:15" ht="14.1" customHeight="1" x14ac:dyDescent="0.25">
      <c r="A1" s="11" t="s">
        <v>1</v>
      </c>
      <c r="B1" s="138"/>
      <c r="C1" s="138"/>
      <c r="D1" s="138"/>
      <c r="E1" s="138"/>
      <c r="F1" s="138"/>
      <c r="G1" s="138"/>
      <c r="H1" s="138"/>
      <c r="I1" s="138"/>
      <c r="J1" s="138"/>
      <c r="K1" s="138"/>
      <c r="L1" s="138"/>
      <c r="M1" s="138"/>
      <c r="N1" s="138"/>
      <c r="O1" s="138"/>
    </row>
    <row r="2" spans="1:15" x14ac:dyDescent="0.25">
      <c r="A2" s="10" t="s">
        <v>0</v>
      </c>
      <c r="B2" s="138"/>
      <c r="C2" s="138"/>
      <c r="D2" s="138"/>
      <c r="E2" s="138"/>
      <c r="F2" s="138"/>
      <c r="G2" s="138"/>
      <c r="H2" s="138"/>
      <c r="I2" s="138"/>
      <c r="J2" s="138"/>
      <c r="K2" s="138"/>
      <c r="L2" s="138"/>
      <c r="M2" s="138"/>
      <c r="N2" s="138"/>
      <c r="O2" s="138"/>
    </row>
    <row r="3" spans="1:15" ht="14.1" customHeight="1" x14ac:dyDescent="0.25">
      <c r="A3" s="95"/>
      <c r="B3" s="138"/>
      <c r="C3" s="138"/>
      <c r="D3" s="138"/>
      <c r="E3" s="138"/>
      <c r="F3" s="138"/>
      <c r="G3" s="138"/>
      <c r="H3" s="138"/>
      <c r="I3" s="138"/>
      <c r="J3" s="138"/>
      <c r="K3" s="138"/>
      <c r="L3" s="138"/>
      <c r="M3" s="138"/>
      <c r="N3" s="138"/>
      <c r="O3" s="138"/>
    </row>
    <row r="4" spans="1:15" x14ac:dyDescent="0.25">
      <c r="A4" s="9" t="s">
        <v>217</v>
      </c>
      <c r="B4" s="138"/>
      <c r="C4" s="138"/>
      <c r="D4" s="138"/>
      <c r="E4" s="138"/>
      <c r="F4" s="138"/>
      <c r="G4" s="138"/>
      <c r="H4" s="138"/>
      <c r="I4" s="138"/>
      <c r="J4" s="138"/>
      <c r="K4" s="138"/>
      <c r="L4" s="138"/>
      <c r="M4" s="138"/>
      <c r="N4" s="138"/>
      <c r="O4" s="138"/>
    </row>
    <row r="5" spans="1:15" ht="14.1" customHeight="1" x14ac:dyDescent="0.25">
      <c r="A5" s="138"/>
      <c r="B5" s="138"/>
      <c r="C5" s="138"/>
      <c r="D5" s="138"/>
      <c r="E5" s="138"/>
      <c r="F5" s="138"/>
      <c r="G5" s="138"/>
      <c r="H5" s="138"/>
      <c r="I5" s="138"/>
      <c r="J5" s="138"/>
      <c r="K5" s="138"/>
      <c r="L5" s="138"/>
      <c r="M5" s="138"/>
      <c r="N5" s="138"/>
      <c r="O5" s="138"/>
    </row>
    <row r="6" spans="1:15" ht="14.1" customHeight="1" x14ac:dyDescent="0.25">
      <c r="A6" s="138" t="s">
        <v>218</v>
      </c>
      <c r="B6" s="138"/>
      <c r="C6" s="138"/>
      <c r="D6" s="138"/>
      <c r="E6" s="138"/>
      <c r="F6" s="138"/>
      <c r="G6" s="138"/>
      <c r="H6" s="138"/>
      <c r="I6" s="138"/>
      <c r="J6" s="138"/>
      <c r="K6" s="138"/>
      <c r="L6" s="138"/>
      <c r="M6" s="138"/>
      <c r="N6" s="138"/>
      <c r="O6" s="138"/>
    </row>
    <row r="7" spans="1:15" x14ac:dyDescent="0.25">
      <c r="A7" s="138" t="s">
        <v>286</v>
      </c>
      <c r="B7" s="138"/>
      <c r="C7" s="138"/>
      <c r="D7" s="138"/>
      <c r="E7" s="138"/>
      <c r="F7" s="138"/>
      <c r="G7" s="138"/>
      <c r="H7" s="138"/>
      <c r="I7" s="138"/>
      <c r="J7" s="138"/>
      <c r="K7" s="138"/>
      <c r="L7" s="138"/>
      <c r="M7" s="138"/>
      <c r="N7" s="138"/>
      <c r="O7" s="138"/>
    </row>
    <row r="8" spans="1:15" x14ac:dyDescent="0.25">
      <c r="A8" s="142"/>
      <c r="B8" s="142"/>
      <c r="C8" s="142"/>
      <c r="D8" s="142"/>
      <c r="E8" s="142"/>
      <c r="F8" s="142"/>
      <c r="G8" s="142"/>
      <c r="H8" s="142"/>
      <c r="I8" s="142"/>
      <c r="J8" s="142"/>
      <c r="K8" s="142"/>
      <c r="L8" s="142"/>
      <c r="M8" s="142"/>
      <c r="N8" s="142"/>
      <c r="O8" s="142"/>
    </row>
    <row r="9" spans="1:15" x14ac:dyDescent="0.25">
      <c r="A9" s="144" t="s">
        <v>161</v>
      </c>
      <c r="B9" s="146" t="s">
        <v>162</v>
      </c>
      <c r="C9" s="147"/>
      <c r="D9" s="146" t="s">
        <v>163</v>
      </c>
      <c r="E9" s="146"/>
      <c r="F9" s="146" t="s">
        <v>164</v>
      </c>
      <c r="G9" s="147"/>
      <c r="H9" s="311" t="s">
        <v>165</v>
      </c>
      <c r="I9" s="311"/>
      <c r="J9" s="311" t="s">
        <v>166</v>
      </c>
      <c r="K9" s="311"/>
      <c r="L9" s="311" t="s">
        <v>167</v>
      </c>
      <c r="M9" s="311"/>
      <c r="N9" s="311" t="s">
        <v>168</v>
      </c>
      <c r="O9" s="311"/>
    </row>
    <row r="10" spans="1:15" x14ac:dyDescent="0.25">
      <c r="A10" s="144"/>
      <c r="B10" s="147"/>
      <c r="C10" s="147"/>
      <c r="D10" s="149"/>
      <c r="E10" s="149"/>
      <c r="F10" s="147"/>
      <c r="G10" s="147"/>
      <c r="H10" s="147"/>
      <c r="I10" s="147"/>
      <c r="J10" s="142"/>
      <c r="K10" s="142"/>
      <c r="L10" s="147"/>
      <c r="M10" s="147"/>
      <c r="N10" s="142"/>
      <c r="O10" s="142"/>
    </row>
    <row r="11" spans="1:15" x14ac:dyDescent="0.25">
      <c r="A11" s="144"/>
      <c r="B11" s="147" t="s">
        <v>270</v>
      </c>
      <c r="C11" s="147"/>
      <c r="D11" s="150" t="s">
        <v>221</v>
      </c>
      <c r="E11" s="150"/>
      <c r="F11" s="147" t="s">
        <v>220</v>
      </c>
      <c r="G11" s="147"/>
      <c r="H11" s="310" t="s">
        <v>268</v>
      </c>
      <c r="I11" s="310"/>
      <c r="J11" s="310" t="s">
        <v>268</v>
      </c>
      <c r="K11" s="310"/>
      <c r="L11" s="310" t="s">
        <v>221</v>
      </c>
      <c r="M11" s="310"/>
      <c r="N11" s="310" t="s">
        <v>220</v>
      </c>
      <c r="O11" s="310"/>
    </row>
    <row r="12" spans="1:15" x14ac:dyDescent="0.25">
      <c r="A12" s="151" t="s">
        <v>41</v>
      </c>
      <c r="B12" s="153" t="s">
        <v>269</v>
      </c>
      <c r="C12" s="153"/>
      <c r="D12" s="312" t="s">
        <v>223</v>
      </c>
      <c r="E12" s="312"/>
      <c r="F12" s="312" t="s">
        <v>223</v>
      </c>
      <c r="G12" s="312"/>
      <c r="H12" s="312" t="s">
        <v>223</v>
      </c>
      <c r="I12" s="312"/>
      <c r="J12" s="309" t="s">
        <v>35</v>
      </c>
      <c r="K12" s="309"/>
      <c r="L12" s="309" t="s">
        <v>35</v>
      </c>
      <c r="M12" s="309"/>
      <c r="N12" s="309" t="s">
        <v>35</v>
      </c>
      <c r="O12" s="309"/>
    </row>
    <row r="13" spans="1:15" x14ac:dyDescent="0.25">
      <c r="A13" s="142"/>
      <c r="B13" s="142"/>
      <c r="C13" s="142"/>
      <c r="D13" s="142"/>
      <c r="E13" s="142"/>
      <c r="F13" s="142"/>
      <c r="G13" s="142"/>
      <c r="H13" s="142"/>
      <c r="I13" s="142"/>
      <c r="J13" s="142"/>
      <c r="K13" s="142"/>
      <c r="L13" s="142"/>
      <c r="M13" s="142"/>
      <c r="N13" s="142"/>
      <c r="O13" s="142"/>
    </row>
    <row r="14" spans="1:15" x14ac:dyDescent="0.25">
      <c r="A14" s="142" t="s">
        <v>24</v>
      </c>
      <c r="B14" s="206"/>
      <c r="C14" s="142"/>
      <c r="D14" s="213">
        <v>18.7</v>
      </c>
      <c r="E14" s="224"/>
      <c r="F14" s="213">
        <v>26.38</v>
      </c>
      <c r="G14" s="142"/>
      <c r="H14" s="158">
        <f>F14/D14-1</f>
        <v>0.41069518716577535</v>
      </c>
      <c r="I14" s="142"/>
      <c r="J14" s="158">
        <f>N14/L14-1</f>
        <v>0.40962508115539054</v>
      </c>
      <c r="K14" s="169"/>
      <c r="L14" s="171">
        <v>1109630.54</v>
      </c>
      <c r="M14" s="169"/>
      <c r="N14" s="170">
        <v>1564163.0399999998</v>
      </c>
      <c r="O14" s="169"/>
    </row>
    <row r="15" spans="1:15" x14ac:dyDescent="0.25">
      <c r="A15" s="142" t="s">
        <v>25</v>
      </c>
      <c r="B15" s="206"/>
      <c r="C15" s="142"/>
      <c r="D15" s="213">
        <v>10.9</v>
      </c>
      <c r="E15" s="224"/>
      <c r="F15" s="213">
        <v>10.9</v>
      </c>
      <c r="G15" s="142"/>
      <c r="H15" s="158">
        <f>F15/D15-1</f>
        <v>0</v>
      </c>
      <c r="I15" s="142"/>
      <c r="J15" s="158">
        <f>N15/L15-1</f>
        <v>0</v>
      </c>
      <c r="K15" s="169"/>
      <c r="L15" s="171">
        <v>803314.64000000013</v>
      </c>
      <c r="M15" s="169"/>
      <c r="N15" s="170">
        <v>803314.64000000013</v>
      </c>
      <c r="O15" s="169"/>
    </row>
    <row r="16" spans="1:15" x14ac:dyDescent="0.25">
      <c r="A16" s="142" t="s">
        <v>27</v>
      </c>
      <c r="B16" s="158"/>
      <c r="C16" s="142"/>
      <c r="D16" s="213"/>
      <c r="E16" s="213"/>
      <c r="F16" s="213"/>
      <c r="G16" s="142"/>
      <c r="H16" s="158"/>
      <c r="I16" s="142"/>
      <c r="J16" s="173"/>
      <c r="K16" s="158"/>
      <c r="L16" s="173"/>
      <c r="M16" s="158"/>
      <c r="N16" s="172"/>
      <c r="O16" s="158"/>
    </row>
    <row r="17" spans="1:15" x14ac:dyDescent="0.25">
      <c r="A17" s="141" t="s">
        <v>320</v>
      </c>
      <c r="B17" s="206">
        <f>'Exhibit 14 PP'!H21</f>
        <v>0.1212121212121211</v>
      </c>
      <c r="C17" s="142"/>
      <c r="D17" s="213">
        <v>6.93</v>
      </c>
      <c r="E17" s="213"/>
      <c r="F17" s="213">
        <v>7.77</v>
      </c>
      <c r="G17" s="142"/>
      <c r="H17" s="158">
        <f>F17/D17-1</f>
        <v>0.1212121212121211</v>
      </c>
      <c r="I17" s="142"/>
      <c r="J17" s="158">
        <f>N17/L17-1</f>
        <v>0.12146669461426596</v>
      </c>
      <c r="K17" s="169"/>
      <c r="L17" s="171">
        <v>186873.53000000006</v>
      </c>
      <c r="M17" s="169"/>
      <c r="N17" s="170">
        <v>209572.43999999992</v>
      </c>
      <c r="O17" s="169"/>
    </row>
    <row r="18" spans="1:15" x14ac:dyDescent="0.25">
      <c r="A18" s="142"/>
      <c r="B18" s="164"/>
      <c r="C18" s="164"/>
      <c r="D18" s="223"/>
      <c r="E18" s="223"/>
      <c r="F18" s="223"/>
      <c r="G18" s="164"/>
      <c r="H18" s="164"/>
      <c r="I18" s="164"/>
      <c r="J18" s="142"/>
      <c r="K18" s="142"/>
      <c r="L18" s="171"/>
      <c r="M18" s="169"/>
      <c r="N18" s="170"/>
      <c r="O18" s="142"/>
    </row>
    <row r="19" spans="1:15" x14ac:dyDescent="0.25">
      <c r="A19" s="142" t="s">
        <v>233</v>
      </c>
      <c r="B19" s="155"/>
      <c r="C19" s="142"/>
      <c r="D19" s="165"/>
      <c r="E19" s="166"/>
      <c r="F19" s="155"/>
      <c r="G19" s="142"/>
      <c r="H19" s="158"/>
      <c r="I19" s="142"/>
      <c r="J19" s="158">
        <f>N19/L19-1</f>
        <v>0.22727267250609406</v>
      </c>
      <c r="K19" s="142"/>
      <c r="L19" s="173">
        <f>SUM(L14:L17)</f>
        <v>2099818.7100000004</v>
      </c>
      <c r="M19" s="158"/>
      <c r="N19" s="173">
        <f>SUM(N14:N17)</f>
        <v>2577050.1199999996</v>
      </c>
      <c r="O19" s="142"/>
    </row>
    <row r="20" spans="1:15" x14ac:dyDescent="0.25">
      <c r="A20" s="142"/>
      <c r="B20" s="142"/>
      <c r="C20" s="142"/>
      <c r="D20" s="142"/>
      <c r="E20" s="142"/>
      <c r="F20" s="142"/>
      <c r="G20" s="142"/>
      <c r="H20" s="142"/>
      <c r="I20" s="142"/>
      <c r="J20" s="142"/>
      <c r="K20" s="142"/>
      <c r="L20" s="171"/>
      <c r="M20" s="169"/>
      <c r="N20" s="170"/>
      <c r="O20" s="142"/>
    </row>
    <row r="21" spans="1:15" x14ac:dyDescent="0.25">
      <c r="A21" s="142" t="s">
        <v>321</v>
      </c>
      <c r="B21" s="142"/>
      <c r="C21" s="142"/>
      <c r="D21" s="142"/>
      <c r="E21" s="142"/>
      <c r="F21" s="142"/>
      <c r="G21" s="142"/>
      <c r="H21" s="142"/>
      <c r="I21" s="142"/>
      <c r="J21" s="142"/>
      <c r="K21" s="142"/>
      <c r="L21" s="171"/>
      <c r="M21" s="169"/>
      <c r="N21" s="170"/>
      <c r="O21" s="142"/>
    </row>
    <row r="22" spans="1:15" x14ac:dyDescent="0.25">
      <c r="A22" s="167"/>
      <c r="B22" s="142"/>
      <c r="C22" s="142"/>
      <c r="D22" s="142"/>
      <c r="E22" s="142"/>
      <c r="F22" s="142"/>
      <c r="G22" s="142"/>
      <c r="H22" s="142"/>
      <c r="I22" s="142"/>
      <c r="J22" s="142"/>
      <c r="K22" s="142"/>
      <c r="L22" s="171"/>
      <c r="M22" s="169"/>
      <c r="N22" s="170"/>
      <c r="O22" s="142"/>
    </row>
    <row r="23" spans="1:15" x14ac:dyDescent="0.25">
      <c r="A23" s="141"/>
      <c r="B23" s="142"/>
      <c r="C23" s="142"/>
      <c r="D23" s="142"/>
      <c r="E23" s="142"/>
      <c r="F23" s="142"/>
      <c r="G23" s="142"/>
      <c r="H23" s="142"/>
      <c r="I23" s="142"/>
      <c r="J23" s="142"/>
      <c r="K23" s="142"/>
      <c r="L23" s="142"/>
      <c r="M23" s="142"/>
      <c r="N23" s="148"/>
      <c r="O23" s="142"/>
    </row>
    <row r="24" spans="1:15" x14ac:dyDescent="0.25">
      <c r="A24" s="167"/>
      <c r="B24" s="142"/>
      <c r="C24" s="142"/>
      <c r="D24" s="142"/>
      <c r="E24" s="142"/>
      <c r="F24" s="142"/>
      <c r="G24" s="142"/>
      <c r="H24" s="142"/>
      <c r="I24" s="142"/>
      <c r="J24" s="142"/>
      <c r="K24" s="142"/>
      <c r="L24" s="172"/>
      <c r="M24" s="142"/>
      <c r="N24" s="172"/>
      <c r="O24" s="142"/>
    </row>
    <row r="25" spans="1:15" x14ac:dyDescent="0.25">
      <c r="A25" s="141"/>
      <c r="B25" s="142"/>
      <c r="C25" s="142"/>
      <c r="D25" s="142"/>
      <c r="E25" s="142"/>
      <c r="F25" s="142"/>
      <c r="G25" s="142"/>
      <c r="H25" s="142"/>
      <c r="I25" s="142"/>
      <c r="J25" s="142"/>
      <c r="K25" s="142"/>
      <c r="L25" s="142"/>
      <c r="M25" s="142"/>
      <c r="N25" s="142"/>
      <c r="O25" s="142"/>
    </row>
    <row r="26" spans="1:15" x14ac:dyDescent="0.25">
      <c r="A26" s="167"/>
      <c r="B26" s="142"/>
      <c r="C26" s="142"/>
      <c r="D26" s="142"/>
      <c r="E26" s="142"/>
      <c r="F26" s="142"/>
      <c r="G26" s="142"/>
      <c r="H26" s="142"/>
      <c r="I26" s="142"/>
      <c r="J26" s="142"/>
      <c r="K26" s="142"/>
      <c r="L26" s="142"/>
      <c r="M26" s="142"/>
      <c r="N26" s="142"/>
      <c r="O26" s="142"/>
    </row>
    <row r="27" spans="1:15" x14ac:dyDescent="0.25">
      <c r="A27" s="141"/>
      <c r="B27" s="142"/>
      <c r="C27" s="142"/>
      <c r="D27" s="142"/>
      <c r="E27" s="142"/>
      <c r="F27" s="142"/>
      <c r="G27" s="142"/>
      <c r="H27" s="142"/>
      <c r="I27" s="142"/>
      <c r="J27" s="142"/>
      <c r="K27" s="142"/>
      <c r="L27" s="142"/>
      <c r="M27" s="142"/>
      <c r="N27" s="142"/>
      <c r="O27" s="142"/>
    </row>
    <row r="28" spans="1:15" x14ac:dyDescent="0.25">
      <c r="A28" s="141"/>
      <c r="B28" s="148"/>
      <c r="C28" s="148"/>
      <c r="D28" s="148"/>
      <c r="E28" s="148"/>
      <c r="F28" s="148"/>
      <c r="G28" s="148"/>
      <c r="H28" s="148"/>
      <c r="I28" s="148"/>
      <c r="J28" s="148"/>
      <c r="K28" s="168"/>
      <c r="L28" s="148"/>
      <c r="M28" s="148"/>
      <c r="N28" s="148"/>
      <c r="O28" s="168"/>
    </row>
    <row r="29" spans="1:15" ht="15" customHeight="1" x14ac:dyDescent="0.25">
      <c r="A29" s="148"/>
      <c r="B29" s="148"/>
      <c r="C29" s="148"/>
      <c r="D29" s="148"/>
      <c r="E29" s="148"/>
      <c r="F29" s="148"/>
      <c r="G29" s="148"/>
      <c r="H29" s="148"/>
      <c r="I29" s="148"/>
      <c r="J29" s="148"/>
      <c r="K29" s="168"/>
      <c r="L29" s="148"/>
      <c r="M29" s="148"/>
      <c r="N29" s="148"/>
      <c r="O29" s="168"/>
    </row>
    <row r="30" spans="1:15" x14ac:dyDescent="0.25">
      <c r="A30" s="148"/>
      <c r="B30" s="148"/>
      <c r="C30" s="148"/>
      <c r="D30" s="148"/>
      <c r="E30" s="148"/>
      <c r="F30" s="148"/>
      <c r="G30" s="148"/>
      <c r="H30" s="148"/>
      <c r="I30" s="148"/>
      <c r="J30" s="148"/>
      <c r="K30" s="168"/>
      <c r="L30" s="148"/>
      <c r="M30" s="148"/>
      <c r="N30" s="148"/>
      <c r="O30" s="168"/>
    </row>
    <row r="31" spans="1:15" ht="15.75" customHeight="1" x14ac:dyDescent="0.25">
      <c r="A31" s="148"/>
      <c r="B31" s="148"/>
      <c r="C31" s="148"/>
      <c r="D31" s="148"/>
      <c r="E31" s="148"/>
      <c r="F31" s="148"/>
      <c r="G31" s="148"/>
      <c r="H31" s="148"/>
      <c r="I31" s="148"/>
      <c r="J31" s="148"/>
      <c r="K31" s="148"/>
      <c r="L31" s="148"/>
      <c r="M31" s="148"/>
      <c r="N31" s="148"/>
      <c r="O31" s="148"/>
    </row>
    <row r="32" spans="1:15" ht="15" customHeight="1" x14ac:dyDescent="0.25">
      <c r="A32" s="148"/>
      <c r="B32" s="148"/>
      <c r="C32" s="148"/>
      <c r="D32" s="148"/>
      <c r="E32" s="148"/>
      <c r="F32" s="148"/>
      <c r="G32" s="148"/>
      <c r="H32" s="148"/>
      <c r="I32" s="148"/>
      <c r="J32" s="148"/>
      <c r="K32" s="148"/>
      <c r="L32" s="148"/>
      <c r="M32" s="148"/>
      <c r="N32" s="148"/>
      <c r="O32" s="148"/>
    </row>
    <row r="33" ht="15" customHeight="1" x14ac:dyDescent="0.25"/>
  </sheetData>
  <mergeCells count="14">
    <mergeCell ref="D12:E12"/>
    <mergeCell ref="F12:G12"/>
    <mergeCell ref="H12:I12"/>
    <mergeCell ref="J12:K12"/>
    <mergeCell ref="L12:M12"/>
    <mergeCell ref="N12:O12"/>
    <mergeCell ref="H9:I9"/>
    <mergeCell ref="J9:K9"/>
    <mergeCell ref="L9:M9"/>
    <mergeCell ref="N9:O9"/>
    <mergeCell ref="H11:I11"/>
    <mergeCell ref="J11:K11"/>
    <mergeCell ref="L11:M11"/>
    <mergeCell ref="N11:O11"/>
  </mergeCells>
  <printOptions horizontalCentered="1"/>
  <pageMargins left="0.7" right="0.7" top="0.75" bottom="0.5" header="0.3" footer="0.3"/>
  <pageSetup scale="97" orientation="landscape"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F2C66-5234-45DE-AA85-74664F4ACD52}">
  <sheetPr codeName="Sheet19"/>
  <dimension ref="A1:M32"/>
  <sheetViews>
    <sheetView view="pageBreakPreview" zoomScaleNormal="100" zoomScaleSheetLayoutView="100" workbookViewId="0">
      <selection activeCell="M32" sqref="M32"/>
    </sheetView>
  </sheetViews>
  <sheetFormatPr defaultColWidth="9.140625" defaultRowHeight="15" x14ac:dyDescent="0.25"/>
  <cols>
    <col min="1" max="1" width="29.28515625" style="140" customWidth="1"/>
    <col min="2" max="2" width="9.7109375" style="140" customWidth="1"/>
    <col min="3" max="3" width="1.7109375" style="140" customWidth="1"/>
    <col min="4" max="4" width="9.7109375" style="140" customWidth="1"/>
    <col min="5" max="5" width="1.85546875" style="140" customWidth="1"/>
    <col min="6" max="6" width="9.7109375" style="140" customWidth="1"/>
    <col min="7" max="7" width="1.85546875" style="140" customWidth="1"/>
    <col min="8" max="8" width="9.7109375" style="140" customWidth="1"/>
    <col min="9" max="9" width="1.7109375" style="140" customWidth="1"/>
    <col min="10" max="10" width="16" style="140" customWidth="1"/>
    <col min="11" max="11" width="2.28515625" style="140" customWidth="1"/>
    <col min="12" max="12" width="15.7109375" style="140" customWidth="1"/>
    <col min="13" max="13" width="1.42578125" style="140" customWidth="1"/>
    <col min="14" max="16384" width="9.140625" style="140"/>
  </cols>
  <sheetData>
    <row r="1" spans="1:13" ht="14.1" customHeight="1" x14ac:dyDescent="0.25">
      <c r="A1" s="11" t="s">
        <v>1</v>
      </c>
      <c r="B1" s="138"/>
      <c r="C1" s="138"/>
      <c r="D1" s="138"/>
      <c r="E1" s="138"/>
      <c r="F1" s="138"/>
      <c r="G1" s="138"/>
      <c r="H1" s="138"/>
      <c r="I1" s="138"/>
      <c r="J1" s="138"/>
      <c r="K1" s="138"/>
      <c r="L1" s="138"/>
      <c r="M1" s="138"/>
    </row>
    <row r="2" spans="1:13" x14ac:dyDescent="0.25">
      <c r="A2" s="10" t="s">
        <v>0</v>
      </c>
      <c r="B2" s="138"/>
      <c r="C2" s="138"/>
      <c r="D2" s="138"/>
      <c r="E2" s="138"/>
      <c r="F2" s="138"/>
      <c r="G2" s="138"/>
      <c r="H2" s="138"/>
      <c r="I2" s="138"/>
      <c r="J2" s="138"/>
      <c r="K2" s="138"/>
      <c r="L2" s="138"/>
      <c r="M2" s="138"/>
    </row>
    <row r="3" spans="1:13" ht="14.1" customHeight="1" x14ac:dyDescent="0.25">
      <c r="A3" s="95"/>
      <c r="B3" s="138"/>
      <c r="C3" s="138"/>
      <c r="D3" s="138"/>
      <c r="E3" s="138"/>
      <c r="F3" s="138"/>
      <c r="G3" s="138"/>
      <c r="H3" s="138"/>
      <c r="I3" s="138"/>
      <c r="J3" s="138"/>
      <c r="K3" s="138"/>
      <c r="L3" s="138"/>
      <c r="M3" s="138"/>
    </row>
    <row r="4" spans="1:13" x14ac:dyDescent="0.25">
      <c r="A4" s="9" t="s">
        <v>217</v>
      </c>
      <c r="B4" s="138"/>
      <c r="C4" s="138"/>
      <c r="D4" s="138"/>
      <c r="E4" s="138"/>
      <c r="F4" s="138"/>
      <c r="G4" s="138"/>
      <c r="H4" s="138"/>
      <c r="I4" s="138"/>
      <c r="J4" s="138"/>
      <c r="K4" s="138"/>
      <c r="L4" s="138"/>
      <c r="M4" s="138"/>
    </row>
    <row r="5" spans="1:13" ht="14.1" customHeight="1" x14ac:dyDescent="0.25">
      <c r="A5" s="138"/>
      <c r="B5" s="138"/>
      <c r="C5" s="138"/>
      <c r="D5" s="138"/>
      <c r="E5" s="138"/>
      <c r="F5" s="138"/>
      <c r="G5" s="138"/>
      <c r="H5" s="138"/>
      <c r="I5" s="138"/>
      <c r="J5" s="138"/>
      <c r="K5" s="138"/>
      <c r="L5" s="138"/>
      <c r="M5" s="138"/>
    </row>
    <row r="6" spans="1:13" ht="14.1" customHeight="1" x14ac:dyDescent="0.25">
      <c r="A6" s="138" t="s">
        <v>218</v>
      </c>
      <c r="B6" s="138"/>
      <c r="C6" s="138"/>
      <c r="D6" s="138"/>
      <c r="E6" s="138"/>
      <c r="F6" s="138"/>
      <c r="G6" s="138"/>
      <c r="H6" s="138"/>
      <c r="I6" s="138"/>
      <c r="J6" s="138"/>
      <c r="K6" s="138"/>
      <c r="L6" s="138"/>
      <c r="M6" s="138"/>
    </row>
    <row r="7" spans="1:13" x14ac:dyDescent="0.25">
      <c r="A7" s="138" t="s">
        <v>287</v>
      </c>
      <c r="B7" s="138"/>
      <c r="C7" s="138"/>
      <c r="D7" s="138"/>
      <c r="E7" s="138"/>
      <c r="F7" s="138"/>
      <c r="G7" s="138"/>
      <c r="H7" s="138"/>
      <c r="I7" s="138"/>
      <c r="J7" s="138"/>
      <c r="K7" s="138"/>
      <c r="L7" s="138"/>
      <c r="M7" s="138"/>
    </row>
    <row r="8" spans="1:13" x14ac:dyDescent="0.25">
      <c r="A8" s="142"/>
      <c r="B8" s="142"/>
      <c r="C8" s="142"/>
      <c r="D8" s="142"/>
      <c r="E8" s="142"/>
      <c r="F8" s="142"/>
      <c r="G8" s="142"/>
      <c r="H8" s="142"/>
      <c r="I8" s="142"/>
      <c r="J8" s="142"/>
      <c r="K8" s="142"/>
      <c r="L8" s="142"/>
      <c r="M8" s="142"/>
    </row>
    <row r="9" spans="1:13" x14ac:dyDescent="0.25">
      <c r="A9" s="144" t="s">
        <v>161</v>
      </c>
      <c r="B9" s="146" t="s">
        <v>162</v>
      </c>
      <c r="C9" s="146"/>
      <c r="D9" s="146" t="s">
        <v>163</v>
      </c>
      <c r="E9" s="146"/>
      <c r="F9" s="149" t="s">
        <v>164</v>
      </c>
      <c r="G9" s="268"/>
      <c r="H9" s="149" t="s">
        <v>165</v>
      </c>
      <c r="I9" s="149"/>
      <c r="J9" s="149" t="s">
        <v>166</v>
      </c>
      <c r="K9" s="149"/>
      <c r="L9" s="149" t="s">
        <v>167</v>
      </c>
      <c r="M9" s="149"/>
    </row>
    <row r="10" spans="1:13" x14ac:dyDescent="0.25">
      <c r="A10" s="144"/>
      <c r="B10" s="149"/>
      <c r="C10" s="149"/>
      <c r="D10" s="147"/>
      <c r="E10" s="147"/>
      <c r="F10" s="147"/>
      <c r="G10" s="147"/>
      <c r="H10" s="142"/>
      <c r="I10" s="142"/>
      <c r="J10" s="147"/>
      <c r="K10" s="147"/>
      <c r="L10" s="142"/>
      <c r="M10" s="142"/>
    </row>
    <row r="11" spans="1:13" x14ac:dyDescent="0.25">
      <c r="A11" s="144"/>
      <c r="B11" s="150" t="s">
        <v>221</v>
      </c>
      <c r="C11" s="150"/>
      <c r="D11" s="147" t="s">
        <v>220</v>
      </c>
      <c r="E11" s="147"/>
      <c r="F11" s="310" t="s">
        <v>268</v>
      </c>
      <c r="G11" s="310"/>
      <c r="H11" s="310" t="s">
        <v>268</v>
      </c>
      <c r="I11" s="310"/>
      <c r="J11" s="310" t="s">
        <v>221</v>
      </c>
      <c r="K11" s="310"/>
      <c r="L11" s="310" t="s">
        <v>220</v>
      </c>
      <c r="M11" s="310"/>
    </row>
    <row r="12" spans="1:13" x14ac:dyDescent="0.25">
      <c r="A12" s="151" t="s">
        <v>41</v>
      </c>
      <c r="B12" s="152" t="s">
        <v>223</v>
      </c>
      <c r="C12" s="152"/>
      <c r="D12" s="152" t="s">
        <v>223</v>
      </c>
      <c r="E12" s="153"/>
      <c r="F12" s="309" t="s">
        <v>223</v>
      </c>
      <c r="G12" s="309"/>
      <c r="H12" s="309" t="s">
        <v>35</v>
      </c>
      <c r="I12" s="309"/>
      <c r="J12" s="309" t="s">
        <v>35</v>
      </c>
      <c r="K12" s="309"/>
      <c r="L12" s="309" t="s">
        <v>35</v>
      </c>
      <c r="M12" s="309"/>
    </row>
    <row r="13" spans="1:13" x14ac:dyDescent="0.25">
      <c r="A13" s="142"/>
      <c r="B13" s="142"/>
      <c r="C13" s="142"/>
      <c r="D13" s="142"/>
      <c r="E13" s="142"/>
      <c r="F13" s="142"/>
      <c r="G13" s="142"/>
      <c r="H13" s="142"/>
      <c r="I13" s="142"/>
      <c r="J13" s="172"/>
      <c r="K13" s="142"/>
      <c r="L13" s="172"/>
      <c r="M13" s="142"/>
    </row>
    <row r="14" spans="1:13" x14ac:dyDescent="0.25">
      <c r="A14" s="142" t="s">
        <v>347</v>
      </c>
      <c r="B14" s="213">
        <v>49.8</v>
      </c>
      <c r="C14" s="225"/>
      <c r="D14" s="213">
        <v>79.680000000000007</v>
      </c>
      <c r="E14" s="142"/>
      <c r="F14" s="158">
        <f>D14/B14-1</f>
        <v>0.60000000000000031</v>
      </c>
      <c r="G14" s="142"/>
      <c r="H14" s="158">
        <f>SUM(L15:L16)/SUM(J15:J16)-1</f>
        <v>0.59783532576163378</v>
      </c>
      <c r="I14" s="169"/>
      <c r="J14" s="171"/>
      <c r="K14" s="169"/>
      <c r="L14" s="171"/>
      <c r="M14" s="169"/>
    </row>
    <row r="15" spans="1:13" x14ac:dyDescent="0.25">
      <c r="A15" s="141" t="s">
        <v>345</v>
      </c>
      <c r="B15" s="213"/>
      <c r="C15" s="225"/>
      <c r="D15" s="213"/>
      <c r="E15" s="142"/>
      <c r="F15" s="158"/>
      <c r="G15" s="142"/>
      <c r="H15" s="158"/>
      <c r="I15" s="169"/>
      <c r="J15" s="171">
        <v>9366081.0499999989</v>
      </c>
      <c r="K15" s="169"/>
      <c r="L15" s="170">
        <v>14965436.749999994</v>
      </c>
      <c r="M15" s="169"/>
    </row>
    <row r="16" spans="1:13" x14ac:dyDescent="0.25">
      <c r="A16" s="141" t="s">
        <v>346</v>
      </c>
      <c r="B16" s="213"/>
      <c r="C16" s="225"/>
      <c r="D16" s="213"/>
      <c r="E16" s="142"/>
      <c r="F16" s="158"/>
      <c r="G16" s="142"/>
      <c r="H16" s="158"/>
      <c r="I16" s="169"/>
      <c r="J16" s="171">
        <v>2727285.95</v>
      </c>
      <c r="K16" s="169"/>
      <c r="L16" s="170">
        <v>4357772.25</v>
      </c>
      <c r="M16" s="169"/>
    </row>
    <row r="17" spans="1:13" x14ac:dyDescent="0.25">
      <c r="A17" s="142"/>
      <c r="B17" s="223"/>
      <c r="C17" s="223"/>
      <c r="D17" s="223"/>
      <c r="E17" s="164"/>
      <c r="F17" s="164"/>
      <c r="G17" s="164"/>
      <c r="H17" s="142"/>
      <c r="I17" s="142"/>
      <c r="J17" s="171"/>
      <c r="K17" s="169"/>
      <c r="L17" s="170"/>
      <c r="M17" s="142"/>
    </row>
    <row r="18" spans="1:13" x14ac:dyDescent="0.25">
      <c r="A18" s="142" t="s">
        <v>233</v>
      </c>
      <c r="B18" s="165"/>
      <c r="C18" s="166"/>
      <c r="D18" s="155"/>
      <c r="E18" s="142"/>
      <c r="F18" s="158"/>
      <c r="G18" s="142"/>
      <c r="H18" s="158">
        <f>L18/J18-1</f>
        <v>0.59783532576163378</v>
      </c>
      <c r="I18" s="142"/>
      <c r="J18" s="173">
        <f>SUM(J15:J16)</f>
        <v>12093367</v>
      </c>
      <c r="K18" s="158"/>
      <c r="L18" s="173">
        <f>SUM(L15:L16)</f>
        <v>19323208.999999993</v>
      </c>
      <c r="M18" s="142"/>
    </row>
    <row r="19" spans="1:13" x14ac:dyDescent="0.25">
      <c r="A19" s="142"/>
      <c r="B19" s="142"/>
      <c r="C19" s="142"/>
      <c r="D19" s="142"/>
      <c r="E19" s="142"/>
      <c r="F19" s="142"/>
      <c r="G19" s="142"/>
      <c r="H19" s="142"/>
      <c r="I19" s="142"/>
      <c r="J19" s="171"/>
      <c r="K19" s="169"/>
      <c r="L19" s="170"/>
      <c r="M19" s="142"/>
    </row>
    <row r="20" spans="1:13" x14ac:dyDescent="0.25">
      <c r="A20" s="142" t="s">
        <v>348</v>
      </c>
      <c r="B20" s="142"/>
      <c r="C20" s="142"/>
      <c r="D20" s="142"/>
      <c r="E20" s="142"/>
      <c r="F20" s="142"/>
      <c r="G20" s="142"/>
      <c r="H20" s="142"/>
      <c r="I20" s="142"/>
      <c r="J20" s="171"/>
      <c r="K20" s="169"/>
      <c r="L20" s="170"/>
      <c r="M20" s="142"/>
    </row>
    <row r="21" spans="1:13" x14ac:dyDescent="0.25">
      <c r="A21" s="167"/>
      <c r="B21" s="142"/>
      <c r="C21" s="142"/>
      <c r="D21" s="142"/>
      <c r="E21" s="142"/>
      <c r="F21" s="142"/>
      <c r="G21" s="142"/>
      <c r="H21" s="142"/>
      <c r="I21" s="142"/>
      <c r="J21" s="171"/>
      <c r="K21" s="169"/>
      <c r="L21" s="170"/>
      <c r="M21" s="142"/>
    </row>
    <row r="22" spans="1:13" x14ac:dyDescent="0.25">
      <c r="A22" s="141"/>
      <c r="B22" s="142"/>
      <c r="C22" s="142"/>
      <c r="D22" s="142"/>
      <c r="E22" s="142"/>
      <c r="F22" s="142"/>
      <c r="G22" s="142"/>
      <c r="H22" s="142"/>
      <c r="I22" s="142"/>
      <c r="J22" s="142"/>
      <c r="K22" s="142"/>
      <c r="L22" s="148"/>
      <c r="M22" s="142"/>
    </row>
    <row r="23" spans="1:13" x14ac:dyDescent="0.25">
      <c r="A23" s="167"/>
      <c r="B23" s="142"/>
      <c r="C23" s="142"/>
      <c r="D23" s="142"/>
      <c r="E23" s="142"/>
      <c r="F23" s="142"/>
      <c r="G23" s="142"/>
      <c r="H23" s="142"/>
      <c r="I23" s="142"/>
      <c r="J23" s="172"/>
      <c r="K23" s="142"/>
      <c r="L23" s="172"/>
      <c r="M23" s="142"/>
    </row>
    <row r="24" spans="1:13" x14ac:dyDescent="0.25">
      <c r="A24" s="141"/>
      <c r="B24" s="142"/>
      <c r="C24" s="142"/>
      <c r="D24" s="142"/>
      <c r="E24" s="142"/>
      <c r="F24" s="142"/>
      <c r="G24" s="142"/>
      <c r="H24" s="142"/>
      <c r="I24" s="142"/>
      <c r="J24" s="142"/>
      <c r="K24" s="142"/>
      <c r="L24" s="142"/>
      <c r="M24" s="142"/>
    </row>
    <row r="25" spans="1:13" x14ac:dyDescent="0.25">
      <c r="A25" s="167"/>
      <c r="B25" s="142"/>
      <c r="C25" s="142"/>
      <c r="D25" s="142"/>
      <c r="E25" s="142"/>
      <c r="F25" s="142"/>
      <c r="G25" s="142"/>
      <c r="H25" s="142"/>
      <c r="I25" s="142"/>
      <c r="J25" s="142"/>
      <c r="K25" s="142"/>
      <c r="L25" s="142"/>
      <c r="M25" s="142"/>
    </row>
    <row r="26" spans="1:13" x14ac:dyDescent="0.25">
      <c r="A26" s="141"/>
      <c r="B26" s="142"/>
      <c r="C26" s="142"/>
      <c r="D26" s="142"/>
      <c r="E26" s="142"/>
      <c r="F26" s="142"/>
      <c r="G26" s="142"/>
      <c r="H26" s="142"/>
      <c r="I26" s="142"/>
      <c r="J26" s="142"/>
      <c r="K26" s="142"/>
      <c r="L26" s="142"/>
      <c r="M26" s="142"/>
    </row>
    <row r="27" spans="1:13" x14ac:dyDescent="0.25">
      <c r="A27" s="141"/>
      <c r="B27" s="148"/>
      <c r="C27" s="148"/>
      <c r="D27" s="148"/>
      <c r="E27" s="148"/>
      <c r="F27" s="148"/>
      <c r="G27" s="148"/>
      <c r="H27" s="148"/>
      <c r="I27" s="168"/>
      <c r="J27" s="148"/>
      <c r="K27" s="148"/>
      <c r="L27" s="148"/>
      <c r="M27" s="168"/>
    </row>
    <row r="28" spans="1:13" ht="15" customHeight="1" x14ac:dyDescent="0.25">
      <c r="A28" s="148"/>
      <c r="B28" s="148"/>
      <c r="C28" s="148"/>
      <c r="D28" s="148"/>
      <c r="E28" s="148"/>
      <c r="F28" s="148"/>
      <c r="G28" s="148"/>
      <c r="H28" s="148"/>
      <c r="I28" s="168"/>
      <c r="J28" s="148"/>
      <c r="K28" s="148"/>
      <c r="L28" s="148"/>
      <c r="M28" s="168"/>
    </row>
    <row r="29" spans="1:13" x14ac:dyDescent="0.25">
      <c r="A29" s="148"/>
      <c r="B29" s="148"/>
      <c r="C29" s="148"/>
      <c r="D29" s="148"/>
      <c r="E29" s="148"/>
      <c r="F29" s="148"/>
      <c r="G29" s="148"/>
      <c r="H29" s="148"/>
      <c r="I29" s="168"/>
      <c r="J29" s="148"/>
      <c r="K29" s="148"/>
      <c r="L29" s="148"/>
      <c r="M29" s="168"/>
    </row>
    <row r="30" spans="1:13" ht="15.75" customHeight="1" x14ac:dyDescent="0.25">
      <c r="A30" s="148"/>
      <c r="B30" s="148"/>
      <c r="C30" s="148"/>
      <c r="D30" s="148"/>
      <c r="E30" s="148"/>
      <c r="F30" s="148"/>
      <c r="G30" s="148"/>
      <c r="H30" s="148"/>
      <c r="I30" s="148"/>
      <c r="J30" s="148"/>
      <c r="K30" s="148"/>
      <c r="L30" s="148"/>
      <c r="M30" s="148"/>
    </row>
    <row r="31" spans="1:13" ht="15" customHeight="1" x14ac:dyDescent="0.25">
      <c r="A31" s="148"/>
      <c r="B31" s="148"/>
      <c r="C31" s="148"/>
      <c r="D31" s="148"/>
      <c r="E31" s="148"/>
      <c r="F31" s="148"/>
      <c r="G31" s="148"/>
      <c r="H31" s="148"/>
      <c r="I31" s="148"/>
      <c r="J31" s="148"/>
      <c r="K31" s="148"/>
      <c r="L31" s="148"/>
      <c r="M31" s="148"/>
    </row>
    <row r="32" spans="1:13" ht="15" customHeight="1" x14ac:dyDescent="0.25"/>
  </sheetData>
  <mergeCells count="8">
    <mergeCell ref="F12:G12"/>
    <mergeCell ref="H12:I12"/>
    <mergeCell ref="J12:K12"/>
    <mergeCell ref="L12:M12"/>
    <mergeCell ref="F11:G11"/>
    <mergeCell ref="H11:I11"/>
    <mergeCell ref="J11:K11"/>
    <mergeCell ref="L11:M11"/>
  </mergeCells>
  <printOptions horizontalCentered="1"/>
  <pageMargins left="0.7" right="0.7" top="0.75" bottom="0.5" header="0.3" footer="0.3"/>
  <pageSetup scale="89" orientation="landscape"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BE26-9234-4D13-BEFE-E6869CA54542}">
  <sheetPr codeName="Sheet20"/>
  <dimension ref="A1:P41"/>
  <sheetViews>
    <sheetView view="pageBreakPreview" zoomScale="90" zoomScaleNormal="100" zoomScaleSheetLayoutView="90" workbookViewId="0">
      <selection activeCell="N22" sqref="N22"/>
    </sheetView>
  </sheetViews>
  <sheetFormatPr defaultColWidth="9.140625" defaultRowHeight="15" x14ac:dyDescent="0.25"/>
  <cols>
    <col min="1" max="1" width="29.28515625" style="140" customWidth="1"/>
    <col min="2" max="2" width="15.7109375" style="140" customWidth="1"/>
    <col min="3" max="3" width="1.7109375" style="140" customWidth="1"/>
    <col min="4" max="4" width="9.7109375" style="140" customWidth="1"/>
    <col min="5" max="5" width="1.7109375" style="140" customWidth="1"/>
    <col min="6" max="6" width="9.7109375" style="140" customWidth="1"/>
    <col min="7" max="7" width="1.85546875" style="140" customWidth="1"/>
    <col min="8" max="8" width="9.7109375" style="140" customWidth="1"/>
    <col min="9" max="9" width="1.85546875" style="140" customWidth="1"/>
    <col min="10" max="10" width="9.7109375" style="140" customWidth="1"/>
    <col min="11" max="11" width="1.7109375" style="140" customWidth="1"/>
    <col min="12" max="12" width="15.7109375" style="140" customWidth="1"/>
    <col min="13" max="13" width="1.7109375" style="140" customWidth="1"/>
    <col min="14" max="14" width="15.7109375" style="140" customWidth="1"/>
    <col min="15" max="15" width="1.42578125" style="140" customWidth="1"/>
    <col min="16" max="16384" width="9.140625" style="140"/>
  </cols>
  <sheetData>
    <row r="1" spans="1:16" ht="14.1" customHeight="1" x14ac:dyDescent="0.25">
      <c r="A1" s="11" t="s">
        <v>1</v>
      </c>
      <c r="B1" s="138"/>
      <c r="C1" s="138"/>
      <c r="D1" s="138"/>
      <c r="E1" s="138"/>
      <c r="F1" s="138"/>
      <c r="G1" s="138"/>
      <c r="H1" s="138"/>
      <c r="I1" s="138"/>
      <c r="J1" s="138"/>
      <c r="K1" s="138"/>
      <c r="L1" s="138"/>
      <c r="M1" s="138"/>
      <c r="N1" s="138"/>
      <c r="O1" s="138"/>
    </row>
    <row r="2" spans="1:16" x14ac:dyDescent="0.25">
      <c r="A2" s="10" t="s">
        <v>0</v>
      </c>
      <c r="B2" s="138"/>
      <c r="C2" s="138"/>
      <c r="D2" s="138"/>
      <c r="E2" s="138"/>
      <c r="F2" s="138"/>
      <c r="G2" s="138"/>
      <c r="H2" s="138"/>
      <c r="I2" s="138"/>
      <c r="J2" s="138"/>
      <c r="K2" s="138"/>
      <c r="L2" s="138"/>
      <c r="M2" s="138"/>
      <c r="N2" s="138"/>
      <c r="O2" s="138"/>
    </row>
    <row r="3" spans="1:16" ht="14.1" customHeight="1" x14ac:dyDescent="0.25">
      <c r="A3" s="95"/>
      <c r="B3" s="138"/>
      <c r="C3" s="138"/>
      <c r="D3" s="138"/>
      <c r="E3" s="138"/>
      <c r="F3" s="138"/>
      <c r="G3" s="138"/>
      <c r="H3" s="138"/>
      <c r="I3" s="138"/>
      <c r="J3" s="138"/>
      <c r="K3" s="138"/>
      <c r="L3" s="138"/>
      <c r="M3" s="138"/>
      <c r="N3" s="138"/>
      <c r="O3" s="138"/>
    </row>
    <row r="4" spans="1:16" x14ac:dyDescent="0.25">
      <c r="A4" s="9" t="s">
        <v>217</v>
      </c>
      <c r="B4" s="138"/>
      <c r="C4" s="138"/>
      <c r="D4" s="138"/>
      <c r="E4" s="138"/>
      <c r="F4" s="138"/>
      <c r="G4" s="138"/>
      <c r="H4" s="138"/>
      <c r="I4" s="138"/>
      <c r="J4" s="138"/>
      <c r="K4" s="138"/>
      <c r="L4" s="138"/>
      <c r="M4" s="138"/>
      <c r="N4" s="138"/>
      <c r="O4" s="138"/>
    </row>
    <row r="5" spans="1:16" ht="14.1" customHeight="1" x14ac:dyDescent="0.25">
      <c r="A5" s="138"/>
      <c r="B5" s="138"/>
      <c r="C5" s="138"/>
      <c r="D5" s="138"/>
      <c r="E5" s="138"/>
      <c r="F5" s="138"/>
      <c r="G5" s="138"/>
      <c r="H5" s="138"/>
      <c r="I5" s="138"/>
      <c r="J5" s="138"/>
      <c r="K5" s="138"/>
      <c r="L5" s="138"/>
      <c r="M5" s="138"/>
      <c r="N5" s="138"/>
      <c r="O5" s="138"/>
    </row>
    <row r="6" spans="1:16" ht="14.1" customHeight="1" x14ac:dyDescent="0.25">
      <c r="A6" s="138" t="s">
        <v>218</v>
      </c>
      <c r="B6" s="138"/>
      <c r="C6" s="138"/>
      <c r="D6" s="138"/>
      <c r="E6" s="138"/>
      <c r="F6" s="138"/>
      <c r="G6" s="138"/>
      <c r="H6" s="138"/>
      <c r="I6" s="138"/>
      <c r="J6" s="138"/>
      <c r="K6" s="138"/>
      <c r="L6" s="138"/>
      <c r="M6" s="138"/>
      <c r="N6" s="138"/>
      <c r="O6" s="138"/>
    </row>
    <row r="7" spans="1:16" x14ac:dyDescent="0.25">
      <c r="A7" s="138" t="s">
        <v>300</v>
      </c>
      <c r="B7" s="138"/>
      <c r="C7" s="138"/>
      <c r="D7" s="138"/>
      <c r="E7" s="138"/>
      <c r="F7" s="138"/>
      <c r="G7" s="138"/>
      <c r="H7" s="138"/>
      <c r="I7" s="138"/>
      <c r="J7" s="138"/>
      <c r="K7" s="138"/>
      <c r="L7" s="138"/>
      <c r="M7" s="138"/>
      <c r="N7" s="138"/>
      <c r="O7" s="138"/>
      <c r="P7" s="218"/>
    </row>
    <row r="8" spans="1:16" x14ac:dyDescent="0.25">
      <c r="A8" s="142"/>
      <c r="B8" s="142"/>
      <c r="C8" s="142"/>
      <c r="D8" s="142"/>
      <c r="E8" s="142"/>
      <c r="F8" s="142"/>
      <c r="G8" s="142"/>
      <c r="H8" s="142"/>
      <c r="I8" s="142"/>
      <c r="J8" s="142"/>
      <c r="K8" s="142"/>
      <c r="L8" s="142"/>
      <c r="M8" s="142"/>
      <c r="N8" s="142"/>
      <c r="O8" s="142"/>
    </row>
    <row r="9" spans="1:16" x14ac:dyDescent="0.25">
      <c r="A9" s="144" t="s">
        <v>161</v>
      </c>
      <c r="B9" s="146" t="s">
        <v>162</v>
      </c>
      <c r="C9" s="147"/>
      <c r="D9" s="146" t="s">
        <v>163</v>
      </c>
      <c r="E9" s="146"/>
      <c r="F9" s="146" t="s">
        <v>164</v>
      </c>
      <c r="G9" s="147"/>
      <c r="H9" s="311" t="s">
        <v>165</v>
      </c>
      <c r="I9" s="311"/>
      <c r="J9" s="311" t="s">
        <v>166</v>
      </c>
      <c r="K9" s="311"/>
      <c r="L9" s="311" t="s">
        <v>167</v>
      </c>
      <c r="M9" s="311"/>
      <c r="N9" s="311" t="s">
        <v>168</v>
      </c>
      <c r="O9" s="311"/>
    </row>
    <row r="10" spans="1:16" x14ac:dyDescent="0.25">
      <c r="A10" s="144"/>
      <c r="B10" s="147"/>
      <c r="C10" s="147"/>
      <c r="D10" s="149"/>
      <c r="E10" s="149"/>
      <c r="F10" s="147"/>
      <c r="G10" s="147"/>
      <c r="H10" s="147"/>
      <c r="I10" s="147"/>
      <c r="J10" s="142"/>
      <c r="K10" s="142"/>
      <c r="L10" s="147"/>
      <c r="M10" s="147"/>
      <c r="N10" s="142"/>
      <c r="O10" s="142"/>
    </row>
    <row r="11" spans="1:16" x14ac:dyDescent="0.25">
      <c r="A11" s="144"/>
      <c r="B11" s="147" t="s">
        <v>270</v>
      </c>
      <c r="C11" s="147"/>
      <c r="D11" s="150" t="s">
        <v>221</v>
      </c>
      <c r="E11" s="150"/>
      <c r="F11" s="147" t="s">
        <v>220</v>
      </c>
      <c r="G11" s="147"/>
      <c r="H11" s="310" t="s">
        <v>268</v>
      </c>
      <c r="I11" s="310"/>
      <c r="J11" s="310" t="s">
        <v>268</v>
      </c>
      <c r="K11" s="310"/>
      <c r="L11" s="310" t="s">
        <v>221</v>
      </c>
      <c r="M11" s="310"/>
      <c r="N11" s="310" t="s">
        <v>220</v>
      </c>
      <c r="O11" s="310"/>
    </row>
    <row r="12" spans="1:16" x14ac:dyDescent="0.25">
      <c r="A12" s="151" t="s">
        <v>41</v>
      </c>
      <c r="B12" s="153" t="s">
        <v>269</v>
      </c>
      <c r="C12" s="153"/>
      <c r="D12" s="152" t="s">
        <v>223</v>
      </c>
      <c r="E12" s="152"/>
      <c r="F12" s="152" t="s">
        <v>223</v>
      </c>
      <c r="G12" s="153"/>
      <c r="H12" s="309" t="s">
        <v>223</v>
      </c>
      <c r="I12" s="309"/>
      <c r="J12" s="309" t="s">
        <v>35</v>
      </c>
      <c r="K12" s="309"/>
      <c r="L12" s="309" t="s">
        <v>35</v>
      </c>
      <c r="M12" s="309"/>
      <c r="N12" s="309" t="s">
        <v>35</v>
      </c>
      <c r="O12" s="309"/>
    </row>
    <row r="13" spans="1:16" x14ac:dyDescent="0.25">
      <c r="A13" s="142"/>
      <c r="B13" s="142"/>
      <c r="C13" s="142"/>
      <c r="D13" s="142"/>
      <c r="E13" s="142"/>
      <c r="F13" s="142"/>
      <c r="G13" s="142"/>
      <c r="H13" s="142"/>
      <c r="I13" s="142"/>
      <c r="J13" s="142"/>
      <c r="K13" s="142"/>
      <c r="L13" s="142"/>
      <c r="M13" s="142"/>
      <c r="N13" s="142"/>
      <c r="O13" s="142"/>
    </row>
    <row r="14" spans="1:16" x14ac:dyDescent="0.25">
      <c r="A14" s="142" t="s">
        <v>299</v>
      </c>
      <c r="B14" s="206">
        <f>'Exhibit 14 PP'!H14</f>
        <v>0.31879617093042589</v>
      </c>
      <c r="C14" s="142"/>
      <c r="D14" s="213">
        <v>841.98</v>
      </c>
      <c r="E14" s="213"/>
      <c r="F14" s="213">
        <v>1110.4000000000001</v>
      </c>
      <c r="G14" s="142"/>
      <c r="H14" s="158">
        <f t="shared" ref="H14:H19" si="0">F14/D14-1</f>
        <v>0.31879617093042589</v>
      </c>
      <c r="I14" s="142"/>
      <c r="J14" s="158">
        <f t="shared" ref="J14:J19" si="1">N14/L14-1</f>
        <v>0.31879624331356138</v>
      </c>
      <c r="K14" s="169"/>
      <c r="L14" s="171">
        <v>3455825.2900000014</v>
      </c>
      <c r="M14" s="169"/>
      <c r="N14" s="215">
        <v>4557529.4100000011</v>
      </c>
      <c r="O14" s="169"/>
    </row>
    <row r="15" spans="1:16" x14ac:dyDescent="0.25">
      <c r="A15" s="142" t="s">
        <v>298</v>
      </c>
      <c r="B15" s="206">
        <f>'Exhibit 14 PP'!H15</f>
        <v>0.2115803221593382</v>
      </c>
      <c r="C15" s="142"/>
      <c r="D15" s="213">
        <v>91.88</v>
      </c>
      <c r="E15" s="213"/>
      <c r="F15" s="213">
        <v>111.32</v>
      </c>
      <c r="G15" s="142"/>
      <c r="H15" s="158">
        <f t="shared" si="0"/>
        <v>0.2115803221593382</v>
      </c>
      <c r="I15" s="142"/>
      <c r="J15" s="158">
        <f t="shared" si="1"/>
        <v>0.21153774024846905</v>
      </c>
      <c r="K15" s="169"/>
      <c r="L15" s="171">
        <v>31993.960000000021</v>
      </c>
      <c r="M15" s="169"/>
      <c r="N15" s="170">
        <v>38761.889999999934</v>
      </c>
      <c r="O15" s="169"/>
    </row>
    <row r="16" spans="1:16" x14ac:dyDescent="0.25">
      <c r="A16" s="142" t="s">
        <v>297</v>
      </c>
      <c r="B16" s="206">
        <f>'Exhibit 14 PP'!H16</f>
        <v>0.438399071925754</v>
      </c>
      <c r="C16" s="142"/>
      <c r="D16" s="213">
        <v>86.2</v>
      </c>
      <c r="E16" s="213"/>
      <c r="F16" s="213">
        <v>123.99</v>
      </c>
      <c r="G16" s="142"/>
      <c r="H16" s="158">
        <f t="shared" si="0"/>
        <v>0.438399071925754</v>
      </c>
      <c r="I16" s="142"/>
      <c r="J16" s="158">
        <f t="shared" si="1"/>
        <v>0.43840452436875732</v>
      </c>
      <c r="K16" s="169"/>
      <c r="L16" s="171">
        <v>573654.39000000036</v>
      </c>
      <c r="M16" s="169"/>
      <c r="N16" s="170">
        <v>825147.07000000018</v>
      </c>
      <c r="O16" s="169"/>
    </row>
    <row r="17" spans="1:16" x14ac:dyDescent="0.25">
      <c r="A17" s="142" t="s">
        <v>296</v>
      </c>
      <c r="B17" s="206">
        <f>'Exhibit 14 PP'!H17</f>
        <v>0.43896499238964992</v>
      </c>
      <c r="C17" s="142"/>
      <c r="D17" s="213">
        <v>32.85</v>
      </c>
      <c r="E17" s="213"/>
      <c r="F17" s="213">
        <v>47.27</v>
      </c>
      <c r="G17" s="142"/>
      <c r="H17" s="158">
        <f t="shared" si="0"/>
        <v>0.43896499238964992</v>
      </c>
      <c r="I17" s="142"/>
      <c r="J17" s="158">
        <f t="shared" si="1"/>
        <v>0.43874404556768654</v>
      </c>
      <c r="K17" s="169"/>
      <c r="L17" s="171">
        <v>40797.339999999713</v>
      </c>
      <c r="M17" s="169"/>
      <c r="N17" s="170">
        <v>58696.929999999986</v>
      </c>
      <c r="O17" s="169"/>
    </row>
    <row r="18" spans="1:16" x14ac:dyDescent="0.25">
      <c r="A18" s="142" t="s">
        <v>295</v>
      </c>
      <c r="B18" s="206"/>
      <c r="C18" s="142"/>
      <c r="D18" s="213">
        <v>191.24</v>
      </c>
      <c r="E18" s="213"/>
      <c r="F18" s="213">
        <v>191.24</v>
      </c>
      <c r="G18" s="142"/>
      <c r="H18" s="158">
        <f t="shared" si="0"/>
        <v>0</v>
      </c>
      <c r="I18" s="142"/>
      <c r="J18" s="158">
        <f t="shared" si="1"/>
        <v>0</v>
      </c>
      <c r="K18" s="169"/>
      <c r="L18" s="171">
        <v>336340.37999999995</v>
      </c>
      <c r="M18" s="169"/>
      <c r="N18" s="170">
        <v>336340.37999999995</v>
      </c>
      <c r="O18" s="169"/>
    </row>
    <row r="19" spans="1:16" x14ac:dyDescent="0.25">
      <c r="A19" s="142" t="s">
        <v>294</v>
      </c>
      <c r="B19" s="206"/>
      <c r="C19" s="142"/>
      <c r="D19" s="213">
        <v>163.06</v>
      </c>
      <c r="E19" s="213"/>
      <c r="F19" s="213">
        <v>163.06</v>
      </c>
      <c r="G19" s="142"/>
      <c r="H19" s="158">
        <f t="shared" si="0"/>
        <v>0</v>
      </c>
      <c r="I19" s="142"/>
      <c r="J19" s="158">
        <f t="shared" si="1"/>
        <v>0</v>
      </c>
      <c r="K19" s="169"/>
      <c r="L19" s="171">
        <v>230855.53999999995</v>
      </c>
      <c r="M19" s="169"/>
      <c r="N19" s="170">
        <v>230855.53999999995</v>
      </c>
      <c r="O19" s="169"/>
    </row>
    <row r="20" spans="1:16" x14ac:dyDescent="0.25">
      <c r="A20" s="142" t="s">
        <v>27</v>
      </c>
      <c r="B20" s="158"/>
      <c r="C20" s="142"/>
      <c r="D20" s="213"/>
      <c r="E20" s="213"/>
      <c r="F20" s="213"/>
      <c r="G20" s="142"/>
      <c r="H20" s="158"/>
      <c r="I20" s="142"/>
      <c r="J20" s="173"/>
      <c r="K20" s="158"/>
      <c r="L20" s="173"/>
      <c r="M20" s="158"/>
      <c r="N20" s="172"/>
      <c r="O20" s="158"/>
    </row>
    <row r="21" spans="1:16" x14ac:dyDescent="0.25">
      <c r="A21" s="141" t="s">
        <v>293</v>
      </c>
      <c r="B21" s="206">
        <f>'Exhibit 14 PP'!H21</f>
        <v>0.1212121212121211</v>
      </c>
      <c r="C21" s="142"/>
      <c r="D21" s="213">
        <v>6.93</v>
      </c>
      <c r="E21" s="213"/>
      <c r="F21" s="213">
        <v>7.77</v>
      </c>
      <c r="G21" s="142"/>
      <c r="H21" s="158">
        <f>F21/D21-1</f>
        <v>0.1212121212121211</v>
      </c>
      <c r="I21" s="142"/>
      <c r="J21" s="158">
        <f>N21/L21-1</f>
        <v>0.12128075455307274</v>
      </c>
      <c r="K21" s="169"/>
      <c r="L21" s="171">
        <v>13537.019999999953</v>
      </c>
      <c r="M21" s="169"/>
      <c r="N21" s="170">
        <v>15178.799999999983</v>
      </c>
      <c r="O21" s="169"/>
    </row>
    <row r="22" spans="1:16" x14ac:dyDescent="0.25">
      <c r="A22" s="142" t="s">
        <v>229</v>
      </c>
      <c r="B22" s="206"/>
      <c r="C22" s="142"/>
      <c r="D22" s="213">
        <v>18.170000000000002</v>
      </c>
      <c r="E22" s="213"/>
      <c r="F22" s="213">
        <v>20.350000000000001</v>
      </c>
      <c r="G22" s="142"/>
      <c r="H22" s="158">
        <f>F22/D22-1</f>
        <v>0.11997798569069884</v>
      </c>
      <c r="I22" s="142"/>
      <c r="J22" s="158">
        <f>N22/L22-1</f>
        <v>0.12029386878600667</v>
      </c>
      <c r="K22" s="142"/>
      <c r="L22" s="171">
        <v>37216.60999999995</v>
      </c>
      <c r="M22" s="169"/>
      <c r="N22" s="170">
        <v>41693.539999999928</v>
      </c>
      <c r="O22" s="142"/>
    </row>
    <row r="23" spans="1:16" s="141" customFormat="1" x14ac:dyDescent="0.25">
      <c r="A23" s="141" t="s">
        <v>28</v>
      </c>
      <c r="D23" s="220"/>
      <c r="E23" s="220"/>
      <c r="F23" s="220"/>
      <c r="P23" s="140"/>
    </row>
    <row r="24" spans="1:16" s="141" customFormat="1" x14ac:dyDescent="0.25">
      <c r="A24" s="141" t="s">
        <v>292</v>
      </c>
      <c r="B24" s="206">
        <f>'Exhibit 14 PP'!H24</f>
        <v>-7.1428571428571397E-2</v>
      </c>
      <c r="D24" s="213">
        <v>0.42</v>
      </c>
      <c r="E24" s="213"/>
      <c r="F24" s="213">
        <v>0.39</v>
      </c>
      <c r="H24" s="158">
        <f>F24/D24-1</f>
        <v>-7.1428571428571397E-2</v>
      </c>
      <c r="I24" s="142"/>
      <c r="J24" s="158">
        <f>N24/L24-1</f>
        <v>-8.8235294117647078E-2</v>
      </c>
      <c r="L24" s="171">
        <v>3.4000000000000004</v>
      </c>
      <c r="N24" s="171">
        <v>3.1</v>
      </c>
      <c r="P24" s="140"/>
    </row>
    <row r="25" spans="1:16" s="141" customFormat="1" x14ac:dyDescent="0.25">
      <c r="A25" s="141" t="s">
        <v>291</v>
      </c>
      <c r="B25" s="206">
        <f>'Exhibit 14 PP'!H25</f>
        <v>-7.8651685393258508E-2</v>
      </c>
      <c r="D25" s="213">
        <v>0.89</v>
      </c>
      <c r="E25" s="213"/>
      <c r="F25" s="213">
        <v>0.82</v>
      </c>
      <c r="H25" s="158">
        <f>F25/D25-1</f>
        <v>-7.8651685393258508E-2</v>
      </c>
      <c r="I25" s="142"/>
      <c r="J25" s="158">
        <f>N25/L25-1</f>
        <v>-7.3891625615763679E-2</v>
      </c>
      <c r="L25" s="171">
        <v>28.420000000000009</v>
      </c>
      <c r="N25" s="171">
        <v>26.320000000000004</v>
      </c>
      <c r="P25" s="140"/>
    </row>
    <row r="26" spans="1:16" s="141" customFormat="1" x14ac:dyDescent="0.25">
      <c r="A26" s="141" t="s">
        <v>290</v>
      </c>
      <c r="B26" s="206">
        <f>'Exhibit 14 PP'!H26</f>
        <v>-7.3033707865168607E-2</v>
      </c>
      <c r="D26" s="213">
        <v>1.78</v>
      </c>
      <c r="E26" s="213"/>
      <c r="F26" s="213">
        <v>1.65</v>
      </c>
      <c r="H26" s="158">
        <f>F26/D26-1</f>
        <v>-7.3033707865168607E-2</v>
      </c>
      <c r="I26" s="142"/>
      <c r="J26" s="158">
        <f>N26/L26-1</f>
        <v>-7.1830376460406908E-2</v>
      </c>
      <c r="L26" s="171">
        <v>46.220000000000013</v>
      </c>
      <c r="N26" s="171">
        <v>42.900000000000006</v>
      </c>
      <c r="P26" s="140"/>
    </row>
    <row r="27" spans="1:16" x14ac:dyDescent="0.25">
      <c r="A27" s="142"/>
      <c r="B27" s="164"/>
      <c r="C27" s="164"/>
      <c r="D27" s="164"/>
      <c r="E27" s="142"/>
      <c r="F27" s="164"/>
      <c r="G27" s="164"/>
      <c r="H27" s="164"/>
      <c r="I27" s="164"/>
      <c r="J27" s="142"/>
      <c r="K27" s="142"/>
      <c r="L27" s="171"/>
      <c r="M27" s="169"/>
      <c r="N27" s="170"/>
      <c r="O27" s="142"/>
    </row>
    <row r="28" spans="1:16" x14ac:dyDescent="0.25">
      <c r="A28" s="142" t="s">
        <v>233</v>
      </c>
      <c r="B28" s="155"/>
      <c r="C28" s="142"/>
      <c r="D28" s="165"/>
      <c r="E28" s="166"/>
      <c r="F28" s="155"/>
      <c r="G28" s="142"/>
      <c r="H28" s="158"/>
      <c r="I28" s="142"/>
      <c r="J28" s="158">
        <f>N28/L28-1</f>
        <v>0.29319698520680637</v>
      </c>
      <c r="K28" s="142"/>
      <c r="L28" s="172">
        <f>SUM(L14:L26)</f>
        <v>4720298.5700000012</v>
      </c>
      <c r="M28" s="158"/>
      <c r="N28" s="172">
        <f>SUM(N14:N26)</f>
        <v>6104275.8800000008</v>
      </c>
      <c r="O28" s="142"/>
    </row>
    <row r="29" spans="1:16" x14ac:dyDescent="0.25">
      <c r="B29" s="142"/>
      <c r="C29" s="142"/>
      <c r="D29" s="142"/>
      <c r="E29" s="142"/>
      <c r="F29" s="142"/>
      <c r="G29" s="142"/>
      <c r="H29" s="142"/>
      <c r="I29" s="142"/>
      <c r="J29" s="142"/>
      <c r="K29" s="142"/>
      <c r="L29" s="171"/>
      <c r="M29" s="169"/>
      <c r="N29" s="170"/>
      <c r="O29" s="142"/>
    </row>
    <row r="30" spans="1:16" x14ac:dyDescent="0.25">
      <c r="A30" s="142" t="s">
        <v>289</v>
      </c>
      <c r="B30" s="142"/>
      <c r="C30" s="142"/>
      <c r="D30" s="142"/>
      <c r="E30" s="142"/>
      <c r="F30" s="142"/>
      <c r="G30" s="142"/>
      <c r="H30" s="142"/>
      <c r="I30" s="142"/>
      <c r="J30" s="142"/>
      <c r="K30" s="142"/>
      <c r="L30" s="171"/>
      <c r="M30" s="169"/>
      <c r="N30" s="170"/>
      <c r="O30" s="142"/>
    </row>
    <row r="31" spans="1:16" x14ac:dyDescent="0.25">
      <c r="A31" s="167" t="s">
        <v>288</v>
      </c>
      <c r="B31" s="142"/>
      <c r="C31" s="142"/>
      <c r="D31" s="142"/>
      <c r="E31" s="142"/>
      <c r="F31" s="142"/>
      <c r="G31" s="142"/>
      <c r="H31" s="142"/>
      <c r="I31" s="142"/>
      <c r="J31" s="142"/>
      <c r="K31" s="142"/>
      <c r="L31" s="142"/>
      <c r="M31" s="142"/>
      <c r="N31" s="148"/>
      <c r="O31" s="142"/>
    </row>
    <row r="32" spans="1:16" x14ac:dyDescent="0.25">
      <c r="A32" s="167"/>
      <c r="B32" s="142"/>
      <c r="C32" s="142"/>
      <c r="D32" s="142"/>
      <c r="E32" s="142"/>
      <c r="F32" s="142"/>
      <c r="G32" s="142"/>
      <c r="H32" s="142"/>
      <c r="I32" s="142"/>
      <c r="J32" s="142"/>
      <c r="K32" s="142"/>
      <c r="L32" s="172"/>
      <c r="M32" s="142"/>
      <c r="N32" s="172"/>
      <c r="O32" s="142"/>
    </row>
    <row r="33" spans="1:15" x14ac:dyDescent="0.25">
      <c r="A33" s="141"/>
      <c r="B33" s="142"/>
      <c r="C33" s="142"/>
      <c r="D33" s="142"/>
      <c r="E33" s="142"/>
      <c r="F33" s="142"/>
      <c r="G33" s="142"/>
      <c r="H33" s="142"/>
      <c r="I33" s="142"/>
      <c r="J33" s="142"/>
      <c r="K33" s="142"/>
      <c r="L33" s="142"/>
      <c r="M33" s="142"/>
      <c r="N33" s="142"/>
      <c r="O33" s="142"/>
    </row>
    <row r="34" spans="1:15" x14ac:dyDescent="0.25">
      <c r="A34" s="167"/>
      <c r="B34" s="142"/>
      <c r="C34" s="142"/>
      <c r="D34" s="142"/>
      <c r="E34" s="142"/>
      <c r="F34" s="142"/>
      <c r="G34" s="142"/>
      <c r="H34" s="142"/>
      <c r="I34" s="142"/>
      <c r="J34" s="142"/>
      <c r="K34" s="142"/>
      <c r="L34" s="142"/>
      <c r="M34" s="142"/>
      <c r="N34" s="142"/>
      <c r="O34" s="142"/>
    </row>
    <row r="35" spans="1:15" x14ac:dyDescent="0.25">
      <c r="A35" s="141"/>
      <c r="B35" s="142"/>
      <c r="C35" s="142"/>
      <c r="D35" s="142"/>
      <c r="E35" s="142"/>
      <c r="F35" s="142"/>
      <c r="G35" s="142"/>
      <c r="H35" s="142"/>
      <c r="I35" s="142"/>
      <c r="J35" s="142"/>
      <c r="K35" s="142"/>
      <c r="L35" s="142"/>
      <c r="M35" s="142"/>
      <c r="N35" s="142"/>
      <c r="O35" s="142"/>
    </row>
    <row r="36" spans="1:15" x14ac:dyDescent="0.25">
      <c r="A36" s="141"/>
      <c r="B36" s="148"/>
      <c r="C36" s="148"/>
      <c r="D36" s="148"/>
      <c r="E36" s="148"/>
      <c r="F36" s="148"/>
      <c r="G36" s="148"/>
      <c r="H36" s="148"/>
      <c r="I36" s="148"/>
      <c r="J36" s="148"/>
      <c r="K36" s="168"/>
      <c r="L36" s="148"/>
      <c r="M36" s="148"/>
      <c r="N36" s="148"/>
      <c r="O36" s="168"/>
    </row>
    <row r="37" spans="1:15" ht="15" customHeight="1" x14ac:dyDescent="0.25">
      <c r="A37" s="148"/>
      <c r="B37" s="148"/>
      <c r="C37" s="148"/>
      <c r="D37" s="148"/>
      <c r="E37" s="148"/>
      <c r="F37" s="148"/>
      <c r="G37" s="148"/>
      <c r="H37" s="148"/>
      <c r="I37" s="148"/>
      <c r="J37" s="148"/>
      <c r="K37" s="168"/>
      <c r="L37" s="148"/>
      <c r="M37" s="148"/>
      <c r="N37" s="148"/>
      <c r="O37" s="168"/>
    </row>
    <row r="38" spans="1:15" x14ac:dyDescent="0.25">
      <c r="A38" s="148"/>
      <c r="B38" s="148"/>
      <c r="C38" s="148"/>
      <c r="D38" s="148"/>
      <c r="E38" s="148"/>
      <c r="F38" s="148"/>
      <c r="G38" s="148"/>
      <c r="H38" s="148"/>
      <c r="I38" s="148"/>
      <c r="J38" s="148"/>
      <c r="K38" s="168"/>
      <c r="L38" s="148"/>
      <c r="M38" s="148"/>
      <c r="N38" s="148"/>
      <c r="O38" s="168"/>
    </row>
    <row r="39" spans="1:15" ht="15.75" customHeight="1" x14ac:dyDescent="0.25">
      <c r="A39" s="148"/>
      <c r="B39" s="148"/>
      <c r="C39" s="148"/>
      <c r="D39" s="148"/>
      <c r="E39" s="148"/>
      <c r="F39" s="148"/>
      <c r="G39" s="148"/>
      <c r="H39" s="148"/>
      <c r="I39" s="148"/>
      <c r="J39" s="148"/>
      <c r="K39" s="148"/>
      <c r="L39" s="148"/>
      <c r="M39" s="148"/>
      <c r="N39" s="148"/>
      <c r="O39" s="148"/>
    </row>
    <row r="40" spans="1:15" ht="15" customHeight="1" x14ac:dyDescent="0.25">
      <c r="A40" s="148"/>
      <c r="B40" s="148"/>
      <c r="C40" s="148"/>
      <c r="D40" s="148"/>
      <c r="E40" s="148"/>
      <c r="F40" s="148"/>
      <c r="G40" s="148"/>
      <c r="H40" s="148"/>
      <c r="I40" s="148"/>
      <c r="J40" s="148"/>
      <c r="K40" s="148"/>
      <c r="L40" s="148"/>
      <c r="M40" s="148"/>
      <c r="N40" s="148"/>
      <c r="O40" s="148"/>
    </row>
    <row r="41" spans="1:15" ht="15" customHeight="1" x14ac:dyDescent="0.25"/>
  </sheetData>
  <mergeCells count="12">
    <mergeCell ref="H12:I12"/>
    <mergeCell ref="J12:K12"/>
    <mergeCell ref="L12:M12"/>
    <mergeCell ref="N12:O12"/>
    <mergeCell ref="H9:I9"/>
    <mergeCell ref="J9:K9"/>
    <mergeCell ref="L9:M9"/>
    <mergeCell ref="N9:O9"/>
    <mergeCell ref="H11:I11"/>
    <mergeCell ref="J11:K11"/>
    <mergeCell ref="L11:M11"/>
    <mergeCell ref="N11:O11"/>
  </mergeCells>
  <printOptions horizontalCentered="1"/>
  <pageMargins left="0.7" right="0.7" top="0.75" bottom="0.5" header="0.3" footer="0.3"/>
  <pageSetup scale="97" orientation="landscape"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9D2FA-996F-42AF-9AD1-E0AF9B586317}">
  <dimension ref="A1:M75"/>
  <sheetViews>
    <sheetView tabSelected="1" view="pageBreakPreview" zoomScaleNormal="85" zoomScaleSheetLayoutView="100" workbookViewId="0">
      <selection activeCell="M10" sqref="M10"/>
    </sheetView>
  </sheetViews>
  <sheetFormatPr defaultRowHeight="15" x14ac:dyDescent="0.25"/>
  <cols>
    <col min="1" max="2" width="14.5703125" customWidth="1"/>
    <col min="3" max="4" width="15.7109375" bestFit="1" customWidth="1"/>
    <col min="5" max="5" width="16.5703125" customWidth="1"/>
    <col min="6" max="6" width="20.140625" customWidth="1"/>
    <col min="7" max="7" width="12.7109375" customWidth="1"/>
    <col min="8" max="8" width="11.42578125" customWidth="1"/>
    <col min="9" max="9" width="11" customWidth="1"/>
    <col min="10" max="10" width="13.42578125" customWidth="1"/>
    <col min="11" max="11" width="12.28515625" customWidth="1"/>
    <col min="12" max="12" width="11.85546875" customWidth="1"/>
  </cols>
  <sheetData>
    <row r="1" spans="1:13" x14ac:dyDescent="0.25">
      <c r="A1" s="11" t="s">
        <v>1</v>
      </c>
      <c r="B1" s="138"/>
      <c r="C1" s="138"/>
      <c r="D1" s="138"/>
      <c r="E1" s="138"/>
      <c r="F1" s="138"/>
      <c r="G1" s="138"/>
      <c r="H1" s="138"/>
      <c r="I1" s="138"/>
      <c r="J1" s="138"/>
      <c r="K1" s="138"/>
      <c r="L1" s="138"/>
      <c r="M1" s="138"/>
    </row>
    <row r="2" spans="1:13" x14ac:dyDescent="0.25">
      <c r="A2" s="11" t="s">
        <v>174</v>
      </c>
      <c r="B2" s="138"/>
      <c r="C2" s="138"/>
      <c r="D2" s="138"/>
      <c r="E2" s="138"/>
      <c r="F2" s="138"/>
      <c r="G2" s="138"/>
      <c r="H2" s="138"/>
      <c r="I2" s="138"/>
      <c r="J2" s="138"/>
      <c r="K2" s="138"/>
      <c r="L2" s="138"/>
      <c r="M2" s="138"/>
    </row>
    <row r="4" spans="1:13" x14ac:dyDescent="0.25">
      <c r="A4" s="11" t="s">
        <v>324</v>
      </c>
      <c r="B4" s="138"/>
      <c r="C4" s="138"/>
      <c r="D4" s="138"/>
      <c r="E4" s="138"/>
      <c r="F4" s="138"/>
      <c r="G4" s="138"/>
      <c r="H4" s="138"/>
      <c r="I4" s="138"/>
      <c r="J4" s="138"/>
      <c r="K4" s="138"/>
      <c r="L4" s="138"/>
      <c r="M4" s="138"/>
    </row>
    <row r="7" spans="1:13" ht="78.75" customHeight="1" x14ac:dyDescent="0.25">
      <c r="A7" s="241" t="s">
        <v>41</v>
      </c>
      <c r="B7" s="241" t="s">
        <v>325</v>
      </c>
      <c r="C7" s="241" t="s">
        <v>326</v>
      </c>
      <c r="D7" s="241" t="s">
        <v>327</v>
      </c>
      <c r="E7" s="241" t="s">
        <v>328</v>
      </c>
      <c r="F7" s="242" t="s">
        <v>329</v>
      </c>
      <c r="G7" s="241" t="s">
        <v>64</v>
      </c>
      <c r="H7" s="241" t="s">
        <v>150</v>
      </c>
      <c r="I7" s="241" t="s">
        <v>330</v>
      </c>
      <c r="J7" s="241" t="s">
        <v>331</v>
      </c>
      <c r="K7" s="241" t="s">
        <v>332</v>
      </c>
      <c r="L7" s="241" t="s">
        <v>333</v>
      </c>
      <c r="M7" s="241" t="s">
        <v>334</v>
      </c>
    </row>
    <row r="8" spans="1:13" ht="15" customHeight="1" x14ac:dyDescent="0.25">
      <c r="A8" s="313" t="s">
        <v>233</v>
      </c>
      <c r="B8" s="248" t="s">
        <v>335</v>
      </c>
      <c r="C8" s="249">
        <f t="shared" ref="C8:E9" si="0">SUM(C17,C24,C30,C37,C46,C64)</f>
        <v>5741647491.2102814</v>
      </c>
      <c r="D8" s="249">
        <f t="shared" si="0"/>
        <v>5205941831.701951</v>
      </c>
      <c r="E8" s="249">
        <f t="shared" si="0"/>
        <v>278945304.55335188</v>
      </c>
      <c r="F8" s="250">
        <f>SUM(D8:E8)/C8</f>
        <v>0.95528106604453755</v>
      </c>
      <c r="G8" s="249">
        <f>SUM(G17,G24,G30,G37,G46,G64)</f>
        <v>843177</v>
      </c>
      <c r="H8" s="250">
        <f>ROUND(MIN(1,SQRT(G8/3000)),3)</f>
        <v>1</v>
      </c>
      <c r="I8" s="251"/>
      <c r="J8" s="250"/>
      <c r="K8" s="250"/>
      <c r="L8" s="250">
        <f>($C17*L17+$C24*L24+$C30*L30+$C37*L37+$C46*L46+$C64*L64)/$C8</f>
        <v>0.2613669413857494</v>
      </c>
      <c r="M8" s="250">
        <f>($C17*M17+$C24*M24+$C30*M30+$C37*M37+$C46*M46+$C64*M64)/$C8</f>
        <v>0.2330198420198907</v>
      </c>
    </row>
    <row r="9" spans="1:13" x14ac:dyDescent="0.25">
      <c r="A9" s="314"/>
      <c r="B9" s="248" t="s">
        <v>336</v>
      </c>
      <c r="C9" s="249">
        <f t="shared" si="0"/>
        <v>19617519.982529219</v>
      </c>
      <c r="D9" s="249">
        <f t="shared" si="0"/>
        <v>16367791.605167156</v>
      </c>
      <c r="E9" s="249">
        <f t="shared" si="0"/>
        <v>92621.026915112816</v>
      </c>
      <c r="F9" s="250">
        <f t="shared" ref="F9:F14" si="1">SUM(D9:E9)/C9</f>
        <v>0.83906694866330822</v>
      </c>
      <c r="G9" s="249">
        <f>SUM(G18,G25,G31,G38,G47,G65)</f>
        <v>1811</v>
      </c>
      <c r="H9" s="250">
        <f t="shared" ref="H9:H13" si="2">ROUND(MIN(1,SQRT(G9/3000)),3)</f>
        <v>0.77700000000000002</v>
      </c>
      <c r="I9" s="251"/>
      <c r="J9" s="250"/>
      <c r="K9" s="250"/>
      <c r="L9" s="250">
        <f>($C18*L18+$C25*L25+$C31*L31+$C38*L38+$C47*L47+$C65*L65)/$C9</f>
        <v>0.21460980347011271</v>
      </c>
      <c r="M9" s="250">
        <f>($C18*M18+$C25*M25+$C31*M31+$C38*M38+$C47*M47+$C65*M65)/$C9</f>
        <v>0.15786053977226677</v>
      </c>
    </row>
    <row r="10" spans="1:13" x14ac:dyDescent="0.25">
      <c r="A10" s="314"/>
      <c r="B10" s="248" t="s">
        <v>337</v>
      </c>
      <c r="C10" s="249">
        <f>SUM(C19,C26,C32,C57)</f>
        <v>9191639.291863367</v>
      </c>
      <c r="D10" s="249">
        <f>SUM(D19,D26,D32,D57)</f>
        <v>18102751.928519469</v>
      </c>
      <c r="E10" s="249">
        <f>SUM(E19,E26,E32,E57)</f>
        <v>514535.84163667052</v>
      </c>
      <c r="F10" s="250">
        <f t="shared" si="1"/>
        <v>2.0254589175008806</v>
      </c>
      <c r="G10" s="249">
        <f>SUM(G19,G26,G32,G57)</f>
        <v>811</v>
      </c>
      <c r="H10" s="250">
        <f t="shared" si="2"/>
        <v>0.52</v>
      </c>
      <c r="I10" s="251"/>
      <c r="J10" s="250"/>
      <c r="K10" s="250"/>
      <c r="L10" s="250">
        <f>($C19*L19+$C26*L26+$C32*L32+$C57*L57)/$C10</f>
        <v>0.92529052004181722</v>
      </c>
      <c r="M10" s="252">
        <f>(C19*M19+C26*M26+C32*M32+C57*M57)/C10</f>
        <v>0.88515303141788693</v>
      </c>
    </row>
    <row r="11" spans="1:13" x14ac:dyDescent="0.25">
      <c r="A11" s="314"/>
      <c r="B11" s="248" t="s">
        <v>338</v>
      </c>
      <c r="C11" s="249">
        <f>C58</f>
        <v>12965297.537078202</v>
      </c>
      <c r="D11" s="249">
        <f>D58</f>
        <v>16722566.664813105</v>
      </c>
      <c r="E11" s="249">
        <f>E58</f>
        <v>18188.654945929586</v>
      </c>
      <c r="F11" s="250">
        <f t="shared" si="1"/>
        <v>1.29119715701732</v>
      </c>
      <c r="G11" s="249">
        <f>G58</f>
        <v>1272</v>
      </c>
      <c r="H11" s="250">
        <f t="shared" si="2"/>
        <v>0.65100000000000002</v>
      </c>
      <c r="I11" s="251"/>
      <c r="J11" s="250"/>
      <c r="K11" s="250"/>
      <c r="L11" s="250">
        <f>($C58*L58)/$C11</f>
        <v>0.59799999999999998</v>
      </c>
      <c r="M11" s="250">
        <f>($C58*M58)/$C11</f>
        <v>0.59799999999999998</v>
      </c>
    </row>
    <row r="12" spans="1:13" x14ac:dyDescent="0.25">
      <c r="A12" s="314"/>
      <c r="B12" s="248" t="s">
        <v>339</v>
      </c>
      <c r="C12" s="249">
        <f>SUM(C41,C50,C66)</f>
        <v>2177000.7923552799</v>
      </c>
      <c r="D12" s="249">
        <f>SUM(D41,D50,D66)</f>
        <v>2389547.2130547222</v>
      </c>
      <c r="E12" s="249">
        <f>SUM(E41,E50,E66)</f>
        <v>0</v>
      </c>
      <c r="F12" s="250">
        <f t="shared" si="1"/>
        <v>1.0976326795313152</v>
      </c>
      <c r="G12" s="249">
        <f>SUM(G41,G50,G66)</f>
        <v>304</v>
      </c>
      <c r="H12" s="250">
        <f t="shared" si="2"/>
        <v>0.318</v>
      </c>
      <c r="I12" s="251"/>
      <c r="J12" s="250"/>
      <c r="K12" s="250"/>
      <c r="L12" s="250">
        <f>($C41*L41+$C50*L50+$C66*L66)/$C12</f>
        <v>0.29441928976789761</v>
      </c>
      <c r="M12" s="250">
        <f>($C41*M41+$C50*M50+$C66*M66)/$C12</f>
        <v>0.2283651450262309</v>
      </c>
    </row>
    <row r="13" spans="1:13" x14ac:dyDescent="0.25">
      <c r="A13" s="314"/>
      <c r="B13" s="248" t="s">
        <v>340</v>
      </c>
      <c r="C13" s="249">
        <f>SUM(C20,C33,C42,C51)</f>
        <v>47791342.628288537</v>
      </c>
      <c r="D13" s="249">
        <f>SUM(D20,D33,D42,D51)</f>
        <v>41255928.871573821</v>
      </c>
      <c r="E13" s="249">
        <f>SUM(E20,E33,E42,E51)</f>
        <v>967674.93176991981</v>
      </c>
      <c r="F13" s="250">
        <f t="shared" si="1"/>
        <v>0.88349900800549697</v>
      </c>
      <c r="G13" s="249">
        <f>SUM(G20,G33,G42,G51)</f>
        <v>2637</v>
      </c>
      <c r="H13" s="250">
        <f t="shared" si="2"/>
        <v>0.93799999999999994</v>
      </c>
      <c r="I13" s="251"/>
      <c r="J13" s="250"/>
      <c r="K13" s="250"/>
      <c r="L13" s="250">
        <f>($C20*L20+$C33*L33+$C42*L42+$C51*L51)/$C13</f>
        <v>0.25417951711382952</v>
      </c>
      <c r="M13" s="250">
        <f>($C20*M20+$C33*M33+$C42*M42+$C51*M51)/$C13</f>
        <v>0.1150209905909209</v>
      </c>
    </row>
    <row r="14" spans="1:13" x14ac:dyDescent="0.25">
      <c r="A14" s="315"/>
      <c r="B14" s="253" t="s">
        <v>341</v>
      </c>
      <c r="C14" s="249">
        <f>SUM(C21,C27,C34,C43,C52,C67)</f>
        <v>5819998255.057869</v>
      </c>
      <c r="D14" s="249">
        <f>SUM(D21,D27,D34,D43,D52,D67)</f>
        <v>5300842388.2564669</v>
      </c>
      <c r="E14" s="249">
        <f>SUM(E21,E27,E34,E43,E52,E67)</f>
        <v>280538325.00861949</v>
      </c>
      <c r="F14" s="250">
        <f t="shared" si="1"/>
        <v>0.95900041007994941</v>
      </c>
      <c r="G14" s="249">
        <f>SUM(G21,G27,G34,G43,G52,G67)</f>
        <v>850291</v>
      </c>
      <c r="H14" s="254"/>
      <c r="I14" s="252">
        <v>0.28367241288134831</v>
      </c>
      <c r="J14" s="250"/>
      <c r="K14" s="250"/>
      <c r="L14" s="250">
        <f>SUMPRODUCT(L8:L13,$C$8:$C$13)/$C$14</f>
        <v>0.26356256552378116</v>
      </c>
      <c r="M14" s="250">
        <f>SUMPRODUCT(M8:M13,$C$8:$C$13)/$C$14</f>
        <v>0.23417499076176523</v>
      </c>
    </row>
    <row r="15" spans="1:13" x14ac:dyDescent="0.25">
      <c r="A15" s="235"/>
      <c r="B15" s="90"/>
      <c r="C15" s="243"/>
      <c r="D15" s="90"/>
      <c r="E15" s="90"/>
      <c r="F15" s="244"/>
      <c r="G15" s="90"/>
      <c r="H15" s="90"/>
      <c r="I15" s="90"/>
      <c r="J15" s="245"/>
      <c r="K15" s="246"/>
      <c r="L15" s="90"/>
      <c r="M15" s="90"/>
    </row>
    <row r="16" spans="1:13" x14ac:dyDescent="0.25">
      <c r="A16" s="235"/>
      <c r="B16" s="90"/>
      <c r="C16" s="90"/>
      <c r="D16" s="90"/>
      <c r="E16" s="243"/>
      <c r="F16" s="244"/>
      <c r="G16" s="90"/>
      <c r="H16" s="90"/>
      <c r="I16" s="90"/>
      <c r="J16" s="90"/>
      <c r="K16" s="90"/>
      <c r="L16" s="90"/>
      <c r="M16" s="90"/>
    </row>
    <row r="17" spans="1:13" x14ac:dyDescent="0.25">
      <c r="A17" s="313" t="s">
        <v>130</v>
      </c>
      <c r="B17" s="248" t="s">
        <v>335</v>
      </c>
      <c r="C17" s="255">
        <v>2166954728.6418223</v>
      </c>
      <c r="D17" s="249">
        <v>2046898074.5175774</v>
      </c>
      <c r="E17" s="249">
        <v>237583624.80134225</v>
      </c>
      <c r="F17" s="250">
        <f t="shared" ref="F17:F21" si="3">SUM(D17:E17)/C17</f>
        <v>1.0542360064673615</v>
      </c>
      <c r="G17" s="249">
        <v>130752</v>
      </c>
      <c r="H17" s="256">
        <f t="shared" ref="H17:H20" si="4">ROUND(MIN(1,SQRT(G17/3000)),3)</f>
        <v>1</v>
      </c>
      <c r="I17" s="251"/>
      <c r="J17" s="250">
        <f>ROUND(F17/$F$21*(1+$I$21)-1,3)</f>
        <v>0.314</v>
      </c>
      <c r="K17" s="250">
        <f>ROUND(H17*J17+(1-H17)*$J$21,3)</f>
        <v>0.314</v>
      </c>
      <c r="L17" s="252">
        <f>ROUND((1+K17)*$K$22-1,3)</f>
        <v>0.317</v>
      </c>
      <c r="M17" s="252">
        <f>(C21*M21-SUMPRODUCT(C18:C20,M18:M20))/C17</f>
        <v>0.31743826468688552</v>
      </c>
    </row>
    <row r="18" spans="1:13" x14ac:dyDescent="0.25">
      <c r="A18" s="314"/>
      <c r="B18" s="248" t="s">
        <v>336</v>
      </c>
      <c r="C18" s="255">
        <v>1914910.7513069729</v>
      </c>
      <c r="D18" s="249">
        <v>2202052.939000505</v>
      </c>
      <c r="E18" s="249">
        <v>89078.627368011556</v>
      </c>
      <c r="F18" s="250">
        <f t="shared" si="3"/>
        <v>1.1964691121007931</v>
      </c>
      <c r="G18" s="249">
        <v>168</v>
      </c>
      <c r="H18" s="256">
        <f t="shared" si="4"/>
        <v>0.23699999999999999</v>
      </c>
      <c r="I18" s="251"/>
      <c r="J18" s="250">
        <f t="shared" ref="J18:J20" si="5">ROUND(F18/$F$21*(1+$I$21)-1,3)</f>
        <v>0.49199999999999999</v>
      </c>
      <c r="K18" s="250">
        <f t="shared" ref="K18:K20" si="6">ROUND(H18*J18+(1-H18)*$J$21,3)</f>
        <v>0.35699999999999998</v>
      </c>
      <c r="L18" s="252">
        <f t="shared" ref="L18:L20" si="7">ROUND((1+K18)*$K$22-1,3)</f>
        <v>0.36</v>
      </c>
      <c r="M18" s="257">
        <v>0.36</v>
      </c>
    </row>
    <row r="19" spans="1:13" x14ac:dyDescent="0.25">
      <c r="A19" s="314"/>
      <c r="B19" s="248" t="s">
        <v>337</v>
      </c>
      <c r="C19" s="255">
        <v>912255.93819154496</v>
      </c>
      <c r="D19" s="249">
        <v>1831163.2838574909</v>
      </c>
      <c r="E19" s="249">
        <v>290824.13704852457</v>
      </c>
      <c r="F19" s="250">
        <f t="shared" si="3"/>
        <v>2.3260878138131291</v>
      </c>
      <c r="G19" s="249">
        <v>31</v>
      </c>
      <c r="H19" s="256">
        <f t="shared" si="4"/>
        <v>0.10199999999999999</v>
      </c>
      <c r="I19" s="251"/>
      <c r="J19" s="250">
        <f t="shared" si="5"/>
        <v>1.9</v>
      </c>
      <c r="K19" s="250">
        <f t="shared" si="6"/>
        <v>0.47699999999999998</v>
      </c>
      <c r="L19" s="252">
        <f t="shared" si="7"/>
        <v>0.48099999999999998</v>
      </c>
      <c r="M19" s="257">
        <v>0.48</v>
      </c>
    </row>
    <row r="20" spans="1:13" x14ac:dyDescent="0.25">
      <c r="A20" s="314"/>
      <c r="B20" s="248" t="s">
        <v>340</v>
      </c>
      <c r="C20" s="255">
        <v>6070667.0657849517</v>
      </c>
      <c r="D20" s="249">
        <v>5677216.1979081752</v>
      </c>
      <c r="E20" s="249">
        <v>760370.47486453771</v>
      </c>
      <c r="F20" s="250">
        <f t="shared" si="3"/>
        <v>1.0604413984512124</v>
      </c>
      <c r="G20" s="249">
        <v>443</v>
      </c>
      <c r="H20" s="256">
        <f t="shared" si="4"/>
        <v>0.38400000000000001</v>
      </c>
      <c r="I20" s="251"/>
      <c r="J20" s="250">
        <f t="shared" si="5"/>
        <v>0.32200000000000001</v>
      </c>
      <c r="K20" s="250">
        <f t="shared" si="6"/>
        <v>0.318</v>
      </c>
      <c r="L20" s="252">
        <f t="shared" si="7"/>
        <v>0.32100000000000001</v>
      </c>
      <c r="M20" s="257">
        <v>0.23</v>
      </c>
    </row>
    <row r="21" spans="1:13" x14ac:dyDescent="0.25">
      <c r="A21" s="315"/>
      <c r="B21" s="253" t="s">
        <v>341</v>
      </c>
      <c r="C21" s="255">
        <v>2171062430.38061</v>
      </c>
      <c r="D21" s="249">
        <v>2056611989.1289589</v>
      </c>
      <c r="E21" s="249">
        <v>238723898.04062331</v>
      </c>
      <c r="F21" s="250">
        <f t="shared" si="3"/>
        <v>1.0572408490193375</v>
      </c>
      <c r="G21" s="249">
        <v>131396</v>
      </c>
      <c r="H21" s="254"/>
      <c r="I21" s="252">
        <v>0.318</v>
      </c>
      <c r="J21" s="250">
        <f>SUMPRODUCT(J17:J20,$C$17:$C$20)/$C$21</f>
        <v>0.3155385825735213</v>
      </c>
      <c r="K21" s="250">
        <f>SUMPRODUCT(K17:K20,$C$17:$C$20)/$C$21</f>
        <v>0.31481039724010418</v>
      </c>
      <c r="L21" s="250">
        <f>SUMPRODUCT(L17:L20,$C$17:$C$20)/$C$21</f>
        <v>0.31781743649046096</v>
      </c>
      <c r="M21" s="252">
        <v>0.318</v>
      </c>
    </row>
    <row r="22" spans="1:13" x14ac:dyDescent="0.25">
      <c r="A22" s="235"/>
      <c r="B22" s="90"/>
      <c r="C22" s="243"/>
      <c r="D22" s="90"/>
      <c r="E22" s="90"/>
      <c r="F22" s="244"/>
      <c r="G22" s="90"/>
      <c r="H22" s="90"/>
      <c r="I22" s="90"/>
      <c r="J22" s="258" t="s">
        <v>342</v>
      </c>
      <c r="K22" s="259">
        <f>ROUND((1+I21)/(1+K21),4)</f>
        <v>1.0024</v>
      </c>
      <c r="L22" s="247"/>
      <c r="M22" s="90"/>
    </row>
    <row r="23" spans="1:13" x14ac:dyDescent="0.25">
      <c r="A23" s="235"/>
      <c r="B23" s="90"/>
      <c r="C23" s="90"/>
      <c r="D23" s="90"/>
      <c r="E23" s="90"/>
      <c r="F23" s="244"/>
      <c r="G23" s="90"/>
      <c r="H23" s="90"/>
      <c r="I23" s="90"/>
      <c r="J23" s="90"/>
      <c r="K23" s="90"/>
      <c r="L23" s="90"/>
      <c r="M23" s="90"/>
    </row>
    <row r="24" spans="1:13" x14ac:dyDescent="0.25">
      <c r="A24" s="313" t="s">
        <v>131</v>
      </c>
      <c r="B24" s="248" t="s">
        <v>335</v>
      </c>
      <c r="C24" s="255">
        <v>87214748.940359622</v>
      </c>
      <c r="D24" s="249">
        <v>84315527.199958041</v>
      </c>
      <c r="E24" s="249">
        <v>458693.76049261756</v>
      </c>
      <c r="F24" s="250">
        <f t="shared" ref="F24:F27" si="8">SUM(D24:E24)/C24</f>
        <v>0.97201702682675983</v>
      </c>
      <c r="G24" s="249">
        <v>10316</v>
      </c>
      <c r="H24" s="256">
        <f t="shared" ref="H24:H26" si="9">ROUND(MIN(1,SQRT(G24/3000)),3)</f>
        <v>1</v>
      </c>
      <c r="I24" s="251"/>
      <c r="J24" s="250">
        <f>ROUND(F24/$F$27*(1+$I$27)-1,3)</f>
        <v>0.21099999999999999</v>
      </c>
      <c r="K24" s="250">
        <f>ROUND(H24*J24+(1-H24)*$J$27,3)</f>
        <v>0.21099999999999999</v>
      </c>
      <c r="L24" s="252">
        <f>ROUND((1+K24)*$K$28-1,3)</f>
        <v>0.21</v>
      </c>
      <c r="M24" s="252">
        <f>(C27*M27-SUMPRODUCT(C25:C26,M25:M26))/C24</f>
        <v>0.21066393136375228</v>
      </c>
    </row>
    <row r="25" spans="1:13" x14ac:dyDescent="0.25">
      <c r="A25" s="314"/>
      <c r="B25" s="248" t="s">
        <v>336</v>
      </c>
      <c r="C25" s="255">
        <v>137744.65663416917</v>
      </c>
      <c r="D25" s="249">
        <v>65551.444187442103</v>
      </c>
      <c r="E25" s="249">
        <v>0</v>
      </c>
      <c r="F25" s="250">
        <f t="shared" si="8"/>
        <v>0.47589101304697218</v>
      </c>
      <c r="G25" s="249">
        <v>7</v>
      </c>
      <c r="H25" s="256">
        <f t="shared" si="9"/>
        <v>4.8000000000000001E-2</v>
      </c>
      <c r="I25" s="251"/>
      <c r="J25" s="250">
        <f t="shared" ref="J25:J26" si="10">ROUND(F25/$F$27*(1+$I$27)-1,3)</f>
        <v>-0.40699999999999997</v>
      </c>
      <c r="K25" s="250">
        <f t="shared" ref="K25:K26" si="11">ROUND(H25*J25+(1-H25)*$J$27,3)</f>
        <v>0.17799999999999999</v>
      </c>
      <c r="L25" s="252">
        <f t="shared" ref="L25:L26" si="12">ROUND((1+K25)*$K$28-1,3)</f>
        <v>0.17699999999999999</v>
      </c>
      <c r="M25" s="257">
        <v>0</v>
      </c>
    </row>
    <row r="26" spans="1:13" x14ac:dyDescent="0.25">
      <c r="A26" s="314"/>
      <c r="B26" s="248" t="s">
        <v>337</v>
      </c>
      <c r="C26" s="255">
        <v>328203.75748312974</v>
      </c>
      <c r="D26" s="249">
        <v>120447.01790803223</v>
      </c>
      <c r="E26" s="249">
        <v>4533.6020705839555</v>
      </c>
      <c r="F26" s="250">
        <f t="shared" si="8"/>
        <v>0.38080191688555065</v>
      </c>
      <c r="G26" s="249">
        <v>21</v>
      </c>
      <c r="H26" s="256">
        <f t="shared" si="9"/>
        <v>8.4000000000000005E-2</v>
      </c>
      <c r="I26" s="251"/>
      <c r="J26" s="250">
        <f t="shared" si="10"/>
        <v>-0.52500000000000002</v>
      </c>
      <c r="K26" s="250">
        <f t="shared" si="11"/>
        <v>0.14599999999999999</v>
      </c>
      <c r="L26" s="252">
        <f t="shared" si="12"/>
        <v>0.14499999999999999</v>
      </c>
      <c r="M26" s="257">
        <v>0</v>
      </c>
    </row>
    <row r="27" spans="1:13" x14ac:dyDescent="0.25">
      <c r="A27" s="315"/>
      <c r="B27" s="253" t="s">
        <v>341</v>
      </c>
      <c r="C27" s="255">
        <v>87490485.165137172</v>
      </c>
      <c r="D27" s="249">
        <v>84501525.662053496</v>
      </c>
      <c r="E27" s="249">
        <v>463227.36256320152</v>
      </c>
      <c r="F27" s="250">
        <f t="shared" si="8"/>
        <v>0.97113135061769085</v>
      </c>
      <c r="G27" s="249">
        <v>10344</v>
      </c>
      <c r="H27" s="254"/>
      <c r="I27" s="252">
        <v>0.21027988357247082</v>
      </c>
      <c r="J27" s="250">
        <f>SUMPRODUCT(J24:J26,$C$24:$C$26)/$C$27</f>
        <v>0.20772479366395152</v>
      </c>
      <c r="K27" s="250">
        <f>SUMPRODUCT(K24:K26,$C$24:$C$26)/$C$27</f>
        <v>0.21116294290765961</v>
      </c>
      <c r="L27" s="250">
        <f>SUMPRODUCT(L24:L26,$C$24:$C$26)/$C$27</f>
        <v>0.2101607688176545</v>
      </c>
      <c r="M27" s="252">
        <v>0.21</v>
      </c>
    </row>
    <row r="28" spans="1:13" x14ac:dyDescent="0.25">
      <c r="A28" s="260"/>
      <c r="B28" s="261"/>
      <c r="C28" s="261"/>
      <c r="D28" s="261"/>
      <c r="E28" s="261"/>
      <c r="F28" s="262"/>
      <c r="G28" s="261"/>
      <c r="H28" s="261"/>
      <c r="I28" s="261"/>
      <c r="J28" s="258" t="s">
        <v>342</v>
      </c>
      <c r="K28" s="259">
        <f>ROUND((1+I27)/(1+K27),4)</f>
        <v>0.99929999999999997</v>
      </c>
      <c r="L28" s="261"/>
      <c r="M28" s="261"/>
    </row>
    <row r="29" spans="1:13" x14ac:dyDescent="0.25">
      <c r="A29" s="260"/>
      <c r="B29" s="261"/>
      <c r="C29" s="261"/>
      <c r="D29" s="261"/>
      <c r="E29" s="261"/>
      <c r="F29" s="262"/>
      <c r="G29" s="261"/>
      <c r="H29" s="261"/>
      <c r="I29" s="261"/>
      <c r="J29" s="261"/>
      <c r="K29" s="261"/>
      <c r="L29" s="261"/>
      <c r="M29" s="261"/>
    </row>
    <row r="30" spans="1:13" x14ac:dyDescent="0.25">
      <c r="A30" s="313" t="s">
        <v>132</v>
      </c>
      <c r="B30" s="248" t="s">
        <v>335</v>
      </c>
      <c r="C30" s="255">
        <v>415648339.5320164</v>
      </c>
      <c r="D30" s="249">
        <v>446627880.26718539</v>
      </c>
      <c r="E30" s="249">
        <v>33359198.733422384</v>
      </c>
      <c r="F30" s="250">
        <f t="shared" ref="F30:F34" si="13">SUM(D30:E30)/C30</f>
        <v>1.1547912823157942</v>
      </c>
      <c r="G30" s="249">
        <v>18955</v>
      </c>
      <c r="H30" s="256">
        <f t="shared" ref="H30:H33" si="14">ROUND(MIN(1,SQRT(G30/3000)),3)</f>
        <v>1</v>
      </c>
      <c r="I30" s="251"/>
      <c r="J30" s="250">
        <f>ROUND(F30/$F$34*(1+$I$34)-1,3)</f>
        <v>0.439</v>
      </c>
      <c r="K30" s="250">
        <f>ROUND(H30*J30+(1-H30)*$J$34,3)</f>
        <v>0.439</v>
      </c>
      <c r="L30" s="252">
        <f>ROUND((1+K30)*$K$35-1,3)</f>
        <v>0.435</v>
      </c>
      <c r="M30" s="252">
        <f>(C34*M34-SUMPRODUCT(C31:C33,M31:M33))/C30</f>
        <v>0.4361798258287643</v>
      </c>
    </row>
    <row r="31" spans="1:13" x14ac:dyDescent="0.25">
      <c r="A31" s="314"/>
      <c r="B31" s="248" t="s">
        <v>336</v>
      </c>
      <c r="C31" s="255">
        <v>553584.25712178519</v>
      </c>
      <c r="D31" s="249">
        <v>360672.47035929724</v>
      </c>
      <c r="E31" s="249">
        <v>0</v>
      </c>
      <c r="F31" s="250">
        <f t="shared" si="13"/>
        <v>0.65152226733201968</v>
      </c>
      <c r="G31" s="249">
        <v>6</v>
      </c>
      <c r="H31" s="256">
        <f t="shared" si="14"/>
        <v>4.4999999999999998E-2</v>
      </c>
      <c r="I31" s="251"/>
      <c r="J31" s="250">
        <f t="shared" ref="J31:J33" si="15">ROUND(F31/$F$34*(1+$I$34)-1,3)</f>
        <v>-0.188</v>
      </c>
      <c r="K31" s="250">
        <f t="shared" ref="K31:K33" si="16">ROUND(H31*J31+(1-H31)*$J$34,3)</f>
        <v>0.40300000000000002</v>
      </c>
      <c r="L31" s="252">
        <f t="shared" ref="L31:L33" si="17">ROUND((1+K31)*$K$35-1,3)</f>
        <v>0.39900000000000002</v>
      </c>
      <c r="M31" s="257">
        <v>0</v>
      </c>
    </row>
    <row r="32" spans="1:13" x14ac:dyDescent="0.25">
      <c r="A32" s="314"/>
      <c r="B32" s="248" t="s">
        <v>337</v>
      </c>
      <c r="C32" s="255">
        <v>482929.51074048493</v>
      </c>
      <c r="D32" s="249">
        <v>840718.90721415344</v>
      </c>
      <c r="E32" s="249">
        <v>182822.86559839715</v>
      </c>
      <c r="F32" s="250">
        <f t="shared" si="13"/>
        <v>2.1194434178253774</v>
      </c>
      <c r="G32" s="249">
        <v>8</v>
      </c>
      <c r="H32" s="256">
        <f t="shared" si="14"/>
        <v>5.1999999999999998E-2</v>
      </c>
      <c r="I32" s="251"/>
      <c r="J32" s="250">
        <f t="shared" si="15"/>
        <v>1.641</v>
      </c>
      <c r="K32" s="250">
        <f t="shared" si="16"/>
        <v>0.49399999999999999</v>
      </c>
      <c r="L32" s="252">
        <f t="shared" si="17"/>
        <v>0.49</v>
      </c>
      <c r="M32" s="257">
        <v>0.47599999999999998</v>
      </c>
    </row>
    <row r="33" spans="1:13" x14ac:dyDescent="0.25">
      <c r="A33" s="314"/>
      <c r="B33" s="248" t="s">
        <v>340</v>
      </c>
      <c r="C33" s="255">
        <v>12285842.214958772</v>
      </c>
      <c r="D33" s="249">
        <v>10702520.49001994</v>
      </c>
      <c r="E33" s="249">
        <v>151890.69303790716</v>
      </c>
      <c r="F33" s="250">
        <f t="shared" si="13"/>
        <v>0.88348938502904828</v>
      </c>
      <c r="G33" s="249">
        <v>213</v>
      </c>
      <c r="H33" s="256">
        <f t="shared" si="14"/>
        <v>0.26600000000000001</v>
      </c>
      <c r="I33" s="251"/>
      <c r="J33" s="250">
        <f t="shared" si="15"/>
        <v>0.10100000000000001</v>
      </c>
      <c r="K33" s="250">
        <f t="shared" si="16"/>
        <v>0.34300000000000003</v>
      </c>
      <c r="L33" s="252">
        <f t="shared" si="17"/>
        <v>0.34</v>
      </c>
      <c r="M33" s="257">
        <v>0.20100000000000001</v>
      </c>
    </row>
    <row r="34" spans="1:13" x14ac:dyDescent="0.25">
      <c r="A34" s="315"/>
      <c r="B34" s="253" t="s">
        <v>341</v>
      </c>
      <c r="C34" s="255">
        <v>427899416.45443994</v>
      </c>
      <c r="D34" s="249">
        <v>458531792.1347788</v>
      </c>
      <c r="E34" s="249">
        <v>33693912.292058684</v>
      </c>
      <c r="F34" s="250">
        <f t="shared" si="13"/>
        <v>1.1503303942440561</v>
      </c>
      <c r="G34" s="249">
        <v>19182</v>
      </c>
      <c r="H34" s="254"/>
      <c r="I34" s="252">
        <v>0.43360806417179748</v>
      </c>
      <c r="J34" s="250">
        <f>SUMPRODUCT(J30:J33,$C$30:$C$33)/$C$34</f>
        <v>0.43093983659285018</v>
      </c>
      <c r="K34" s="250">
        <f>SUMPRODUCT(K30:K33,$C$30:$C$33)/$C$34</f>
        <v>0.4373582187115182</v>
      </c>
      <c r="L34" s="250">
        <f>SUMPRODUCT(L30:L33,$C$30:$C$33)/$C$34</f>
        <v>0.43337691639061221</v>
      </c>
      <c r="M34" s="252">
        <v>0.43</v>
      </c>
    </row>
    <row r="35" spans="1:13" x14ac:dyDescent="0.25">
      <c r="A35" s="260"/>
      <c r="B35" s="261"/>
      <c r="C35" s="261"/>
      <c r="D35" s="261"/>
      <c r="E35" s="261"/>
      <c r="F35" s="262"/>
      <c r="G35" s="261"/>
      <c r="H35" s="261"/>
      <c r="I35" s="261"/>
      <c r="J35" s="258" t="s">
        <v>342</v>
      </c>
      <c r="K35" s="259">
        <f>ROUND((1+I34)/(1+K34),4)</f>
        <v>0.99739999999999995</v>
      </c>
      <c r="L35" s="261"/>
      <c r="M35" s="261"/>
    </row>
    <row r="36" spans="1:13" x14ac:dyDescent="0.25">
      <c r="A36" s="260"/>
      <c r="B36" s="261"/>
      <c r="C36" s="261"/>
      <c r="D36" s="261"/>
      <c r="E36" s="261"/>
      <c r="F36" s="262"/>
      <c r="G36" s="261"/>
      <c r="H36" s="261"/>
      <c r="I36" s="261"/>
      <c r="J36" s="261"/>
      <c r="K36" s="261"/>
      <c r="L36" s="261"/>
      <c r="M36" s="261"/>
    </row>
    <row r="37" spans="1:13" x14ac:dyDescent="0.25">
      <c r="A37" s="313" t="s">
        <v>133</v>
      </c>
      <c r="B37" s="248" t="s">
        <v>335</v>
      </c>
      <c r="C37" s="255">
        <v>770090789.54738891</v>
      </c>
      <c r="D37" s="249">
        <v>670222023.04808259</v>
      </c>
      <c r="E37" s="249">
        <v>3293806.6134867719</v>
      </c>
      <c r="F37" s="250">
        <f t="shared" ref="F37:F43" si="18">SUM(D37:E37)/C37</f>
        <v>0.87459276075411807</v>
      </c>
      <c r="G37" s="249">
        <v>148668</v>
      </c>
      <c r="H37" s="256">
        <f t="shared" ref="H37:H42" si="19">ROUND(MIN(1,SQRT(G37/3000)),3)</f>
        <v>1</v>
      </c>
      <c r="I37" s="251"/>
      <c r="J37" s="250">
        <f>ROUND(F37/$F$43*(1+$I$43)-1,3)</f>
        <v>0.218</v>
      </c>
      <c r="K37" s="250">
        <f>ROUND(H37*J37+(1-H37)*$J$43,3)</f>
        <v>0.218</v>
      </c>
      <c r="L37" s="252">
        <f>ROUND((1+K37)*$K$44-1,3)</f>
        <v>0.22500000000000001</v>
      </c>
      <c r="M37" s="252">
        <f>(C43*M43-SUMPRODUCT(C38:C42,M38:M42))/C37</f>
        <v>0.14759497453657122</v>
      </c>
    </row>
    <row r="38" spans="1:13" x14ac:dyDescent="0.25">
      <c r="A38" s="314"/>
      <c r="B38" s="248" t="s">
        <v>336</v>
      </c>
      <c r="C38" s="255">
        <v>9629857.6918591261</v>
      </c>
      <c r="D38" s="249">
        <v>8783153.2788943946</v>
      </c>
      <c r="E38" s="249">
        <v>3542.3995471012577</v>
      </c>
      <c r="F38" s="250">
        <f t="shared" si="18"/>
        <v>0.91244294148495875</v>
      </c>
      <c r="G38" s="249">
        <v>865</v>
      </c>
      <c r="H38" s="256">
        <f t="shared" si="19"/>
        <v>0.53700000000000003</v>
      </c>
      <c r="I38" s="251"/>
      <c r="J38" s="250">
        <f t="shared" ref="J38:J42" si="20">ROUND(F38/$F$43*(1+$I$43)-1,3)</f>
        <v>0.27</v>
      </c>
      <c r="K38" s="250">
        <f t="shared" ref="K38:K42" si="21">ROUND(H38*J38+(1-H38)*$J$43,3)</f>
        <v>0.249</v>
      </c>
      <c r="L38" s="252">
        <f t="shared" ref="L38:L42" si="22">ROUND((1+K38)*$K$44-1,3)</f>
        <v>0.25600000000000001</v>
      </c>
      <c r="M38" s="257">
        <v>0.25</v>
      </c>
    </row>
    <row r="39" spans="1:13" hidden="1" x14ac:dyDescent="0.25">
      <c r="A39" s="314"/>
      <c r="B39" s="248" t="s">
        <v>337</v>
      </c>
      <c r="C39" s="255">
        <v>1952602.4622171475</v>
      </c>
      <c r="D39" s="249">
        <v>3461406.661634522</v>
      </c>
      <c r="E39" s="249">
        <v>16939.919273497526</v>
      </c>
      <c r="F39" s="250">
        <f t="shared" si="18"/>
        <v>1.7813900413494383</v>
      </c>
      <c r="G39" s="249">
        <v>136</v>
      </c>
      <c r="H39" s="256">
        <f t="shared" si="19"/>
        <v>0.21299999999999999</v>
      </c>
      <c r="I39" s="251"/>
      <c r="J39" s="250">
        <f t="shared" si="20"/>
        <v>1.48</v>
      </c>
      <c r="K39" s="250">
        <f t="shared" si="21"/>
        <v>0.49099999999999999</v>
      </c>
      <c r="L39" s="252">
        <f t="shared" si="22"/>
        <v>0.499</v>
      </c>
      <c r="M39" s="263">
        <f>M57</f>
        <v>1</v>
      </c>
    </row>
    <row r="40" spans="1:13" hidden="1" x14ac:dyDescent="0.25">
      <c r="A40" s="314"/>
      <c r="B40" s="248" t="s">
        <v>338</v>
      </c>
      <c r="C40" s="255">
        <v>10056774.268090857</v>
      </c>
      <c r="D40" s="249">
        <v>10043276.347208504</v>
      </c>
      <c r="E40" s="249">
        <v>18188.654945929586</v>
      </c>
      <c r="F40" s="250">
        <f t="shared" si="18"/>
        <v>1.0004664253107938</v>
      </c>
      <c r="G40" s="249">
        <v>706</v>
      </c>
      <c r="H40" s="256">
        <f t="shared" si="19"/>
        <v>0.48499999999999999</v>
      </c>
      <c r="I40" s="251"/>
      <c r="J40" s="250">
        <f t="shared" si="20"/>
        <v>0.39300000000000002</v>
      </c>
      <c r="K40" s="250">
        <f t="shared" si="21"/>
        <v>0.30599999999999999</v>
      </c>
      <c r="L40" s="252">
        <f t="shared" si="22"/>
        <v>0.313</v>
      </c>
      <c r="M40" s="263">
        <f>M58</f>
        <v>0.59799999999999998</v>
      </c>
    </row>
    <row r="41" spans="1:13" x14ac:dyDescent="0.25">
      <c r="A41" s="314"/>
      <c r="B41" s="248" t="s">
        <v>339</v>
      </c>
      <c r="C41" s="255">
        <v>1158275.8718163725</v>
      </c>
      <c r="D41" s="249">
        <v>1694598.3664596721</v>
      </c>
      <c r="E41" s="249">
        <v>0</v>
      </c>
      <c r="F41" s="250">
        <f t="shared" si="18"/>
        <v>1.4630351954083747</v>
      </c>
      <c r="G41" s="249">
        <v>149</v>
      </c>
      <c r="H41" s="256">
        <f t="shared" si="19"/>
        <v>0.223</v>
      </c>
      <c r="I41" s="251"/>
      <c r="J41" s="250">
        <f t="shared" si="20"/>
        <v>1.0369999999999999</v>
      </c>
      <c r="K41" s="250">
        <f t="shared" si="21"/>
        <v>0.40500000000000003</v>
      </c>
      <c r="L41" s="252">
        <f t="shared" si="22"/>
        <v>0.41299999999999998</v>
      </c>
      <c r="M41" s="257">
        <v>0.41</v>
      </c>
    </row>
    <row r="42" spans="1:13" x14ac:dyDescent="0.25">
      <c r="A42" s="314"/>
      <c r="B42" s="248" t="s">
        <v>340</v>
      </c>
      <c r="C42" s="255">
        <v>13121834.743158808</v>
      </c>
      <c r="D42" s="249">
        <v>10302982.752388595</v>
      </c>
      <c r="E42" s="249">
        <v>34884.005255193209</v>
      </c>
      <c r="F42" s="250">
        <f t="shared" si="18"/>
        <v>0.78783698773782618</v>
      </c>
      <c r="G42" s="249">
        <v>703</v>
      </c>
      <c r="H42" s="256">
        <f t="shared" si="19"/>
        <v>0.48399999999999999</v>
      </c>
      <c r="I42" s="251"/>
      <c r="J42" s="250">
        <f t="shared" si="20"/>
        <v>9.7000000000000003E-2</v>
      </c>
      <c r="K42" s="250">
        <f t="shared" si="21"/>
        <v>0.16200000000000001</v>
      </c>
      <c r="L42" s="252">
        <f t="shared" si="22"/>
        <v>0.16800000000000001</v>
      </c>
      <c r="M42" s="257">
        <v>0</v>
      </c>
    </row>
    <row r="43" spans="1:13" x14ac:dyDescent="0.25">
      <c r="A43" s="315"/>
      <c r="B43" s="253" t="s">
        <v>341</v>
      </c>
      <c r="C43" s="255">
        <v>803293170.83251536</v>
      </c>
      <c r="D43" s="249">
        <v>704507440.45466816</v>
      </c>
      <c r="E43" s="249">
        <v>3367361.5925084935</v>
      </c>
      <c r="F43" s="250">
        <f t="shared" si="18"/>
        <v>0.88121600898654562</v>
      </c>
      <c r="G43" s="249">
        <v>151227</v>
      </c>
      <c r="H43" s="254"/>
      <c r="I43" s="252">
        <v>0.22680474820212432</v>
      </c>
      <c r="J43" s="250">
        <f>SUMPRODUCT(J37:J42,$C$37:$C$42)/$C$43</f>
        <v>0.22382359791805179</v>
      </c>
      <c r="K43" s="250">
        <f>SUMPRODUCT(K37:K42,$C$37:$C$42)/$C$43</f>
        <v>0.22022914273592209</v>
      </c>
      <c r="L43" s="250">
        <f>SUMPRODUCT(L37:L42,$C$37:$C$42)/$C$43</f>
        <v>0.2272403563129598</v>
      </c>
      <c r="M43" s="252">
        <v>0.155</v>
      </c>
    </row>
    <row r="44" spans="1:13" x14ac:dyDescent="0.25">
      <c r="A44" s="260"/>
      <c r="B44" s="261"/>
      <c r="C44" s="261"/>
      <c r="D44" s="261"/>
      <c r="E44" s="261"/>
      <c r="F44" s="262"/>
      <c r="G44" s="261"/>
      <c r="H44" s="261"/>
      <c r="I44" s="261"/>
      <c r="J44" s="258" t="s">
        <v>342</v>
      </c>
      <c r="K44" s="259">
        <f>ROUND((1+I43)/(1+K43),4)</f>
        <v>1.0054000000000001</v>
      </c>
      <c r="L44" s="261"/>
      <c r="M44" s="261"/>
    </row>
    <row r="45" spans="1:13" x14ac:dyDescent="0.25">
      <c r="A45" s="260"/>
      <c r="B45" s="261"/>
      <c r="C45" s="261"/>
      <c r="D45" s="261"/>
      <c r="E45" s="261"/>
      <c r="F45" s="262"/>
      <c r="G45" s="261"/>
      <c r="H45" s="261"/>
      <c r="I45" s="261"/>
      <c r="J45" s="261"/>
      <c r="K45" s="261"/>
      <c r="L45" s="261"/>
      <c r="M45" s="261"/>
    </row>
    <row r="46" spans="1:13" x14ac:dyDescent="0.25">
      <c r="A46" s="313" t="s">
        <v>134</v>
      </c>
      <c r="B46" s="248" t="s">
        <v>335</v>
      </c>
      <c r="C46" s="255">
        <v>2171323155.478375</v>
      </c>
      <c r="D46" s="249">
        <v>1852981558.6133995</v>
      </c>
      <c r="E46" s="249">
        <v>4231227.6495967712</v>
      </c>
      <c r="F46" s="250">
        <f t="shared" ref="F46:F52" si="23">SUM(D46:E46)/C46</f>
        <v>0.85533688597993351</v>
      </c>
      <c r="G46" s="249">
        <v>210601</v>
      </c>
      <c r="H46" s="256">
        <f t="shared" ref="H46:H51" si="24">ROUND(MIN(1,SQRT(G46/3000)),3)</f>
        <v>1</v>
      </c>
      <c r="I46" s="251"/>
      <c r="J46" s="250">
        <f>ROUND(F46/$F$52*(1+$I$52)-1,3)</f>
        <v>0.191</v>
      </c>
      <c r="K46" s="250">
        <f>ROUND(H46*J46+(1-H46)*$J$52,3)</f>
        <v>0.191</v>
      </c>
      <c r="L46" s="252">
        <f>ROUND((1+K46)*$K$53-1,3)</f>
        <v>0.19600000000000001</v>
      </c>
      <c r="M46" s="252">
        <f>(C52*M52-SUMPRODUCT(C47:C51,M47:M51))/C46</f>
        <v>0.14786470867491128</v>
      </c>
    </row>
    <row r="47" spans="1:13" x14ac:dyDescent="0.25">
      <c r="A47" s="314"/>
      <c r="B47" s="248" t="s">
        <v>336</v>
      </c>
      <c r="C47" s="255">
        <v>7045657.2068856591</v>
      </c>
      <c r="D47" s="249">
        <v>4791174.1789384494</v>
      </c>
      <c r="E47" s="249">
        <v>0</v>
      </c>
      <c r="F47" s="250">
        <f t="shared" si="23"/>
        <v>0.68001806478124949</v>
      </c>
      <c r="G47" s="249">
        <v>350</v>
      </c>
      <c r="H47" s="256">
        <f t="shared" si="24"/>
        <v>0.34200000000000003</v>
      </c>
      <c r="I47" s="251"/>
      <c r="J47" s="250">
        <f t="shared" ref="J47:J51" si="25">ROUND(F47/$F$52*(1+$I$52)-1,3)</f>
        <v>-5.2999999999999999E-2</v>
      </c>
      <c r="K47" s="250">
        <f t="shared" ref="K47:K51" si="26">ROUND(H47*J47+(1-H47)*$J$52,3)</f>
        <v>0.112</v>
      </c>
      <c r="L47" s="252">
        <f t="shared" ref="L47:L51" si="27">ROUND((1+K47)*$K$53-1,3)</f>
        <v>0.11700000000000001</v>
      </c>
      <c r="M47" s="257">
        <v>0</v>
      </c>
    </row>
    <row r="48" spans="1:13" ht="15" hidden="1" customHeight="1" x14ac:dyDescent="0.25">
      <c r="A48" s="314"/>
      <c r="B48" s="248" t="s">
        <v>337</v>
      </c>
      <c r="C48" s="255">
        <v>5515647.6232310589</v>
      </c>
      <c r="D48" s="249">
        <v>11849016.057905272</v>
      </c>
      <c r="E48" s="249">
        <v>19415.317645667306</v>
      </c>
      <c r="F48" s="250">
        <f t="shared" si="23"/>
        <v>2.1517747663144635</v>
      </c>
      <c r="G48" s="249">
        <v>615</v>
      </c>
      <c r="H48" s="256">
        <f t="shared" si="24"/>
        <v>0.45300000000000001</v>
      </c>
      <c r="I48" s="251"/>
      <c r="J48" s="250">
        <f t="shared" si="25"/>
        <v>1.996</v>
      </c>
      <c r="K48" s="250">
        <f t="shared" si="26"/>
        <v>1.0129999999999999</v>
      </c>
      <c r="L48" s="252">
        <f t="shared" si="27"/>
        <v>1.022</v>
      </c>
      <c r="M48" s="263">
        <f>M57</f>
        <v>1</v>
      </c>
    </row>
    <row r="49" spans="1:13" ht="15" hidden="1" customHeight="1" x14ac:dyDescent="0.25">
      <c r="A49" s="314"/>
      <c r="B49" s="248" t="s">
        <v>338</v>
      </c>
      <c r="C49" s="255">
        <v>2908523.2689873446</v>
      </c>
      <c r="D49" s="249">
        <v>6679290.3176046023</v>
      </c>
      <c r="E49" s="249">
        <v>0</v>
      </c>
      <c r="F49" s="250">
        <f t="shared" si="23"/>
        <v>2.2964541452439948</v>
      </c>
      <c r="G49" s="249">
        <v>566</v>
      </c>
      <c r="H49" s="256">
        <f t="shared" si="24"/>
        <v>0.434</v>
      </c>
      <c r="I49" s="251"/>
      <c r="J49" s="250">
        <f t="shared" si="25"/>
        <v>2.1970000000000001</v>
      </c>
      <c r="K49" s="250">
        <f t="shared" si="26"/>
        <v>1.0660000000000001</v>
      </c>
      <c r="L49" s="252">
        <f t="shared" si="27"/>
        <v>1.075</v>
      </c>
      <c r="M49" s="263">
        <f>M58</f>
        <v>0.59799999999999998</v>
      </c>
    </row>
    <row r="50" spans="1:13" x14ac:dyDescent="0.25">
      <c r="A50" s="314"/>
      <c r="B50" s="248" t="s">
        <v>339</v>
      </c>
      <c r="C50" s="255">
        <v>834774.55505361548</v>
      </c>
      <c r="D50" s="249">
        <v>687059.69680371892</v>
      </c>
      <c r="E50" s="249">
        <v>0</v>
      </c>
      <c r="F50" s="250">
        <f t="shared" si="23"/>
        <v>0.82304820222939212</v>
      </c>
      <c r="G50" s="249">
        <v>122</v>
      </c>
      <c r="H50" s="256">
        <f t="shared" si="24"/>
        <v>0.20200000000000001</v>
      </c>
      <c r="I50" s="251"/>
      <c r="J50" s="250">
        <f t="shared" si="25"/>
        <v>0.14599999999999999</v>
      </c>
      <c r="K50" s="250">
        <f t="shared" si="26"/>
        <v>0.188</v>
      </c>
      <c r="L50" s="252">
        <f t="shared" si="27"/>
        <v>0.193</v>
      </c>
      <c r="M50" s="257">
        <v>0</v>
      </c>
    </row>
    <row r="51" spans="1:13" x14ac:dyDescent="0.25">
      <c r="A51" s="314"/>
      <c r="B51" s="248" t="s">
        <v>340</v>
      </c>
      <c r="C51" s="255">
        <v>16312998.604386004</v>
      </c>
      <c r="D51" s="249">
        <v>14573209.431257116</v>
      </c>
      <c r="E51" s="249">
        <v>20529.758612281708</v>
      </c>
      <c r="F51" s="250">
        <f t="shared" si="23"/>
        <v>0.89460800823863518</v>
      </c>
      <c r="G51" s="249">
        <v>1278</v>
      </c>
      <c r="H51" s="256">
        <f t="shared" si="24"/>
        <v>0.65300000000000002</v>
      </c>
      <c r="I51" s="251"/>
      <c r="J51" s="250">
        <f t="shared" si="25"/>
        <v>0.245</v>
      </c>
      <c r="K51" s="250">
        <f t="shared" si="26"/>
        <v>0.22900000000000001</v>
      </c>
      <c r="L51" s="252">
        <f t="shared" si="27"/>
        <v>0.23400000000000001</v>
      </c>
      <c r="M51" s="257">
        <v>0.1</v>
      </c>
    </row>
    <row r="52" spans="1:13" x14ac:dyDescent="0.25">
      <c r="A52" s="315"/>
      <c r="B52" s="253" t="s">
        <v>341</v>
      </c>
      <c r="C52" s="255">
        <v>2199655401.4828205</v>
      </c>
      <c r="D52" s="249">
        <v>1891561308.2959092</v>
      </c>
      <c r="E52" s="249">
        <v>4271172.72585472</v>
      </c>
      <c r="F52" s="250">
        <f t="shared" si="23"/>
        <v>0.861877037532222</v>
      </c>
      <c r="G52" s="249">
        <v>213532</v>
      </c>
      <c r="H52" s="254"/>
      <c r="I52" s="252">
        <v>0.19988156278156574</v>
      </c>
      <c r="J52" s="250">
        <f>SUMPRODUCT(J46:J51,$C$46:$C$51)/$C$52</f>
        <v>0.19815245724017813</v>
      </c>
      <c r="K52" s="250">
        <f>SUMPRODUCT(K46:K51,$C$46:$C$51)/$C$52</f>
        <v>0.19461788749218875</v>
      </c>
      <c r="L52" s="250">
        <f>SUMPRODUCT(L46:L51,$C$46:$C$51)/$C$52</f>
        <v>0.19964294753559475</v>
      </c>
      <c r="M52" s="252">
        <v>0.15</v>
      </c>
    </row>
    <row r="53" spans="1:13" x14ac:dyDescent="0.25">
      <c r="A53" s="260"/>
      <c r="B53" s="261"/>
      <c r="C53" s="261"/>
      <c r="D53" s="261"/>
      <c r="E53" s="261"/>
      <c r="F53" s="262"/>
      <c r="G53" s="261"/>
      <c r="H53" s="261"/>
      <c r="I53" s="261"/>
      <c r="J53" s="264" t="s">
        <v>342</v>
      </c>
      <c r="K53" s="259">
        <f>ROUND((1+I52)/(1+K52),4)</f>
        <v>1.0044</v>
      </c>
      <c r="L53" s="261"/>
      <c r="M53" s="261"/>
    </row>
    <row r="54" spans="1:13" x14ac:dyDescent="0.25">
      <c r="A54" s="260"/>
      <c r="B54" s="261"/>
      <c r="C54" s="261"/>
      <c r="D54" s="261"/>
      <c r="E54" s="261"/>
      <c r="F54" s="262"/>
      <c r="G54" s="261"/>
      <c r="H54" s="261"/>
      <c r="I54" s="261"/>
      <c r="J54" s="264"/>
      <c r="K54" s="265"/>
      <c r="L54" s="261"/>
      <c r="M54" s="261"/>
    </row>
    <row r="55" spans="1:13" ht="15" hidden="1" customHeight="1" x14ac:dyDescent="0.25">
      <c r="A55" s="266"/>
      <c r="B55" s="248" t="s">
        <v>335</v>
      </c>
      <c r="C55" s="255">
        <f>C37+C46</f>
        <v>2941413945.025764</v>
      </c>
      <c r="D55" s="255">
        <f t="shared" ref="D55:E55" si="28">D37+D46</f>
        <v>2523203581.6614819</v>
      </c>
      <c r="E55" s="255">
        <f t="shared" si="28"/>
        <v>7525034.2630835436</v>
      </c>
      <c r="F55" s="250">
        <f t="shared" ref="F55:F58" si="29">SUM(D55:E55)/C55</f>
        <v>0.86037826134750262</v>
      </c>
      <c r="G55" s="249">
        <f>G37+G46</f>
        <v>359269</v>
      </c>
      <c r="H55" s="256">
        <f t="shared" ref="H55:H58" si="30">ROUND(MIN(1,SQRT(G55/3000)),3)</f>
        <v>1</v>
      </c>
      <c r="I55" s="251"/>
      <c r="J55" s="250">
        <f>ROUND(F55/$F$61*(1+$I$61)-1,3)</f>
        <v>0.19800000000000001</v>
      </c>
      <c r="K55" s="250">
        <f>ROUND(H55*J55+(1-H55)*$J$61,3)</f>
        <v>0.19800000000000001</v>
      </c>
      <c r="L55" s="252">
        <f>ROUND((1+K55)*$K$62-1,3)</f>
        <v>0.20300000000000001</v>
      </c>
      <c r="M55" s="252">
        <f>(C61*M61-SUMPRODUCT(C56:C60,M56:M60))/C55</f>
        <v>0.10559179814743735</v>
      </c>
    </row>
    <row r="56" spans="1:13" ht="15" hidden="1" customHeight="1" x14ac:dyDescent="0.25">
      <c r="A56" s="267"/>
      <c r="B56" s="248" t="s">
        <v>336</v>
      </c>
      <c r="C56" s="255">
        <f t="shared" ref="C56:E60" si="31">C38+C47</f>
        <v>16675514.898744784</v>
      </c>
      <c r="D56" s="255">
        <f t="shared" si="31"/>
        <v>13574327.457832843</v>
      </c>
      <c r="E56" s="255">
        <f t="shared" si="31"/>
        <v>3542.3995471012577</v>
      </c>
      <c r="F56" s="250">
        <f t="shared" si="29"/>
        <v>0.8142399164179327</v>
      </c>
      <c r="G56" s="249">
        <f t="shared" ref="G56:G60" si="32">G38+G47</f>
        <v>1215</v>
      </c>
      <c r="H56" s="256">
        <f t="shared" si="30"/>
        <v>0.63600000000000001</v>
      </c>
      <c r="I56" s="251"/>
      <c r="J56" s="250">
        <f t="shared" ref="J56:J60" si="33">ROUND(F56/$F$61*(1+$I$61)-1,3)</f>
        <v>0.13400000000000001</v>
      </c>
      <c r="K56" s="250">
        <f t="shared" ref="K56:K60" si="34">ROUND(H56*J56+(1-H56)*$J$61,3)</f>
        <v>0.16</v>
      </c>
      <c r="L56" s="252">
        <f t="shared" ref="L56:L58" si="35">ROUND((1+K56)*$K$62-1,3)</f>
        <v>0.16500000000000001</v>
      </c>
      <c r="M56" s="263">
        <f>(C38*M38+C47*M47)/(C38+C47)</f>
        <v>0.14437121957451512</v>
      </c>
    </row>
    <row r="57" spans="1:13" x14ac:dyDescent="0.25">
      <c r="A57" s="313" t="s">
        <v>322</v>
      </c>
      <c r="B57" s="248" t="s">
        <v>337</v>
      </c>
      <c r="C57" s="255">
        <f t="shared" si="31"/>
        <v>7468250.0854482064</v>
      </c>
      <c r="D57" s="255">
        <f t="shared" si="31"/>
        <v>15310422.719539793</v>
      </c>
      <c r="E57" s="255">
        <f t="shared" si="31"/>
        <v>36355.236919164832</v>
      </c>
      <c r="F57" s="250">
        <f t="shared" si="29"/>
        <v>2.0549362676488254</v>
      </c>
      <c r="G57" s="249">
        <f t="shared" si="32"/>
        <v>751</v>
      </c>
      <c r="H57" s="256">
        <f t="shared" si="30"/>
        <v>0.5</v>
      </c>
      <c r="I57" s="251"/>
      <c r="J57" s="250">
        <f t="shared" si="33"/>
        <v>1.861</v>
      </c>
      <c r="K57" s="250">
        <f t="shared" si="34"/>
        <v>1.0329999999999999</v>
      </c>
      <c r="L57" s="252">
        <f t="shared" si="35"/>
        <v>1.042</v>
      </c>
      <c r="M57" s="257">
        <v>1</v>
      </c>
    </row>
    <row r="58" spans="1:13" x14ac:dyDescent="0.25">
      <c r="A58" s="314"/>
      <c r="B58" s="248" t="s">
        <v>338</v>
      </c>
      <c r="C58" s="255">
        <f t="shared" si="31"/>
        <v>12965297.537078202</v>
      </c>
      <c r="D58" s="255">
        <f t="shared" si="31"/>
        <v>16722566.664813105</v>
      </c>
      <c r="E58" s="255">
        <f t="shared" si="31"/>
        <v>18188.654945929586</v>
      </c>
      <c r="F58" s="250">
        <f t="shared" si="29"/>
        <v>1.29119715701732</v>
      </c>
      <c r="G58" s="249">
        <f t="shared" si="32"/>
        <v>1272</v>
      </c>
      <c r="H58" s="256">
        <f t="shared" si="30"/>
        <v>0.65100000000000002</v>
      </c>
      <c r="I58" s="251"/>
      <c r="J58" s="250">
        <f t="shared" si="33"/>
        <v>0.79800000000000004</v>
      </c>
      <c r="K58" s="250">
        <f t="shared" si="34"/>
        <v>0.59099999999999997</v>
      </c>
      <c r="L58" s="252">
        <f t="shared" si="35"/>
        <v>0.59799999999999998</v>
      </c>
      <c r="M58" s="257">
        <v>0.59799999999999998</v>
      </c>
    </row>
    <row r="59" spans="1:13" ht="15" hidden="1" customHeight="1" x14ac:dyDescent="0.25">
      <c r="A59" s="314"/>
      <c r="B59" s="248" t="s">
        <v>339</v>
      </c>
      <c r="C59" s="255">
        <f t="shared" si="31"/>
        <v>1993050.426869988</v>
      </c>
      <c r="D59" s="255">
        <f t="shared" si="31"/>
        <v>2381658.0632633911</v>
      </c>
      <c r="E59" s="255">
        <f t="shared" si="31"/>
        <v>0</v>
      </c>
      <c r="F59" s="250">
        <f t="shared" ref="F59:F61" si="36">SUM(D59:E59)/C59</f>
        <v>1.1949813367259841</v>
      </c>
      <c r="G59" s="249">
        <f t="shared" si="32"/>
        <v>271</v>
      </c>
      <c r="H59" s="256">
        <f t="shared" ref="H59:H60" si="37">ROUND(MIN(1,SQRT(G59/3000)),3)</f>
        <v>0.30099999999999999</v>
      </c>
      <c r="I59" s="251"/>
      <c r="J59" s="250">
        <f t="shared" si="33"/>
        <v>0.66400000000000003</v>
      </c>
      <c r="K59" s="250">
        <f t="shared" si="34"/>
        <v>0.34300000000000003</v>
      </c>
      <c r="L59" s="250">
        <v>1.0449999999999999</v>
      </c>
      <c r="M59" s="263">
        <f>(C41*M41+C50*M50)/(C41+C50)</f>
        <v>0.23827450677728951</v>
      </c>
    </row>
    <row r="60" spans="1:13" ht="15" hidden="1" customHeight="1" x14ac:dyDescent="0.25">
      <c r="A60" s="314"/>
      <c r="B60" s="248" t="s">
        <v>340</v>
      </c>
      <c r="C60" s="255">
        <f t="shared" si="31"/>
        <v>29434833.347544812</v>
      </c>
      <c r="D60" s="255">
        <f t="shared" si="31"/>
        <v>24876192.18364571</v>
      </c>
      <c r="E60" s="255">
        <f t="shared" si="31"/>
        <v>55413.763867474918</v>
      </c>
      <c r="F60" s="250">
        <f t="shared" si="36"/>
        <v>0.8470102634229032</v>
      </c>
      <c r="G60" s="249">
        <f t="shared" si="32"/>
        <v>1981</v>
      </c>
      <c r="H60" s="256">
        <f t="shared" si="37"/>
        <v>0.81299999999999994</v>
      </c>
      <c r="I60" s="251"/>
      <c r="J60" s="250">
        <f t="shared" si="33"/>
        <v>0.17899999999999999</v>
      </c>
      <c r="K60" s="250">
        <f t="shared" si="34"/>
        <v>0.184</v>
      </c>
      <c r="L60" s="250">
        <v>0.6</v>
      </c>
      <c r="M60" s="263">
        <f>(C42*M42+C51*M51)/(C42+C51)</f>
        <v>5.5420726904664763E-2</v>
      </c>
    </row>
    <row r="61" spans="1:13" ht="15" customHeight="1" x14ac:dyDescent="0.25">
      <c r="A61" s="315"/>
      <c r="B61" s="253" t="s">
        <v>341</v>
      </c>
      <c r="C61" s="255">
        <v>3002948572.3153358</v>
      </c>
      <c r="D61" s="249">
        <v>2596068748.7505774</v>
      </c>
      <c r="E61" s="249">
        <v>7638534.3183632139</v>
      </c>
      <c r="F61" s="250">
        <f t="shared" si="36"/>
        <v>0.86705024091086191</v>
      </c>
      <c r="G61" s="249">
        <v>364759</v>
      </c>
      <c r="H61" s="254"/>
      <c r="I61" s="252">
        <f>(I43*C43+I52*C52)/(C43+C52)</f>
        <v>0.20708355457882027</v>
      </c>
      <c r="J61" s="250">
        <f>SUMPRODUCT(J55:J60,$C$55:$C$60)/$C$61</f>
        <v>0.20495569830330185</v>
      </c>
      <c r="K61" s="250">
        <f>SUMPRODUCT(K55:K60,$C$55:$C$60)/$C$61</f>
        <v>0.20198310017886442</v>
      </c>
      <c r="L61" s="250">
        <f>SUMPRODUCT(L55:L60,$C$55:$C$60)/$C$61</f>
        <v>0.21150455218406713</v>
      </c>
      <c r="M61" s="252">
        <v>0.11</v>
      </c>
    </row>
    <row r="62" spans="1:13" x14ac:dyDescent="0.25">
      <c r="A62" s="68" t="s">
        <v>343</v>
      </c>
      <c r="B62" s="261"/>
      <c r="C62" s="261"/>
      <c r="D62" s="261"/>
      <c r="E62" s="261"/>
      <c r="F62" s="262"/>
      <c r="G62" s="261"/>
      <c r="H62" s="261"/>
      <c r="I62" s="261"/>
      <c r="J62" s="264" t="s">
        <v>342</v>
      </c>
      <c r="K62" s="259">
        <f>ROUND((1+I61)/(1+K61),4)</f>
        <v>1.0042</v>
      </c>
      <c r="L62" s="261"/>
      <c r="M62" s="261"/>
    </row>
    <row r="63" spans="1:13" x14ac:dyDescent="0.25">
      <c r="A63" s="260"/>
      <c r="B63" s="261"/>
      <c r="C63" s="261"/>
      <c r="D63" s="261"/>
      <c r="E63" s="261"/>
      <c r="F63" s="262"/>
      <c r="G63" s="261"/>
      <c r="H63" s="261"/>
      <c r="I63" s="261"/>
      <c r="J63" s="264"/>
      <c r="K63" s="265"/>
      <c r="L63" s="261"/>
      <c r="M63" s="261"/>
    </row>
    <row r="64" spans="1:13" x14ac:dyDescent="0.25">
      <c r="A64" s="313" t="s">
        <v>323</v>
      </c>
      <c r="B64" s="248" t="s">
        <v>335</v>
      </c>
      <c r="C64" s="255">
        <v>130415729.07031947</v>
      </c>
      <c r="D64" s="249">
        <v>104896768.05574818</v>
      </c>
      <c r="E64" s="249">
        <v>18752.995011120442</v>
      </c>
      <c r="F64" s="250">
        <v>0.80446984269964406</v>
      </c>
      <c r="G64" s="249">
        <v>323885</v>
      </c>
      <c r="H64" s="256">
        <f t="shared" ref="H64:H66" si="38">ROUND(MIN(1,SQRT(G64/3000)),3)</f>
        <v>1</v>
      </c>
      <c r="I64" s="251"/>
      <c r="J64" s="250">
        <f>ROUND(F64/$F$67*(1+$I$67)-1,3)</f>
        <v>0.12</v>
      </c>
      <c r="K64" s="250">
        <f>ROUND(H64*J64+(1-H64)*$J$67,3)</f>
        <v>0.12</v>
      </c>
      <c r="L64" s="252">
        <f>ROUND((1+K64)*$K$68-1,3)</f>
        <v>0.121</v>
      </c>
      <c r="M64" s="252">
        <f>(C67*M67-SUMPRODUCT(C65:C66,M65:M66))/C64</f>
        <v>0.11999644679684029</v>
      </c>
    </row>
    <row r="65" spans="1:13" x14ac:dyDescent="0.25">
      <c r="A65" s="314"/>
      <c r="B65" s="248" t="s">
        <v>336</v>
      </c>
      <c r="C65" s="255">
        <v>335765.41872150975</v>
      </c>
      <c r="D65" s="249">
        <v>165187.29378706811</v>
      </c>
      <c r="E65" s="249">
        <v>0</v>
      </c>
      <c r="F65" s="250">
        <v>0.49197232525031886</v>
      </c>
      <c r="G65" s="249">
        <v>415</v>
      </c>
      <c r="H65" s="256">
        <f t="shared" si="38"/>
        <v>0.372</v>
      </c>
      <c r="I65" s="251"/>
      <c r="J65" s="250">
        <f t="shared" ref="J65:J66" si="39">ROUND(F65/$F$67*(1+$I$67)-1,3)</f>
        <v>-0.315</v>
      </c>
      <c r="K65" s="250">
        <f t="shared" ref="K65:K66" si="40">ROUND(H65*J65+(1-H65)*$J$67,3)</f>
        <v>-4.2999999999999997E-2</v>
      </c>
      <c r="L65" s="252">
        <f t="shared" ref="L65:L66" si="41">ROUND((1+K65)*$K$68-1,3)</f>
        <v>-4.2000000000000003E-2</v>
      </c>
      <c r="M65" s="257">
        <v>0</v>
      </c>
    </row>
    <row r="66" spans="1:13" x14ac:dyDescent="0.25">
      <c r="A66" s="314"/>
      <c r="B66" s="248" t="s">
        <v>339</v>
      </c>
      <c r="C66" s="255">
        <v>183950.36548529204</v>
      </c>
      <c r="D66" s="249">
        <v>7889.1497913311996</v>
      </c>
      <c r="E66" s="249">
        <v>0</v>
      </c>
      <c r="F66" s="250">
        <v>4.2887383074876169E-2</v>
      </c>
      <c r="G66" s="249">
        <v>33</v>
      </c>
      <c r="H66" s="256">
        <f t="shared" si="38"/>
        <v>0.105</v>
      </c>
      <c r="I66" s="251"/>
      <c r="J66" s="250">
        <f t="shared" si="39"/>
        <v>-0.94</v>
      </c>
      <c r="K66" s="250">
        <f t="shared" si="40"/>
        <v>7.0000000000000001E-3</v>
      </c>
      <c r="L66" s="252">
        <f t="shared" si="41"/>
        <v>8.0000000000000002E-3</v>
      </c>
      <c r="M66" s="257">
        <v>0.121</v>
      </c>
    </row>
    <row r="67" spans="1:13" x14ac:dyDescent="0.25">
      <c r="A67" s="315"/>
      <c r="B67" s="253" t="s">
        <v>341</v>
      </c>
      <c r="C67" s="255">
        <v>130597350.74234541</v>
      </c>
      <c r="D67" s="249">
        <v>105128332.58009829</v>
      </c>
      <c r="E67" s="249">
        <v>18752.995011120442</v>
      </c>
      <c r="F67" s="250">
        <v>0.8051241849656916</v>
      </c>
      <c r="G67" s="249">
        <v>324610</v>
      </c>
      <c r="H67" s="254"/>
      <c r="I67" s="252">
        <v>0.12087179866855635</v>
      </c>
      <c r="J67" s="250">
        <f>SUMPRODUCT(J64:J66,$C$64:$C$66)/$C$67</f>
        <v>0.11769923318207759</v>
      </c>
      <c r="K67" s="250">
        <f>SUMPRODUCT(K64:K66,$C$64:$C$66)/$C$67</f>
        <v>0.11973242289456022</v>
      </c>
      <c r="L67" s="250">
        <f>SUMPRODUCT(L64:L66,$C$64:$C$66)/$C$67</f>
        <v>0.12073501172281945</v>
      </c>
      <c r="M67" s="252">
        <v>0.12</v>
      </c>
    </row>
    <row r="68" spans="1:13" x14ac:dyDescent="0.25">
      <c r="A68" s="68"/>
      <c r="B68" s="68"/>
      <c r="C68" s="68"/>
      <c r="D68" s="68"/>
      <c r="E68" s="68"/>
      <c r="F68" s="68"/>
      <c r="G68" s="261"/>
      <c r="H68" s="261"/>
      <c r="I68" s="261"/>
      <c r="J68" s="258" t="s">
        <v>342</v>
      </c>
      <c r="K68" s="259">
        <f>ROUND((1+I67)/(1+K67),4)</f>
        <v>1.0009999999999999</v>
      </c>
      <c r="L68" s="261"/>
      <c r="M68" s="68"/>
    </row>
    <row r="69" spans="1:13" x14ac:dyDescent="0.25">
      <c r="A69" s="273" t="s">
        <v>356</v>
      </c>
    </row>
    <row r="70" spans="1:13" x14ac:dyDescent="0.25">
      <c r="A70" s="273" t="s">
        <v>357</v>
      </c>
    </row>
    <row r="71" spans="1:13" x14ac:dyDescent="0.25">
      <c r="A71" s="273" t="s">
        <v>358</v>
      </c>
    </row>
    <row r="72" spans="1:13" x14ac:dyDescent="0.25">
      <c r="A72" s="273" t="s">
        <v>359</v>
      </c>
    </row>
    <row r="73" spans="1:13" x14ac:dyDescent="0.25">
      <c r="A73" s="273"/>
    </row>
    <row r="74" spans="1:13" x14ac:dyDescent="0.25">
      <c r="A74" s="273"/>
    </row>
    <row r="75" spans="1:13" x14ac:dyDescent="0.25">
      <c r="A75" s="273"/>
    </row>
  </sheetData>
  <mergeCells count="8">
    <mergeCell ref="A64:A67"/>
    <mergeCell ref="A57:A61"/>
    <mergeCell ref="A8:A14"/>
    <mergeCell ref="A17:A21"/>
    <mergeCell ref="A24:A27"/>
    <mergeCell ref="A30:A34"/>
    <mergeCell ref="A37:A43"/>
    <mergeCell ref="A46:A52"/>
  </mergeCells>
  <pageMargins left="0.5" right="0.5" top="0.75" bottom="0.5" header="0.3" footer="0.3"/>
  <pageSetup scale="71" orientation="landscape" r:id="rId1"/>
  <rowBreaks count="1" manualBreakCount="1">
    <brk id="45"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CB08-5705-41F6-954D-1F15FCE36AD7}">
  <sheetPr codeName="Sheet21"/>
  <dimension ref="A1:K21"/>
  <sheetViews>
    <sheetView view="pageBreakPreview" zoomScale="60" zoomScaleNormal="100" workbookViewId="0">
      <selection activeCell="A7" sqref="A7:F7"/>
    </sheetView>
  </sheetViews>
  <sheetFormatPr defaultColWidth="15.85546875" defaultRowHeight="15" x14ac:dyDescent="0.25"/>
  <sheetData>
    <row r="1" spans="1:11" x14ac:dyDescent="0.25">
      <c r="A1" s="305" t="s">
        <v>1</v>
      </c>
      <c r="B1" s="305"/>
      <c r="C1" s="305"/>
      <c r="D1" s="305"/>
      <c r="E1" s="305"/>
      <c r="F1" s="305"/>
      <c r="G1" s="228"/>
      <c r="H1" s="228"/>
    </row>
    <row r="2" spans="1:11" x14ac:dyDescent="0.25">
      <c r="A2" s="306" t="s">
        <v>0</v>
      </c>
      <c r="B2" s="306"/>
      <c r="C2" s="306"/>
      <c r="D2" s="306"/>
      <c r="E2" s="306"/>
      <c r="F2" s="306"/>
      <c r="G2" s="229"/>
      <c r="H2" s="229"/>
    </row>
    <row r="3" spans="1:11" x14ac:dyDescent="0.25">
      <c r="A3" s="10"/>
      <c r="B3" s="71"/>
      <c r="C3" s="71"/>
      <c r="D3" s="71"/>
      <c r="E3" s="71"/>
      <c r="F3" s="71"/>
      <c r="G3" s="73"/>
    </row>
    <row r="4" spans="1:11" x14ac:dyDescent="0.25">
      <c r="A4" s="307" t="s">
        <v>302</v>
      </c>
      <c r="B4" s="307"/>
      <c r="C4" s="307"/>
      <c r="D4" s="307"/>
      <c r="E4" s="307"/>
      <c r="F4" s="307"/>
      <c r="G4" s="230"/>
      <c r="H4" s="230"/>
    </row>
    <row r="5" spans="1:11" x14ac:dyDescent="0.25">
      <c r="A5" s="129"/>
      <c r="B5" s="129"/>
      <c r="C5" s="129"/>
      <c r="D5" s="129"/>
      <c r="E5" s="129"/>
      <c r="F5" s="129"/>
      <c r="G5" s="129"/>
      <c r="H5" s="129"/>
    </row>
    <row r="6" spans="1:11" x14ac:dyDescent="0.25">
      <c r="A6" s="130"/>
      <c r="B6" s="130"/>
      <c r="C6" s="130"/>
      <c r="D6" s="131"/>
      <c r="E6" s="131"/>
      <c r="F6" s="131"/>
      <c r="G6" s="131"/>
      <c r="H6" s="131"/>
    </row>
    <row r="7" spans="1:11" ht="14.45" customHeight="1" x14ac:dyDescent="0.25">
      <c r="A7" s="316" t="s">
        <v>301</v>
      </c>
      <c r="B7" s="316"/>
      <c r="C7" s="316"/>
      <c r="D7" s="316"/>
      <c r="E7" s="316"/>
      <c r="F7" s="316"/>
      <c r="G7" s="231"/>
      <c r="H7" s="231"/>
      <c r="J7" s="132"/>
      <c r="K7" s="132"/>
    </row>
    <row r="8" spans="1:11" x14ac:dyDescent="0.25">
      <c r="A8" s="135"/>
      <c r="B8" s="135"/>
      <c r="C8" s="135"/>
      <c r="D8" s="136"/>
      <c r="E8" s="136"/>
      <c r="F8" s="137"/>
      <c r="G8" s="136"/>
      <c r="H8" s="136"/>
    </row>
    <row r="9" spans="1:11" x14ac:dyDescent="0.25">
      <c r="G9" s="133"/>
    </row>
    <row r="10" spans="1:11" x14ac:dyDescent="0.25">
      <c r="A10" s="14"/>
    </row>
    <row r="11" spans="1:11" x14ac:dyDescent="0.25">
      <c r="A11" s="14"/>
    </row>
    <row r="16" spans="1:11" x14ac:dyDescent="0.25">
      <c r="C16" s="134"/>
    </row>
    <row r="19" spans="3:3" x14ac:dyDescent="0.25">
      <c r="C19" s="134"/>
    </row>
    <row r="20" spans="3:3" x14ac:dyDescent="0.25">
      <c r="C20" s="134"/>
    </row>
    <row r="21" spans="3:3" x14ac:dyDescent="0.25">
      <c r="C21" s="134"/>
    </row>
  </sheetData>
  <mergeCells count="4">
    <mergeCell ref="A1:F1"/>
    <mergeCell ref="A2:F2"/>
    <mergeCell ref="A4:F4"/>
    <mergeCell ref="A7:F7"/>
  </mergeCells>
  <pageMargins left="0.7" right="0.7" top="0.75" bottom="0.75" header="0.3" footer="0.3"/>
  <pageSetup scale="95"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A26F-92C6-4171-8B22-FC74E283A34C}">
  <sheetPr codeName="Sheet24"/>
  <dimension ref="A1:F17"/>
  <sheetViews>
    <sheetView view="pageBreakPreview" zoomScale="130" zoomScaleNormal="100" zoomScaleSheetLayoutView="130" workbookViewId="0">
      <selection activeCell="A7" sqref="A7:F7"/>
    </sheetView>
  </sheetViews>
  <sheetFormatPr defaultRowHeight="15" x14ac:dyDescent="0.25"/>
  <cols>
    <col min="2" max="2" width="23" bestFit="1" customWidth="1"/>
    <col min="3" max="3" width="14.28515625" bestFit="1" customWidth="1"/>
    <col min="4" max="4" width="17" bestFit="1" customWidth="1"/>
    <col min="5" max="5" width="15.42578125" bestFit="1" customWidth="1"/>
  </cols>
  <sheetData>
    <row r="1" spans="1:6" x14ac:dyDescent="0.25">
      <c r="A1" s="11" t="s">
        <v>1</v>
      </c>
      <c r="B1" s="7"/>
      <c r="C1" s="7"/>
      <c r="D1" s="7"/>
      <c r="E1" s="7"/>
      <c r="F1" s="7"/>
    </row>
    <row r="2" spans="1:6" x14ac:dyDescent="0.25">
      <c r="A2" s="10" t="s">
        <v>0</v>
      </c>
      <c r="B2" s="7"/>
      <c r="C2" s="7"/>
      <c r="D2" s="7"/>
      <c r="E2" s="7"/>
      <c r="F2" s="7"/>
    </row>
    <row r="3" spans="1:6" x14ac:dyDescent="0.25">
      <c r="A3" s="10"/>
      <c r="B3" s="7"/>
      <c r="C3" s="7"/>
      <c r="D3" s="7"/>
      <c r="E3" s="7"/>
      <c r="F3" s="7"/>
    </row>
    <row r="4" spans="1:6" x14ac:dyDescent="0.25">
      <c r="A4" s="9" t="s">
        <v>2</v>
      </c>
      <c r="B4" s="7"/>
      <c r="C4" s="7"/>
      <c r="D4" s="7"/>
      <c r="E4" s="7"/>
      <c r="F4" s="7"/>
    </row>
    <row r="5" spans="1:6" ht="15.75" x14ac:dyDescent="0.25">
      <c r="A5" s="8"/>
      <c r="B5" s="7"/>
      <c r="C5" s="7"/>
      <c r="D5" s="7"/>
      <c r="E5" s="7"/>
      <c r="F5" s="7"/>
    </row>
    <row r="6" spans="1:6" ht="15.75" x14ac:dyDescent="0.25">
      <c r="A6" s="8"/>
      <c r="B6" s="7"/>
      <c r="C6" s="7"/>
      <c r="D6" s="7"/>
      <c r="E6" s="7"/>
      <c r="F6" s="7"/>
    </row>
    <row r="7" spans="1:6" ht="94.5" customHeight="1" x14ac:dyDescent="0.25">
      <c r="A7" s="317" t="s">
        <v>363</v>
      </c>
      <c r="B7" s="318"/>
      <c r="C7" s="318"/>
      <c r="D7" s="318"/>
      <c r="E7" s="318"/>
      <c r="F7" s="318"/>
    </row>
    <row r="8" spans="1:6" x14ac:dyDescent="0.25">
      <c r="A8" s="1"/>
      <c r="B8" s="1"/>
      <c r="C8" s="1"/>
      <c r="D8" s="1"/>
      <c r="E8" s="1"/>
      <c r="F8" s="1"/>
    </row>
    <row r="9" spans="1:6" x14ac:dyDescent="0.25">
      <c r="A9" s="1"/>
      <c r="B9" s="6"/>
      <c r="C9" s="4"/>
      <c r="D9" s="4"/>
      <c r="E9" s="5"/>
      <c r="F9" s="1"/>
    </row>
    <row r="10" spans="1:6" x14ac:dyDescent="0.25">
      <c r="A10" s="1"/>
      <c r="B10" s="6"/>
      <c r="C10" s="4"/>
      <c r="D10" s="4"/>
      <c r="E10" s="5"/>
      <c r="F10" s="1"/>
    </row>
    <row r="11" spans="1:6" x14ac:dyDescent="0.25">
      <c r="A11" s="1"/>
      <c r="B11" s="6"/>
      <c r="C11" s="4"/>
      <c r="D11" s="4"/>
      <c r="E11" s="5"/>
      <c r="F11" s="1"/>
    </row>
    <row r="12" spans="1:6" x14ac:dyDescent="0.25">
      <c r="A12" s="1"/>
      <c r="B12" s="6"/>
      <c r="C12" s="4"/>
      <c r="D12" s="4"/>
      <c r="E12" s="5"/>
      <c r="F12" s="1"/>
    </row>
    <row r="13" spans="1:6" x14ac:dyDescent="0.25">
      <c r="A13" s="1"/>
      <c r="B13" s="2"/>
      <c r="C13" s="4"/>
      <c r="D13" s="4"/>
      <c r="E13" s="3"/>
      <c r="F13" s="1"/>
    </row>
    <row r="14" spans="1:6" x14ac:dyDescent="0.25">
      <c r="A14" s="1"/>
      <c r="B14" s="2"/>
      <c r="C14" s="4"/>
      <c r="D14" s="4"/>
      <c r="E14" s="3"/>
      <c r="F14" s="1"/>
    </row>
    <row r="15" spans="1:6" x14ac:dyDescent="0.25">
      <c r="A15" s="1"/>
      <c r="B15" s="2"/>
      <c r="C15" s="2"/>
      <c r="D15" s="2"/>
      <c r="E15" s="2"/>
      <c r="F15" s="1"/>
    </row>
    <row r="16" spans="1:6" x14ac:dyDescent="0.25">
      <c r="A16" s="1"/>
      <c r="B16" s="2"/>
      <c r="C16" s="2"/>
      <c r="D16" s="2"/>
      <c r="E16" s="2"/>
      <c r="F16" s="1"/>
    </row>
    <row r="17" spans="1:6" x14ac:dyDescent="0.25">
      <c r="A17" s="1"/>
      <c r="B17" s="1"/>
      <c r="C17" s="1"/>
      <c r="D17" s="1"/>
      <c r="E17" s="1"/>
      <c r="F17" s="1"/>
    </row>
  </sheetData>
  <mergeCells count="1">
    <mergeCell ref="A7:F7"/>
  </mergeCells>
  <pageMargins left="0.7" right="0.5" top="0.75" bottom="0.75" header="0.5" footer="0.3"/>
  <pageSetup orientation="portrait" r:id="rId1"/>
  <headerFooter>
    <oddHeader>&amp;R&amp;"Arial,Regular"&amp;10Exhibit 18</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37650-D66D-4D01-BDD9-6A9097582DE2}">
  <dimension ref="A1:F17"/>
  <sheetViews>
    <sheetView view="pageBreakPreview" zoomScale="60" zoomScaleNormal="100" workbookViewId="0">
      <selection activeCell="A2" sqref="A2"/>
    </sheetView>
  </sheetViews>
  <sheetFormatPr defaultRowHeight="15" x14ac:dyDescent="0.25"/>
  <cols>
    <col min="2" max="2" width="23" bestFit="1" customWidth="1"/>
    <col min="3" max="3" width="14.28515625" bestFit="1" customWidth="1"/>
    <col min="4" max="4" width="17" bestFit="1" customWidth="1"/>
    <col min="5" max="5" width="15.42578125" bestFit="1" customWidth="1"/>
  </cols>
  <sheetData>
    <row r="1" spans="1:6" x14ac:dyDescent="0.25">
      <c r="A1" s="11" t="s">
        <v>1</v>
      </c>
      <c r="B1" s="7"/>
      <c r="C1" s="7"/>
      <c r="D1" s="7"/>
      <c r="E1" s="7"/>
      <c r="F1" s="7"/>
    </row>
    <row r="2" spans="1:6" x14ac:dyDescent="0.25">
      <c r="A2" s="10" t="s">
        <v>0</v>
      </c>
      <c r="B2" s="7"/>
      <c r="C2" s="7"/>
      <c r="D2" s="7"/>
      <c r="E2" s="7"/>
      <c r="F2" s="7"/>
    </row>
    <row r="3" spans="1:6" x14ac:dyDescent="0.25">
      <c r="A3" s="10"/>
      <c r="B3" s="7"/>
      <c r="C3" s="7"/>
      <c r="D3" s="7"/>
      <c r="E3" s="7"/>
      <c r="F3" s="7"/>
    </row>
    <row r="4" spans="1:6" x14ac:dyDescent="0.25">
      <c r="A4" s="9" t="s">
        <v>361</v>
      </c>
      <c r="B4" s="7"/>
      <c r="C4" s="7"/>
      <c r="D4" s="7"/>
      <c r="E4" s="7"/>
      <c r="F4" s="7"/>
    </row>
    <row r="5" spans="1:6" ht="15.75" x14ac:dyDescent="0.25">
      <c r="A5" s="8"/>
      <c r="B5" s="7"/>
      <c r="C5" s="7"/>
      <c r="D5" s="7"/>
      <c r="E5" s="7"/>
      <c r="F5" s="7"/>
    </row>
    <row r="6" spans="1:6" ht="15.75" x14ac:dyDescent="0.25">
      <c r="A6" s="8"/>
      <c r="B6" s="7"/>
      <c r="C6" s="7"/>
      <c r="D6" s="7"/>
      <c r="E6" s="7"/>
      <c r="F6" s="7"/>
    </row>
    <row r="7" spans="1:6" ht="15" customHeight="1" x14ac:dyDescent="0.25">
      <c r="A7" s="319" t="s">
        <v>362</v>
      </c>
      <c r="B7" s="319"/>
      <c r="C7" s="319"/>
      <c r="D7" s="319"/>
      <c r="E7" s="319"/>
      <c r="F7" s="319"/>
    </row>
    <row r="8" spans="1:6" x14ac:dyDescent="0.25">
      <c r="A8" s="1"/>
      <c r="B8" s="1"/>
      <c r="C8" s="1"/>
      <c r="D8" s="1"/>
      <c r="E8" s="1"/>
      <c r="F8" s="1"/>
    </row>
    <row r="9" spans="1:6" x14ac:dyDescent="0.25">
      <c r="A9" s="1"/>
      <c r="B9" s="6"/>
      <c r="C9" s="4"/>
      <c r="D9" s="4"/>
      <c r="E9" s="5"/>
      <c r="F9" s="1"/>
    </row>
    <row r="10" spans="1:6" x14ac:dyDescent="0.25">
      <c r="A10" s="1"/>
      <c r="B10" s="6"/>
      <c r="C10" s="4"/>
      <c r="D10" s="4"/>
      <c r="E10" s="5"/>
      <c r="F10" s="1"/>
    </row>
    <row r="11" spans="1:6" x14ac:dyDescent="0.25">
      <c r="A11" s="1"/>
      <c r="B11" s="6"/>
      <c r="C11" s="4"/>
      <c r="D11" s="4"/>
      <c r="E11" s="5"/>
      <c r="F11" s="1"/>
    </row>
    <row r="12" spans="1:6" x14ac:dyDescent="0.25">
      <c r="A12" s="1"/>
      <c r="B12" s="6"/>
      <c r="C12" s="4"/>
      <c r="D12" s="4"/>
      <c r="E12" s="5"/>
      <c r="F12" s="1"/>
    </row>
    <row r="13" spans="1:6" x14ac:dyDescent="0.25">
      <c r="A13" s="1"/>
      <c r="B13" s="2"/>
      <c r="C13" s="4"/>
      <c r="D13" s="4"/>
      <c r="E13" s="3"/>
      <c r="F13" s="1"/>
    </row>
    <row r="14" spans="1:6" x14ac:dyDescent="0.25">
      <c r="A14" s="1"/>
      <c r="B14" s="2"/>
      <c r="C14" s="4"/>
      <c r="D14" s="4"/>
      <c r="E14" s="3"/>
      <c r="F14" s="1"/>
    </row>
    <row r="15" spans="1:6" x14ac:dyDescent="0.25">
      <c r="A15" s="1"/>
      <c r="B15" s="2"/>
      <c r="C15" s="2"/>
      <c r="D15" s="2"/>
      <c r="E15" s="2"/>
      <c r="F15" s="1"/>
    </row>
    <row r="16" spans="1:6" x14ac:dyDescent="0.25">
      <c r="A16" s="1"/>
      <c r="B16" s="2"/>
      <c r="C16" s="2"/>
      <c r="D16" s="2"/>
      <c r="E16" s="2"/>
      <c r="F16" s="1"/>
    </row>
    <row r="17" spans="1:6" x14ac:dyDescent="0.25">
      <c r="A17" s="1"/>
      <c r="B17" s="1"/>
      <c r="C17" s="1"/>
      <c r="D17" s="1"/>
      <c r="E17" s="1"/>
      <c r="F17" s="1"/>
    </row>
  </sheetData>
  <mergeCells count="1">
    <mergeCell ref="A7:F7"/>
  </mergeCells>
  <pageMargins left="0.7" right="0.5" top="0.75" bottom="0.75" header="0.5" footer="0.3"/>
  <pageSetup orientation="portrait" r:id="rId1"/>
  <headerFooter>
    <oddHeader>&amp;R&amp;"Arial,Regular"&amp;10Exhibit 19</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5B3C5-0041-43A1-BC4E-6CF5EC998C4C}">
  <sheetPr codeName="Sheet25">
    <pageSetUpPr fitToPage="1"/>
  </sheetPr>
  <dimension ref="A1:U24"/>
  <sheetViews>
    <sheetView view="pageBreakPreview" zoomScale="85" zoomScaleNormal="100" zoomScaleSheetLayoutView="85" workbookViewId="0">
      <selection activeCell="I26" sqref="I26"/>
    </sheetView>
  </sheetViews>
  <sheetFormatPr defaultRowHeight="15" x14ac:dyDescent="0.25"/>
  <cols>
    <col min="1" max="1" width="19.5703125" customWidth="1"/>
    <col min="2" max="2" width="13.42578125" bestFit="1" customWidth="1"/>
    <col min="3" max="3" width="12.85546875" customWidth="1"/>
    <col min="4" max="4" width="17.7109375" bestFit="1" customWidth="1"/>
    <col min="5" max="5" width="22.42578125" bestFit="1" customWidth="1"/>
    <col min="6" max="6" width="19.5703125" bestFit="1" customWidth="1"/>
    <col min="7" max="7" width="11.5703125" bestFit="1" customWidth="1"/>
    <col min="8" max="8" width="12.28515625" customWidth="1"/>
    <col min="9" max="9" width="21.140625" customWidth="1"/>
    <col min="10" max="10" width="20.7109375" customWidth="1"/>
    <col min="11" max="11" width="18.5703125" customWidth="1"/>
    <col min="12" max="12" width="17.28515625" customWidth="1"/>
    <col min="13" max="13" width="18.7109375" customWidth="1"/>
    <col min="14" max="14" width="19.140625" customWidth="1"/>
    <col min="15" max="17" width="17.140625" customWidth="1"/>
    <col min="18" max="18" width="10.28515625" bestFit="1" customWidth="1"/>
    <col min="19" max="19" width="11.28515625" bestFit="1" customWidth="1"/>
  </cols>
  <sheetData>
    <row r="1" spans="1:21" x14ac:dyDescent="0.25">
      <c r="A1" s="72"/>
      <c r="B1" s="35"/>
      <c r="C1" s="35"/>
      <c r="E1" s="35"/>
      <c r="F1" s="35"/>
      <c r="G1" s="35"/>
      <c r="I1" s="72" t="s">
        <v>1</v>
      </c>
      <c r="K1" s="175"/>
      <c r="L1" s="35"/>
      <c r="M1" s="35"/>
      <c r="N1" s="35"/>
      <c r="O1" s="35"/>
      <c r="P1" s="35"/>
      <c r="Q1" s="35"/>
    </row>
    <row r="2" spans="1:21" x14ac:dyDescent="0.25">
      <c r="A2" s="176"/>
      <c r="B2" s="35"/>
      <c r="C2" s="35"/>
      <c r="E2" s="35"/>
      <c r="F2" s="35"/>
      <c r="G2" s="35"/>
      <c r="I2" s="72" t="s">
        <v>0</v>
      </c>
      <c r="K2" s="175"/>
      <c r="L2" s="35"/>
      <c r="M2" s="35"/>
      <c r="N2" s="35"/>
      <c r="O2" s="35"/>
      <c r="P2" s="35"/>
      <c r="Q2" s="35"/>
    </row>
    <row r="3" spans="1:21" x14ac:dyDescent="0.25">
      <c r="B3" s="35"/>
      <c r="C3" s="35"/>
      <c r="E3" s="35"/>
      <c r="F3" s="35"/>
      <c r="G3" s="35"/>
      <c r="I3" s="72"/>
      <c r="K3" s="175"/>
      <c r="L3" s="35"/>
      <c r="M3" s="35"/>
      <c r="N3" s="35"/>
      <c r="O3" s="35"/>
      <c r="P3" s="35"/>
      <c r="Q3" s="35"/>
    </row>
    <row r="4" spans="1:21" x14ac:dyDescent="0.25">
      <c r="A4" s="72"/>
      <c r="B4" s="35"/>
      <c r="C4" s="35"/>
      <c r="D4" s="35"/>
      <c r="G4" s="35"/>
      <c r="H4" s="35"/>
      <c r="I4" s="73" t="s">
        <v>235</v>
      </c>
      <c r="J4" s="35"/>
      <c r="K4" s="35"/>
      <c r="L4" s="35"/>
      <c r="M4" s="35"/>
      <c r="N4" s="35"/>
      <c r="O4" s="35"/>
      <c r="P4" s="35"/>
      <c r="Q4" s="35"/>
    </row>
    <row r="5" spans="1:21" x14ac:dyDescent="0.25">
      <c r="A5" s="72"/>
      <c r="B5" s="35"/>
      <c r="C5" s="35"/>
      <c r="D5" s="35"/>
      <c r="E5" s="35"/>
      <c r="F5" s="35"/>
      <c r="G5" s="35"/>
      <c r="H5" s="35"/>
      <c r="I5" s="35"/>
      <c r="J5" s="35"/>
      <c r="K5" s="35"/>
      <c r="L5" s="35"/>
      <c r="M5" s="35"/>
      <c r="N5" s="35"/>
      <c r="O5" s="35"/>
      <c r="P5" s="35"/>
      <c r="Q5" s="35"/>
    </row>
    <row r="6" spans="1:21" ht="15.75" thickBot="1" x14ac:dyDescent="0.3">
      <c r="K6" s="177"/>
      <c r="L6" s="178"/>
    </row>
    <row r="7" spans="1:21" ht="15.75" thickBot="1" x14ac:dyDescent="0.3">
      <c r="A7" s="179"/>
      <c r="B7" s="180" t="s">
        <v>236</v>
      </c>
      <c r="C7" s="181"/>
      <c r="D7" s="181"/>
      <c r="E7" s="181"/>
      <c r="F7" s="181"/>
      <c r="G7" s="181"/>
      <c r="H7" s="182"/>
      <c r="I7" s="181"/>
      <c r="J7" s="183"/>
      <c r="K7" s="184" t="s">
        <v>237</v>
      </c>
      <c r="L7" s="184"/>
      <c r="M7" s="184"/>
      <c r="N7" s="184"/>
      <c r="O7" s="184"/>
      <c r="P7" s="184"/>
      <c r="Q7" s="184"/>
    </row>
    <row r="8" spans="1:21" ht="70.5" customHeight="1" thickBot="1" x14ac:dyDescent="0.3">
      <c r="A8" s="185" t="s">
        <v>238</v>
      </c>
      <c r="B8" s="186" t="s">
        <v>239</v>
      </c>
      <c r="C8" s="187" t="s">
        <v>240</v>
      </c>
      <c r="D8" s="187" t="s">
        <v>241</v>
      </c>
      <c r="E8" s="187" t="s">
        <v>242</v>
      </c>
      <c r="F8" s="187" t="s">
        <v>243</v>
      </c>
      <c r="G8" s="187" t="s">
        <v>244</v>
      </c>
      <c r="H8" s="188" t="s">
        <v>245</v>
      </c>
      <c r="I8" s="189" t="s">
        <v>246</v>
      </c>
      <c r="J8" s="190" t="s">
        <v>247</v>
      </c>
      <c r="K8" s="191" t="s">
        <v>248</v>
      </c>
      <c r="L8" s="191" t="s">
        <v>249</v>
      </c>
      <c r="M8" s="191" t="s">
        <v>250</v>
      </c>
      <c r="N8" s="191" t="s">
        <v>251</v>
      </c>
      <c r="O8" s="191" t="s">
        <v>252</v>
      </c>
      <c r="P8" s="191" t="s">
        <v>253</v>
      </c>
      <c r="Q8" s="191" t="s">
        <v>254</v>
      </c>
      <c r="T8" s="192"/>
      <c r="U8" s="192"/>
    </row>
    <row r="9" spans="1:21" x14ac:dyDescent="0.25">
      <c r="A9" s="193" t="s">
        <v>317</v>
      </c>
      <c r="B9" s="194">
        <v>5437</v>
      </c>
      <c r="C9" s="282">
        <f>B9/$B$20</f>
        <v>1.4140232511507631E-3</v>
      </c>
      <c r="D9" s="226">
        <v>1174944.4400000195</v>
      </c>
      <c r="E9" s="195">
        <v>3328115.6199999801</v>
      </c>
      <c r="F9" s="195">
        <v>4503060.0599999996</v>
      </c>
      <c r="G9" s="286">
        <f t="shared" ref="G9:G20" si="0">E9/$B9</f>
        <v>612.12352768070264</v>
      </c>
      <c r="H9" s="286">
        <f t="shared" ref="H9:H20" si="1">F9/$B9</f>
        <v>828.22513518484448</v>
      </c>
      <c r="I9" s="287">
        <f t="shared" ref="I9:I20" si="2">H9-G9</f>
        <v>216.10160750414184</v>
      </c>
      <c r="J9" s="196">
        <v>2197.5799999999799</v>
      </c>
      <c r="K9" s="197">
        <v>135.04075041383484</v>
      </c>
      <c r="L9" s="197">
        <v>5.203852459016395</v>
      </c>
      <c r="M9" s="197">
        <v>40.080419966844701</v>
      </c>
      <c r="N9" s="197">
        <v>2.232307692307693</v>
      </c>
      <c r="O9" s="197" t="s">
        <v>216</v>
      </c>
      <c r="P9" s="197">
        <v>1.3099769762087334</v>
      </c>
      <c r="Q9" s="197">
        <v>-0.1432876712328793</v>
      </c>
      <c r="R9" s="277"/>
      <c r="S9" s="278"/>
      <c r="T9" s="198"/>
      <c r="U9" s="198"/>
    </row>
    <row r="10" spans="1:21" x14ac:dyDescent="0.25">
      <c r="A10" s="193" t="s">
        <v>255</v>
      </c>
      <c r="B10" s="194">
        <v>473916</v>
      </c>
      <c r="C10" s="282">
        <f>B10/$B$20</f>
        <v>0.12325330937876863</v>
      </c>
      <c r="D10" s="226">
        <v>116160055.33999997</v>
      </c>
      <c r="E10" s="195">
        <v>353667709.01999801</v>
      </c>
      <c r="F10" s="195">
        <v>469827764.35999799</v>
      </c>
      <c r="G10" s="286">
        <f t="shared" si="0"/>
        <v>746.2666570025026</v>
      </c>
      <c r="H10" s="286">
        <f t="shared" si="1"/>
        <v>991.37350154879346</v>
      </c>
      <c r="I10" s="287">
        <f t="shared" si="2"/>
        <v>245.10684454629086</v>
      </c>
      <c r="J10" s="196">
        <v>3532.84</v>
      </c>
      <c r="K10" s="197">
        <v>190.47240204414916</v>
      </c>
      <c r="L10" s="197">
        <v>9.7163187970289009</v>
      </c>
      <c r="M10" s="197">
        <v>25.801741639962714</v>
      </c>
      <c r="N10" s="197">
        <v>11.305723164647178</v>
      </c>
      <c r="O10" s="197">
        <v>16.052032894357474</v>
      </c>
      <c r="P10" s="197">
        <v>1.3739607307116875</v>
      </c>
      <c r="Q10" s="197">
        <v>-0.16206727828746087</v>
      </c>
      <c r="R10" s="277"/>
      <c r="S10" s="278"/>
      <c r="T10" s="198"/>
      <c r="U10" s="198"/>
    </row>
    <row r="11" spans="1:21" x14ac:dyDescent="0.25">
      <c r="A11" s="193" t="s">
        <v>256</v>
      </c>
      <c r="B11" s="194">
        <v>882082</v>
      </c>
      <c r="C11" s="282">
        <f>B11/$B$20</f>
        <v>0.2294067422147448</v>
      </c>
      <c r="D11" s="226">
        <v>288535052.49999809</v>
      </c>
      <c r="E11" s="195">
        <v>1091159631.8599999</v>
      </c>
      <c r="F11" s="195">
        <v>1379694684.359998</v>
      </c>
      <c r="G11" s="286">
        <f t="shared" si="0"/>
        <v>1237.0274326649901</v>
      </c>
      <c r="H11" s="286">
        <f t="shared" si="1"/>
        <v>1564.1342691042307</v>
      </c>
      <c r="I11" s="287">
        <f t="shared" si="2"/>
        <v>327.10683643924062</v>
      </c>
      <c r="J11" s="196">
        <v>8097.22</v>
      </c>
      <c r="K11" s="197">
        <v>196.40708048973815</v>
      </c>
      <c r="L11" s="197">
        <v>8.8558837867186426</v>
      </c>
      <c r="M11" s="197">
        <v>28.693637485825416</v>
      </c>
      <c r="N11" s="197">
        <v>16.432536182311971</v>
      </c>
      <c r="O11" s="197">
        <v>50.352772778146864</v>
      </c>
      <c r="P11" s="197">
        <v>3.195171407683894</v>
      </c>
      <c r="Q11" s="197">
        <v>-0.16727660861367344</v>
      </c>
      <c r="R11" s="277"/>
      <c r="S11" s="278"/>
      <c r="T11" s="198"/>
      <c r="U11" s="198"/>
    </row>
    <row r="12" spans="1:21" x14ac:dyDescent="0.25">
      <c r="A12" s="193" t="s">
        <v>257</v>
      </c>
      <c r="B12" s="194">
        <v>2277520</v>
      </c>
      <c r="C12" s="282">
        <f>B12/$B$20</f>
        <v>0.59232411899225423</v>
      </c>
      <c r="D12" s="226">
        <v>902732771.06002045</v>
      </c>
      <c r="E12" s="195">
        <v>4008076144.6999798</v>
      </c>
      <c r="F12" s="195">
        <v>4910808915.7600002</v>
      </c>
      <c r="G12" s="286">
        <f t="shared" si="0"/>
        <v>1759.8423481242667</v>
      </c>
      <c r="H12" s="286">
        <f t="shared" si="1"/>
        <v>2156.2089095858655</v>
      </c>
      <c r="I12" s="287">
        <f t="shared" si="2"/>
        <v>396.36656146159885</v>
      </c>
      <c r="J12" s="196">
        <v>7795.22</v>
      </c>
      <c r="K12" s="197">
        <v>188.72418175168326</v>
      </c>
      <c r="L12" s="197">
        <v>9.4910308308321589</v>
      </c>
      <c r="M12" s="197">
        <v>25.707569178978453</v>
      </c>
      <c r="N12" s="197">
        <v>36.944628526344175</v>
      </c>
      <c r="O12" s="197">
        <v>108.87300905752539</v>
      </c>
      <c r="P12" s="197">
        <v>3.8585670034970341</v>
      </c>
      <c r="Q12" s="197">
        <v>-0.17500466836313411</v>
      </c>
      <c r="R12" s="277"/>
      <c r="S12" s="278"/>
      <c r="T12" s="198"/>
      <c r="U12" s="198"/>
    </row>
    <row r="13" spans="1:21" x14ac:dyDescent="0.25">
      <c r="A13" s="193" t="s">
        <v>258</v>
      </c>
      <c r="B13" s="194">
        <v>178991</v>
      </c>
      <c r="C13" s="282">
        <f>B13/$B$20</f>
        <v>4.6550935395756159E-2</v>
      </c>
      <c r="D13" s="226">
        <v>90248257.879999995</v>
      </c>
      <c r="E13" s="195">
        <v>470911526.25999999</v>
      </c>
      <c r="F13" s="195">
        <v>561159784.13999999</v>
      </c>
      <c r="G13" s="286">
        <f t="shared" si="0"/>
        <v>2630.9229305384069</v>
      </c>
      <c r="H13" s="286">
        <f t="shared" si="1"/>
        <v>3135.1284932761982</v>
      </c>
      <c r="I13" s="287">
        <f t="shared" si="2"/>
        <v>504.2055627377913</v>
      </c>
      <c r="J13" s="196">
        <v>11338.73999999998</v>
      </c>
      <c r="K13" s="197">
        <v>160.68086118374808</v>
      </c>
      <c r="L13" s="197">
        <v>8.7474209683283686</v>
      </c>
      <c r="M13" s="197">
        <v>21.607915390990566</v>
      </c>
      <c r="N13" s="197">
        <v>82.923487769172084</v>
      </c>
      <c r="O13" s="197">
        <v>209.69601896319844</v>
      </c>
      <c r="P13" s="197">
        <v>4.1962588659427853</v>
      </c>
      <c r="Q13" s="197">
        <v>-0.17921161386033913</v>
      </c>
      <c r="R13" s="277"/>
      <c r="S13" s="278"/>
      <c r="T13" s="198"/>
      <c r="U13" s="198"/>
    </row>
    <row r="14" spans="1:21" x14ac:dyDescent="0.25">
      <c r="A14" s="193" t="s">
        <v>259</v>
      </c>
      <c r="B14" s="194">
        <v>27091</v>
      </c>
      <c r="C14" s="282">
        <f>B14/$B$20</f>
        <v>7.0456692839664017E-3</v>
      </c>
      <c r="D14" s="226">
        <v>530787.93999999994</v>
      </c>
      <c r="E14" s="195">
        <v>3565959.12</v>
      </c>
      <c r="F14" s="195">
        <v>4096747.06</v>
      </c>
      <c r="G14" s="286">
        <f t="shared" si="0"/>
        <v>131.62892178214167</v>
      </c>
      <c r="H14" s="286">
        <f t="shared" si="1"/>
        <v>151.22169945738437</v>
      </c>
      <c r="I14" s="287">
        <f t="shared" si="2"/>
        <v>19.592777675242701</v>
      </c>
      <c r="J14" s="196">
        <v>1576.5399999999979</v>
      </c>
      <c r="K14" s="197">
        <v>0</v>
      </c>
      <c r="L14" s="197">
        <v>2.9177777777778005</v>
      </c>
      <c r="M14" s="197">
        <v>0</v>
      </c>
      <c r="N14" s="197">
        <v>17.149251127374136</v>
      </c>
      <c r="O14" s="197">
        <v>56.729133574007221</v>
      </c>
      <c r="P14" s="197">
        <v>1.542378212504802</v>
      </c>
      <c r="Q14" s="197">
        <v>-0.15677704194260095</v>
      </c>
      <c r="R14" s="277"/>
      <c r="S14" s="278"/>
      <c r="T14" s="198"/>
      <c r="U14" s="198"/>
    </row>
    <row r="15" spans="1:21" x14ac:dyDescent="0.25">
      <c r="A15" s="193" t="s">
        <v>260</v>
      </c>
      <c r="B15" s="194">
        <v>10</v>
      </c>
      <c r="C15" s="282">
        <f>B15/$B$20</f>
        <v>2.6007416795121632E-6</v>
      </c>
      <c r="D15" s="226">
        <v>35.799999999999955</v>
      </c>
      <c r="E15" s="195">
        <v>410.98</v>
      </c>
      <c r="F15" s="195">
        <v>446.78</v>
      </c>
      <c r="G15" s="286">
        <f t="shared" si="0"/>
        <v>41.097999999999999</v>
      </c>
      <c r="H15" s="286">
        <f t="shared" si="1"/>
        <v>44.677999999999997</v>
      </c>
      <c r="I15" s="287">
        <f t="shared" si="2"/>
        <v>3.5799999999999983</v>
      </c>
      <c r="J15" s="196">
        <v>10.979999999999981</v>
      </c>
      <c r="K15" s="197" t="s">
        <v>216</v>
      </c>
      <c r="L15" s="197" t="s">
        <v>216</v>
      </c>
      <c r="M15" s="197" t="s">
        <v>216</v>
      </c>
      <c r="N15" s="197">
        <v>3.7239999999998021</v>
      </c>
      <c r="O15" s="197" t="s">
        <v>216</v>
      </c>
      <c r="P15" s="197" t="s">
        <v>216</v>
      </c>
      <c r="Q15" s="197">
        <v>-0.28799999999999998</v>
      </c>
      <c r="R15" s="277"/>
      <c r="S15" s="278"/>
      <c r="T15" s="198"/>
      <c r="U15" s="198"/>
    </row>
    <row r="16" spans="1:21" x14ac:dyDescent="0.25">
      <c r="A16" s="193" t="s">
        <v>261</v>
      </c>
      <c r="B16" s="194">
        <v>1</v>
      </c>
      <c r="C16" s="282">
        <f>B16/$B$20</f>
        <v>2.6007416795121631E-7</v>
      </c>
      <c r="D16" s="226">
        <v>2.6400000000000006</v>
      </c>
      <c r="E16" s="195">
        <v>57.94</v>
      </c>
      <c r="F16" s="195">
        <v>60.58</v>
      </c>
      <c r="G16" s="286">
        <f t="shared" si="0"/>
        <v>57.94</v>
      </c>
      <c r="H16" s="286">
        <f t="shared" si="1"/>
        <v>60.58</v>
      </c>
      <c r="I16" s="287">
        <f t="shared" si="2"/>
        <v>2.6400000000000006</v>
      </c>
      <c r="J16" s="196">
        <v>2.64</v>
      </c>
      <c r="K16" s="197" t="s">
        <v>216</v>
      </c>
      <c r="L16" s="197" t="s">
        <v>216</v>
      </c>
      <c r="M16" s="197" t="s">
        <v>216</v>
      </c>
      <c r="N16" s="197">
        <v>2.6400000000000006</v>
      </c>
      <c r="O16" s="197" t="s">
        <v>216</v>
      </c>
      <c r="P16" s="197" t="s">
        <v>216</v>
      </c>
      <c r="Q16" s="197" t="s">
        <v>216</v>
      </c>
      <c r="R16" s="277"/>
      <c r="S16" s="278"/>
      <c r="T16" s="198"/>
      <c r="U16" s="198"/>
    </row>
    <row r="17" spans="1:21" x14ac:dyDescent="0.25">
      <c r="A17" s="193" t="s">
        <v>262</v>
      </c>
      <c r="B17" s="194" t="e">
        <v>#N/A</v>
      </c>
      <c r="C17" s="282" t="e">
        <f>B17/$B$20</f>
        <v>#N/A</v>
      </c>
      <c r="D17" s="226" t="e">
        <v>#N/A</v>
      </c>
      <c r="E17" s="195" t="e">
        <v>#N/A</v>
      </c>
      <c r="F17" s="195" t="e">
        <v>#N/A</v>
      </c>
      <c r="G17" s="286" t="e">
        <f t="shared" si="0"/>
        <v>#N/A</v>
      </c>
      <c r="H17" s="286" t="e">
        <f t="shared" si="1"/>
        <v>#N/A</v>
      </c>
      <c r="I17" s="287" t="e">
        <f t="shared" si="2"/>
        <v>#N/A</v>
      </c>
      <c r="J17" s="196" t="e">
        <v>#N/A</v>
      </c>
      <c r="K17" s="197" t="s">
        <v>216</v>
      </c>
      <c r="L17" s="197" t="s">
        <v>216</v>
      </c>
      <c r="M17" s="197" t="s">
        <v>216</v>
      </c>
      <c r="N17" s="197" t="s">
        <v>216</v>
      </c>
      <c r="O17" s="197" t="s">
        <v>216</v>
      </c>
      <c r="P17" s="197" t="s">
        <v>216</v>
      </c>
      <c r="Q17" s="197" t="s">
        <v>216</v>
      </c>
      <c r="R17" s="277"/>
      <c r="S17" s="278"/>
      <c r="T17" s="198"/>
      <c r="U17" s="198"/>
    </row>
    <row r="18" spans="1:21" x14ac:dyDescent="0.25">
      <c r="A18" s="193" t="s">
        <v>263</v>
      </c>
      <c r="B18" s="194" t="e">
        <v>#N/A</v>
      </c>
      <c r="C18" s="282" t="e">
        <f>B18/$B$20</f>
        <v>#N/A</v>
      </c>
      <c r="D18" s="226" t="e">
        <v>#N/A</v>
      </c>
      <c r="E18" s="195" t="e">
        <v>#N/A</v>
      </c>
      <c r="F18" s="195" t="e">
        <v>#N/A</v>
      </c>
      <c r="G18" s="286" t="e">
        <f t="shared" si="0"/>
        <v>#N/A</v>
      </c>
      <c r="H18" s="286" t="e">
        <f t="shared" si="1"/>
        <v>#N/A</v>
      </c>
      <c r="I18" s="287" t="e">
        <f t="shared" si="2"/>
        <v>#N/A</v>
      </c>
      <c r="J18" s="196" t="e">
        <v>#N/A</v>
      </c>
      <c r="K18" s="197" t="s">
        <v>216</v>
      </c>
      <c r="L18" s="197" t="s">
        <v>216</v>
      </c>
      <c r="M18" s="197" t="s">
        <v>216</v>
      </c>
      <c r="N18" s="197" t="s">
        <v>216</v>
      </c>
      <c r="O18" s="197" t="s">
        <v>216</v>
      </c>
      <c r="P18" s="197" t="s">
        <v>216</v>
      </c>
      <c r="Q18" s="197" t="s">
        <v>216</v>
      </c>
      <c r="R18" s="277"/>
      <c r="S18" s="278"/>
      <c r="T18" s="198"/>
      <c r="U18" s="198"/>
    </row>
    <row r="19" spans="1:21" ht="15.75" thickBot="1" x14ac:dyDescent="0.3">
      <c r="A19" s="193" t="s">
        <v>264</v>
      </c>
      <c r="B19" s="194">
        <v>9</v>
      </c>
      <c r="C19" s="283">
        <f>B19/$B$20</f>
        <v>2.340667511560947E-6</v>
      </c>
      <c r="D19" s="226">
        <v>-1.4199999999999982</v>
      </c>
      <c r="E19" s="195">
        <v>18.84</v>
      </c>
      <c r="F19" s="195">
        <v>17.420000000000002</v>
      </c>
      <c r="G19" s="288">
        <f t="shared" si="0"/>
        <v>2.0933333333333333</v>
      </c>
      <c r="H19" s="288">
        <f t="shared" si="1"/>
        <v>1.9355555555555557</v>
      </c>
      <c r="I19" s="289">
        <f t="shared" si="2"/>
        <v>-0.15777777777777757</v>
      </c>
      <c r="J19" s="204">
        <v>-9.9999999999999797E-2</v>
      </c>
      <c r="K19" s="197" t="s">
        <v>216</v>
      </c>
      <c r="L19" s="197" t="s">
        <v>216</v>
      </c>
      <c r="M19" s="197" t="s">
        <v>216</v>
      </c>
      <c r="N19" s="197" t="s">
        <v>216</v>
      </c>
      <c r="O19" s="197" t="s">
        <v>216</v>
      </c>
      <c r="P19" s="197" t="s">
        <v>216</v>
      </c>
      <c r="Q19" s="197">
        <v>-0.15777777777777757</v>
      </c>
      <c r="R19" s="277"/>
      <c r="S19" s="278"/>
      <c r="T19" s="198"/>
      <c r="U19" s="198"/>
    </row>
    <row r="20" spans="1:21" ht="41.25" customHeight="1" thickBot="1" x14ac:dyDescent="0.3">
      <c r="A20" s="199" t="s">
        <v>113</v>
      </c>
      <c r="B20" s="285" cm="1">
        <f t="array" ref="B20">SUM(_xlfn.IFNA(B9:B19, 0))</f>
        <v>3845057</v>
      </c>
      <c r="C20" s="284" cm="1">
        <f t="array" ref="C20">SUM(_xlfn.IFNA(C9:C19, 0))</f>
        <v>1</v>
      </c>
      <c r="D20" s="285" cm="1">
        <f t="array" ref="D20">SUM(_xlfn.IFNA(D9:D19, 0))</f>
        <v>1399381906.1800184</v>
      </c>
      <c r="E20" s="285" cm="1">
        <f t="array" ref="E20">SUM(_xlfn.IFNA(E9:E19, 0))</f>
        <v>5930709574.3399773</v>
      </c>
      <c r="F20" s="285" cm="1">
        <f t="array" ref="F20">SUM(_xlfn.IFNA(F9:F19, 0))</f>
        <v>7330091480.5199966</v>
      </c>
      <c r="G20" s="290">
        <f t="shared" si="0"/>
        <v>1542.424357906782</v>
      </c>
      <c r="H20" s="291">
        <f t="shared" si="1"/>
        <v>1906.3674428025377</v>
      </c>
      <c r="I20" s="292">
        <f t="shared" si="2"/>
        <v>363.94308489575565</v>
      </c>
      <c r="J20" s="205" cm="1">
        <f t="array" ref="J20">MAX(_xlfn.IFNA(J9:J19, 0))</f>
        <v>11338.73999999998</v>
      </c>
      <c r="K20" s="200">
        <v>189.33323260245169</v>
      </c>
      <c r="L20" s="200">
        <v>9.3130434421275776</v>
      </c>
      <c r="M20" s="200">
        <v>26.243674811940377</v>
      </c>
      <c r="N20" s="200">
        <v>33.410331895992499</v>
      </c>
      <c r="O20" s="200">
        <v>98.799574111148786</v>
      </c>
      <c r="P20" s="200">
        <v>3.5635080139307966</v>
      </c>
      <c r="Q20" s="200">
        <v>-0.17236643850703851</v>
      </c>
      <c r="R20" s="277"/>
      <c r="S20" s="278"/>
    </row>
    <row r="21" spans="1:21" ht="54.75" customHeight="1" x14ac:dyDescent="0.25">
      <c r="A21" s="320" t="s">
        <v>265</v>
      </c>
      <c r="B21" s="321"/>
      <c r="C21" s="321"/>
      <c r="D21" s="321"/>
      <c r="E21" s="321"/>
      <c r="F21" s="321"/>
      <c r="G21" s="321"/>
      <c r="H21" s="321"/>
      <c r="I21" s="321"/>
      <c r="J21" s="321"/>
      <c r="K21" s="321"/>
      <c r="L21" s="321"/>
      <c r="M21" s="321"/>
      <c r="N21" s="321"/>
      <c r="O21" s="321"/>
      <c r="P21" s="321"/>
      <c r="Q21" s="321"/>
    </row>
    <row r="24" spans="1:21" s="202" customFormat="1" x14ac:dyDescent="0.25">
      <c r="A24" s="201"/>
      <c r="B24" s="275"/>
      <c r="C24" s="274"/>
      <c r="H24"/>
      <c r="K24" s="203"/>
      <c r="L24" s="203"/>
      <c r="M24" s="203"/>
      <c r="N24" s="203"/>
      <c r="O24" s="203"/>
      <c r="P24" s="203"/>
      <c r="Q24" s="203"/>
    </row>
  </sheetData>
  <mergeCells count="1">
    <mergeCell ref="A21:Q21"/>
  </mergeCells>
  <printOptions horizontalCentered="1"/>
  <pageMargins left="0.7" right="0.7" top="0.75" bottom="0.75" header="0.3" footer="0.3"/>
  <pageSetup scale="4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12</vt:i4>
      </vt:variant>
    </vt:vector>
  </HeadingPairs>
  <TitlesOfParts>
    <vt:vector size="37" baseType="lpstr">
      <vt:lpstr>Exhibit 1</vt:lpstr>
      <vt:lpstr>Exhibit 2</vt:lpstr>
      <vt:lpstr>Exhibit 3</vt:lpstr>
      <vt:lpstr>Exhibit 4</vt:lpstr>
      <vt:lpstr>Exhibit 6</vt:lpstr>
      <vt:lpstr>Supp Exh 8</vt:lpstr>
      <vt:lpstr>Exhibit 9</vt:lpstr>
      <vt:lpstr>Exhibit 9- p2</vt:lpstr>
      <vt:lpstr>Exhibit 10</vt:lpstr>
      <vt:lpstr>Exhibit 11</vt:lpstr>
      <vt:lpstr>Exhibit 14 ICS 660</vt:lpstr>
      <vt:lpstr>Exhibit 14 PP</vt:lpstr>
      <vt:lpstr>Exhibit 14 ANT</vt:lpstr>
      <vt:lpstr>Exhibit 14 CLSC</vt:lpstr>
      <vt:lpstr>Exhibit 14 MCY</vt:lpstr>
      <vt:lpstr>Exhibit 14 MH</vt:lpstr>
      <vt:lpstr>Exhibit 14 ORV</vt:lpstr>
      <vt:lpstr>Exhibit 14 PPT</vt:lpstr>
      <vt:lpstr>Exhibit 14 TCT</vt:lpstr>
      <vt:lpstr>Exhibit 14 LCM</vt:lpstr>
      <vt:lpstr>Exhibit 14 Rate Allocation</vt:lpstr>
      <vt:lpstr>Exhibit 15</vt:lpstr>
      <vt:lpstr>Exhibit 18</vt:lpstr>
      <vt:lpstr>Exhibit 19</vt:lpstr>
      <vt:lpstr>Exhibit 20</vt:lpstr>
      <vt:lpstr>'Exhibit 10'!Print_Area</vt:lpstr>
      <vt:lpstr>'Exhibit 14 ICS 660'!Print_Area</vt:lpstr>
      <vt:lpstr>'Exhibit 14 LCM'!Print_Area</vt:lpstr>
      <vt:lpstr>'Exhibit 14 MCY'!Print_Area</vt:lpstr>
      <vt:lpstr>'Exhibit 14 MH'!Print_Area</vt:lpstr>
      <vt:lpstr>'Exhibit 14 ORV'!Print_Area</vt:lpstr>
      <vt:lpstr>'Exhibit 14 PP'!Print_Area</vt:lpstr>
      <vt:lpstr>'Exhibit 14 Rate Allocation'!Print_Area</vt:lpstr>
      <vt:lpstr>'Exhibit 14 TCT'!Print_Area</vt:lpstr>
      <vt:lpstr>'Exhibit 2'!Print_Area</vt:lpstr>
      <vt:lpstr>'Exhibit 20'!Print_Area</vt:lpstr>
      <vt:lpstr>'Exhibit 14 Rate Allocation'!Print_Titles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JWalk</dc:creator>
  <cp:lastModifiedBy>Michael Kossuth</cp:lastModifiedBy>
  <cp:lastPrinted>2024-04-09T14:55:41Z</cp:lastPrinted>
  <dcterms:created xsi:type="dcterms:W3CDTF">2022-09-14T13:09:51Z</dcterms:created>
  <dcterms:modified xsi:type="dcterms:W3CDTF">2024-08-15T16:01:55Z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61ecbe3-7ba9-4124-b9d7-ffd820687beb_Enabled">
    <vt:lpwstr>true</vt:lpwstr>
  </property>
  <property fmtid="{D5CDD505-2E9C-101B-9397-08002B2CF9AE}" pid="3" name="MSIP_Label_261ecbe3-7ba9-4124-b9d7-ffd820687beb_SetDate">
    <vt:lpwstr>2022-09-14T13:09:52Z</vt:lpwstr>
  </property>
  <property fmtid="{D5CDD505-2E9C-101B-9397-08002B2CF9AE}" pid="4" name="MSIP_Label_261ecbe3-7ba9-4124-b9d7-ffd820687beb_Method">
    <vt:lpwstr>Standard</vt:lpwstr>
  </property>
  <property fmtid="{D5CDD505-2E9C-101B-9397-08002B2CF9AE}" pid="5" name="MSIP_Label_261ecbe3-7ba9-4124-b9d7-ffd820687beb_Name">
    <vt:lpwstr>261ecbe3-7ba9-4124-b9d7-ffd820687beb</vt:lpwstr>
  </property>
  <property fmtid="{D5CDD505-2E9C-101B-9397-08002B2CF9AE}" pid="6" name="MSIP_Label_261ecbe3-7ba9-4124-b9d7-ffd820687beb_SiteId">
    <vt:lpwstr>fa23982e-6646-4a33-a5c4-1a848d02fcc4</vt:lpwstr>
  </property>
  <property fmtid="{D5CDD505-2E9C-101B-9397-08002B2CF9AE}" pid="7" name="MSIP_Label_261ecbe3-7ba9-4124-b9d7-ffd820687beb_ActionId">
    <vt:lpwstr>a023e459-7a84-460e-bce9-836d3f75619e</vt:lpwstr>
  </property>
  <property fmtid="{D5CDD505-2E9C-101B-9397-08002B2CF9AE}" pid="8" name="MSIP_Label_261ecbe3-7ba9-4124-b9d7-ffd820687beb_ContentBits">
    <vt:lpwstr>0</vt:lpwstr>
  </property>
</Properties>
</file>