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opr.statefarm.org\DFS\PCACT\00\WORKGROUP\P-C ACTUARIAL\HOMEOWNERS\State Files 2019 and Forward\California\2023\HO-W HO-6\Filing\Filing Responses\8-16 Objection Response\"/>
    </mc:Choice>
  </mc:AlternateContent>
  <xr:revisionPtr revIDLastSave="0" documentId="13_ncr:1_{977FCE09-4E7B-4A88-8CA5-D832683383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Sheet1!$1:$7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D78" i="1"/>
  <c r="D68" i="1"/>
  <c r="C68" i="1"/>
  <c r="D74" i="1"/>
  <c r="C74" i="1"/>
  <c r="D53" i="1"/>
  <c r="C53" i="1"/>
  <c r="F80" i="1" l="1"/>
  <c r="F79" i="1"/>
  <c r="F78" i="1"/>
  <c r="F76" i="1"/>
  <c r="F75" i="1"/>
  <c r="F74" i="1"/>
  <c r="F70" i="1"/>
  <c r="F68" i="1"/>
  <c r="F63" i="1"/>
  <c r="F62" i="1"/>
  <c r="F61" i="1"/>
  <c r="D61" i="1"/>
  <c r="F54" i="1"/>
  <c r="D54" i="1"/>
  <c r="F53" i="1"/>
  <c r="F46" i="1"/>
  <c r="F45" i="1"/>
  <c r="C44" i="1"/>
  <c r="F41" i="1"/>
  <c r="F40" i="1"/>
  <c r="D40" i="1"/>
  <c r="D41" i="1" s="1"/>
  <c r="D45" i="1" s="1"/>
  <c r="D46" i="1" s="1"/>
  <c r="C40" i="1"/>
  <c r="F33" i="1"/>
  <c r="F32" i="1"/>
  <c r="C31" i="1"/>
  <c r="F28" i="1"/>
  <c r="F27" i="1"/>
  <c r="D27" i="1"/>
  <c r="D28" i="1" s="1"/>
  <c r="D32" i="1" s="1"/>
  <c r="D33" i="1" s="1"/>
  <c r="C27" i="1"/>
  <c r="F20" i="1"/>
  <c r="F19" i="1"/>
  <c r="F18" i="1"/>
  <c r="C16" i="1"/>
  <c r="F13" i="1"/>
  <c r="F12" i="1"/>
  <c r="D12" i="1"/>
  <c r="D13" i="1" s="1"/>
  <c r="C12" i="1"/>
  <c r="C41" i="1" l="1"/>
  <c r="C28" i="1"/>
  <c r="C13" i="1"/>
  <c r="C45" i="1"/>
  <c r="C46" i="1" s="1"/>
  <c r="C32" i="1"/>
  <c r="C33" i="1" s="1"/>
  <c r="D62" i="1"/>
  <c r="D63" i="1" s="1"/>
  <c r="C62" i="1"/>
  <c r="C63" i="1" s="1"/>
  <c r="D18" i="1"/>
  <c r="D19" i="1" s="1"/>
  <c r="C18" i="1"/>
  <c r="C19" i="1" s="1"/>
  <c r="C20" i="1" l="1"/>
  <c r="C70" i="1"/>
  <c r="C75" i="1" s="1"/>
  <c r="D70" i="1"/>
  <c r="D75" i="1" s="1"/>
  <c r="D76" i="1" s="1"/>
  <c r="D20" i="1"/>
  <c r="C76" i="1" l="1"/>
  <c r="C79" i="1" s="1"/>
  <c r="C80" i="1" s="1"/>
</calcChain>
</file>

<file path=xl/sharedStrings.xml><?xml version="1.0" encoding="utf-8"?>
<sst xmlns="http://schemas.openxmlformats.org/spreadsheetml/2006/main" count="139" uniqueCount="94">
  <si>
    <t>California Homeowners Location Rating Factor Calculation</t>
  </si>
  <si>
    <t>GRID Cell</t>
  </si>
  <si>
    <t>Non-catastrophe Fire Peril</t>
  </si>
  <si>
    <t>Experience Area</t>
  </si>
  <si>
    <t>Statewide</t>
  </si>
  <si>
    <t>(1)</t>
  </si>
  <si>
    <t>Non-catastrophe Loss &amp; ALAE</t>
  </si>
  <si>
    <t>(2)</t>
  </si>
  <si>
    <t>Common Risk Exposure</t>
  </si>
  <si>
    <t>Exposure * Peril Exposure Adjustment</t>
  </si>
  <si>
    <t>(3)</t>
  </si>
  <si>
    <t>Non-catastrophe Loss &amp; ALAE/Common Risk Exposure</t>
  </si>
  <si>
    <t>(4)</t>
  </si>
  <si>
    <t>Capped Non-catastrophe Loss &amp; ALAE/Common Risk Exposure</t>
  </si>
  <si>
    <t>(5)</t>
  </si>
  <si>
    <t>Credibility Standard</t>
  </si>
  <si>
    <t>Based on 90% Confidence Interval and 15% Error</t>
  </si>
  <si>
    <t>(6)</t>
  </si>
  <si>
    <t>Non-catastrophe Claims</t>
  </si>
  <si>
    <t>(7)</t>
  </si>
  <si>
    <t>Credibility</t>
  </si>
  <si>
    <t>Minimum{[(6) / (5)] ^ [0.5] , 0.5000}</t>
  </si>
  <si>
    <t>(8)</t>
  </si>
  <si>
    <t>Modeled Non-catastrophe Loss &amp; ALAE Relativity</t>
  </si>
  <si>
    <t>(9)</t>
  </si>
  <si>
    <t>Modeled Non-catastrophe Loss &amp; ALAE/Common Risk Exposure</t>
  </si>
  <si>
    <t>(10)</t>
  </si>
  <si>
    <t>Expected Non-catastrophe Loss &amp; ALAE/Common Risk Exposure</t>
  </si>
  <si>
    <t>(11)</t>
  </si>
  <si>
    <t>Relative to Statewide</t>
  </si>
  <si>
    <t>Non-catastrophe Crime Peril</t>
  </si>
  <si>
    <t>(12)</t>
  </si>
  <si>
    <t>(13)</t>
  </si>
  <si>
    <t>(14)</t>
  </si>
  <si>
    <t>(15)</t>
  </si>
  <si>
    <t>(16)</t>
  </si>
  <si>
    <t>(17)</t>
  </si>
  <si>
    <t>(18)</t>
  </si>
  <si>
    <t>Minimum{[(17) / (16)] ^ [0.5] , 1.0000}</t>
  </si>
  <si>
    <t>(19)</t>
  </si>
  <si>
    <t>(20)</t>
  </si>
  <si>
    <t>Non-catastrophe OEC Peril</t>
  </si>
  <si>
    <t>(21)</t>
  </si>
  <si>
    <t>(22)</t>
  </si>
  <si>
    <t>(23)</t>
  </si>
  <si>
    <t>(24)</t>
  </si>
  <si>
    <t>(25)</t>
  </si>
  <si>
    <t>(26)</t>
  </si>
  <si>
    <t>(27)</t>
  </si>
  <si>
    <t>Minimum{[(26) / (25)] ^ [0.5] , 1.0000}</t>
  </si>
  <si>
    <t>(28)</t>
  </si>
  <si>
    <t>(29)</t>
  </si>
  <si>
    <t>Non-catastrophe Wind/Hail Peril</t>
  </si>
  <si>
    <t>(30)</t>
  </si>
  <si>
    <t>Expected Non-hurricane Non-catastrophe Loss &amp; ALAE/AIY</t>
  </si>
  <si>
    <t>(31)</t>
  </si>
  <si>
    <t>Latest Year Statewide AIY/Latest Year Statewide Common Risk Exposure</t>
  </si>
  <si>
    <t>(32)</t>
  </si>
  <si>
    <t>Expected Non-hurricane Non-catastrophe Loss &amp; ALAE/Common Risk Exposure</t>
  </si>
  <si>
    <t>(33)</t>
  </si>
  <si>
    <t>Non-catastrophe Liability Peril</t>
  </si>
  <si>
    <t>(34)</t>
  </si>
  <si>
    <t>(35)</t>
  </si>
  <si>
    <t>(36)</t>
  </si>
  <si>
    <t>(37)</t>
  </si>
  <si>
    <t>(38)</t>
  </si>
  <si>
    <t>(39)</t>
  </si>
  <si>
    <t>All Peril Expected Non-hurricane Non-catastrophe Loss &amp; ALAE/Common Risk Exposure</t>
  </si>
  <si>
    <t>(40)</t>
  </si>
  <si>
    <t>ULAE Factor</t>
  </si>
  <si>
    <t>(41)</t>
  </si>
  <si>
    <t>All Peril Expected Non-hurricane Non-catastrophe Loss &amp; LAE/Common Risk Exposure</t>
  </si>
  <si>
    <t>(42)</t>
  </si>
  <si>
    <t>Expected Non-hurricane Catastrophe Loss &amp; LAE/AIY</t>
  </si>
  <si>
    <t>(43)</t>
  </si>
  <si>
    <t>Expected Hurricane Catastrophe Loss &amp; LAE/AIY</t>
  </si>
  <si>
    <t>(44)</t>
  </si>
  <si>
    <t>(45)</t>
  </si>
  <si>
    <t>Catastrophe Loss &amp; LAE/Common Risk Exposure</t>
  </si>
  <si>
    <t>(46)</t>
  </si>
  <si>
    <t>Total Expected Loss &amp; LAE/Common Risk Exposure</t>
  </si>
  <si>
    <t>(47)</t>
  </si>
  <si>
    <t>(48)</t>
  </si>
  <si>
    <t>Expense Flattening Provision</t>
  </si>
  <si>
    <t>(49)</t>
  </si>
  <si>
    <t>Expense Flattened Factor</t>
  </si>
  <si>
    <t>(50)</t>
  </si>
  <si>
    <t>Indicated Factor</t>
  </si>
  <si>
    <t>(51)</t>
  </si>
  <si>
    <t>Balanced Indicated Factor</t>
  </si>
  <si>
    <t>1 + Statewide Non-catastrophe ULAE / Statewide Non-catastrophe Loss &amp; ALAE</t>
  </si>
  <si>
    <t>Loss Period - 1/2011-12/2020  /  Premium Period - 1/2020-12/2020</t>
  </si>
  <si>
    <t>Supplemental Exhibit 3</t>
  </si>
  <si>
    <t>GRID ID - 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</si>
</sst>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#,##0.00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1" applyFont="1"/>
    <xf numFmtId="0" fontId="3" fillId="0" borderId="0" xfId="1" applyFont="1" applyAlignment="1">
      <alignment horizontal="center"/>
    </xf>
    <xf numFmtId="0" fontId="3" fillId="0" borderId="0" xfId="1" applyFont="1"/>
    <xf numFmtId="4" fontId="5" fillId="0" borderId="0" xfId="2" applyNumberFormat="1" applyFont="1" applyAlignment="1">
      <alignment vertical="center" wrapText="1"/>
    </xf>
    <xf numFmtId="0" fontId="4" fillId="0" borderId="0" xfId="1" applyFont="1" applyAlignment="1">
      <alignment horizontal="center"/>
    </xf>
    <xf numFmtId="4" fontId="4" fillId="0" borderId="0" xfId="1" applyNumberFormat="1" applyFont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right"/>
      <protection locked="0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Alignment="1" applyProtection="1">
      <alignment horizontal="center"/>
      <protection locked="0"/>
    </xf>
    <xf numFmtId="4" fontId="4" fillId="0" borderId="0" xfId="1" applyNumberFormat="1" applyFont="1" applyFill="1" applyBorder="1" applyAlignment="1" applyProtection="1">
      <alignment horizontal="right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4" fontId="4" fillId="0" borderId="2" xfId="1" applyNumberFormat="1" applyFont="1" applyFill="1" applyBorder="1" applyAlignment="1" applyProtection="1">
      <alignment horizontal="right"/>
      <protection locked="0"/>
    </xf>
    <xf numFmtId="0" fontId="4" fillId="0" borderId="3" xfId="1" applyFont="1" applyFill="1" applyBorder="1" applyAlignment="1" applyProtection="1">
      <alignment horizontal="center"/>
      <protection locked="0"/>
    </xf>
    <xf numFmtId="4" fontId="4" fillId="0" borderId="3" xfId="1" applyNumberFormat="1" applyFont="1" applyFill="1" applyBorder="1" applyAlignment="1" applyProtection="1">
      <alignment horizontal="right"/>
      <protection locked="0"/>
    </xf>
    <xf numFmtId="0" fontId="4" fillId="0" borderId="0" xfId="1" quotePrefix="1" applyFont="1" applyFill="1" applyAlignment="1" applyProtection="1">
      <alignment horizontal="center"/>
      <protection locked="0"/>
    </xf>
    <xf numFmtId="0" fontId="4" fillId="0" borderId="4" xfId="1" applyFont="1" applyFill="1" applyBorder="1" applyAlignment="1" applyProtection="1">
      <alignment horizontal="center"/>
      <protection locked="0"/>
    </xf>
    <xf numFmtId="4" fontId="4" fillId="0" borderId="4" xfId="1" applyNumberFormat="1" applyFont="1" applyFill="1" applyBorder="1" applyAlignment="1" applyProtection="1">
      <alignment horizontal="right"/>
      <protection locked="0"/>
    </xf>
    <xf numFmtId="3" fontId="4" fillId="0" borderId="0" xfId="1" applyNumberFormat="1" applyFont="1" applyBorder="1"/>
    <xf numFmtId="0" fontId="4" fillId="0" borderId="2" xfId="1" applyFont="1" applyFill="1" applyBorder="1" applyAlignment="1" applyProtection="1">
      <alignment horizontal="center"/>
      <protection locked="0"/>
    </xf>
    <xf numFmtId="164" fontId="4" fillId="0" borderId="2" xfId="1" applyNumberFormat="1" applyFont="1" applyBorder="1"/>
    <xf numFmtId="164" fontId="4" fillId="0" borderId="0" xfId="1" applyNumberFormat="1" applyFont="1" applyBorder="1"/>
    <xf numFmtId="0" fontId="4" fillId="0" borderId="0" xfId="1" applyFont="1" applyFill="1" applyAlignment="1">
      <alignment horizontal="center"/>
    </xf>
    <xf numFmtId="0" fontId="4" fillId="0" borderId="0" xfId="0" applyFont="1" applyAlignment="1">
      <alignment vertical="center" wrapText="1"/>
    </xf>
    <xf numFmtId="164" fontId="4" fillId="0" borderId="0" xfId="1" applyNumberFormat="1" applyFont="1" applyFill="1" applyBorder="1"/>
    <xf numFmtId="0" fontId="4" fillId="0" borderId="0" xfId="1" quotePrefix="1" applyFont="1" applyAlignment="1">
      <alignment horizontal="center"/>
    </xf>
    <xf numFmtId="0" fontId="4" fillId="0" borderId="4" xfId="1" applyFont="1" applyFill="1" applyBorder="1" applyAlignment="1">
      <alignment horizontal="center"/>
    </xf>
    <xf numFmtId="164" fontId="4" fillId="0" borderId="0" xfId="1" applyNumberFormat="1" applyFont="1" applyFill="1" applyAlignment="1">
      <alignment horizontal="right"/>
    </xf>
    <xf numFmtId="0" fontId="4" fillId="0" borderId="0" xfId="1" applyFont="1" applyFill="1" applyAlignment="1">
      <alignment horizontal="right"/>
    </xf>
    <xf numFmtId="0" fontId="4" fillId="0" borderId="0" xfId="1" applyFont="1" applyFill="1"/>
    <xf numFmtId="165" fontId="4" fillId="0" borderId="0" xfId="1" applyNumberFormat="1" applyFont="1" applyFill="1" applyAlignment="1" applyProtection="1">
      <alignment horizontal="right"/>
      <protection locked="0"/>
    </xf>
    <xf numFmtId="2" fontId="4" fillId="0" borderId="0" xfId="1" applyNumberFormat="1" applyFont="1" applyFill="1" applyAlignment="1" applyProtection="1">
      <alignment horizontal="right"/>
      <protection locked="0"/>
    </xf>
    <xf numFmtId="3" fontId="4" fillId="0" borderId="0" xfId="1" applyNumberFormat="1" applyFont="1" applyFill="1" applyBorder="1"/>
    <xf numFmtId="4" fontId="4" fillId="0" borderId="0" xfId="1" applyNumberFormat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/>
    </xf>
    <xf numFmtId="4" fontId="4" fillId="0" borderId="3" xfId="1" applyNumberFormat="1" applyFont="1" applyFill="1" applyBorder="1" applyAlignment="1">
      <alignment horizontal="center"/>
    </xf>
    <xf numFmtId="4" fontId="4" fillId="0" borderId="3" xfId="1" applyNumberFormat="1" applyFont="1" applyFill="1" applyBorder="1" applyAlignment="1">
      <alignment horizontal="right"/>
    </xf>
    <xf numFmtId="0" fontId="4" fillId="0" borderId="0" xfId="1" quotePrefix="1" applyFont="1" applyFill="1" applyAlignment="1">
      <alignment horizontal="center"/>
    </xf>
    <xf numFmtId="164" fontId="4" fillId="0" borderId="0" xfId="1" applyNumberFormat="1" applyFont="1" applyFill="1" applyAlignment="1" applyProtection="1">
      <alignment horizontal="right"/>
      <protection locked="0"/>
    </xf>
    <xf numFmtId="2" fontId="4" fillId="0" borderId="0" xfId="1" applyNumberFormat="1" applyFont="1" applyFill="1" applyBorder="1" applyAlignment="1" applyProtection="1">
      <alignment horizontal="right"/>
      <protection locked="0"/>
    </xf>
    <xf numFmtId="166" fontId="4" fillId="0" borderId="0" xfId="1" applyNumberFormat="1" applyFont="1" applyFill="1" applyAlignment="1" applyProtection="1">
      <alignment horizontal="right"/>
      <protection locked="0"/>
    </xf>
    <xf numFmtId="0" fontId="4" fillId="0" borderId="0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64" fontId="4" fillId="0" borderId="0" xfId="1" applyNumberFormat="1" applyFont="1" applyBorder="1" applyAlignment="1">
      <alignment horizontal="right"/>
    </xf>
    <xf numFmtId="164" fontId="4" fillId="0" borderId="0" xfId="1" applyNumberFormat="1" applyFont="1" applyAlignment="1">
      <alignment horizontal="right"/>
    </xf>
    <xf numFmtId="167" fontId="4" fillId="0" borderId="0" xfId="3" applyNumberFormat="1" applyFont="1" applyBorder="1" applyAlignment="1">
      <alignment horizontal="right"/>
    </xf>
    <xf numFmtId="167" fontId="4" fillId="0" borderId="0" xfId="1" applyNumberFormat="1" applyFont="1"/>
    <xf numFmtId="0" fontId="4" fillId="0" borderId="0" xfId="1" quotePrefix="1" applyFont="1" applyBorder="1" applyAlignment="1">
      <alignment horizontal="center"/>
    </xf>
    <xf numFmtId="164" fontId="4" fillId="0" borderId="0" xfId="1" applyNumberFormat="1" applyFont="1"/>
    <xf numFmtId="43" fontId="4" fillId="0" borderId="2" xfId="4" applyFont="1" applyBorder="1" applyAlignment="1" applyProtection="1">
      <alignment horizontal="right"/>
      <protection locked="0"/>
    </xf>
    <xf numFmtId="164" fontId="4" fillId="0" borderId="0" xfId="4" applyNumberFormat="1" applyFont="1" applyBorder="1"/>
    <xf numFmtId="164" fontId="4" fillId="0" borderId="4" xfId="4" applyNumberFormat="1" applyFont="1" applyBorder="1" applyAlignment="1">
      <alignment horizontal="right"/>
    </xf>
    <xf numFmtId="164" fontId="4" fillId="0" borderId="0" xfId="4" applyNumberFormat="1" applyFont="1" applyAlignment="1">
      <alignment horizontal="right"/>
    </xf>
    <xf numFmtId="0" fontId="3" fillId="0" borderId="0" xfId="1" quotePrefix="1" applyFont="1" applyAlignment="1">
      <alignment horizontal="center"/>
    </xf>
    <xf numFmtId="0" fontId="3" fillId="0" borderId="0" xfId="1" applyFont="1" applyAlignment="1">
      <alignment horizontal="center"/>
    </xf>
  </cellXfs>
  <cellStyles count="5">
    <cellStyle name="Comma" xfId="4" builtinId="3"/>
    <cellStyle name="Normal" xfId="0" builtinId="0"/>
    <cellStyle name="Normal 2" xfId="1" xr:uid="{00000000-0005-0000-0000-000001000000}"/>
    <cellStyle name="Normal 3 3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A13" zoomScaleNormal="100" workbookViewId="0">
      <selection activeCell="B7" sqref="B7"/>
    </sheetView>
  </sheetViews>
  <sheetFormatPr defaultColWidth="9.140625" defaultRowHeight="16.5" x14ac:dyDescent="0.3"/>
  <cols>
    <col min="1" max="1" width="4.7109375" style="1" bestFit="1" customWidth="1"/>
    <col min="2" max="2" width="70.7109375" style="1" customWidth="1"/>
    <col min="3" max="3" width="14.140625" style="1" bestFit="1" customWidth="1"/>
    <col min="4" max="4" width="20.140625" style="1" customWidth="1"/>
    <col min="5" max="5" width="2.7109375" style="1" customWidth="1"/>
    <col min="6" max="6" width="64.7109375" style="1" bestFit="1" customWidth="1"/>
    <col min="7" max="16384" width="9.140625" style="1"/>
  </cols>
  <sheetData>
    <row r="1" spans="1:6" ht="18" customHeight="1" x14ac:dyDescent="0.3">
      <c r="A1" s="56" t="s">
        <v>92</v>
      </c>
      <c r="B1" s="57"/>
      <c r="C1" s="57"/>
      <c r="D1" s="57"/>
      <c r="E1" s="57"/>
      <c r="F1" s="57"/>
    </row>
    <row r="2" spans="1:6" ht="18" customHeight="1" x14ac:dyDescent="0.3">
      <c r="A2" s="56" t="s">
        <v>0</v>
      </c>
      <c r="B2" s="57"/>
      <c r="C2" s="57"/>
      <c r="D2" s="57"/>
      <c r="E2" s="57"/>
      <c r="F2" s="57"/>
    </row>
    <row r="3" spans="1:6" ht="18" customHeight="1" x14ac:dyDescent="0.3">
      <c r="A3" s="2"/>
      <c r="B3" s="2"/>
      <c r="C3" s="2"/>
      <c r="D3" s="2"/>
      <c r="E3" s="2"/>
      <c r="F3" s="2"/>
    </row>
    <row r="4" spans="1:6" s="3" customFormat="1" ht="18" customHeight="1" x14ac:dyDescent="0.25">
      <c r="A4" s="56" t="s">
        <v>93</v>
      </c>
      <c r="B4" s="57"/>
      <c r="C4" s="57"/>
      <c r="D4" s="57"/>
      <c r="E4" s="57"/>
      <c r="F4" s="57"/>
    </row>
    <row r="5" spans="1:6" s="3" customFormat="1" ht="18" customHeight="1" x14ac:dyDescent="0.25">
      <c r="A5" s="56" t="s">
        <v>91</v>
      </c>
      <c r="B5" s="57"/>
      <c r="C5" s="57"/>
      <c r="D5" s="57"/>
      <c r="E5" s="57"/>
      <c r="F5" s="57"/>
    </row>
    <row r="6" spans="1:6" x14ac:dyDescent="0.3">
      <c r="B6" s="4"/>
    </row>
    <row r="7" spans="1:6" x14ac:dyDescent="0.3">
      <c r="B7" s="4"/>
    </row>
    <row r="8" spans="1:6" x14ac:dyDescent="0.3">
      <c r="A8" s="5"/>
      <c r="B8" s="5"/>
      <c r="C8" s="6" t="s">
        <v>1</v>
      </c>
      <c r="D8" s="7"/>
      <c r="E8" s="7"/>
    </row>
    <row r="9" spans="1:6" ht="17.25" thickBot="1" x14ac:dyDescent="0.35">
      <c r="A9" s="8"/>
      <c r="B9" s="8" t="s">
        <v>2</v>
      </c>
      <c r="C9" s="9" t="s">
        <v>3</v>
      </c>
      <c r="D9" s="10" t="s">
        <v>4</v>
      </c>
      <c r="E9" s="11"/>
    </row>
    <row r="10" spans="1:6" ht="17.25" thickTop="1" x14ac:dyDescent="0.3">
      <c r="A10" s="12" t="s">
        <v>5</v>
      </c>
      <c r="B10" s="12" t="s">
        <v>6</v>
      </c>
      <c r="C10" s="13">
        <v>16398896.130000001</v>
      </c>
      <c r="D10" s="13">
        <v>1288623728.8099999</v>
      </c>
      <c r="E10" s="13"/>
      <c r="F10" s="5"/>
    </row>
    <row r="11" spans="1:6" x14ac:dyDescent="0.3">
      <c r="A11" s="14" t="s">
        <v>7</v>
      </c>
      <c r="B11" s="14" t="s">
        <v>8</v>
      </c>
      <c r="C11" s="15">
        <v>79102.710000000006</v>
      </c>
      <c r="D11" s="13">
        <v>11153072.689999999</v>
      </c>
      <c r="E11" s="13"/>
      <c r="F11" s="12" t="s">
        <v>9</v>
      </c>
    </row>
    <row r="12" spans="1:6" x14ac:dyDescent="0.3">
      <c r="A12" s="16" t="s">
        <v>10</v>
      </c>
      <c r="B12" s="16" t="s">
        <v>11</v>
      </c>
      <c r="C12" s="15">
        <f>ROUND(C10/C11,2)</f>
        <v>207.31</v>
      </c>
      <c r="D12" s="17">
        <f>ROUND(D10/D11,2)</f>
        <v>115.54</v>
      </c>
      <c r="E12" s="13"/>
      <c r="F12" s="18" t="str">
        <f>A10&amp;" / "&amp;A11</f>
        <v>(1) / (2)</v>
      </c>
    </row>
    <row r="13" spans="1:6" ht="17.25" thickBot="1" x14ac:dyDescent="0.35">
      <c r="A13" s="19" t="s">
        <v>12</v>
      </c>
      <c r="B13" s="19" t="s">
        <v>13</v>
      </c>
      <c r="C13" s="20">
        <f>IF(C12&gt;ROUND($D$12*4,2),ROUND($D$12*4,2),C12)</f>
        <v>207.31</v>
      </c>
      <c r="D13" s="20">
        <f>IF(D12&gt;ROUND($D$12*4,2),ROUND($D$12*4,2),D12)</f>
        <v>115.54</v>
      </c>
      <c r="E13" s="13"/>
      <c r="F13" s="18" t="str">
        <f>A12&amp;" limited to 4 * SW"&amp;A12</f>
        <v>(3) limited to 4 * SW(3)</v>
      </c>
    </row>
    <row r="14" spans="1:6" ht="17.25" thickTop="1" x14ac:dyDescent="0.3">
      <c r="A14" s="14" t="s">
        <v>14</v>
      </c>
      <c r="B14" s="14" t="s">
        <v>15</v>
      </c>
      <c r="C14" s="21">
        <v>600</v>
      </c>
      <c r="D14" s="21"/>
      <c r="E14" s="21"/>
      <c r="F14" s="12" t="s">
        <v>16</v>
      </c>
    </row>
    <row r="15" spans="1:6" x14ac:dyDescent="0.3">
      <c r="A15" s="14" t="s">
        <v>17</v>
      </c>
      <c r="B15" s="14" t="s">
        <v>18</v>
      </c>
      <c r="C15" s="21">
        <v>150</v>
      </c>
      <c r="D15" s="21"/>
      <c r="E15" s="21"/>
      <c r="F15" s="5"/>
    </row>
    <row r="16" spans="1:6" x14ac:dyDescent="0.3">
      <c r="A16" s="22" t="s">
        <v>19</v>
      </c>
      <c r="B16" s="22" t="s">
        <v>20</v>
      </c>
      <c r="C16" s="23">
        <f>MIN((C$15/C$14)^(0.5),0.5)</f>
        <v>0.5</v>
      </c>
      <c r="D16" s="23"/>
      <c r="E16" s="24"/>
      <c r="F16" s="5" t="s">
        <v>21</v>
      </c>
    </row>
    <row r="17" spans="1:6" x14ac:dyDescent="0.3">
      <c r="A17" s="25" t="s">
        <v>22</v>
      </c>
      <c r="B17" s="25" t="s">
        <v>23</v>
      </c>
      <c r="C17" s="26">
        <v>1.2856000000000001</v>
      </c>
      <c r="D17" s="27">
        <v>1</v>
      </c>
      <c r="E17" s="27"/>
      <c r="F17" s="25"/>
    </row>
    <row r="18" spans="1:6" x14ac:dyDescent="0.3">
      <c r="A18" s="25" t="s">
        <v>24</v>
      </c>
      <c r="B18" s="25" t="s">
        <v>25</v>
      </c>
      <c r="C18" s="13">
        <f>ROUND(C$17*$D$13,2)</f>
        <v>148.54</v>
      </c>
      <c r="D18" s="13">
        <f>ROUND(D$17*$D$13,2)</f>
        <v>115.54</v>
      </c>
      <c r="E18" s="13"/>
      <c r="F18" s="28" t="str">
        <f>A17&amp;" * SW"&amp;A13</f>
        <v>(8) * SW(4)</v>
      </c>
    </row>
    <row r="19" spans="1:6" ht="17.25" thickBot="1" x14ac:dyDescent="0.35">
      <c r="A19" s="29" t="s">
        <v>26</v>
      </c>
      <c r="B19" s="29" t="s">
        <v>27</v>
      </c>
      <c r="C19" s="20">
        <f>ROUND((C13*C16)+(C18*(1-C16)),2)</f>
        <v>177.93</v>
      </c>
      <c r="D19" s="20">
        <f>ROUND((D13*D16)+(D18*(1-D16)),2)</f>
        <v>115.54</v>
      </c>
      <c r="E19" s="13"/>
      <c r="F19" s="28" t="str">
        <f>A13&amp;" * "&amp;A16&amp;" + "&amp;A18&amp;" * [1 - "&amp;A16&amp;"]"</f>
        <v>(4) * (7) + (9) * [1 - (7)]</v>
      </c>
    </row>
    <row r="20" spans="1:6" ht="17.25" thickTop="1" x14ac:dyDescent="0.3">
      <c r="A20" s="25" t="s">
        <v>28</v>
      </c>
      <c r="B20" s="25" t="s">
        <v>29</v>
      </c>
      <c r="C20" s="30">
        <f>C19/$D$19</f>
        <v>1.5399861519819975</v>
      </c>
      <c r="D20" s="30">
        <f>D19/$D$19</f>
        <v>1</v>
      </c>
      <c r="E20" s="30"/>
      <c r="F20" s="28" t="str">
        <f>A19&amp;" / SW"&amp;A19</f>
        <v>(10) / SW(10)</v>
      </c>
    </row>
    <row r="21" spans="1:6" x14ac:dyDescent="0.3">
      <c r="A21" s="25"/>
      <c r="B21" s="25"/>
      <c r="C21" s="25"/>
      <c r="D21" s="31"/>
      <c r="E21" s="31"/>
      <c r="F21" s="32"/>
    </row>
    <row r="22" spans="1:6" x14ac:dyDescent="0.3">
      <c r="A22" s="25"/>
      <c r="B22" s="25"/>
      <c r="C22" s="25"/>
      <c r="D22" s="31"/>
      <c r="E22" s="31"/>
      <c r="F22" s="32"/>
    </row>
    <row r="23" spans="1:6" x14ac:dyDescent="0.3">
      <c r="A23" s="5"/>
      <c r="B23" s="5"/>
      <c r="C23" s="6" t="s">
        <v>1</v>
      </c>
      <c r="D23" s="6"/>
      <c r="E23" s="31"/>
      <c r="F23" s="32"/>
    </row>
    <row r="24" spans="1:6" ht="17.25" thickBot="1" x14ac:dyDescent="0.35">
      <c r="A24" s="8"/>
      <c r="B24" s="8" t="s">
        <v>30</v>
      </c>
      <c r="C24" s="9" t="s">
        <v>3</v>
      </c>
      <c r="D24" s="9" t="s">
        <v>4</v>
      </c>
      <c r="E24" s="11"/>
      <c r="F24" s="32"/>
    </row>
    <row r="25" spans="1:6" ht="17.25" thickTop="1" x14ac:dyDescent="0.3">
      <c r="A25" s="12" t="s">
        <v>31</v>
      </c>
      <c r="B25" s="12" t="s">
        <v>6</v>
      </c>
      <c r="C25" s="13">
        <v>1689793.61</v>
      </c>
      <c r="D25" s="13">
        <v>230488927.00999999</v>
      </c>
      <c r="E25" s="31"/>
      <c r="F25" s="5"/>
    </row>
    <row r="26" spans="1:6" x14ac:dyDescent="0.3">
      <c r="A26" s="14" t="s">
        <v>32</v>
      </c>
      <c r="B26" s="14" t="s">
        <v>8</v>
      </c>
      <c r="C26" s="13">
        <v>50761.54</v>
      </c>
      <c r="D26" s="13">
        <v>11153072.689999999</v>
      </c>
      <c r="E26" s="31"/>
      <c r="F26" s="12" t="s">
        <v>9</v>
      </c>
    </row>
    <row r="27" spans="1:6" x14ac:dyDescent="0.3">
      <c r="A27" s="16" t="s">
        <v>33</v>
      </c>
      <c r="B27" s="16" t="s">
        <v>11</v>
      </c>
      <c r="C27" s="17">
        <f>ROUND(C25/C26,2)</f>
        <v>33.29</v>
      </c>
      <c r="D27" s="17">
        <f>ROUND(D25/D26,2)</f>
        <v>20.67</v>
      </c>
      <c r="E27" s="31"/>
      <c r="F27" s="18" t="str">
        <f>A25&amp;" / "&amp;A26</f>
        <v>(12) / (13)</v>
      </c>
    </row>
    <row r="28" spans="1:6" ht="17.25" thickBot="1" x14ac:dyDescent="0.35">
      <c r="A28" s="19" t="s">
        <v>34</v>
      </c>
      <c r="B28" s="19" t="s">
        <v>13</v>
      </c>
      <c r="C28" s="20">
        <f>IF(C27&gt;ROUND($D$27*4,2),ROUND($D$27*4,2),C27)</f>
        <v>33.29</v>
      </c>
      <c r="D28" s="20">
        <f>IF(D27&gt;ROUND($D$27*4,2),ROUND($D$27*4,2),D27)</f>
        <v>20.67</v>
      </c>
      <c r="E28" s="31"/>
      <c r="F28" s="18" t="str">
        <f>A27&amp;" limited to 4 * SW"&amp;A27</f>
        <v>(14) limited to 4 * SW(14)</v>
      </c>
    </row>
    <row r="29" spans="1:6" ht="17.25" thickTop="1" x14ac:dyDescent="0.3">
      <c r="A29" s="14" t="s">
        <v>35</v>
      </c>
      <c r="B29" s="14" t="s">
        <v>15</v>
      </c>
      <c r="C29" s="21">
        <v>400</v>
      </c>
      <c r="D29" s="21"/>
      <c r="E29" s="31"/>
      <c r="F29" s="12" t="s">
        <v>16</v>
      </c>
    </row>
    <row r="30" spans="1:6" x14ac:dyDescent="0.3">
      <c r="A30" s="14" t="s">
        <v>36</v>
      </c>
      <c r="B30" s="14" t="s">
        <v>18</v>
      </c>
      <c r="C30" s="21">
        <v>402</v>
      </c>
      <c r="D30" s="21"/>
      <c r="E30" s="31"/>
      <c r="F30" s="5"/>
    </row>
    <row r="31" spans="1:6" x14ac:dyDescent="0.3">
      <c r="A31" s="22" t="s">
        <v>37</v>
      </c>
      <c r="B31" s="22" t="s">
        <v>20</v>
      </c>
      <c r="C31" s="23">
        <f>MIN((C$30/C$29)^(0.5),1)</f>
        <v>1</v>
      </c>
      <c r="D31" s="23"/>
      <c r="E31" s="31"/>
      <c r="F31" s="5" t="s">
        <v>38</v>
      </c>
    </row>
    <row r="32" spans="1:6" ht="17.25" thickBot="1" x14ac:dyDescent="0.35">
      <c r="A32" s="29" t="s">
        <v>39</v>
      </c>
      <c r="B32" s="29" t="s">
        <v>27</v>
      </c>
      <c r="C32" s="20">
        <f>ROUND((C28*C31)+$D$28*(1-C31),2)</f>
        <v>33.29</v>
      </c>
      <c r="D32" s="20">
        <f>ROUND((D28*D31)+$D$28*(1-D31),2)</f>
        <v>20.67</v>
      </c>
      <c r="E32" s="31"/>
      <c r="F32" s="28" t="str">
        <f>A28&amp;" * "&amp;A31&amp;" + SW"&amp;A28&amp;" * [1 - "&amp;A31&amp;"]"</f>
        <v>(15) * (18) + SW(15) * [1 - (18)]</v>
      </c>
    </row>
    <row r="33" spans="1:6" ht="17.25" thickTop="1" x14ac:dyDescent="0.3">
      <c r="A33" s="25" t="s">
        <v>40</v>
      </c>
      <c r="B33" s="25" t="s">
        <v>29</v>
      </c>
      <c r="C33" s="30">
        <f>C32/$D$32</f>
        <v>1.6105466860183839</v>
      </c>
      <c r="D33" s="30">
        <f>D32/$D$32</f>
        <v>1</v>
      </c>
      <c r="E33" s="31"/>
      <c r="F33" s="28" t="str">
        <f>A32&amp;" / SW"&amp;A32</f>
        <v>(19) / SW(19)</v>
      </c>
    </row>
    <row r="34" spans="1:6" x14ac:dyDescent="0.3">
      <c r="A34" s="25"/>
      <c r="B34" s="25"/>
      <c r="C34" s="25"/>
      <c r="D34" s="31"/>
      <c r="E34" s="31"/>
      <c r="F34" s="32"/>
    </row>
    <row r="35" spans="1:6" x14ac:dyDescent="0.3">
      <c r="A35" s="25"/>
      <c r="B35" s="25"/>
      <c r="C35" s="25"/>
      <c r="D35" s="31"/>
      <c r="E35" s="31"/>
      <c r="F35" s="32"/>
    </row>
    <row r="36" spans="1:6" x14ac:dyDescent="0.3">
      <c r="A36" s="5"/>
      <c r="B36" s="5"/>
      <c r="C36" s="6" t="s">
        <v>1</v>
      </c>
      <c r="D36" s="6"/>
      <c r="E36" s="31"/>
      <c r="F36" s="32"/>
    </row>
    <row r="37" spans="1:6" ht="17.25" thickBot="1" x14ac:dyDescent="0.35">
      <c r="A37" s="8"/>
      <c r="B37" s="8" t="s">
        <v>41</v>
      </c>
      <c r="C37" s="9" t="s">
        <v>3</v>
      </c>
      <c r="D37" s="9" t="s">
        <v>4</v>
      </c>
      <c r="E37" s="11"/>
      <c r="F37" s="32"/>
    </row>
    <row r="38" spans="1:6" ht="17.25" thickTop="1" x14ac:dyDescent="0.3">
      <c r="A38" s="12" t="s">
        <v>42</v>
      </c>
      <c r="B38" s="12" t="s">
        <v>6</v>
      </c>
      <c r="C38" s="13">
        <v>9021016.4199999999</v>
      </c>
      <c r="D38" s="13">
        <v>2426614258.2800002</v>
      </c>
      <c r="E38" s="31"/>
      <c r="F38" s="5"/>
    </row>
    <row r="39" spans="1:6" x14ac:dyDescent="0.3">
      <c r="A39" s="14" t="s">
        <v>43</v>
      </c>
      <c r="B39" s="14" t="s">
        <v>8</v>
      </c>
      <c r="C39" s="13">
        <v>28888.02</v>
      </c>
      <c r="D39" s="13">
        <v>11153072.689999999</v>
      </c>
      <c r="E39" s="31"/>
      <c r="F39" s="12" t="s">
        <v>9</v>
      </c>
    </row>
    <row r="40" spans="1:6" x14ac:dyDescent="0.3">
      <c r="A40" s="16" t="s">
        <v>44</v>
      </c>
      <c r="B40" s="16" t="s">
        <v>11</v>
      </c>
      <c r="C40" s="17">
        <f>ROUND(C38/C39,2)</f>
        <v>312.27999999999997</v>
      </c>
      <c r="D40" s="17">
        <f>ROUND(D38/D39,2)</f>
        <v>217.57</v>
      </c>
      <c r="E40" s="31"/>
      <c r="F40" s="18" t="str">
        <f>A38&amp;" / "&amp;A39</f>
        <v>(21) / (22)</v>
      </c>
    </row>
    <row r="41" spans="1:6" ht="17.25" thickBot="1" x14ac:dyDescent="0.35">
      <c r="A41" s="19" t="s">
        <v>45</v>
      </c>
      <c r="B41" s="19" t="s">
        <v>13</v>
      </c>
      <c r="C41" s="20">
        <f>IF(C40&gt;ROUND($D$40*4,2),ROUND($D$40*4,2),C40)</f>
        <v>312.27999999999997</v>
      </c>
      <c r="D41" s="20">
        <f>IF(D40&gt;ROUND($D$39*4,2),ROUND($D$39*4,2),D40)</f>
        <v>217.57</v>
      </c>
      <c r="E41" s="31"/>
      <c r="F41" s="18" t="str">
        <f>A40&amp;" limited to 4 * SW"&amp;A40</f>
        <v>(23) limited to 4 * SW(23)</v>
      </c>
    </row>
    <row r="42" spans="1:6" ht="17.25" thickTop="1" x14ac:dyDescent="0.3">
      <c r="A42" s="14" t="s">
        <v>46</v>
      </c>
      <c r="B42" s="14" t="s">
        <v>15</v>
      </c>
      <c r="C42" s="21">
        <v>500</v>
      </c>
      <c r="D42" s="21"/>
      <c r="E42" s="31"/>
      <c r="F42" s="12" t="s">
        <v>16</v>
      </c>
    </row>
    <row r="43" spans="1:6" x14ac:dyDescent="0.3">
      <c r="A43" s="14" t="s">
        <v>47</v>
      </c>
      <c r="B43" s="14" t="s">
        <v>18</v>
      </c>
      <c r="C43" s="21">
        <v>498</v>
      </c>
      <c r="D43" s="21"/>
      <c r="E43" s="31"/>
      <c r="F43" s="5"/>
    </row>
    <row r="44" spans="1:6" x14ac:dyDescent="0.3">
      <c r="A44" s="22" t="s">
        <v>48</v>
      </c>
      <c r="B44" s="22" t="s">
        <v>20</v>
      </c>
      <c r="C44" s="23">
        <f>MIN((C$43/C$42)^(0.5),1)</f>
        <v>0.99799799598997196</v>
      </c>
      <c r="D44" s="23"/>
      <c r="E44" s="31"/>
      <c r="F44" s="5" t="s">
        <v>49</v>
      </c>
    </row>
    <row r="45" spans="1:6" ht="17.25" thickBot="1" x14ac:dyDescent="0.35">
      <c r="A45" s="29" t="s">
        <v>50</v>
      </c>
      <c r="B45" s="29" t="s">
        <v>27</v>
      </c>
      <c r="C45" s="20">
        <f>ROUND((C41*C44)+$D$41*(1-C44),2)</f>
        <v>312.08999999999997</v>
      </c>
      <c r="D45" s="20">
        <f>ROUND((D41*D44)+$D$41*(1-D44),2)</f>
        <v>217.57</v>
      </c>
      <c r="E45" s="31"/>
      <c r="F45" s="28" t="str">
        <f>A41&amp;" * "&amp;A44&amp;" + SW"&amp;A41&amp;" * [1 - "&amp;A44&amp;"]"</f>
        <v>(24) * (27) + SW(24) * [1 - (27)]</v>
      </c>
    </row>
    <row r="46" spans="1:6" ht="17.25" thickTop="1" x14ac:dyDescent="0.3">
      <c r="A46" s="25" t="s">
        <v>51</v>
      </c>
      <c r="B46" s="25" t="s">
        <v>29</v>
      </c>
      <c r="C46" s="30">
        <f>C45/$D$45</f>
        <v>1.4344348945167071</v>
      </c>
      <c r="D46" s="30">
        <f>D45/$D$45</f>
        <v>1</v>
      </c>
      <c r="E46" s="31"/>
      <c r="F46" s="28" t="str">
        <f>A45&amp;" / SW"&amp;A45</f>
        <v>(28) / SW(28)</v>
      </c>
    </row>
    <row r="47" spans="1:6" x14ac:dyDescent="0.3">
      <c r="A47" s="25"/>
      <c r="B47" s="25"/>
      <c r="C47" s="25"/>
      <c r="D47" s="31"/>
      <c r="E47" s="31"/>
      <c r="F47" s="32"/>
    </row>
    <row r="48" spans="1:6" x14ac:dyDescent="0.3">
      <c r="A48" s="25"/>
      <c r="B48" s="25"/>
      <c r="C48" s="25"/>
      <c r="D48" s="31"/>
      <c r="E48" s="31"/>
      <c r="F48" s="32"/>
    </row>
    <row r="49" spans="1:6" x14ac:dyDescent="0.3">
      <c r="A49" s="5"/>
      <c r="B49" s="5"/>
      <c r="C49" s="6" t="s">
        <v>1</v>
      </c>
      <c r="D49" s="31"/>
      <c r="E49" s="31"/>
      <c r="F49" s="32"/>
    </row>
    <row r="50" spans="1:6" ht="17.25" thickBot="1" x14ac:dyDescent="0.35">
      <c r="A50" s="8"/>
      <c r="B50" s="8" t="s">
        <v>52</v>
      </c>
      <c r="C50" s="9" t="s">
        <v>3</v>
      </c>
      <c r="D50" s="9" t="s">
        <v>4</v>
      </c>
      <c r="E50" s="11"/>
      <c r="F50" s="32"/>
    </row>
    <row r="51" spans="1:6" ht="17.25" thickTop="1" x14ac:dyDescent="0.3">
      <c r="A51" s="14" t="s">
        <v>53</v>
      </c>
      <c r="B51" s="14" t="s">
        <v>54</v>
      </c>
      <c r="C51" s="33">
        <v>4.6100000000000002E-2</v>
      </c>
      <c r="D51" s="33">
        <v>4.6100000000000002E-2</v>
      </c>
      <c r="E51" s="31"/>
      <c r="F51" s="25"/>
    </row>
    <row r="52" spans="1:6" x14ac:dyDescent="0.3">
      <c r="A52" s="12" t="s">
        <v>55</v>
      </c>
      <c r="B52" s="12" t="s">
        <v>56</v>
      </c>
      <c r="C52" s="34">
        <v>512.17999999999995</v>
      </c>
      <c r="D52" s="34">
        <v>512.17999999999995</v>
      </c>
      <c r="E52" s="31"/>
      <c r="F52" s="25"/>
    </row>
    <row r="53" spans="1:6" ht="17.25" thickBot="1" x14ac:dyDescent="0.35">
      <c r="A53" s="29" t="s">
        <v>57</v>
      </c>
      <c r="B53" s="29" t="s">
        <v>58</v>
      </c>
      <c r="C53" s="20">
        <f>C51*C52</f>
        <v>23.611497999999997</v>
      </c>
      <c r="D53" s="20">
        <f>D51*D52</f>
        <v>23.611497999999997</v>
      </c>
      <c r="E53" s="28"/>
      <c r="F53" s="18" t="str">
        <f>A51&amp;" * "&amp;A52</f>
        <v>(30) * (31)</v>
      </c>
    </row>
    <row r="54" spans="1:6" ht="17.25" thickTop="1" x14ac:dyDescent="0.3">
      <c r="A54" s="25" t="s">
        <v>59</v>
      </c>
      <c r="B54" s="25" t="s">
        <v>29</v>
      </c>
      <c r="C54" s="30">
        <v>1</v>
      </c>
      <c r="D54" s="30">
        <f>D53/$D$53</f>
        <v>1</v>
      </c>
      <c r="E54" s="28"/>
      <c r="F54" s="28" t="str">
        <f>A53&amp;" / SW"&amp;A53</f>
        <v>(32) / SW(32)</v>
      </c>
    </row>
    <row r="55" spans="1:6" x14ac:dyDescent="0.3">
      <c r="A55" s="32"/>
      <c r="B55" s="32"/>
      <c r="C55" s="32"/>
      <c r="D55" s="31"/>
      <c r="E55" s="31"/>
      <c r="F55" s="32"/>
    </row>
    <row r="56" spans="1:6" x14ac:dyDescent="0.3">
      <c r="A56" s="32"/>
      <c r="B56" s="32"/>
      <c r="C56" s="32"/>
      <c r="D56" s="31"/>
      <c r="E56" s="31"/>
      <c r="F56" s="32"/>
    </row>
    <row r="57" spans="1:6" x14ac:dyDescent="0.3">
      <c r="A57" s="5"/>
      <c r="B57" s="5"/>
      <c r="C57" s="6" t="s">
        <v>1</v>
      </c>
      <c r="D57" s="31"/>
      <c r="E57" s="31"/>
      <c r="F57" s="32"/>
    </row>
    <row r="58" spans="1:6" ht="17.25" thickBot="1" x14ac:dyDescent="0.35">
      <c r="A58" s="8"/>
      <c r="B58" s="8" t="s">
        <v>60</v>
      </c>
      <c r="C58" s="9" t="s">
        <v>3</v>
      </c>
      <c r="D58" s="9" t="s">
        <v>4</v>
      </c>
      <c r="E58" s="31"/>
      <c r="F58" s="32"/>
    </row>
    <row r="59" spans="1:6" ht="17.25" thickTop="1" x14ac:dyDescent="0.3">
      <c r="A59" s="12" t="s">
        <v>61</v>
      </c>
      <c r="B59" s="12" t="s">
        <v>6</v>
      </c>
      <c r="C59" s="13"/>
      <c r="D59" s="13">
        <v>600062581.11000001</v>
      </c>
      <c r="E59" s="31"/>
      <c r="F59" s="5"/>
    </row>
    <row r="60" spans="1:6" x14ac:dyDescent="0.3">
      <c r="A60" s="14" t="s">
        <v>62</v>
      </c>
      <c r="B60" s="14" t="s">
        <v>8</v>
      </c>
      <c r="C60" s="13"/>
      <c r="D60" s="13">
        <v>11153072.689999999</v>
      </c>
      <c r="E60" s="31"/>
      <c r="F60" s="5"/>
    </row>
    <row r="61" spans="1:6" x14ac:dyDescent="0.3">
      <c r="A61" s="16" t="s">
        <v>63</v>
      </c>
      <c r="B61" s="16" t="s">
        <v>11</v>
      </c>
      <c r="C61" s="17"/>
      <c r="D61" s="17">
        <f>ROUND(D59/D60,2)</f>
        <v>53.8</v>
      </c>
      <c r="E61" s="31"/>
      <c r="F61" s="18" t="str">
        <f>A59&amp;" / "&amp;A60</f>
        <v>(34) / (35)</v>
      </c>
    </row>
    <row r="62" spans="1:6" ht="17.25" thickBot="1" x14ac:dyDescent="0.35">
      <c r="A62" s="19" t="s">
        <v>64</v>
      </c>
      <c r="B62" s="19" t="s">
        <v>27</v>
      </c>
      <c r="C62" s="20">
        <f>$D$61</f>
        <v>53.8</v>
      </c>
      <c r="D62" s="20">
        <f>$D$61</f>
        <v>53.8</v>
      </c>
      <c r="E62" s="31"/>
      <c r="F62" s="28" t="str">
        <f>"SW"&amp;A61</f>
        <v>SW(36)</v>
      </c>
    </row>
    <row r="63" spans="1:6" ht="17.25" thickTop="1" x14ac:dyDescent="0.3">
      <c r="A63" s="11" t="s">
        <v>65</v>
      </c>
      <c r="B63" s="11" t="s">
        <v>29</v>
      </c>
      <c r="C63" s="30">
        <f>C62/$D$62</f>
        <v>1</v>
      </c>
      <c r="D63" s="30">
        <f>D62/$D$62</f>
        <v>1</v>
      </c>
      <c r="E63" s="31"/>
      <c r="F63" s="28" t="str">
        <f>A62&amp;" / SW"&amp;A62</f>
        <v>(37) / SW(37)</v>
      </c>
    </row>
    <row r="64" spans="1:6" x14ac:dyDescent="0.3">
      <c r="A64" s="25"/>
      <c r="B64" s="25"/>
      <c r="C64" s="25"/>
      <c r="D64" s="25"/>
      <c r="E64" s="25"/>
      <c r="F64" s="25"/>
    </row>
    <row r="65" spans="1:6" x14ac:dyDescent="0.3">
      <c r="A65" s="25"/>
      <c r="B65" s="25"/>
      <c r="C65" s="25"/>
      <c r="D65" s="25"/>
      <c r="E65" s="25"/>
      <c r="F65" s="25"/>
    </row>
    <row r="66" spans="1:6" x14ac:dyDescent="0.3">
      <c r="A66" s="25"/>
      <c r="B66" s="25"/>
      <c r="C66" s="6" t="s">
        <v>1</v>
      </c>
      <c r="D66" s="25"/>
      <c r="E66" s="25"/>
      <c r="F66" s="25"/>
    </row>
    <row r="67" spans="1:6" ht="17.25" thickBot="1" x14ac:dyDescent="0.35">
      <c r="A67" s="10"/>
      <c r="B67" s="10"/>
      <c r="C67" s="9" t="s">
        <v>3</v>
      </c>
      <c r="D67" s="10" t="s">
        <v>4</v>
      </c>
      <c r="E67" s="11"/>
      <c r="F67" s="35"/>
    </row>
    <row r="68" spans="1:6" ht="17.25" thickTop="1" x14ac:dyDescent="0.3">
      <c r="A68" s="14" t="s">
        <v>66</v>
      </c>
      <c r="B68" s="14" t="s">
        <v>67</v>
      </c>
      <c r="C68" s="36">
        <f>C19+C32+C45+C53+C62</f>
        <v>600.72149799999988</v>
      </c>
      <c r="D68" s="36">
        <f>D19+D32+D45+D53+D62</f>
        <v>431.19149799999997</v>
      </c>
      <c r="E68" s="37"/>
      <c r="F68" s="5" t="str">
        <f>A19&amp;" + "&amp;A32&amp;" + "&amp;A45&amp;" + "&amp;A53&amp;" + "&amp;A62</f>
        <v>(10) + (19) + (28) + (32) + (37)</v>
      </c>
    </row>
    <row r="69" spans="1:6" x14ac:dyDescent="0.3">
      <c r="A69" s="14" t="s">
        <v>68</v>
      </c>
      <c r="B69" s="14" t="s">
        <v>69</v>
      </c>
      <c r="C69" s="36">
        <v>1.1399999999999999</v>
      </c>
      <c r="D69" s="36">
        <v>1.1399999999999999</v>
      </c>
      <c r="E69" s="37"/>
      <c r="F69" s="40" t="s">
        <v>90</v>
      </c>
    </row>
    <row r="70" spans="1:6" x14ac:dyDescent="0.3">
      <c r="A70" s="38" t="s">
        <v>70</v>
      </c>
      <c r="B70" s="38" t="s">
        <v>71</v>
      </c>
      <c r="C70" s="39">
        <f>C68*C69</f>
        <v>684.82250771999986</v>
      </c>
      <c r="D70" s="39">
        <f>D68*D69</f>
        <v>491.5583077199999</v>
      </c>
      <c r="E70" s="36"/>
      <c r="F70" s="40" t="str">
        <f>A68&amp;" * "&amp;A69</f>
        <v>(39) * (40)</v>
      </c>
    </row>
    <row r="71" spans="1:6" x14ac:dyDescent="0.3">
      <c r="A71" s="12" t="s">
        <v>72</v>
      </c>
      <c r="B71" s="12" t="s">
        <v>73</v>
      </c>
      <c r="C71" s="33">
        <v>12.546437160510001</v>
      </c>
      <c r="D71" s="33">
        <v>0.73260000000000003</v>
      </c>
      <c r="E71" s="33"/>
      <c r="F71" s="40"/>
    </row>
    <row r="72" spans="1:6" x14ac:dyDescent="0.3">
      <c r="A72" s="12" t="s">
        <v>74</v>
      </c>
      <c r="B72" s="12" t="s">
        <v>75</v>
      </c>
      <c r="C72" s="33">
        <v>0</v>
      </c>
      <c r="D72" s="33">
        <v>0</v>
      </c>
      <c r="E72" s="33"/>
      <c r="F72" s="40"/>
    </row>
    <row r="73" spans="1:6" x14ac:dyDescent="0.3">
      <c r="A73" s="12" t="s">
        <v>76</v>
      </c>
      <c r="B73" s="12" t="s">
        <v>56</v>
      </c>
      <c r="C73" s="41">
        <v>512.17999999999995</v>
      </c>
      <c r="D73" s="41">
        <v>512.17999999999995</v>
      </c>
      <c r="E73" s="41"/>
      <c r="F73" s="40"/>
    </row>
    <row r="74" spans="1:6" x14ac:dyDescent="0.3">
      <c r="A74" s="22" t="s">
        <v>77</v>
      </c>
      <c r="B74" s="22" t="s">
        <v>78</v>
      </c>
      <c r="C74" s="52">
        <f>(C71+C72)*C73</f>
        <v>6426.0341848700118</v>
      </c>
      <c r="D74" s="52">
        <f>(D71+D72)*D73</f>
        <v>375.22306799999996</v>
      </c>
      <c r="E74" s="42"/>
      <c r="F74" s="28" t="str">
        <f>"["&amp;A71&amp;" + "&amp;A72&amp;"] * "&amp;A73</f>
        <v>[(42) + (43)] * (44)</v>
      </c>
    </row>
    <row r="75" spans="1:6" ht="17.25" thickBot="1" x14ac:dyDescent="0.35">
      <c r="A75" s="19" t="s">
        <v>79</v>
      </c>
      <c r="B75" s="19" t="s">
        <v>80</v>
      </c>
      <c r="C75" s="20">
        <f>C70+C74</f>
        <v>7110.8566925900113</v>
      </c>
      <c r="D75" s="20">
        <f>D70+D74</f>
        <v>866.78137571999991</v>
      </c>
      <c r="E75" s="13"/>
      <c r="F75" s="28" t="str">
        <f>A70&amp;" + "&amp;A74</f>
        <v>(41) + (45)</v>
      </c>
    </row>
    <row r="76" spans="1:6" ht="17.25" thickTop="1" x14ac:dyDescent="0.3">
      <c r="A76" s="12" t="s">
        <v>81</v>
      </c>
      <c r="B76" s="12" t="s">
        <v>29</v>
      </c>
      <c r="C76" s="41">
        <f>C$75/$D$75</f>
        <v>8.2037488249944381</v>
      </c>
      <c r="D76" s="41">
        <f>D$75/$D$75</f>
        <v>1</v>
      </c>
      <c r="E76" s="43"/>
      <c r="F76" s="28" t="str">
        <f>A75&amp;" / SW"&amp;A75</f>
        <v>(46) / SW(46)</v>
      </c>
    </row>
    <row r="77" spans="1:6" x14ac:dyDescent="0.3">
      <c r="A77" s="44" t="s">
        <v>82</v>
      </c>
      <c r="B77" s="44" t="s">
        <v>83</v>
      </c>
      <c r="C77" s="24">
        <v>0.12</v>
      </c>
      <c r="D77" s="24">
        <v>0.12</v>
      </c>
      <c r="E77" s="24"/>
      <c r="F77" s="5"/>
    </row>
    <row r="78" spans="1:6" x14ac:dyDescent="0.3">
      <c r="A78" s="14" t="s">
        <v>84</v>
      </c>
      <c r="B78" s="14" t="s">
        <v>85</v>
      </c>
      <c r="C78" s="53">
        <f>ROUND(C$76*(1-C$77)+C$77,4)</f>
        <v>7.3392999999999997</v>
      </c>
      <c r="D78" s="53">
        <f>ROUND(D$76*(1-D$77)+D$77,3)</f>
        <v>1</v>
      </c>
      <c r="E78" s="24"/>
      <c r="F78" s="28" t="str">
        <f>A76&amp;" * [1 - "&amp;A77&amp;"] + "&amp;A77</f>
        <v>(47) * [1 - (48)] + (48)</v>
      </c>
    </row>
    <row r="79" spans="1:6" ht="17.25" thickBot="1" x14ac:dyDescent="0.35">
      <c r="A79" s="45" t="s">
        <v>86</v>
      </c>
      <c r="B79" s="45" t="s">
        <v>87</v>
      </c>
      <c r="C79" s="54">
        <f>C78</f>
        <v>7.3392999999999997</v>
      </c>
      <c r="D79" s="54">
        <v>1.02467</v>
      </c>
      <c r="E79" s="46"/>
      <c r="F79" s="5" t="str">
        <f>A78&amp;"; SW"&amp;A79&amp;" = Exposure Weighted Average "&amp;A78&amp;" over all GRID cells"</f>
        <v>(49); SW(50) = Exposure Weighted Average (49) over all GRID cells</v>
      </c>
    </row>
    <row r="80" spans="1:6" ht="17.25" thickTop="1" x14ac:dyDescent="0.3">
      <c r="A80" s="5" t="s">
        <v>88</v>
      </c>
      <c r="B80" s="5" t="s">
        <v>89</v>
      </c>
      <c r="C80" s="55">
        <f>C79/D79</f>
        <v>7.1625986903100509</v>
      </c>
      <c r="D80" s="55">
        <v>1</v>
      </c>
      <c r="E80" s="47"/>
      <c r="F80" s="28" t="str">
        <f>A79&amp;" / SW"&amp;A79</f>
        <v>(50) / SW(50)</v>
      </c>
    </row>
    <row r="81" spans="1:6" x14ac:dyDescent="0.3">
      <c r="A81" s="44"/>
      <c r="B81" s="44"/>
      <c r="C81" s="46"/>
      <c r="D81" s="46"/>
      <c r="E81" s="46"/>
      <c r="F81" s="5"/>
    </row>
    <row r="82" spans="1:6" x14ac:dyDescent="0.3">
      <c r="A82" s="44"/>
      <c r="B82" s="44"/>
      <c r="C82" s="48"/>
      <c r="D82" s="48"/>
      <c r="E82" s="48"/>
      <c r="F82" s="28"/>
    </row>
    <row r="83" spans="1:6" x14ac:dyDescent="0.3">
      <c r="A83" s="28"/>
      <c r="B83" s="5"/>
      <c r="C83" s="49"/>
    </row>
    <row r="84" spans="1:6" x14ac:dyDescent="0.3">
      <c r="A84" s="50"/>
      <c r="B84" s="5"/>
      <c r="C84" s="51"/>
      <c r="F84" s="28"/>
    </row>
    <row r="86" spans="1:6" x14ac:dyDescent="0.3">
      <c r="C86" s="51"/>
    </row>
    <row r="87" spans="1:6" x14ac:dyDescent="0.3">
      <c r="C87" s="51"/>
    </row>
  </sheetData>
  <mergeCells count="4">
    <mergeCell ref="A1:F1"/>
    <mergeCell ref="A2:F2"/>
    <mergeCell ref="A4:F4"/>
    <mergeCell ref="A5:F5"/>
  </mergeCells>
  <printOptions horizontalCentered="1"/>
  <pageMargins left="0.2" right="0.2" top="0.75" bottom="0.75" header="0.3" footer="0.25"/>
  <pageSetup scale="75" orientation="landscape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  <rowBreaks count="2" manualBreakCount="2">
    <brk id="35" max="16383" man="1"/>
    <brk id="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State Farm Insurance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Pettis</dc:creator>
  <cp:lastModifiedBy>Nicole Pettis</cp:lastModifiedBy>
  <cp:lastPrinted>2022-08-29T13:52:51Z</cp:lastPrinted>
  <dcterms:created xsi:type="dcterms:W3CDTF">2020-09-19T00:46:19Z</dcterms:created>
  <dcterms:modified xsi:type="dcterms:W3CDTF">2022-08-30T15:57:15Z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2021-05-28T19:31:21Z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1b5c3386-84c4-4c0e-a65a-d6a5d06513cf</vt:lpwstr>
  </property>
  <property fmtid="{D5CDD505-2E9C-101B-9397-08002B2CF9AE}" pid="8" name="MSIP_Label_261ecbe3-7ba9-4124-b9d7-ffd820687beb_ContentBits">
    <vt:lpwstr>0</vt:lpwstr>
  </property>
</Properties>
</file>