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HO-W HO-6\Filing\Filing Responses\9-27 Objection Response\"/>
    </mc:Choice>
  </mc:AlternateContent>
  <xr:revisionPtr revIDLastSave="0" documentId="13_ncr:1_{C14CECCA-0756-4DAD-8E7D-385355A8DC25}" xr6:coauthVersionLast="47" xr6:coauthVersionMax="47" xr10:uidLastSave="{00000000-0000-0000-0000-000000000000}"/>
  <bookViews>
    <workbookView xWindow="-120" yWindow="-120" windowWidth="29040" windowHeight="15840" xr2:uid="{58067E62-B0A3-4EC0-9396-E2FE8B89255F}"/>
  </bookViews>
  <sheets>
    <sheet name="Supplemental Exhibit 6A" sheetId="1" r:id="rId1"/>
    <sheet name="Supplemental Exhibit 6B" sheetId="5" r:id="rId2"/>
    <sheet name="Supplemental Exhibit 6C" sheetId="6" r:id="rId3"/>
    <sheet name="Supplemental Exhibit 6D" sheetId="8" r:id="rId4"/>
    <sheet name="Supplemental Exhibit 7" sheetId="4" r:id="rId5"/>
  </sheets>
  <externalReferences>
    <externalReference r:id="rId6"/>
  </externalReferences>
  <definedNames>
    <definedName name="BetaHCODE">[1]Data!$I$4</definedName>
    <definedName name="ExhStart">'[1]Exhibit Manager'!$E$5</definedName>
    <definedName name="JurisdictionLong">[1]Data!$G$3</definedName>
    <definedName name="RateTypeHCodeLong">[1]Data!$I$3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C11" i="4" l="1"/>
  <c r="C16" i="4" l="1"/>
  <c r="C14" i="1" l="1"/>
  <c r="K22" i="8" l="1"/>
  <c r="C18" i="4"/>
  <c r="C17" i="1" l="1"/>
  <c r="I26" i="8" l="1"/>
  <c r="A6" i="8" l="1"/>
  <c r="A13" i="8"/>
  <c r="C22" i="8"/>
  <c r="E22" i="8"/>
  <c r="G22" i="8"/>
  <c r="I22" i="8"/>
  <c r="E51" i="6" l="1"/>
  <c r="E46" i="5"/>
  <c r="C10" i="6" l="1"/>
  <c r="C18" i="6"/>
  <c r="C26" i="6"/>
  <c r="C34" i="6"/>
  <c r="C42" i="6"/>
  <c r="C9" i="6"/>
  <c r="C22" i="6"/>
  <c r="C46" i="6"/>
  <c r="C15" i="6"/>
  <c r="C31" i="6"/>
  <c r="C39" i="6"/>
  <c r="C47" i="6"/>
  <c r="C16" i="6"/>
  <c r="C32" i="6"/>
  <c r="C17" i="6"/>
  <c r="C41" i="6"/>
  <c r="C11" i="6"/>
  <c r="C19" i="6"/>
  <c r="C27" i="6"/>
  <c r="C35" i="6"/>
  <c r="C43" i="6"/>
  <c r="C20" i="6"/>
  <c r="C28" i="6"/>
  <c r="C36" i="6"/>
  <c r="C44" i="6"/>
  <c r="C21" i="6"/>
  <c r="C29" i="6"/>
  <c r="C37" i="6"/>
  <c r="C45" i="6"/>
  <c r="C30" i="6"/>
  <c r="C38" i="6"/>
  <c r="C40" i="6"/>
  <c r="C12" i="6"/>
  <c r="C23" i="6"/>
  <c r="C24" i="6"/>
  <c r="C49" i="6"/>
  <c r="C13" i="6"/>
  <c r="C25" i="6"/>
  <c r="C14" i="6"/>
  <c r="C48" i="6"/>
  <c r="C33" i="6"/>
  <c r="E11" i="5"/>
  <c r="E15" i="5"/>
  <c r="E19" i="5"/>
  <c r="E23" i="5"/>
  <c r="E27" i="5"/>
  <c r="E31" i="5"/>
  <c r="E35" i="5"/>
  <c r="E39" i="5"/>
  <c r="E43" i="5"/>
  <c r="E47" i="5"/>
  <c r="E12" i="5"/>
  <c r="E16" i="5"/>
  <c r="E20" i="5"/>
  <c r="E24" i="5"/>
  <c r="E28" i="5"/>
  <c r="E32" i="5"/>
  <c r="E36" i="5"/>
  <c r="E40" i="5"/>
  <c r="E44" i="5"/>
  <c r="E48" i="5"/>
  <c r="E9" i="5"/>
  <c r="E13" i="5"/>
  <c r="E17" i="5"/>
  <c r="E21" i="5"/>
  <c r="E25" i="5"/>
  <c r="E29" i="5"/>
  <c r="E33" i="5"/>
  <c r="E37" i="5"/>
  <c r="E41" i="5"/>
  <c r="E45" i="5"/>
  <c r="E49" i="5"/>
  <c r="E10" i="5"/>
  <c r="E14" i="5"/>
  <c r="E18" i="5"/>
  <c r="E22" i="5"/>
  <c r="E26" i="5"/>
  <c r="E30" i="5"/>
  <c r="E34" i="5"/>
  <c r="E38" i="5"/>
  <c r="E42" i="5"/>
  <c r="E51" i="5" l="1"/>
  <c r="D31" i="6"/>
  <c r="D29" i="6"/>
  <c r="D22" i="6"/>
  <c r="D40" i="6"/>
  <c r="D43" i="6"/>
  <c r="D39" i="6"/>
  <c r="D36" i="6"/>
  <c r="D49" i="6"/>
  <c r="D41" i="6"/>
  <c r="D44" i="6"/>
  <c r="D30" i="6"/>
  <c r="D27" i="6"/>
  <c r="D37" i="6"/>
  <c r="D35" i="6"/>
  <c r="D46" i="6"/>
  <c r="D47" i="6"/>
  <c r="D42" i="6"/>
  <c r="D38" i="6"/>
  <c r="D23" i="6"/>
  <c r="D32" i="6"/>
  <c r="D19" i="6"/>
  <c r="D20" i="6"/>
  <c r="D45" i="6"/>
  <c r="D24" i="6"/>
  <c r="D26" i="6"/>
  <c r="D48" i="6"/>
  <c r="D33" i="6"/>
  <c r="D34" i="6"/>
  <c r="D25" i="6"/>
  <c r="D21" i="6"/>
  <c r="D28" i="6"/>
  <c r="D14" i="6" l="1"/>
  <c r="D18" i="6"/>
  <c r="D11" i="6"/>
  <c r="D10" i="6"/>
  <c r="D16" i="6"/>
  <c r="D17" i="6"/>
  <c r="D15" i="6"/>
  <c r="D12" i="6"/>
  <c r="D13" i="6"/>
  <c r="D9" i="6" l="1"/>
  <c r="E54" i="6" s="1"/>
  <c r="E55" i="6" l="1"/>
  <c r="I24" i="8" s="1"/>
  <c r="I28" i="8" s="1"/>
  <c r="C15" i="4"/>
  <c r="C17" i="4" l="1"/>
  <c r="C12" i="4"/>
  <c r="C19" i="4" s="1"/>
  <c r="C11" i="1" l="1"/>
  <c r="C13" i="1" l="1"/>
  <c r="C16" i="1" s="1"/>
  <c r="C18" i="1" s="1"/>
</calcChain>
</file>

<file path=xl/sharedStrings.xml><?xml version="1.0" encoding="utf-8"?>
<sst xmlns="http://schemas.openxmlformats.org/spreadsheetml/2006/main" count="183" uniqueCount="125">
  <si>
    <t>State Farm General Insurance Company</t>
  </si>
  <si>
    <t>California Non-Tenant Homeowners</t>
  </si>
  <si>
    <t>Development of Statewide Provisions</t>
  </si>
  <si>
    <t>for WF, FFEQ, and Other Catastrophes</t>
  </si>
  <si>
    <t>(1)</t>
  </si>
  <si>
    <t>Total Homeowners Cat Provision/AIY</t>
  </si>
  <si>
    <t>(2)</t>
  </si>
  <si>
    <t>Non-Tenant Beta Factor</t>
  </si>
  <si>
    <t>(3)</t>
  </si>
  <si>
    <t>Non-Tenant Cat Provision/AIY</t>
  </si>
  <si>
    <t>(4)</t>
  </si>
  <si>
    <t>Estimated % of Non-Tenant Cat Provision for WF</t>
  </si>
  <si>
    <t>(5)</t>
  </si>
  <si>
    <t>Non-Tenant WF Cat Provision/AIY</t>
  </si>
  <si>
    <t>(6)</t>
  </si>
  <si>
    <t>Non-Tenant Other Cat Provision/AIY</t>
  </si>
  <si>
    <t>(7)</t>
  </si>
  <si>
    <t>Non-Tenant WF Non Cat Provision/AIY</t>
  </si>
  <si>
    <t>(8)</t>
  </si>
  <si>
    <t>Non-Tenant WF Total Provision/AIY</t>
  </si>
  <si>
    <t>(9)</t>
  </si>
  <si>
    <t>Non-Tenant FFEQ Provision/AIY</t>
  </si>
  <si>
    <t>(10)</t>
  </si>
  <si>
    <t>Non-Tenant Total Provision</t>
  </si>
  <si>
    <t>Notes:</t>
  </si>
  <si>
    <t xml:space="preserve">Developed by comparing Countrywide Non-Tenant Cat/AIY to </t>
  </si>
  <si>
    <t>(1) x (2)</t>
  </si>
  <si>
    <t>(3) x (4)</t>
  </si>
  <si>
    <t>(3) x (1 - (4))</t>
  </si>
  <si>
    <t>(5) + (7)</t>
  </si>
  <si>
    <t>(6) + (8) + (9)</t>
  </si>
  <si>
    <t xml:space="preserve">Developed from model results by policy form, as described in Exhibit 19. </t>
  </si>
  <si>
    <t>Development of GRID Provisions</t>
  </si>
  <si>
    <t>GRID WF Relativity</t>
  </si>
  <si>
    <t>SW Avg WF Relativity</t>
  </si>
  <si>
    <t>SW WF Provision</t>
  </si>
  <si>
    <t>GRID WF Provision</t>
  </si>
  <si>
    <t>GRID FFEQ Relativity</t>
  </si>
  <si>
    <t>(11)</t>
  </si>
  <si>
    <t>SW Avg FFEQ Relativity</t>
  </si>
  <si>
    <t>(12)</t>
  </si>
  <si>
    <t>GRID Off-Balanced FFEQ Relativity</t>
  </si>
  <si>
    <t>SW FFEQ Provision</t>
  </si>
  <si>
    <t>GRID FFEQ Provision</t>
  </si>
  <si>
    <t>SW Other Cat Provision</t>
  </si>
  <si>
    <t>GRID Total Provision</t>
  </si>
  <si>
    <t>Supplemental Exhibit 7</t>
  </si>
  <si>
    <t>Catastrophe Provision Development</t>
  </si>
  <si>
    <t>Trend</t>
  </si>
  <si>
    <t>Trended</t>
  </si>
  <si>
    <t>Factor</t>
  </si>
  <si>
    <t>CAT Ratio</t>
  </si>
  <si>
    <t>Year</t>
  </si>
  <si>
    <t>CAT/AIY</t>
  </si>
  <si>
    <t>[1+(6)]^[(7)-Year]</t>
  </si>
  <si>
    <t>= (2) * (3)</t>
  </si>
  <si>
    <t>Weight</t>
  </si>
  <si>
    <t>(7)  Projection Year</t>
  </si>
  <si>
    <t xml:space="preserve">(2) Catastrophe Loss and LAE.  Data reflects Accident Year (AY) data from 1980-89 and Calendar </t>
  </si>
  <si>
    <t xml:space="preserve">     Year (CY) data for 1990 and after.  CY data is preferable for newer years since the AY losses</t>
  </si>
  <si>
    <t xml:space="preserve">     would potentially be underdeveloped.  Adjustments have been made as needed to incorporate</t>
  </si>
  <si>
    <t xml:space="preserve">     any significant changes in the distribution of our book of business.</t>
  </si>
  <si>
    <t>(5) The latest year is given a weight of 5%, with each prior year receiving 5% less weight back to</t>
  </si>
  <si>
    <t xml:space="preserve">      2000.  For the years 1980-99, the remainder of the distribution was spread evenly across the</t>
  </si>
  <si>
    <t xml:space="preserve">      20 year period.</t>
  </si>
  <si>
    <t>State Farm Countrywide</t>
  </si>
  <si>
    <t>Homeowners Data</t>
  </si>
  <si>
    <t>Development of Catastrophe Trend</t>
  </si>
  <si>
    <t>Fitted</t>
  </si>
  <si>
    <t>(4) Annual Trend:</t>
  </si>
  <si>
    <t>(5) Selected Trend:</t>
  </si>
  <si>
    <t>Supplemental Exhibit 6A</t>
  </si>
  <si>
    <t>Supplemental Exhibit 6B</t>
  </si>
  <si>
    <t>Supplemental Exhibit 6C</t>
  </si>
  <si>
    <t>as shown in Supplemental Exhibit 6B and 6C.</t>
  </si>
  <si>
    <t>Supplemental Exhibit 6D</t>
  </si>
  <si>
    <t>2011-2020</t>
  </si>
  <si>
    <t>Exposure Distribution Adjustment Factor*</t>
  </si>
  <si>
    <t>Amount of Insurance Years</t>
  </si>
  <si>
    <t>Catastrophe
Dollars</t>
  </si>
  <si>
    <t>Selected Beta = (</t>
  </si>
  <si>
    <t xml:space="preserve"> / </t>
  </si>
  <si>
    <t>) / (</t>
  </si>
  <si>
    <t xml:space="preserve"> * </t>
  </si>
  <si>
    <t>) =</t>
  </si>
  <si>
    <t>California Total Homeowners</t>
  </si>
  <si>
    <t xml:space="preserve">Countrywide Total HO Cat/AIY using linear regression as </t>
  </si>
  <si>
    <t>(1) Selected California Total Homeowners Capped Catastrophe Ratio</t>
  </si>
  <si>
    <t>=</t>
  </si>
  <si>
    <t>(2) Selected Countrywide Non-Tenant Homeowners CAT Beta Factor</t>
  </si>
  <si>
    <t>(3) Selected California Non-Tenant Homeowners Catastrophe Ratio</t>
  </si>
  <si>
    <t>= (1) X (2)</t>
  </si>
  <si>
    <t>Developed from historical % of catastrophe losses due to wildfire.</t>
  </si>
  <si>
    <t xml:space="preserve">catastrophe losses from 1990 to 2020, where approximately </t>
  </si>
  <si>
    <t>There were approximately $5 billion of Non-Tenant Homeowners</t>
  </si>
  <si>
    <t xml:space="preserve">$3.8 billion of those were attributed to wildfire. </t>
  </si>
  <si>
    <t>$3,796,832,315 / $5,071,018,576 = 74.87%</t>
  </si>
  <si>
    <t>Developed from estimated historical non-cat WF losses / AIY.</t>
  </si>
  <si>
    <t>From 2011-2020, the estimated non-cat wildfire losses were approximately</t>
  </si>
  <si>
    <t xml:space="preserve">$257 million. Dividing this by the 2011-2020 AIY of approximately $4.7 billion </t>
  </si>
  <si>
    <t>yields the non-catastrophe provision of 0.0545.</t>
  </si>
  <si>
    <t>$257,115,953 / 4,716,719,279 = 0.0545</t>
  </si>
  <si>
    <t>(9)  Trended Catastrophe Ratio (Column (4) weighted by Column (5)):</t>
  </si>
  <si>
    <t>(10)  Selected Catastrophic Ratio (Subject to 10% cap):</t>
  </si>
  <si>
    <t>From Supplemental Exhibit 6A - line (8)</t>
  </si>
  <si>
    <t>From Supplemental Exhibit 6A - line (9)</t>
  </si>
  <si>
    <t>From Supplemental Exhibit 6A - line (6)</t>
  </si>
  <si>
    <t>GRID Off-Balanced WF Relativity</t>
  </si>
  <si>
    <t>(6)  Projected Annual Trend (from Exhibit 6B):</t>
  </si>
  <si>
    <t xml:space="preserve">An LAE provision of 11% applied to the Average FFEQ Model Loss of 0.0378  listed </t>
  </si>
  <si>
    <t>on Exhibit 9 - page 5 results in the Non-Tenant FFEQ Provision/AIY of 0.0419.</t>
  </si>
  <si>
    <t>Average wildfire model relativity for the GRID cell</t>
  </si>
  <si>
    <t>Average FFEQ model relativity for the GRID cell</t>
  </si>
  <si>
    <t>Developed using a long term average of historical catastrophe experience</t>
  </si>
  <si>
    <t>* This factor represents the ratio of the countrywide CAT/AIY for Total Homeowners utilizing the AIY distribution of Homeowners</t>
  </si>
  <si>
    <t xml:space="preserve"> Non-Tenant to the countrywide CAT/AIY for Total Homeowners using the Total Homeowners distribution of AIY.</t>
  </si>
  <si>
    <t>Non-Tenant Beta Factor Calculation</t>
  </si>
  <si>
    <t>shown in Supplemental Exhibit 6D.</t>
  </si>
  <si>
    <t>(1) / (2)</t>
  </si>
  <si>
    <t>(6) / (7)</t>
  </si>
  <si>
    <t>(8) x (9)</t>
  </si>
  <si>
    <t>(5) + (10) + (11)</t>
  </si>
  <si>
    <t>Weighted average of (1) using latest year AIY by GRID cell</t>
  </si>
  <si>
    <t>Weighted average of (6) using latest year AIY by GRID cell</t>
  </si>
  <si>
    <t>(8)  Prior Total Homeonwers Selected Catastrophe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</si>
</sst>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0.0%"/>
    <numFmt numFmtId="167" formatCode="0_);\(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quotePrefix="1" applyFont="1" applyAlignment="1">
      <alignment horizontal="center"/>
    </xf>
    <xf numFmtId="164" fontId="3" fillId="0" borderId="0" xfId="0" applyNumberFormat="1" applyFont="1"/>
    <xf numFmtId="10" fontId="3" fillId="0" borderId="0" xfId="2" applyNumberFormat="1" applyFont="1"/>
    <xf numFmtId="0" fontId="2" fillId="0" borderId="0" xfId="0" quotePrefix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quotePrefix="1" applyFont="1"/>
    <xf numFmtId="0" fontId="5" fillId="0" borderId="0" xfId="0" applyFont="1"/>
    <xf numFmtId="10" fontId="5" fillId="0" borderId="0" xfId="2" applyNumberFormat="1" applyFont="1"/>
    <xf numFmtId="164" fontId="5" fillId="0" borderId="0" xfId="0" applyNumberFormat="1" applyFont="1"/>
    <xf numFmtId="164" fontId="6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Continuous"/>
    </xf>
    <xf numFmtId="0" fontId="3" fillId="0" borderId="0" xfId="0" applyFont="1" applyAlignment="1">
      <alignment wrapText="1"/>
    </xf>
    <xf numFmtId="164" fontId="3" fillId="0" borderId="0" xfId="0" quotePrefix="1" applyNumberFormat="1" applyFont="1"/>
    <xf numFmtId="164" fontId="5" fillId="0" borderId="0" xfId="0" applyNumberFormat="1" applyFont="1" applyFill="1"/>
    <xf numFmtId="0" fontId="5" fillId="0" borderId="0" xfId="0" applyFont="1" applyAlignment="1"/>
    <xf numFmtId="0" fontId="5" fillId="0" borderId="0" xfId="0" quotePrefix="1" applyFont="1" applyAlignment="1">
      <alignment horizontal="center"/>
    </xf>
    <xf numFmtId="0" fontId="5" fillId="0" borderId="0" xfId="0" quotePrefix="1" applyFont="1" applyAlignment="1"/>
    <xf numFmtId="0" fontId="5" fillId="0" borderId="0" xfId="0" quotePrefix="1" applyFont="1" applyAlignment="1">
      <alignment wrapText="1"/>
    </xf>
    <xf numFmtId="0" fontId="5" fillId="0" borderId="0" xfId="0" quotePrefix="1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centerContinuous"/>
    </xf>
    <xf numFmtId="9" fontId="3" fillId="0" borderId="0" xfId="0" applyNumberFormat="1" applyFont="1" applyAlignment="1">
      <alignment horizontal="centerContinuous"/>
    </xf>
    <xf numFmtId="0" fontId="3" fillId="0" borderId="1" xfId="0" quotePrefix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6" fontId="3" fillId="0" borderId="3" xfId="2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5" xfId="2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6" fontId="3" fillId="0" borderId="8" xfId="2" applyNumberFormat="1" applyFont="1" applyBorder="1" applyAlignment="1">
      <alignment horizontal="center"/>
    </xf>
    <xf numFmtId="9" fontId="3" fillId="0" borderId="0" xfId="0" applyNumberFormat="1" applyFont="1"/>
    <xf numFmtId="166" fontId="3" fillId="0" borderId="0" xfId="0" applyNumberFormat="1" applyFont="1" applyAlignment="1">
      <alignment horizontal="center"/>
    </xf>
    <xf numFmtId="167" fontId="3" fillId="0" borderId="0" xfId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7" xfId="0" applyFont="1" applyBorder="1" applyAlignment="1">
      <alignment horizontal="center"/>
    </xf>
    <xf numFmtId="166" fontId="3" fillId="0" borderId="0" xfId="2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left" indent="3"/>
    </xf>
    <xf numFmtId="0" fontId="9" fillId="0" borderId="0" xfId="0" applyFont="1" applyAlignment="1">
      <alignment horizontal="left" indent="2"/>
    </xf>
    <xf numFmtId="0" fontId="3" fillId="0" borderId="7" xfId="0" applyFont="1" applyBorder="1"/>
    <xf numFmtId="3" fontId="3" fillId="0" borderId="0" xfId="0" applyNumberFormat="1" applyFont="1"/>
    <xf numFmtId="0" fontId="3" fillId="0" borderId="7" xfId="0" applyFont="1" applyBorder="1" applyAlignment="1">
      <alignment wrapText="1"/>
    </xf>
    <xf numFmtId="3" fontId="3" fillId="0" borderId="0" xfId="0" applyNumberFormat="1" applyFont="1" applyAlignment="1">
      <alignment horizontal="center"/>
    </xf>
    <xf numFmtId="0" fontId="5" fillId="0" borderId="0" xfId="0" quotePrefix="1" applyFont="1" applyFill="1" applyAlignment="1">
      <alignment wrapText="1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10" fillId="0" borderId="0" xfId="0" applyFont="1" applyFill="1"/>
    <xf numFmtId="0" fontId="10" fillId="0" borderId="0" xfId="0" applyFont="1"/>
    <xf numFmtId="0" fontId="11" fillId="0" borderId="0" xfId="0" applyFont="1" applyFill="1"/>
    <xf numFmtId="0" fontId="12" fillId="0" borderId="0" xfId="3" applyFont="1" applyFill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3" fillId="0" borderId="0" xfId="0" applyFont="1" applyFill="1"/>
    <xf numFmtId="0" fontId="13" fillId="0" borderId="0" xfId="0" applyFont="1" applyFill="1"/>
    <xf numFmtId="0" fontId="13" fillId="0" borderId="0" xfId="0" quotePrefix="1" applyFont="1" applyFill="1"/>
    <xf numFmtId="0" fontId="15" fillId="0" borderId="0" xfId="3" applyFont="1"/>
    <xf numFmtId="0" fontId="15" fillId="0" borderId="0" xfId="3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-C%20ACTUARIAL/HOMEOWNERS/State%20Files%202019%20and%20Forward/Colorado/2022/HO/Filing/CO%20HO%202022%20Filing%20Exh%201-9%20-%20NT%20PC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Exhibit Manager"/>
      <sheetName val="SQL"/>
      <sheetName val="Data"/>
      <sheetName val="Tables"/>
      <sheetName val="Exhibit - Indication Summary"/>
      <sheetName val="Exhibit - Cred Weighting"/>
      <sheetName val="Exhibit - Loss Ratio"/>
      <sheetName val="Supp Exh - FO Loss Dev"/>
      <sheetName val="Supp Exh - FL Loss Dev"/>
      <sheetName val="Supp Exh - WH Loss Dev"/>
      <sheetName val="Supp Exh - OEC Loss Dev"/>
      <sheetName val="Supp Exh - CR Loss Dev"/>
      <sheetName val="Supp Exh - SEC2 Loss Dev"/>
      <sheetName val="Exhibit - Comp of Cred"/>
      <sheetName val="Exhibit - Rate History"/>
      <sheetName val="Exhibit - Premium Trends"/>
      <sheetName val="Supp Exh - Premium Trends"/>
      <sheetName val="Supp Exh - Template Loss Dev"/>
      <sheetName val="Exhibit - Loss Trends"/>
      <sheetName val="Supp Exh - Loss Trends"/>
      <sheetName val="Supp Exh - Aligning Example"/>
      <sheetName val="Exhibit - PIF Trends"/>
      <sheetName val="Exhibit - A&amp;O Expenses"/>
      <sheetName val="Supp Exh - PIF Trends"/>
      <sheetName val="Supp Exh - A&amp;O Expenses"/>
      <sheetName val="Exhibit - Provisions"/>
      <sheetName val="Exhibit - Zero Cat Prov"/>
      <sheetName val="Exhibit - AIY Trends"/>
      <sheetName val="Exhibit - Cat Prov Writeup"/>
      <sheetName val="Exhibit - Cat Prov CW Trend"/>
      <sheetName val="Exhibit - Cat Prov Development"/>
      <sheetName val="Exhibit - Cat Prov Beta Writeup"/>
      <sheetName val="Exhibit - Cat Prov Beta"/>
      <sheetName val="Exhibit - Hurr Prov Writeup"/>
      <sheetName val="Exhibit - NC WH Prov Writeup"/>
      <sheetName val="Exhibit - FFEQ Prov Writeup"/>
      <sheetName val="Supp Exh - AIY Trends"/>
      <sheetName val="Exhibit - Fixed Expenses"/>
      <sheetName val="Exhibit - Variable Expenses"/>
      <sheetName val="Supp Exh - UW Expenses"/>
      <sheetName val="Exhibit - TFN"/>
      <sheetName val="Supp Exh - Credibility (Lin)"/>
      <sheetName val="Supp Exh - Credibility (Exp)"/>
      <sheetName val="Internal Documentation"/>
    </sheetNames>
    <sheetDataSet>
      <sheetData sheetId="0"/>
      <sheetData sheetId="1">
        <row r="5">
          <cell r="E5">
            <v>1</v>
          </cell>
        </row>
      </sheetData>
      <sheetData sheetId="2"/>
      <sheetData sheetId="3">
        <row r="3">
          <cell r="G3" t="str">
            <v>Colorado</v>
          </cell>
          <cell r="I3" t="str">
            <v>Homeowners Non-Tenant</v>
          </cell>
        </row>
        <row r="4">
          <cell r="I4" t="str">
            <v>Total Homeowners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056B-F806-450D-9D3E-A91B6B93BE05}">
  <dimension ref="A1:U44"/>
  <sheetViews>
    <sheetView tabSelected="1" workbookViewId="0">
      <selection activeCell="B9" sqref="B9"/>
    </sheetView>
  </sheetViews>
  <sheetFormatPr defaultRowHeight="12.75" x14ac:dyDescent="0.2"/>
  <cols>
    <col min="1" max="1" width="9.140625" style="3"/>
    <col min="2" max="2" width="42.85546875" style="3" customWidth="1"/>
    <col min="3" max="16384" width="9.140625" style="3"/>
  </cols>
  <sheetData>
    <row r="1" spans="1:6" x14ac:dyDescent="0.2">
      <c r="A1" s="1" t="s">
        <v>71</v>
      </c>
      <c r="B1" s="16"/>
      <c r="C1" s="2"/>
      <c r="D1" s="2"/>
      <c r="E1" s="2"/>
    </row>
    <row r="2" spans="1:6" x14ac:dyDescent="0.2">
      <c r="A2" s="1" t="s">
        <v>0</v>
      </c>
      <c r="B2" s="2"/>
      <c r="C2" s="2"/>
      <c r="D2" s="2"/>
      <c r="E2" s="2"/>
    </row>
    <row r="3" spans="1:6" x14ac:dyDescent="0.2">
      <c r="A3" s="1" t="s">
        <v>1</v>
      </c>
      <c r="B3" s="2"/>
      <c r="C3" s="2"/>
      <c r="D3" s="2"/>
      <c r="E3" s="2"/>
    </row>
    <row r="4" spans="1:6" x14ac:dyDescent="0.2">
      <c r="A4" s="1" t="s">
        <v>2</v>
      </c>
      <c r="B4" s="2"/>
      <c r="C4" s="2"/>
      <c r="D4" s="2"/>
      <c r="E4" s="2"/>
    </row>
    <row r="5" spans="1:6" x14ac:dyDescent="0.2">
      <c r="A5" s="1" t="s">
        <v>3</v>
      </c>
      <c r="B5" s="2"/>
      <c r="C5" s="2"/>
      <c r="D5" s="2"/>
      <c r="E5" s="2"/>
    </row>
    <row r="9" spans="1:6" x14ac:dyDescent="0.2">
      <c r="A9" s="4" t="s">
        <v>4</v>
      </c>
      <c r="B9" s="3" t="s">
        <v>5</v>
      </c>
      <c r="C9" s="3">
        <v>0.60750000000000004</v>
      </c>
      <c r="F9" s="81"/>
    </row>
    <row r="10" spans="1:6" x14ac:dyDescent="0.2">
      <c r="A10" s="4" t="s">
        <v>6</v>
      </c>
      <c r="B10" s="3" t="s">
        <v>7</v>
      </c>
      <c r="C10" s="11">
        <v>1.0471999999999999</v>
      </c>
    </row>
    <row r="11" spans="1:6" x14ac:dyDescent="0.2">
      <c r="A11" s="4" t="s">
        <v>8</v>
      </c>
      <c r="B11" s="3" t="s">
        <v>9</v>
      </c>
      <c r="C11" s="13">
        <f>C9*C10</f>
        <v>0.63617400000000002</v>
      </c>
      <c r="D11" s="5"/>
    </row>
    <row r="12" spans="1:6" x14ac:dyDescent="0.2">
      <c r="A12" s="4" t="s">
        <v>10</v>
      </c>
      <c r="B12" s="3" t="s">
        <v>11</v>
      </c>
      <c r="C12" s="12">
        <v>0.74873169138811024</v>
      </c>
      <c r="D12" s="6"/>
    </row>
    <row r="13" spans="1:6" x14ac:dyDescent="0.2">
      <c r="A13" s="4" t="s">
        <v>12</v>
      </c>
      <c r="B13" s="3" t="s">
        <v>13</v>
      </c>
      <c r="C13" s="13">
        <f>C11*C12</f>
        <v>0.47632363503713965</v>
      </c>
      <c r="D13" s="5"/>
    </row>
    <row r="14" spans="1:6" x14ac:dyDescent="0.2">
      <c r="A14" s="7" t="s">
        <v>14</v>
      </c>
      <c r="B14" s="8" t="s">
        <v>15</v>
      </c>
      <c r="C14" s="14">
        <f>C11*(1-C12)</f>
        <v>0.15985036496286037</v>
      </c>
      <c r="D14" s="9"/>
    </row>
    <row r="15" spans="1:6" x14ac:dyDescent="0.2">
      <c r="A15" s="4" t="s">
        <v>16</v>
      </c>
      <c r="B15" s="3" t="s">
        <v>17</v>
      </c>
      <c r="C15" s="13">
        <v>5.4511608164385897E-2</v>
      </c>
      <c r="D15" s="5"/>
    </row>
    <row r="16" spans="1:6" x14ac:dyDescent="0.2">
      <c r="A16" s="7" t="s">
        <v>18</v>
      </c>
      <c r="B16" s="8" t="s">
        <v>19</v>
      </c>
      <c r="C16" s="14">
        <f>C13+C15</f>
        <v>0.53083524320152553</v>
      </c>
      <c r="D16" s="9"/>
    </row>
    <row r="17" spans="1:21" x14ac:dyDescent="0.2">
      <c r="A17" s="7" t="s">
        <v>20</v>
      </c>
      <c r="B17" s="8" t="s">
        <v>21</v>
      </c>
      <c r="C17" s="14">
        <f>0.0377518524*1.11</f>
        <v>4.1904556164000004E-2</v>
      </c>
      <c r="D17" s="8"/>
    </row>
    <row r="18" spans="1:21" x14ac:dyDescent="0.2">
      <c r="A18" s="7" t="s">
        <v>22</v>
      </c>
      <c r="B18" s="8" t="s">
        <v>23</v>
      </c>
      <c r="C18" s="14">
        <f>C14+C16+C17</f>
        <v>0.73259016432838597</v>
      </c>
      <c r="D18" s="9"/>
    </row>
    <row r="21" spans="1:21" x14ac:dyDescent="0.2">
      <c r="A21" s="3" t="s">
        <v>24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1:21" x14ac:dyDescent="0.2">
      <c r="A22" s="4" t="s">
        <v>4</v>
      </c>
      <c r="B22" s="3" t="s">
        <v>113</v>
      </c>
      <c r="E22" s="79"/>
      <c r="F22" s="79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  <row r="23" spans="1:21" x14ac:dyDescent="0.2">
      <c r="B23" s="3" t="s">
        <v>74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  <row r="24" spans="1:21" x14ac:dyDescent="0.2">
      <c r="A24" s="4" t="s">
        <v>6</v>
      </c>
      <c r="B24" s="3" t="s">
        <v>25</v>
      </c>
      <c r="E24" s="79"/>
      <c r="F24" s="79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</row>
    <row r="25" spans="1:21" x14ac:dyDescent="0.2">
      <c r="A25" s="4"/>
      <c r="B25" s="3" t="s">
        <v>86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</row>
    <row r="26" spans="1:21" x14ac:dyDescent="0.2">
      <c r="B26" s="3" t="s">
        <v>117</v>
      </c>
      <c r="E26" s="78"/>
      <c r="F26" s="78"/>
      <c r="G26" s="78"/>
      <c r="H26" s="78"/>
      <c r="I26" s="78"/>
      <c r="J26" s="78"/>
      <c r="K26" s="79"/>
      <c r="L26" s="78"/>
      <c r="M26" s="78"/>
      <c r="N26" s="78"/>
      <c r="O26" s="78"/>
      <c r="P26" s="78"/>
      <c r="Q26" s="78"/>
      <c r="R26" s="78"/>
      <c r="S26" s="78"/>
      <c r="T26" s="78"/>
      <c r="U26" s="78"/>
    </row>
    <row r="27" spans="1:21" x14ac:dyDescent="0.2">
      <c r="A27" s="4" t="s">
        <v>8</v>
      </c>
      <c r="B27" s="10" t="s">
        <v>26</v>
      </c>
      <c r="E27" s="79"/>
      <c r="F27" s="79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</row>
    <row r="28" spans="1:21" x14ac:dyDescent="0.2">
      <c r="A28" s="4" t="s">
        <v>10</v>
      </c>
      <c r="B28" s="3" t="s">
        <v>92</v>
      </c>
      <c r="E28" s="78"/>
      <c r="F28" s="79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9"/>
      <c r="S28" s="78"/>
      <c r="T28" s="78"/>
      <c r="U28" s="78"/>
    </row>
    <row r="29" spans="1:21" x14ac:dyDescent="0.2">
      <c r="A29" s="4"/>
      <c r="B29" s="3" t="s">
        <v>94</v>
      </c>
      <c r="E29" s="78"/>
      <c r="F29" s="82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</row>
    <row r="30" spans="1:21" x14ac:dyDescent="0.2">
      <c r="B30" s="3" t="s">
        <v>93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</row>
    <row r="31" spans="1:21" x14ac:dyDescent="0.2">
      <c r="B31" s="3" t="s">
        <v>95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</row>
    <row r="32" spans="1:21" x14ac:dyDescent="0.2">
      <c r="B32" s="52" t="s">
        <v>96</v>
      </c>
      <c r="E32" s="78"/>
      <c r="F32" s="79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</row>
    <row r="33" spans="1:21" x14ac:dyDescent="0.2">
      <c r="A33" s="4" t="s">
        <v>12</v>
      </c>
      <c r="B33" s="10" t="s">
        <v>27</v>
      </c>
      <c r="E33" s="78"/>
      <c r="F33" s="79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</row>
    <row r="34" spans="1:21" x14ac:dyDescent="0.2">
      <c r="A34" s="4" t="s">
        <v>14</v>
      </c>
      <c r="B34" s="10" t="s">
        <v>28</v>
      </c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</row>
    <row r="35" spans="1:21" x14ac:dyDescent="0.2">
      <c r="A35" s="4" t="s">
        <v>16</v>
      </c>
      <c r="B35" s="3" t="s">
        <v>97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</row>
    <row r="36" spans="1:21" x14ac:dyDescent="0.2">
      <c r="A36" s="4"/>
      <c r="B36" s="3" t="s">
        <v>98</v>
      </c>
      <c r="E36" s="78"/>
      <c r="F36" s="78"/>
      <c r="G36" s="78"/>
      <c r="H36" s="79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</row>
    <row r="37" spans="1:21" x14ac:dyDescent="0.2">
      <c r="B37" s="3" t="s">
        <v>99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</row>
    <row r="38" spans="1:21" x14ac:dyDescent="0.2">
      <c r="B38" s="3" t="s">
        <v>100</v>
      </c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1:21" x14ac:dyDescent="0.2">
      <c r="B39" s="52" t="s">
        <v>101</v>
      </c>
    </row>
    <row r="40" spans="1:21" x14ac:dyDescent="0.2">
      <c r="A40" s="4" t="s">
        <v>18</v>
      </c>
      <c r="B40" s="10" t="s">
        <v>29</v>
      </c>
    </row>
    <row r="41" spans="1:21" x14ac:dyDescent="0.2">
      <c r="A41" s="4" t="s">
        <v>20</v>
      </c>
      <c r="B41" s="3" t="s">
        <v>31</v>
      </c>
    </row>
    <row r="42" spans="1:21" x14ac:dyDescent="0.2">
      <c r="B42" s="11" t="s">
        <v>109</v>
      </c>
    </row>
    <row r="43" spans="1:21" x14ac:dyDescent="0.2">
      <c r="B43" s="11" t="s">
        <v>110</v>
      </c>
      <c r="G43" s="76"/>
    </row>
    <row r="44" spans="1:21" x14ac:dyDescent="0.2">
      <c r="A44" s="4" t="s">
        <v>22</v>
      </c>
      <c r="B44" s="10" t="s">
        <v>30</v>
      </c>
    </row>
  </sheetData>
  <printOptions horizontalCentered="1"/>
  <pageMargins left="0.7" right="0.7" top="0.75" bottom="0.75" header="0.3" footer="0.3"/>
  <pageSetup orientation="portrait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F4E9-1C6E-454B-8E13-DD199A0B0A45}">
  <dimension ref="A1:I52"/>
  <sheetViews>
    <sheetView workbookViewId="0">
      <selection activeCell="B9" sqref="B9"/>
    </sheetView>
  </sheetViews>
  <sheetFormatPr defaultRowHeight="12.75" x14ac:dyDescent="0.2"/>
  <cols>
    <col min="1" max="16384" width="9.140625" style="3"/>
  </cols>
  <sheetData>
    <row r="1" spans="1:9" x14ac:dyDescent="0.2">
      <c r="A1" s="1" t="s">
        <v>72</v>
      </c>
      <c r="B1" s="1"/>
      <c r="C1" s="1"/>
      <c r="D1" s="1"/>
      <c r="E1" s="1"/>
    </row>
    <row r="2" spans="1:9" x14ac:dyDescent="0.2">
      <c r="A2" s="1" t="s">
        <v>65</v>
      </c>
      <c r="B2" s="1"/>
      <c r="C2" s="1"/>
      <c r="D2" s="1"/>
      <c r="E2" s="1"/>
    </row>
    <row r="3" spans="1:9" x14ac:dyDescent="0.2">
      <c r="A3" s="1" t="s">
        <v>66</v>
      </c>
      <c r="B3" s="1"/>
      <c r="C3" s="1"/>
      <c r="D3" s="1"/>
      <c r="E3" s="1"/>
    </row>
    <row r="4" spans="1:9" x14ac:dyDescent="0.2">
      <c r="A4" s="1" t="s">
        <v>67</v>
      </c>
      <c r="B4" s="1"/>
      <c r="C4" s="1"/>
      <c r="D4" s="1"/>
      <c r="E4" s="1"/>
    </row>
    <row r="6" spans="1:9" x14ac:dyDescent="0.2">
      <c r="A6" s="4" t="s">
        <v>4</v>
      </c>
      <c r="B6" s="61"/>
      <c r="C6" s="4" t="s">
        <v>6</v>
      </c>
      <c r="D6" s="61"/>
      <c r="E6" s="4" t="s">
        <v>8</v>
      </c>
    </row>
    <row r="7" spans="1:9" x14ac:dyDescent="0.2">
      <c r="A7" s="61"/>
      <c r="B7" s="61"/>
      <c r="C7" s="61"/>
      <c r="D7" s="61"/>
      <c r="E7" s="61" t="s">
        <v>68</v>
      </c>
    </row>
    <row r="8" spans="1:9" x14ac:dyDescent="0.2">
      <c r="A8" s="47" t="s">
        <v>52</v>
      </c>
      <c r="B8" s="61"/>
      <c r="C8" s="47" t="s">
        <v>53</v>
      </c>
      <c r="D8" s="61"/>
      <c r="E8" s="47" t="s">
        <v>53</v>
      </c>
    </row>
    <row r="9" spans="1:9" x14ac:dyDescent="0.2">
      <c r="A9" s="61">
        <v>1980</v>
      </c>
      <c r="C9" s="58">
        <v>0.50465110679158076</v>
      </c>
      <c r="D9" s="78"/>
      <c r="E9" s="45">
        <f>SLOPE($C$9:$C$49,$A$9:$A$49)*A9+INTERCEPT($C$9:$C$49,$A$9:$A$49)</f>
        <v>0.41891426801731058</v>
      </c>
      <c r="G9" s="78"/>
      <c r="I9" s="78"/>
    </row>
    <row r="10" spans="1:9" x14ac:dyDescent="0.2">
      <c r="A10" s="61">
        <v>1981</v>
      </c>
      <c r="C10" s="45">
        <v>0.31354242591865034</v>
      </c>
      <c r="E10" s="45">
        <f t="shared" ref="E10:E49" si="0">SLOPE($C$9:$C$49,$A$9:$A$49)*A10+INTERCEPT($C$9:$C$49,$A$9:$A$49)</f>
        <v>0.43554629656789245</v>
      </c>
    </row>
    <row r="11" spans="1:9" x14ac:dyDescent="0.2">
      <c r="A11" s="61">
        <v>1982</v>
      </c>
      <c r="C11" s="45">
        <v>0.5603209553190347</v>
      </c>
      <c r="E11" s="45">
        <f t="shared" si="0"/>
        <v>0.45217832511847433</v>
      </c>
    </row>
    <row r="12" spans="1:9" x14ac:dyDescent="0.2">
      <c r="A12" s="61">
        <v>1983</v>
      </c>
      <c r="C12" s="45">
        <v>0.62924188401555881</v>
      </c>
      <c r="E12" s="45">
        <f t="shared" si="0"/>
        <v>0.46881035366905621</v>
      </c>
    </row>
    <row r="13" spans="1:9" x14ac:dyDescent="0.2">
      <c r="A13" s="61">
        <v>1984</v>
      </c>
      <c r="C13" s="45">
        <v>0.50634204317908793</v>
      </c>
      <c r="E13" s="45">
        <f t="shared" si="0"/>
        <v>0.48544238221963809</v>
      </c>
    </row>
    <row r="14" spans="1:9" x14ac:dyDescent="0.2">
      <c r="A14" s="61">
        <v>1985</v>
      </c>
      <c r="C14" s="45">
        <v>0.39090884799254094</v>
      </c>
      <c r="E14" s="45">
        <f t="shared" si="0"/>
        <v>0.50207441077021997</v>
      </c>
    </row>
    <row r="15" spans="1:9" x14ac:dyDescent="0.2">
      <c r="A15" s="61">
        <v>1986</v>
      </c>
      <c r="C15" s="45">
        <v>0.31758816519792593</v>
      </c>
      <c r="E15" s="45">
        <f t="shared" si="0"/>
        <v>0.51870643932080185</v>
      </c>
    </row>
    <row r="16" spans="1:9" x14ac:dyDescent="0.2">
      <c r="A16" s="61">
        <v>1987</v>
      </c>
      <c r="C16" s="45">
        <v>0.25062312922856794</v>
      </c>
      <c r="E16" s="45">
        <f t="shared" si="0"/>
        <v>0.53533846787139083</v>
      </c>
    </row>
    <row r="17" spans="1:5" x14ac:dyDescent="0.2">
      <c r="A17" s="61">
        <v>1988</v>
      </c>
      <c r="C17" s="45">
        <v>0.28715847292658897</v>
      </c>
      <c r="E17" s="45">
        <f t="shared" si="0"/>
        <v>0.55197049642197271</v>
      </c>
    </row>
    <row r="18" spans="1:5" x14ac:dyDescent="0.2">
      <c r="A18" s="61">
        <v>1989</v>
      </c>
      <c r="C18" s="45">
        <v>0.68372555002908608</v>
      </c>
      <c r="E18" s="45">
        <f t="shared" si="0"/>
        <v>0.56860252497255459</v>
      </c>
    </row>
    <row r="19" spans="1:5" x14ac:dyDescent="0.2">
      <c r="A19" s="61">
        <v>1990</v>
      </c>
      <c r="C19" s="45">
        <v>0.72514348808240747</v>
      </c>
      <c r="E19" s="45">
        <f t="shared" si="0"/>
        <v>0.58523455352313647</v>
      </c>
    </row>
    <row r="20" spans="1:5" x14ac:dyDescent="0.2">
      <c r="A20" s="61">
        <v>1991</v>
      </c>
      <c r="C20" s="45">
        <v>0.82612059803308746</v>
      </c>
      <c r="E20" s="45">
        <f t="shared" si="0"/>
        <v>0.60186658207371835</v>
      </c>
    </row>
    <row r="21" spans="1:5" x14ac:dyDescent="0.2">
      <c r="A21" s="61">
        <v>1992</v>
      </c>
      <c r="C21" s="45">
        <v>0.79903055158648517</v>
      </c>
      <c r="E21" s="45">
        <f t="shared" si="0"/>
        <v>0.61849861062430023</v>
      </c>
    </row>
    <row r="22" spans="1:5" x14ac:dyDescent="0.2">
      <c r="A22" s="61">
        <v>1993</v>
      </c>
      <c r="C22" s="45">
        <v>0.73059526199573399</v>
      </c>
      <c r="E22" s="45">
        <f t="shared" si="0"/>
        <v>0.63513063917488211</v>
      </c>
    </row>
    <row r="23" spans="1:5" x14ac:dyDescent="0.2">
      <c r="A23" s="61">
        <v>1994</v>
      </c>
      <c r="C23" s="45">
        <v>0.7357825933876545</v>
      </c>
      <c r="E23" s="45">
        <f t="shared" si="0"/>
        <v>0.65176266772546398</v>
      </c>
    </row>
    <row r="24" spans="1:5" x14ac:dyDescent="0.2">
      <c r="A24" s="61">
        <v>1995</v>
      </c>
      <c r="C24" s="45">
        <v>0.64935929404163484</v>
      </c>
      <c r="E24" s="45">
        <f t="shared" si="0"/>
        <v>0.66839469627604586</v>
      </c>
    </row>
    <row r="25" spans="1:5" x14ac:dyDescent="0.2">
      <c r="A25" s="61">
        <v>1996</v>
      </c>
      <c r="C25" s="45">
        <v>0.87897975581710652</v>
      </c>
      <c r="E25" s="45">
        <f t="shared" si="0"/>
        <v>0.68502672482662774</v>
      </c>
    </row>
    <row r="26" spans="1:5" x14ac:dyDescent="0.2">
      <c r="A26" s="61">
        <v>1997</v>
      </c>
      <c r="C26" s="45">
        <v>0.42718881951560883</v>
      </c>
      <c r="E26" s="45">
        <f t="shared" si="0"/>
        <v>0.70165875337720962</v>
      </c>
    </row>
    <row r="27" spans="1:5" x14ac:dyDescent="0.2">
      <c r="A27" s="61">
        <v>1998</v>
      </c>
      <c r="C27" s="45">
        <v>0.83090067162666303</v>
      </c>
      <c r="E27" s="45">
        <f t="shared" si="0"/>
        <v>0.7182907819277915</v>
      </c>
    </row>
    <row r="28" spans="1:5" x14ac:dyDescent="0.2">
      <c r="A28" s="61">
        <v>1999</v>
      </c>
      <c r="C28" s="45">
        <v>0.70873966346100536</v>
      </c>
      <c r="E28" s="45">
        <f t="shared" si="0"/>
        <v>0.73492281047837338</v>
      </c>
    </row>
    <row r="29" spans="1:5" x14ac:dyDescent="0.2">
      <c r="A29" s="61">
        <v>2000</v>
      </c>
      <c r="C29" s="45">
        <v>0.89637913088902965</v>
      </c>
      <c r="E29" s="45">
        <f t="shared" si="0"/>
        <v>0.75155483902895526</v>
      </c>
    </row>
    <row r="30" spans="1:5" x14ac:dyDescent="0.2">
      <c r="A30" s="61">
        <v>2001</v>
      </c>
      <c r="C30" s="45">
        <v>0.9574768094405014</v>
      </c>
      <c r="E30" s="45">
        <f t="shared" si="0"/>
        <v>0.76818686757954424</v>
      </c>
    </row>
    <row r="31" spans="1:5" x14ac:dyDescent="0.2">
      <c r="A31" s="61">
        <v>2002</v>
      </c>
      <c r="C31" s="45">
        <v>0.6275265393010564</v>
      </c>
      <c r="E31" s="45">
        <f t="shared" si="0"/>
        <v>0.78481889613012612</v>
      </c>
    </row>
    <row r="32" spans="1:5" x14ac:dyDescent="0.2">
      <c r="A32" s="61">
        <v>2003</v>
      </c>
      <c r="C32" s="45">
        <v>1.0225493289765015</v>
      </c>
      <c r="E32" s="45">
        <f t="shared" si="0"/>
        <v>0.801450924680708</v>
      </c>
    </row>
    <row r="33" spans="1:5" x14ac:dyDescent="0.2">
      <c r="A33" s="61">
        <v>2004</v>
      </c>
      <c r="C33" s="45">
        <v>0.29724203910864411</v>
      </c>
      <c r="E33" s="45">
        <f t="shared" si="0"/>
        <v>0.81808295323128988</v>
      </c>
    </row>
    <row r="34" spans="1:5" x14ac:dyDescent="0.2">
      <c r="A34" s="61">
        <v>2005</v>
      </c>
      <c r="C34" s="45">
        <v>0.28188127585044126</v>
      </c>
      <c r="E34" s="45">
        <f t="shared" si="0"/>
        <v>0.83471498178187176</v>
      </c>
    </row>
    <row r="35" spans="1:5" x14ac:dyDescent="0.2">
      <c r="A35" s="61">
        <v>2006</v>
      </c>
      <c r="C35" s="45">
        <v>0.7127534449668117</v>
      </c>
      <c r="E35" s="45">
        <f t="shared" si="0"/>
        <v>0.85134701033245364</v>
      </c>
    </row>
    <row r="36" spans="1:5" x14ac:dyDescent="0.2">
      <c r="A36" s="61">
        <v>2007</v>
      </c>
      <c r="C36" s="45">
        <v>0.64682617979635637</v>
      </c>
      <c r="E36" s="45">
        <f t="shared" si="0"/>
        <v>0.86797903888303551</v>
      </c>
    </row>
    <row r="37" spans="1:5" x14ac:dyDescent="0.2">
      <c r="A37" s="61">
        <v>2008</v>
      </c>
      <c r="C37" s="45">
        <v>1.2157494892225942</v>
      </c>
      <c r="E37" s="45">
        <f t="shared" si="0"/>
        <v>0.88461106743361739</v>
      </c>
    </row>
    <row r="38" spans="1:5" x14ac:dyDescent="0.2">
      <c r="A38" s="61">
        <v>2009</v>
      </c>
      <c r="C38" s="45">
        <v>0.9521162066863823</v>
      </c>
      <c r="E38" s="45">
        <f t="shared" si="0"/>
        <v>0.90124309598419927</v>
      </c>
    </row>
    <row r="39" spans="1:5" x14ac:dyDescent="0.2">
      <c r="A39" s="61">
        <v>2010</v>
      </c>
      <c r="C39" s="45">
        <v>1.0475603749069424</v>
      </c>
      <c r="E39" s="45">
        <f t="shared" si="0"/>
        <v>0.91787512453478115</v>
      </c>
    </row>
    <row r="40" spans="1:5" x14ac:dyDescent="0.2">
      <c r="A40" s="61">
        <v>2011</v>
      </c>
      <c r="C40" s="45">
        <v>1.612408598680128</v>
      </c>
      <c r="E40" s="45">
        <f t="shared" si="0"/>
        <v>0.93450715308536303</v>
      </c>
    </row>
    <row r="41" spans="1:5" x14ac:dyDescent="0.2">
      <c r="A41" s="61">
        <v>2012</v>
      </c>
      <c r="C41" s="45">
        <v>0.87949438142389624</v>
      </c>
      <c r="E41" s="45">
        <f t="shared" si="0"/>
        <v>0.95113918163594491</v>
      </c>
    </row>
    <row r="42" spans="1:5" x14ac:dyDescent="0.2">
      <c r="A42" s="61">
        <v>2013</v>
      </c>
      <c r="C42" s="45">
        <v>0.84831870837305801</v>
      </c>
      <c r="E42" s="45">
        <f t="shared" si="0"/>
        <v>0.96777121018652679</v>
      </c>
    </row>
    <row r="43" spans="1:5" x14ac:dyDescent="0.2">
      <c r="A43" s="61">
        <v>2014</v>
      </c>
      <c r="C43" s="45">
        <v>0.8082603700885761</v>
      </c>
      <c r="E43" s="45">
        <f t="shared" si="0"/>
        <v>0.98440323873711577</v>
      </c>
    </row>
    <row r="44" spans="1:5" x14ac:dyDescent="0.2">
      <c r="A44" s="61">
        <v>2015</v>
      </c>
      <c r="C44" s="45">
        <v>0.67898274423643312</v>
      </c>
      <c r="E44" s="45">
        <f t="shared" si="0"/>
        <v>1.0010352672876976</v>
      </c>
    </row>
    <row r="45" spans="1:5" x14ac:dyDescent="0.2">
      <c r="A45" s="61">
        <v>2016</v>
      </c>
      <c r="C45" s="45">
        <v>0.84891877940906102</v>
      </c>
      <c r="E45" s="45">
        <f t="shared" si="0"/>
        <v>1.0176672958382795</v>
      </c>
    </row>
    <row r="46" spans="1:5" x14ac:dyDescent="0.2">
      <c r="A46" s="61">
        <v>2017</v>
      </c>
      <c r="C46" s="45">
        <v>1.916379601902354</v>
      </c>
      <c r="E46" s="45">
        <f t="shared" si="0"/>
        <v>1.0342993243888614</v>
      </c>
    </row>
    <row r="47" spans="1:5" x14ac:dyDescent="0.2">
      <c r="A47" s="61">
        <v>2018</v>
      </c>
      <c r="C47" s="45">
        <v>0.88673446471066164</v>
      </c>
      <c r="E47" s="45">
        <f t="shared" si="0"/>
        <v>1.0509313529394433</v>
      </c>
    </row>
    <row r="48" spans="1:5" x14ac:dyDescent="0.2">
      <c r="A48" s="61">
        <v>2019</v>
      </c>
      <c r="C48" s="45">
        <v>0.83993123696029071</v>
      </c>
      <c r="E48" s="45">
        <f t="shared" si="0"/>
        <v>1.0675633814900252</v>
      </c>
    </row>
    <row r="49" spans="1:5" x14ac:dyDescent="0.2">
      <c r="A49" s="61">
        <v>2020</v>
      </c>
      <c r="C49" s="45">
        <v>1.0803154171114877</v>
      </c>
      <c r="E49" s="45">
        <f t="shared" si="0"/>
        <v>1.084195410040607</v>
      </c>
    </row>
    <row r="51" spans="1:5" x14ac:dyDescent="0.2">
      <c r="B51" s="3" t="s">
        <v>69</v>
      </c>
      <c r="E51" s="48">
        <f>SLOPE($C$9:$C$49,$A$9:$A$49)/AVERAGE($E$9:$E$49)</f>
        <v>2.2130159619585043E-2</v>
      </c>
    </row>
    <row r="52" spans="1:5" x14ac:dyDescent="0.2">
      <c r="B52" s="3" t="s">
        <v>70</v>
      </c>
      <c r="E52" s="43">
        <v>0.02</v>
      </c>
    </row>
  </sheetData>
  <printOptions horizontalCentered="1"/>
  <pageMargins left="0.7" right="0.7" top="0.75" bottom="0.75" header="0.3" footer="0.3"/>
  <pageSetup orientation="portrait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4131-8E54-4DDE-9480-05D92332D225}">
  <sheetPr>
    <pageSetUpPr fitToPage="1"/>
  </sheetPr>
  <dimension ref="A1:E64"/>
  <sheetViews>
    <sheetView zoomScaleNormal="100" workbookViewId="0">
      <selection activeCell="D53" sqref="D53"/>
    </sheetView>
  </sheetViews>
  <sheetFormatPr defaultRowHeight="12.75" x14ac:dyDescent="0.2"/>
  <cols>
    <col min="1" max="5" width="18" style="3" customWidth="1"/>
    <col min="6" max="16384" width="9.140625" style="3"/>
  </cols>
  <sheetData>
    <row r="1" spans="1:5" x14ac:dyDescent="0.2">
      <c r="A1" s="1" t="s">
        <v>73</v>
      </c>
      <c r="B1" s="2"/>
      <c r="C1" s="2"/>
      <c r="D1" s="2"/>
      <c r="E1" s="2"/>
    </row>
    <row r="2" spans="1:5" x14ac:dyDescent="0.2">
      <c r="A2" s="26" t="s">
        <v>85</v>
      </c>
      <c r="B2" s="2"/>
      <c r="C2" s="2"/>
      <c r="D2" s="2"/>
      <c r="E2" s="2"/>
    </row>
    <row r="3" spans="1:5" x14ac:dyDescent="0.2">
      <c r="A3" s="1" t="s">
        <v>47</v>
      </c>
      <c r="B3" s="2"/>
      <c r="C3" s="2"/>
      <c r="D3" s="2"/>
      <c r="E3" s="27"/>
    </row>
    <row r="5" spans="1:5" x14ac:dyDescent="0.2">
      <c r="A5" s="28" t="s">
        <v>4</v>
      </c>
      <c r="B5" s="29" t="s">
        <v>6</v>
      </c>
      <c r="C5" s="29" t="s">
        <v>8</v>
      </c>
      <c r="D5" s="29" t="s">
        <v>10</v>
      </c>
      <c r="E5" s="30" t="s">
        <v>12</v>
      </c>
    </row>
    <row r="6" spans="1:5" x14ac:dyDescent="0.2">
      <c r="A6" s="31"/>
      <c r="B6" s="61"/>
      <c r="C6" s="61" t="s">
        <v>48</v>
      </c>
      <c r="D6" s="61" t="s">
        <v>49</v>
      </c>
      <c r="E6" s="32"/>
    </row>
    <row r="7" spans="1:5" x14ac:dyDescent="0.2">
      <c r="A7" s="31"/>
      <c r="B7" s="61"/>
      <c r="C7" s="61" t="s">
        <v>50</v>
      </c>
      <c r="D7" s="61" t="s">
        <v>51</v>
      </c>
      <c r="E7" s="32"/>
    </row>
    <row r="8" spans="1:5" x14ac:dyDescent="0.2">
      <c r="A8" s="31" t="s">
        <v>52</v>
      </c>
      <c r="B8" s="61" t="s">
        <v>53</v>
      </c>
      <c r="C8" s="61" t="s">
        <v>54</v>
      </c>
      <c r="D8" s="4" t="s">
        <v>55</v>
      </c>
      <c r="E8" s="33" t="s">
        <v>56</v>
      </c>
    </row>
    <row r="9" spans="1:5" x14ac:dyDescent="0.2">
      <c r="A9" s="34">
        <v>1980</v>
      </c>
      <c r="B9" s="35">
        <v>0.26728285324448969</v>
      </c>
      <c r="C9" s="35">
        <f>(1+$E$51)^($E$52-A9)</f>
        <v>2.2972444660248916</v>
      </c>
      <c r="D9" s="35">
        <f>B9 * C9</f>
        <v>0.61401405547924715</v>
      </c>
      <c r="E9" s="36">
        <v>1.7028081314405759E-2</v>
      </c>
    </row>
    <row r="10" spans="1:5" x14ac:dyDescent="0.2">
      <c r="A10" s="31">
        <v>1981</v>
      </c>
      <c r="B10" s="37">
        <v>3.5939494578661149E-2</v>
      </c>
      <c r="C10" s="49">
        <f t="shared" ref="C10:C49" si="0">(1+$E$51)^($E$52-A10)</f>
        <v>2.2522004568871488</v>
      </c>
      <c r="D10" s="37">
        <f t="shared" ref="D10:D49" si="1">B10 * C10</f>
        <v>8.0942946110353853E-2</v>
      </c>
      <c r="E10" s="38">
        <v>1.7028081314405759E-2</v>
      </c>
    </row>
    <row r="11" spans="1:5" x14ac:dyDescent="0.2">
      <c r="A11" s="31">
        <v>1982</v>
      </c>
      <c r="B11" s="37">
        <v>0.42673947580142152</v>
      </c>
      <c r="C11" s="49">
        <f t="shared" si="0"/>
        <v>2.2080396636148518</v>
      </c>
      <c r="D11" s="37">
        <f t="shared" si="1"/>
        <v>0.94225768859974901</v>
      </c>
      <c r="E11" s="38">
        <v>1.7028081314405759E-2</v>
      </c>
    </row>
    <row r="12" spans="1:5" x14ac:dyDescent="0.2">
      <c r="A12" s="31">
        <v>1983</v>
      </c>
      <c r="B12" s="37">
        <v>0.47744613503040079</v>
      </c>
      <c r="C12" s="49">
        <f t="shared" si="0"/>
        <v>2.1647447682498542</v>
      </c>
      <c r="D12" s="37">
        <f t="shared" si="1"/>
        <v>1.0335490229281736</v>
      </c>
      <c r="E12" s="38">
        <v>1.7028081314405759E-2</v>
      </c>
    </row>
    <row r="13" spans="1:5" x14ac:dyDescent="0.2">
      <c r="A13" s="31">
        <v>1984</v>
      </c>
      <c r="B13" s="37">
        <v>0.11904115728364488</v>
      </c>
      <c r="C13" s="49">
        <f t="shared" si="0"/>
        <v>2.1222987924018186</v>
      </c>
      <c r="D13" s="37">
        <f t="shared" si="1"/>
        <v>0.25264090434919451</v>
      </c>
      <c r="E13" s="38">
        <v>1.7028081314405759E-2</v>
      </c>
    </row>
    <row r="14" spans="1:5" x14ac:dyDescent="0.2">
      <c r="A14" s="31">
        <v>1985</v>
      </c>
      <c r="B14" s="37">
        <v>7.7934462334179971E-2</v>
      </c>
      <c r="C14" s="49">
        <f t="shared" si="0"/>
        <v>2.080685090590018</v>
      </c>
      <c r="D14" s="37">
        <f t="shared" si="1"/>
        <v>0.16215707382187761</v>
      </c>
      <c r="E14" s="38">
        <v>1.7028081314405759E-2</v>
      </c>
    </row>
    <row r="15" spans="1:5" x14ac:dyDescent="0.2">
      <c r="A15" s="31">
        <v>1986</v>
      </c>
      <c r="B15" s="37">
        <v>0.19957670280070233</v>
      </c>
      <c r="C15" s="49">
        <f t="shared" si="0"/>
        <v>2.0398873437157037</v>
      </c>
      <c r="D15" s="37">
        <f t="shared" si="1"/>
        <v>0.40711399014366312</v>
      </c>
      <c r="E15" s="38">
        <v>1.7028081314405759E-2</v>
      </c>
    </row>
    <row r="16" spans="1:5" x14ac:dyDescent="0.2">
      <c r="A16" s="31">
        <v>1987</v>
      </c>
      <c r="B16" s="37">
        <v>9.6225055897555964E-2</v>
      </c>
      <c r="C16" s="49">
        <f t="shared" si="0"/>
        <v>1.9998895526624547</v>
      </c>
      <c r="D16" s="37">
        <f t="shared" si="1"/>
        <v>0.19243948399388289</v>
      </c>
      <c r="E16" s="38">
        <v>1.7028081314405759E-2</v>
      </c>
    </row>
    <row r="17" spans="1:5" x14ac:dyDescent="0.2">
      <c r="A17" s="31">
        <v>1988</v>
      </c>
      <c r="B17" s="37">
        <v>0.25749889052958763</v>
      </c>
      <c r="C17" s="49">
        <f t="shared" si="0"/>
        <v>1.9606760320220145</v>
      </c>
      <c r="D17" s="37">
        <f t="shared" si="1"/>
        <v>0.50487190293362294</v>
      </c>
      <c r="E17" s="38">
        <v>1.7028081314405759E-2</v>
      </c>
    </row>
    <row r="18" spans="1:5" x14ac:dyDescent="0.2">
      <c r="A18" s="31">
        <v>1989</v>
      </c>
      <c r="B18" s="37">
        <v>4.1744158278282116E-2</v>
      </c>
      <c r="C18" s="49">
        <f t="shared" si="0"/>
        <v>1.9222314039431516</v>
      </c>
      <c r="D18" s="37">
        <f t="shared" si="1"/>
        <v>8.0241931973687369E-2</v>
      </c>
      <c r="E18" s="38">
        <v>1.7028081314405759E-2</v>
      </c>
    </row>
    <row r="19" spans="1:5" x14ac:dyDescent="0.2">
      <c r="A19" s="31">
        <v>1990</v>
      </c>
      <c r="B19" s="37">
        <v>0.54814943514868253</v>
      </c>
      <c r="C19" s="49">
        <f t="shared" si="0"/>
        <v>1.8845405921011289</v>
      </c>
      <c r="D19" s="37">
        <f t="shared" si="1"/>
        <v>1.0330098610749976</v>
      </c>
      <c r="E19" s="38">
        <v>1.7028081314405759E-2</v>
      </c>
    </row>
    <row r="20" spans="1:5" x14ac:dyDescent="0.2">
      <c r="A20" s="31">
        <v>1991</v>
      </c>
      <c r="B20" s="37">
        <v>1.561126539753712</v>
      </c>
      <c r="C20" s="49">
        <f t="shared" si="0"/>
        <v>1.8475888157854201</v>
      </c>
      <c r="D20" s="37">
        <f t="shared" si="1"/>
        <v>2.8843199348747515</v>
      </c>
      <c r="E20" s="38">
        <v>1.7028081314405759E-2</v>
      </c>
    </row>
    <row r="21" spans="1:5" x14ac:dyDescent="0.2">
      <c r="A21" s="31">
        <v>1992</v>
      </c>
      <c r="B21" s="37">
        <v>0.24141077483044937</v>
      </c>
      <c r="C21" s="49">
        <f t="shared" si="0"/>
        <v>1.8113615841033535</v>
      </c>
      <c r="D21" s="37">
        <f t="shared" si="1"/>
        <v>0.43728220351650077</v>
      </c>
      <c r="E21" s="38">
        <v>1.7028081314405759E-2</v>
      </c>
    </row>
    <row r="22" spans="1:5" x14ac:dyDescent="0.2">
      <c r="A22" s="31">
        <v>1993</v>
      </c>
      <c r="B22" s="37">
        <v>0.64096027655030896</v>
      </c>
      <c r="C22" s="49">
        <f t="shared" si="0"/>
        <v>1.7758446902974052</v>
      </c>
      <c r="D22" s="37">
        <f t="shared" si="1"/>
        <v>1.1382459038034227</v>
      </c>
      <c r="E22" s="38">
        <v>1.7028081314405759E-2</v>
      </c>
    </row>
    <row r="23" spans="1:5" x14ac:dyDescent="0.2">
      <c r="A23" s="31">
        <v>1994</v>
      </c>
      <c r="B23" s="37">
        <v>0.22203367999984785</v>
      </c>
      <c r="C23" s="49">
        <f t="shared" si="0"/>
        <v>1.7410242061739269</v>
      </c>
      <c r="D23" s="37">
        <f t="shared" si="1"/>
        <v>0.38656601146561081</v>
      </c>
      <c r="E23" s="38">
        <v>1.7028081314405759E-2</v>
      </c>
    </row>
    <row r="24" spans="1:5" x14ac:dyDescent="0.2">
      <c r="A24" s="31">
        <v>1995</v>
      </c>
      <c r="B24" s="37">
        <v>0.5757722806503085</v>
      </c>
      <c r="C24" s="49">
        <f t="shared" si="0"/>
        <v>1.7068864766411045</v>
      </c>
      <c r="D24" s="37">
        <f t="shared" si="1"/>
        <v>0.98277791946681825</v>
      </c>
      <c r="E24" s="38">
        <v>1.7028081314405759E-2</v>
      </c>
    </row>
    <row r="25" spans="1:5" x14ac:dyDescent="0.2">
      <c r="A25" s="31">
        <v>1996</v>
      </c>
      <c r="B25" s="37">
        <v>0.26772837449549952</v>
      </c>
      <c r="C25" s="49">
        <f t="shared" si="0"/>
        <v>1.6734181143540243</v>
      </c>
      <c r="D25" s="37">
        <f t="shared" si="1"/>
        <v>0.44802151160732689</v>
      </c>
      <c r="E25" s="38">
        <v>1.7028081314405759E-2</v>
      </c>
    </row>
    <row r="26" spans="1:5" x14ac:dyDescent="0.2">
      <c r="A26" s="31">
        <v>1997</v>
      </c>
      <c r="B26" s="37">
        <v>0.10148330073883853</v>
      </c>
      <c r="C26" s="49">
        <f t="shared" si="0"/>
        <v>1.6406059944647295</v>
      </c>
      <c r="D26" s="37">
        <f t="shared" si="1"/>
        <v>0.16649411153020541</v>
      </c>
      <c r="E26" s="38">
        <v>1.7028081314405759E-2</v>
      </c>
    </row>
    <row r="27" spans="1:5" x14ac:dyDescent="0.2">
      <c r="A27" s="31">
        <v>1998</v>
      </c>
      <c r="B27" s="37">
        <v>0.299639063228125</v>
      </c>
      <c r="C27" s="49">
        <f t="shared" si="0"/>
        <v>1.608437249475225</v>
      </c>
      <c r="D27" s="37">
        <f t="shared" si="1"/>
        <v>0.48195063069397842</v>
      </c>
      <c r="E27" s="38">
        <v>1.7028081314405759E-2</v>
      </c>
    </row>
    <row r="28" spans="1:5" x14ac:dyDescent="0.2">
      <c r="A28" s="31">
        <v>1999</v>
      </c>
      <c r="B28" s="37">
        <v>5.1195527901247699E-2</v>
      </c>
      <c r="C28" s="49">
        <f t="shared" si="0"/>
        <v>1.576899264191397</v>
      </c>
      <c r="D28" s="37">
        <f t="shared" si="1"/>
        <v>8.0730190277367636E-2</v>
      </c>
      <c r="E28" s="38">
        <v>1.7028081314405759E-2</v>
      </c>
    </row>
    <row r="29" spans="1:5" x14ac:dyDescent="0.2">
      <c r="A29" s="31">
        <v>2000</v>
      </c>
      <c r="B29" s="37">
        <v>8.0749676155344688E-2</v>
      </c>
      <c r="C29" s="49">
        <f t="shared" si="0"/>
        <v>1.5459796707758797</v>
      </c>
      <c r="D29" s="37">
        <f t="shared" si="1"/>
        <v>0.12483735775789868</v>
      </c>
      <c r="E29" s="38">
        <v>1.7924296120427109E-2</v>
      </c>
    </row>
    <row r="30" spans="1:5" x14ac:dyDescent="0.2">
      <c r="A30" s="31">
        <v>2001</v>
      </c>
      <c r="B30" s="37">
        <v>9.8872908106086538E-2</v>
      </c>
      <c r="C30" s="49">
        <f t="shared" si="0"/>
        <v>1.5156663438979212</v>
      </c>
      <c r="D30" s="37">
        <f t="shared" si="1"/>
        <v>0.14985833913970731</v>
      </c>
      <c r="E30" s="38">
        <v>1.8867680126765377E-2</v>
      </c>
    </row>
    <row r="31" spans="1:5" x14ac:dyDescent="0.2">
      <c r="A31" s="31">
        <v>2002</v>
      </c>
      <c r="B31" s="37">
        <v>0.15386220480453272</v>
      </c>
      <c r="C31" s="49">
        <f t="shared" si="0"/>
        <v>1.4859473959783542</v>
      </c>
      <c r="D31" s="37">
        <f t="shared" si="1"/>
        <v>0.22863114256878361</v>
      </c>
      <c r="E31" s="38">
        <v>1.9860715922910926E-2</v>
      </c>
    </row>
    <row r="32" spans="1:5" x14ac:dyDescent="0.2">
      <c r="A32" s="31">
        <v>2003</v>
      </c>
      <c r="B32" s="37">
        <v>1.9321668526385656</v>
      </c>
      <c r="C32" s="49">
        <f t="shared" si="0"/>
        <v>1.4568111725277981</v>
      </c>
      <c r="D32" s="37">
        <f t="shared" si="1"/>
        <v>2.814802258111734</v>
      </c>
      <c r="E32" s="38">
        <v>2.0906016760958868E-2</v>
      </c>
    </row>
    <row r="33" spans="1:5" x14ac:dyDescent="0.2">
      <c r="A33" s="31">
        <v>2004</v>
      </c>
      <c r="B33" s="37">
        <v>-0.41309657148141915</v>
      </c>
      <c r="C33" s="49">
        <f t="shared" si="0"/>
        <v>1.4282462475762727</v>
      </c>
      <c r="D33" s="37">
        <f t="shared" si="1"/>
        <v>-0.59000362810496043</v>
      </c>
      <c r="E33" s="38">
        <v>2.2006333432588284E-2</v>
      </c>
    </row>
    <row r="34" spans="1:5" x14ac:dyDescent="0.2">
      <c r="A34" s="31">
        <v>2005</v>
      </c>
      <c r="B34" s="37">
        <v>0.12217572711333849</v>
      </c>
      <c r="C34" s="49">
        <f t="shared" si="0"/>
        <v>1.4002414191924244</v>
      </c>
      <c r="D34" s="37">
        <f t="shared" si="1"/>
        <v>0.17107551352404746</v>
      </c>
      <c r="E34" s="38">
        <v>2.3164561507987666E-2</v>
      </c>
    </row>
    <row r="35" spans="1:5" x14ac:dyDescent="0.2">
      <c r="A35" s="31">
        <v>2006</v>
      </c>
      <c r="B35" s="37">
        <v>6.0606931761207718E-2</v>
      </c>
      <c r="C35" s="49">
        <f t="shared" si="0"/>
        <v>1.372785705090612</v>
      </c>
      <c r="D35" s="37">
        <f t="shared" si="1"/>
        <v>8.320032955118814E-2</v>
      </c>
      <c r="E35" s="38">
        <v>2.4383748955776489E-2</v>
      </c>
    </row>
    <row r="36" spans="1:5" x14ac:dyDescent="0.2">
      <c r="A36" s="31">
        <v>2007</v>
      </c>
      <c r="B36" s="37">
        <v>0.91653880888935635</v>
      </c>
      <c r="C36" s="49">
        <f t="shared" si="0"/>
        <v>1.3458683383241292</v>
      </c>
      <c r="D36" s="37">
        <f t="shared" si="1"/>
        <v>1.2335405637294947</v>
      </c>
      <c r="E36" s="38">
        <v>2.5667104163975253E-2</v>
      </c>
    </row>
    <row r="37" spans="1:5" x14ac:dyDescent="0.2">
      <c r="A37" s="31">
        <v>2008</v>
      </c>
      <c r="B37" s="37">
        <v>0.47443290734306803</v>
      </c>
      <c r="C37" s="49">
        <f t="shared" si="0"/>
        <v>1.3194787630628722</v>
      </c>
      <c r="D37" s="37">
        <f t="shared" si="1"/>
        <v>0.62600414573735363</v>
      </c>
      <c r="E37" s="38">
        <v>2.7018004383131844E-2</v>
      </c>
    </row>
    <row r="38" spans="1:5" x14ac:dyDescent="0.2">
      <c r="A38" s="31">
        <v>2009</v>
      </c>
      <c r="B38" s="37">
        <v>-2.2951634686276048E-2</v>
      </c>
      <c r="C38" s="49">
        <f t="shared" si="0"/>
        <v>1.2936066304537961</v>
      </c>
      <c r="D38" s="37">
        <f t="shared" si="1"/>
        <v>-2.969038680992003E-2</v>
      </c>
      <c r="E38" s="38">
        <v>2.8440004613822997E-2</v>
      </c>
    </row>
    <row r="39" spans="1:5" x14ac:dyDescent="0.2">
      <c r="A39" s="31">
        <v>2010</v>
      </c>
      <c r="B39" s="37">
        <v>0.28673786352481767</v>
      </c>
      <c r="C39" s="49">
        <f t="shared" si="0"/>
        <v>1.2682417945625453</v>
      </c>
      <c r="D39" s="37">
        <f t="shared" si="1"/>
        <v>0.36365294260574493</v>
      </c>
      <c r="E39" s="38">
        <v>2.9936846961918947E-2</v>
      </c>
    </row>
    <row r="40" spans="1:5" x14ac:dyDescent="0.2">
      <c r="A40" s="31">
        <v>2011</v>
      </c>
      <c r="B40" s="37">
        <v>5.8818502052563247E-2</v>
      </c>
      <c r="C40" s="49">
        <f t="shared" si="0"/>
        <v>1.243374308394652</v>
      </c>
      <c r="D40" s="37">
        <f t="shared" si="1"/>
        <v>7.3133414310415243E-2</v>
      </c>
      <c r="E40" s="38">
        <v>3.1512470486230466E-2</v>
      </c>
    </row>
    <row r="41" spans="1:5" x14ac:dyDescent="0.2">
      <c r="A41" s="31">
        <v>2012</v>
      </c>
      <c r="B41" s="37">
        <v>9.9385654087120717E-2</v>
      </c>
      <c r="C41" s="49">
        <f t="shared" si="0"/>
        <v>1.2189944199947571</v>
      </c>
      <c r="D41" s="37">
        <f t="shared" si="1"/>
        <v>0.12115055775972929</v>
      </c>
      <c r="E41" s="38">
        <v>3.3171021564453125E-2</v>
      </c>
    </row>
    <row r="42" spans="1:5" x14ac:dyDescent="0.2">
      <c r="A42" s="31">
        <v>2013</v>
      </c>
      <c r="B42" s="37">
        <v>5.1470525937841204E-2</v>
      </c>
      <c r="C42" s="49">
        <f t="shared" si="0"/>
        <v>1.1950925686223108</v>
      </c>
      <c r="D42" s="37">
        <f t="shared" si="1"/>
        <v>6.1512043051395918E-2</v>
      </c>
      <c r="E42" s="38">
        <v>3.4916864804687496E-2</v>
      </c>
    </row>
    <row r="43" spans="1:5" x14ac:dyDescent="0.2">
      <c r="A43" s="31">
        <v>2014</v>
      </c>
      <c r="B43" s="37">
        <v>6.6164838686221042E-2</v>
      </c>
      <c r="C43" s="49">
        <f t="shared" si="0"/>
        <v>1.1716593810022655</v>
      </c>
      <c r="D43" s="37">
        <f t="shared" si="1"/>
        <v>7.7522653939212496E-2</v>
      </c>
      <c r="E43" s="38">
        <v>3.6754594531249997E-2</v>
      </c>
    </row>
    <row r="44" spans="1:5" x14ac:dyDescent="0.2">
      <c r="A44" s="31">
        <v>2015</v>
      </c>
      <c r="B44" s="37">
        <v>0.45656029572305057</v>
      </c>
      <c r="C44" s="49">
        <f t="shared" si="0"/>
        <v>1.1486856676492798</v>
      </c>
      <c r="D44" s="37">
        <f t="shared" si="1"/>
        <v>0.52444426811478495</v>
      </c>
      <c r="E44" s="38">
        <v>3.8689046875000001E-2</v>
      </c>
    </row>
    <row r="45" spans="1:5" x14ac:dyDescent="0.2">
      <c r="A45" s="31">
        <v>2016</v>
      </c>
      <c r="B45" s="37">
        <v>9.8786530677699561E-2</v>
      </c>
      <c r="C45" s="49">
        <f t="shared" si="0"/>
        <v>1.1261624192640001</v>
      </c>
      <c r="D45" s="37">
        <f t="shared" si="1"/>
        <v>0.1112496783786955</v>
      </c>
      <c r="E45" s="38">
        <v>4.0725312499999999E-2</v>
      </c>
    </row>
    <row r="46" spans="1:5" x14ac:dyDescent="0.2">
      <c r="A46" s="31">
        <v>2017</v>
      </c>
      <c r="B46" s="37">
        <v>5.9392173947705054</v>
      </c>
      <c r="C46" s="49">
        <f t="shared" si="0"/>
        <v>1.1040808032</v>
      </c>
      <c r="D46" s="37">
        <f t="shared" si="1"/>
        <v>6.5573759115976316</v>
      </c>
      <c r="E46" s="38">
        <v>4.2868749999999997E-2</v>
      </c>
    </row>
    <row r="47" spans="1:5" x14ac:dyDescent="0.2">
      <c r="A47" s="31">
        <v>2018</v>
      </c>
      <c r="B47" s="37">
        <v>0.80005535686445772</v>
      </c>
      <c r="C47" s="49">
        <f t="shared" si="0"/>
        <v>1.08243216</v>
      </c>
      <c r="D47" s="37">
        <f t="shared" si="1"/>
        <v>0.86600564805036573</v>
      </c>
      <c r="E47" s="38">
        <v>4.5124999999999998E-2</v>
      </c>
    </row>
    <row r="48" spans="1:5" x14ac:dyDescent="0.2">
      <c r="A48" s="31">
        <v>2019</v>
      </c>
      <c r="B48" s="37">
        <v>0.12851831783831416</v>
      </c>
      <c r="C48" s="49">
        <f t="shared" si="0"/>
        <v>1.0612079999999999</v>
      </c>
      <c r="D48" s="37">
        <f t="shared" si="1"/>
        <v>0.13638466703656169</v>
      </c>
      <c r="E48" s="38">
        <v>4.7500000000000001E-2</v>
      </c>
    </row>
    <row r="49" spans="1:5" x14ac:dyDescent="0.2">
      <c r="A49" s="39">
        <v>2020</v>
      </c>
      <c r="B49" s="40">
        <v>-0.5064986558777036</v>
      </c>
      <c r="C49" s="40">
        <f t="shared" si="0"/>
        <v>1.0404</v>
      </c>
      <c r="D49" s="40">
        <f t="shared" si="1"/>
        <v>-0.5269612015751628</v>
      </c>
      <c r="E49" s="41">
        <v>0.05</v>
      </c>
    </row>
    <row r="50" spans="1:5" x14ac:dyDescent="0.2">
      <c r="A50" s="61"/>
      <c r="E50" s="42"/>
    </row>
    <row r="51" spans="1:5" x14ac:dyDescent="0.2">
      <c r="A51" s="10" t="s">
        <v>108</v>
      </c>
      <c r="E51" s="43">
        <f>'Supplemental Exhibit 6B'!E52</f>
        <v>0.02</v>
      </c>
    </row>
    <row r="52" spans="1:5" x14ac:dyDescent="0.2">
      <c r="A52" s="10" t="s">
        <v>57</v>
      </c>
      <c r="E52" s="44">
        <v>2022</v>
      </c>
    </row>
    <row r="53" spans="1:5" x14ac:dyDescent="0.2">
      <c r="A53" s="10" t="s">
        <v>124</v>
      </c>
      <c r="E53" s="45">
        <v>0.55230000000000001</v>
      </c>
    </row>
    <row r="54" spans="1:5" x14ac:dyDescent="0.2">
      <c r="A54" s="10" t="s">
        <v>102</v>
      </c>
      <c r="E54" s="45">
        <f>SUMPRODUCT(D$9:D$49,E$9:E$49)</f>
        <v>0.66614292547062737</v>
      </c>
    </row>
    <row r="55" spans="1:5" x14ac:dyDescent="0.2">
      <c r="A55" s="10" t="s">
        <v>103</v>
      </c>
      <c r="E55" s="61">
        <f>ROUND(MIN(E54,1.1*E53),4)</f>
        <v>0.60750000000000004</v>
      </c>
    </row>
    <row r="57" spans="1:5" x14ac:dyDescent="0.2">
      <c r="A57" s="46" t="s">
        <v>58</v>
      </c>
    </row>
    <row r="58" spans="1:5" x14ac:dyDescent="0.2">
      <c r="A58" s="10" t="s">
        <v>59</v>
      </c>
    </row>
    <row r="59" spans="1:5" x14ac:dyDescent="0.2">
      <c r="A59" s="10" t="s">
        <v>60</v>
      </c>
    </row>
    <row r="60" spans="1:5" x14ac:dyDescent="0.2">
      <c r="A60" s="10" t="s">
        <v>61</v>
      </c>
    </row>
    <row r="62" spans="1:5" x14ac:dyDescent="0.2">
      <c r="A62" s="3" t="s">
        <v>62</v>
      </c>
    </row>
    <row r="63" spans="1:5" x14ac:dyDescent="0.2">
      <c r="A63" s="10" t="s">
        <v>63</v>
      </c>
    </row>
    <row r="64" spans="1:5" x14ac:dyDescent="0.2">
      <c r="A64" s="10" t="s">
        <v>64</v>
      </c>
    </row>
  </sheetData>
  <printOptions horizontalCentered="1"/>
  <pageMargins left="0.7" right="0.7" top="0.75" bottom="0.75" header="0.3" footer="0.3"/>
  <pageSetup scale="87" orientation="portrait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A265-C41D-40F3-AC5E-947A5EEEF548}">
  <dimension ref="A1:O30"/>
  <sheetViews>
    <sheetView workbookViewId="0">
      <selection activeCell="B9" sqref="B9"/>
    </sheetView>
  </sheetViews>
  <sheetFormatPr defaultRowHeight="12.75" x14ac:dyDescent="0.2"/>
  <cols>
    <col min="1" max="1" width="9.140625" style="72"/>
    <col min="2" max="2" width="5.85546875" style="72" customWidth="1"/>
    <col min="3" max="3" width="13.85546875" style="72" bestFit="1" customWidth="1"/>
    <col min="4" max="4" width="4" style="72" customWidth="1"/>
    <col min="5" max="5" width="14.7109375" style="72" customWidth="1"/>
    <col min="6" max="6" width="4" style="72" customWidth="1"/>
    <col min="7" max="7" width="16.85546875" style="72" customWidth="1"/>
    <col min="8" max="8" width="3.85546875" style="72" customWidth="1"/>
    <col min="9" max="9" width="13.85546875" style="72" bestFit="1" customWidth="1"/>
    <col min="10" max="10" width="3.42578125" style="72" customWidth="1"/>
    <col min="11" max="11" width="7.140625" style="72" customWidth="1"/>
    <col min="12" max="12" width="3.28515625" style="72" customWidth="1"/>
    <col min="13" max="13" width="7" style="72" customWidth="1"/>
    <col min="14" max="16384" width="9.140625" style="72"/>
  </cols>
  <sheetData>
    <row r="1" spans="1:15" x14ac:dyDescent="0.2">
      <c r="A1" s="63" t="s">
        <v>75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71"/>
      <c r="O1" s="71"/>
    </row>
    <row r="2" spans="1:15" x14ac:dyDescent="0.2">
      <c r="A2" s="63" t="s">
        <v>65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71"/>
      <c r="O2" s="71"/>
    </row>
    <row r="3" spans="1:15" x14ac:dyDescent="0.2">
      <c r="A3" s="63" t="s">
        <v>66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71"/>
      <c r="O3" s="71"/>
    </row>
    <row r="4" spans="1:15" x14ac:dyDescent="0.2">
      <c r="A4" s="63" t="s">
        <v>116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71"/>
      <c r="O4" s="71"/>
    </row>
    <row r="5" spans="1:15" x14ac:dyDescent="0.2">
      <c r="A5" s="3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73"/>
      <c r="O5" s="71"/>
    </row>
    <row r="6" spans="1:15" x14ac:dyDescent="0.2">
      <c r="A6" s="63" t="str">
        <f>BetaHCODE</f>
        <v>Total Homeowners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74"/>
      <c r="O6" s="71"/>
    </row>
    <row r="7" spans="1:1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71"/>
      <c r="O7" s="71"/>
    </row>
    <row r="8" spans="1:15" ht="15" customHeight="1" x14ac:dyDescent="0.2">
      <c r="A8" s="3"/>
      <c r="B8" s="3"/>
      <c r="C8" s="64" t="s">
        <v>76</v>
      </c>
      <c r="D8" s="64"/>
      <c r="E8" s="3"/>
      <c r="F8" s="64" t="s">
        <v>76</v>
      </c>
      <c r="G8" s="64"/>
      <c r="H8" s="3"/>
      <c r="I8" s="65" t="s">
        <v>77</v>
      </c>
      <c r="J8" s="65"/>
      <c r="K8" s="65"/>
      <c r="L8" s="65"/>
      <c r="M8" s="3"/>
      <c r="N8" s="71"/>
      <c r="O8" s="71"/>
    </row>
    <row r="9" spans="1:15" ht="15" customHeight="1" x14ac:dyDescent="0.2">
      <c r="A9" s="3"/>
      <c r="B9" s="3"/>
      <c r="C9" s="65" t="s">
        <v>78</v>
      </c>
      <c r="D9" s="65"/>
      <c r="E9" s="3"/>
      <c r="F9" s="65" t="s">
        <v>79</v>
      </c>
      <c r="G9" s="65"/>
      <c r="H9" s="3"/>
      <c r="I9" s="65"/>
      <c r="J9" s="65"/>
      <c r="K9" s="65"/>
      <c r="L9" s="65"/>
      <c r="M9" s="3"/>
      <c r="N9" s="71"/>
      <c r="O9" s="71"/>
    </row>
    <row r="10" spans="1:15" x14ac:dyDescent="0.2">
      <c r="A10" s="3"/>
      <c r="B10" s="53"/>
      <c r="C10" s="66"/>
      <c r="D10" s="66"/>
      <c r="E10" s="53"/>
      <c r="F10" s="66"/>
      <c r="G10" s="66"/>
      <c r="H10" s="53"/>
      <c r="I10" s="66"/>
      <c r="J10" s="66"/>
      <c r="K10" s="66"/>
      <c r="L10" s="66"/>
      <c r="M10" s="3"/>
      <c r="N10" s="71"/>
      <c r="O10" s="71"/>
    </row>
    <row r="11" spans="1:15" x14ac:dyDescent="0.2">
      <c r="A11" s="3"/>
      <c r="B11" s="3"/>
      <c r="C11" s="67">
        <v>36286773380</v>
      </c>
      <c r="D11" s="67"/>
      <c r="E11" s="3"/>
      <c r="F11" s="67">
        <v>37722984347</v>
      </c>
      <c r="G11" s="67"/>
      <c r="H11" s="3"/>
      <c r="I11" s="68">
        <v>0.99877256257986946</v>
      </c>
      <c r="J11" s="68"/>
      <c r="K11" s="68"/>
      <c r="L11" s="68"/>
      <c r="M11" s="3"/>
      <c r="N11" s="73"/>
      <c r="O11" s="71"/>
    </row>
    <row r="12" spans="1:15" x14ac:dyDescent="0.2">
      <c r="A12" s="3"/>
      <c r="B12" s="3"/>
      <c r="C12" s="3"/>
      <c r="D12" s="54"/>
      <c r="E12" s="3"/>
      <c r="F12" s="3"/>
      <c r="G12" s="3"/>
      <c r="H12" s="3"/>
      <c r="I12" s="3"/>
      <c r="J12" s="3"/>
      <c r="K12" s="3"/>
      <c r="L12" s="3"/>
      <c r="M12" s="3"/>
      <c r="N12" s="71"/>
      <c r="O12" s="71"/>
    </row>
    <row r="13" spans="1:15" x14ac:dyDescent="0.2">
      <c r="A13" s="63" t="str">
        <f>RateTypeHCodeLong</f>
        <v>Homeowners Non-Tenant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O13" s="75"/>
    </row>
    <row r="14" spans="1:15" x14ac:dyDescent="0.2">
      <c r="A14" s="3"/>
      <c r="B14" s="3"/>
      <c r="C14" s="64" t="s">
        <v>76</v>
      </c>
      <c r="D14" s="64"/>
      <c r="E14" s="3"/>
      <c r="F14" s="64" t="s">
        <v>76</v>
      </c>
      <c r="G14" s="64"/>
      <c r="H14" s="3"/>
      <c r="I14" s="3"/>
      <c r="J14" s="3"/>
      <c r="K14" s="3"/>
      <c r="L14" s="3"/>
      <c r="M14" s="3"/>
    </row>
    <row r="15" spans="1:15" ht="15" customHeight="1" x14ac:dyDescent="0.2">
      <c r="A15" s="3"/>
      <c r="B15" s="3"/>
      <c r="C15" s="65" t="s">
        <v>78</v>
      </c>
      <c r="D15" s="65"/>
      <c r="E15" s="17"/>
      <c r="F15" s="65" t="s">
        <v>79</v>
      </c>
      <c r="G15" s="65"/>
      <c r="H15" s="3"/>
      <c r="I15" s="3"/>
      <c r="J15" s="3"/>
      <c r="K15" s="3"/>
      <c r="L15" s="3"/>
      <c r="M15" s="3"/>
    </row>
    <row r="16" spans="1:15" x14ac:dyDescent="0.2">
      <c r="A16" s="3"/>
      <c r="B16" s="53"/>
      <c r="C16" s="66"/>
      <c r="D16" s="66"/>
      <c r="E16" s="55"/>
      <c r="F16" s="66"/>
      <c r="G16" s="66"/>
      <c r="H16" s="53"/>
      <c r="I16" s="3"/>
      <c r="J16" s="3"/>
      <c r="K16" s="3"/>
      <c r="L16" s="3"/>
      <c r="M16" s="3"/>
    </row>
    <row r="17" spans="1:13" x14ac:dyDescent="0.2">
      <c r="A17" s="3"/>
      <c r="B17" s="3"/>
      <c r="C17" s="67">
        <v>34314410824</v>
      </c>
      <c r="D17" s="67"/>
      <c r="E17" s="54"/>
      <c r="F17" s="67">
        <v>37312198684</v>
      </c>
      <c r="G17" s="67"/>
      <c r="H17" s="3"/>
      <c r="I17" s="3"/>
      <c r="J17" s="3"/>
      <c r="K17" s="3"/>
      <c r="L17" s="3"/>
      <c r="M17" s="3"/>
    </row>
    <row r="18" spans="1:13" ht="15" customHeight="1" x14ac:dyDescent="0.2">
      <c r="A18" s="3"/>
      <c r="B18" s="3"/>
      <c r="C18" s="3"/>
      <c r="D18" s="3"/>
      <c r="E18" s="56"/>
      <c r="F18" s="56"/>
      <c r="G18" s="3"/>
      <c r="H18" s="3"/>
      <c r="I18" s="3"/>
      <c r="J18" s="3"/>
      <c r="K18" s="3"/>
      <c r="L18" s="3"/>
      <c r="M18" s="3"/>
    </row>
    <row r="19" spans="1:13" x14ac:dyDescent="0.2">
      <c r="A19" s="3" t="s">
        <v>114</v>
      </c>
      <c r="B19" s="3"/>
    </row>
    <row r="20" spans="1:13" x14ac:dyDescent="0.2">
      <c r="A20" s="3" t="s">
        <v>115</v>
      </c>
      <c r="B20" s="3"/>
    </row>
    <row r="22" spans="1:13" x14ac:dyDescent="0.2">
      <c r="A22" s="69" t="s">
        <v>80</v>
      </c>
      <c r="B22" s="69"/>
      <c r="C22" s="54">
        <f>F17</f>
        <v>37312198684</v>
      </c>
      <c r="D22" s="4" t="s">
        <v>81</v>
      </c>
      <c r="E22" s="54">
        <f>C17</f>
        <v>34314410824</v>
      </c>
      <c r="F22" s="10" t="s">
        <v>82</v>
      </c>
      <c r="G22" s="54">
        <f>F11</f>
        <v>37722984347</v>
      </c>
      <c r="H22" s="4" t="s">
        <v>81</v>
      </c>
      <c r="I22" s="54">
        <f>C11</f>
        <v>36286773380</v>
      </c>
      <c r="J22" s="10" t="s">
        <v>83</v>
      </c>
      <c r="K22" s="5">
        <f>I11</f>
        <v>0.99877256257986946</v>
      </c>
      <c r="L22" s="10" t="s">
        <v>84</v>
      </c>
      <c r="M22" s="3">
        <v>1.0471999999999999</v>
      </c>
    </row>
    <row r="23" spans="1:13" x14ac:dyDescent="0.2">
      <c r="A23" s="3"/>
      <c r="B23" s="3"/>
      <c r="C23" s="3"/>
      <c r="D23" s="59"/>
      <c r="E23" s="59"/>
      <c r="F23" s="59"/>
      <c r="G23" s="59"/>
      <c r="J23" s="3"/>
      <c r="K23" s="3"/>
      <c r="L23" s="3"/>
      <c r="M23" s="3"/>
    </row>
    <row r="24" spans="1:13" x14ac:dyDescent="0.2">
      <c r="A24" s="46" t="s">
        <v>87</v>
      </c>
      <c r="B24" s="3"/>
      <c r="C24" s="3"/>
      <c r="D24" s="59"/>
      <c r="E24" s="59"/>
      <c r="F24" s="59"/>
      <c r="G24" s="59"/>
      <c r="H24" s="4" t="s">
        <v>88</v>
      </c>
      <c r="I24" s="50">
        <f>'Supplemental Exhibit 6C'!E55</f>
        <v>0.60750000000000004</v>
      </c>
      <c r="J24" s="3"/>
      <c r="K24" s="3"/>
      <c r="L24" s="3"/>
      <c r="M24" s="3"/>
    </row>
    <row r="25" spans="1:13" x14ac:dyDescent="0.2">
      <c r="A25" s="59"/>
      <c r="B25" s="3"/>
      <c r="C25" s="3"/>
      <c r="D25" s="59"/>
      <c r="E25" s="59"/>
      <c r="F25" s="59"/>
      <c r="G25" s="59"/>
      <c r="H25" s="4"/>
      <c r="I25" s="50"/>
      <c r="J25" s="3"/>
      <c r="K25" s="3"/>
      <c r="L25" s="3"/>
      <c r="M25" s="3"/>
    </row>
    <row r="26" spans="1:13" x14ac:dyDescent="0.2">
      <c r="A26" s="46" t="s">
        <v>89</v>
      </c>
      <c r="B26" s="3"/>
      <c r="C26" s="3"/>
      <c r="D26" s="59"/>
      <c r="E26" s="59"/>
      <c r="F26" s="59"/>
      <c r="G26" s="59"/>
      <c r="H26" s="4" t="s">
        <v>88</v>
      </c>
      <c r="I26" s="5">
        <f>M22</f>
        <v>1.0471999999999999</v>
      </c>
      <c r="J26" s="3"/>
      <c r="K26" s="3"/>
      <c r="L26" s="3"/>
      <c r="M26" s="3"/>
    </row>
    <row r="27" spans="1:13" x14ac:dyDescent="0.2">
      <c r="A27" s="59"/>
      <c r="B27" s="3"/>
      <c r="C27" s="3"/>
      <c r="D27" s="59"/>
      <c r="E27" s="59"/>
      <c r="F27" s="59"/>
      <c r="G27" s="59"/>
      <c r="H27" s="4"/>
      <c r="I27" s="3"/>
      <c r="J27" s="3"/>
      <c r="K27" s="3"/>
      <c r="L27" s="3"/>
      <c r="M27" s="3"/>
    </row>
    <row r="28" spans="1:13" x14ac:dyDescent="0.2">
      <c r="A28" s="46" t="s">
        <v>90</v>
      </c>
      <c r="B28" s="3"/>
      <c r="C28" s="3"/>
      <c r="D28" s="51"/>
      <c r="E28" s="3"/>
      <c r="F28" s="3"/>
      <c r="G28" s="3"/>
      <c r="H28" s="4" t="s">
        <v>88</v>
      </c>
      <c r="I28" s="5">
        <f>(I24*I26)</f>
        <v>0.63617400000000002</v>
      </c>
      <c r="J28" s="3"/>
      <c r="K28" s="3"/>
      <c r="L28" s="3"/>
      <c r="M28" s="3"/>
    </row>
    <row r="29" spans="1:13" x14ac:dyDescent="0.2">
      <c r="A29" s="51" t="s">
        <v>91</v>
      </c>
      <c r="B29" s="3"/>
      <c r="C29" s="3"/>
      <c r="D29" s="3"/>
      <c r="E29" s="3"/>
      <c r="F29" s="3"/>
      <c r="G29" s="3"/>
      <c r="J29" s="3"/>
      <c r="K29" s="3"/>
      <c r="L29" s="3"/>
      <c r="M29" s="3"/>
    </row>
    <row r="30" spans="1:13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</sheetData>
  <mergeCells count="21">
    <mergeCell ref="C15:D16"/>
    <mergeCell ref="F15:G16"/>
    <mergeCell ref="C17:D17"/>
    <mergeCell ref="F17:G17"/>
    <mergeCell ref="A22:B22"/>
    <mergeCell ref="C11:D11"/>
    <mergeCell ref="F11:G11"/>
    <mergeCell ref="I11:L11"/>
    <mergeCell ref="A13:M13"/>
    <mergeCell ref="C14:D14"/>
    <mergeCell ref="F14:G14"/>
    <mergeCell ref="A1:M1"/>
    <mergeCell ref="A4:M4"/>
    <mergeCell ref="A6:M6"/>
    <mergeCell ref="C8:D8"/>
    <mergeCell ref="F8:G8"/>
    <mergeCell ref="I8:L10"/>
    <mergeCell ref="C9:D10"/>
    <mergeCell ref="F9:G10"/>
    <mergeCell ref="A2:M2"/>
    <mergeCell ref="A3:M3"/>
  </mergeCells>
  <printOptions horizontalCentered="1"/>
  <pageMargins left="0.7" right="0.7" top="0.75" bottom="0.75" header="0.3" footer="0.3"/>
  <pageSetup orientation="landscape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0933-690A-4E5B-B327-10E010DD5394}">
  <dimension ref="A1:AK34"/>
  <sheetViews>
    <sheetView workbookViewId="0">
      <selection activeCell="G43" sqref="G43"/>
    </sheetView>
  </sheetViews>
  <sheetFormatPr defaultRowHeight="12.75" x14ac:dyDescent="0.2"/>
  <cols>
    <col min="1" max="1" width="8.140625" style="3" bestFit="1" customWidth="1"/>
    <col min="2" max="2" width="30.85546875" style="3" bestFit="1" customWidth="1"/>
    <col min="3" max="3" width="31.85546875" style="3" bestFit="1" customWidth="1"/>
    <col min="4" max="13" width="9.140625" style="3"/>
    <col min="14" max="14" width="9.28515625" style="3" bestFit="1" customWidth="1"/>
    <col min="15" max="15" width="9.140625" style="3"/>
    <col min="16" max="18" width="9.28515625" style="3" bestFit="1" customWidth="1"/>
    <col min="19" max="19" width="9.140625" style="3"/>
    <col min="20" max="20" width="10" style="3" bestFit="1" customWidth="1"/>
    <col min="21" max="37" width="9.28515625" style="3" bestFit="1" customWidth="1"/>
    <col min="38" max="16384" width="9.140625" style="3"/>
  </cols>
  <sheetData>
    <row r="1" spans="1:37" x14ac:dyDescent="0.2">
      <c r="A1" s="1" t="s">
        <v>46</v>
      </c>
      <c r="B1" s="2"/>
      <c r="C1" s="2"/>
      <c r="D1" s="2"/>
    </row>
    <row r="2" spans="1:37" x14ac:dyDescent="0.2">
      <c r="A2" s="1" t="s">
        <v>0</v>
      </c>
      <c r="B2" s="2"/>
      <c r="C2" s="2"/>
      <c r="D2" s="2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7"/>
      <c r="AC2" s="77"/>
      <c r="AD2" s="76"/>
      <c r="AE2" s="76"/>
      <c r="AF2" s="76"/>
      <c r="AG2" s="76"/>
      <c r="AH2" s="76"/>
      <c r="AI2" s="76"/>
      <c r="AJ2" s="76"/>
      <c r="AK2" s="76"/>
    </row>
    <row r="3" spans="1:37" x14ac:dyDescent="0.2">
      <c r="A3" s="1" t="s">
        <v>1</v>
      </c>
      <c r="B3" s="2"/>
      <c r="C3" s="2"/>
      <c r="D3" s="2"/>
      <c r="E3" s="78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</row>
    <row r="4" spans="1:37" x14ac:dyDescent="0.2">
      <c r="A4" s="1" t="s">
        <v>32</v>
      </c>
      <c r="B4" s="2"/>
      <c r="C4" s="2"/>
      <c r="D4" s="2"/>
      <c r="E4" s="78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</row>
    <row r="5" spans="1:37" x14ac:dyDescent="0.2">
      <c r="A5" s="1" t="s">
        <v>3</v>
      </c>
      <c r="B5" s="2"/>
      <c r="C5" s="2"/>
      <c r="D5" s="2"/>
      <c r="E5" s="78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</row>
    <row r="6" spans="1:37" x14ac:dyDescent="0.2">
      <c r="E6" s="78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</row>
    <row r="7" spans="1:37" x14ac:dyDescent="0.2">
      <c r="E7" s="78"/>
    </row>
    <row r="8" spans="1:37" x14ac:dyDescent="0.2">
      <c r="A8" s="21" t="s">
        <v>4</v>
      </c>
      <c r="B8" s="11" t="s">
        <v>33</v>
      </c>
      <c r="C8" s="19">
        <v>6.5805815604608959</v>
      </c>
      <c r="D8" s="18"/>
      <c r="E8" s="78"/>
    </row>
    <row r="9" spans="1:37" x14ac:dyDescent="0.2">
      <c r="A9" s="21" t="s">
        <v>6</v>
      </c>
      <c r="B9" s="11" t="s">
        <v>34</v>
      </c>
      <c r="C9" s="19">
        <v>0.28202669225647897</v>
      </c>
      <c r="D9" s="5"/>
      <c r="E9" s="79"/>
    </row>
    <row r="10" spans="1:37" x14ac:dyDescent="0.2">
      <c r="A10" s="21" t="s">
        <v>8</v>
      </c>
      <c r="B10" s="11" t="s">
        <v>107</v>
      </c>
      <c r="C10" s="13">
        <f>C8/C9</f>
        <v>23.333187039177215</v>
      </c>
      <c r="D10" s="5"/>
      <c r="E10" s="79"/>
    </row>
    <row r="11" spans="1:37" x14ac:dyDescent="0.2">
      <c r="A11" s="21" t="s">
        <v>10</v>
      </c>
      <c r="B11" s="11" t="s">
        <v>35</v>
      </c>
      <c r="C11" s="13">
        <f>ROUND('Supplemental Exhibit 6A'!C16,4)</f>
        <v>0.53080000000000005</v>
      </c>
      <c r="D11" s="5"/>
      <c r="E11" s="80"/>
    </row>
    <row r="12" spans="1:37" x14ac:dyDescent="0.2">
      <c r="A12" s="21" t="s">
        <v>12</v>
      </c>
      <c r="B12" s="15" t="s">
        <v>36</v>
      </c>
      <c r="C12" s="14">
        <f>C10*C11</f>
        <v>12.385255680395266</v>
      </c>
      <c r="D12" s="9"/>
      <c r="E12" s="79"/>
    </row>
    <row r="13" spans="1:37" x14ac:dyDescent="0.2">
      <c r="A13" s="21" t="s">
        <v>14</v>
      </c>
      <c r="B13" s="11" t="s">
        <v>37</v>
      </c>
      <c r="C13" s="19">
        <v>0.70418593478603386</v>
      </c>
      <c r="D13" s="18"/>
      <c r="E13" s="78"/>
    </row>
    <row r="14" spans="1:37" x14ac:dyDescent="0.2">
      <c r="A14" s="21" t="s">
        <v>16</v>
      </c>
      <c r="B14" s="11" t="s">
        <v>39</v>
      </c>
      <c r="C14" s="19">
        <v>23.024488299788061</v>
      </c>
      <c r="D14" s="5"/>
      <c r="E14" s="79"/>
    </row>
    <row r="15" spans="1:37" x14ac:dyDescent="0.2">
      <c r="A15" s="21" t="s">
        <v>18</v>
      </c>
      <c r="B15" s="11" t="s">
        <v>41</v>
      </c>
      <c r="C15" s="13">
        <f>C13/C14</f>
        <v>3.0584216492338546E-2</v>
      </c>
      <c r="D15" s="5"/>
      <c r="E15" s="79"/>
    </row>
    <row r="16" spans="1:37" x14ac:dyDescent="0.2">
      <c r="A16" s="21" t="s">
        <v>20</v>
      </c>
      <c r="B16" s="11" t="s">
        <v>42</v>
      </c>
      <c r="C16" s="13">
        <f>'Supplemental Exhibit 6A'!C17</f>
        <v>4.1904556164000004E-2</v>
      </c>
      <c r="D16" s="5"/>
      <c r="E16" s="80"/>
    </row>
    <row r="17" spans="1:5" x14ac:dyDescent="0.2">
      <c r="A17" s="21" t="s">
        <v>22</v>
      </c>
      <c r="B17" s="15" t="s">
        <v>43</v>
      </c>
      <c r="C17" s="14">
        <f>C15*C16</f>
        <v>1.2816180177351358E-3</v>
      </c>
      <c r="D17" s="9"/>
      <c r="E17" s="79"/>
    </row>
    <row r="18" spans="1:5" x14ac:dyDescent="0.2">
      <c r="A18" s="21" t="s">
        <v>38</v>
      </c>
      <c r="B18" s="15" t="s">
        <v>44</v>
      </c>
      <c r="C18" s="14">
        <f>'Supplemental Exhibit 6A'!C14</f>
        <v>0.15985036496286037</v>
      </c>
      <c r="D18" s="9"/>
      <c r="E18" s="80"/>
    </row>
    <row r="19" spans="1:5" x14ac:dyDescent="0.2">
      <c r="A19" s="21" t="s">
        <v>40</v>
      </c>
      <c r="B19" s="15" t="s">
        <v>45</v>
      </c>
      <c r="C19" s="14">
        <f>C12+C17+C18</f>
        <v>12.546387663375862</v>
      </c>
      <c r="D19" s="9"/>
      <c r="E19" s="79"/>
    </row>
    <row r="20" spans="1:5" x14ac:dyDescent="0.2">
      <c r="E20" s="78"/>
    </row>
    <row r="21" spans="1:5" x14ac:dyDescent="0.2">
      <c r="E21" s="78"/>
    </row>
    <row r="22" spans="1:5" x14ac:dyDescent="0.2">
      <c r="A22" s="3" t="s">
        <v>24</v>
      </c>
      <c r="E22" s="78"/>
    </row>
    <row r="23" spans="1:5" x14ac:dyDescent="0.2">
      <c r="A23" s="21" t="s">
        <v>4</v>
      </c>
      <c r="B23" s="22" t="s">
        <v>111</v>
      </c>
      <c r="C23" s="11"/>
      <c r="D23" s="11"/>
      <c r="E23" s="78"/>
    </row>
    <row r="24" spans="1:5" x14ac:dyDescent="0.2">
      <c r="A24" s="21" t="s">
        <v>6</v>
      </c>
      <c r="B24" s="70" t="s">
        <v>122</v>
      </c>
      <c r="C24" s="70"/>
      <c r="D24" s="70"/>
      <c r="E24" s="78"/>
    </row>
    <row r="25" spans="1:5" x14ac:dyDescent="0.2">
      <c r="A25" s="21" t="s">
        <v>8</v>
      </c>
      <c r="B25" s="23" t="s">
        <v>118</v>
      </c>
      <c r="C25" s="11"/>
      <c r="D25" s="11"/>
      <c r="E25" s="78"/>
    </row>
    <row r="26" spans="1:5" x14ac:dyDescent="0.2">
      <c r="A26" s="21" t="s">
        <v>10</v>
      </c>
      <c r="B26" s="20" t="s">
        <v>104</v>
      </c>
      <c r="C26" s="11"/>
      <c r="D26" s="11"/>
      <c r="E26" s="78"/>
    </row>
    <row r="27" spans="1:5" x14ac:dyDescent="0.2">
      <c r="A27" s="24" t="s">
        <v>12</v>
      </c>
      <c r="B27" s="57" t="s">
        <v>27</v>
      </c>
      <c r="D27" s="11"/>
      <c r="E27" s="78"/>
    </row>
    <row r="28" spans="1:5" x14ac:dyDescent="0.2">
      <c r="A28" s="24" t="s">
        <v>14</v>
      </c>
      <c r="B28" s="70" t="s">
        <v>112</v>
      </c>
      <c r="C28" s="70"/>
      <c r="D28" s="70"/>
      <c r="E28" s="78"/>
    </row>
    <row r="29" spans="1:5" ht="15" customHeight="1" x14ac:dyDescent="0.2">
      <c r="A29" s="21" t="s">
        <v>16</v>
      </c>
      <c r="B29" s="25" t="s">
        <v>123</v>
      </c>
      <c r="C29" s="62"/>
      <c r="D29" s="62"/>
      <c r="E29" s="78"/>
    </row>
    <row r="30" spans="1:5" x14ac:dyDescent="0.2">
      <c r="A30" s="21" t="s">
        <v>18</v>
      </c>
      <c r="B30" s="23" t="s">
        <v>119</v>
      </c>
      <c r="C30" s="11"/>
      <c r="D30" s="11"/>
      <c r="E30" s="78"/>
    </row>
    <row r="31" spans="1:5" x14ac:dyDescent="0.2">
      <c r="A31" s="21" t="s">
        <v>20</v>
      </c>
      <c r="B31" s="20" t="s">
        <v>105</v>
      </c>
      <c r="C31" s="11"/>
      <c r="D31" s="11"/>
      <c r="E31" s="78"/>
    </row>
    <row r="32" spans="1:5" x14ac:dyDescent="0.2">
      <c r="A32" s="21" t="s">
        <v>22</v>
      </c>
      <c r="B32" s="23" t="s">
        <v>120</v>
      </c>
      <c r="C32" s="62"/>
      <c r="D32" s="62"/>
      <c r="E32" s="78"/>
    </row>
    <row r="33" spans="1:4" x14ac:dyDescent="0.2">
      <c r="A33" s="21" t="s">
        <v>38</v>
      </c>
      <c r="B33" s="20" t="s">
        <v>106</v>
      </c>
      <c r="C33" s="11"/>
      <c r="D33" s="11"/>
    </row>
    <row r="34" spans="1:4" x14ac:dyDescent="0.2">
      <c r="A34" s="21" t="s">
        <v>40</v>
      </c>
      <c r="B34" s="23" t="s">
        <v>121</v>
      </c>
      <c r="C34" s="11"/>
      <c r="D34" s="11"/>
    </row>
  </sheetData>
  <mergeCells count="2">
    <mergeCell ref="B24:D24"/>
    <mergeCell ref="B28:D28"/>
  </mergeCells>
  <printOptions horizontalCentered="1"/>
  <pageMargins left="0.7" right="0.7" top="0.75" bottom="0.75" header="0.3" footer="0.3"/>
  <pageSetup orientation="portrait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Supplemental Exhibit 6A</vt:lpstr>
      <vt:lpstr>Supplemental Exhibit 6B</vt:lpstr>
      <vt:lpstr>Supplemental Exhibit 6C</vt:lpstr>
      <vt:lpstr>Supplemental Exhibit 6D</vt:lpstr>
      <vt:lpstr>Supplemental Exhibit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Madalyn Winger</dc:creator>
  <cp:lastModifiedBy>Emily Gaertner</cp:lastModifiedBy>
  <cp:lastPrinted>2022-10-10T14:24:57Z</cp:lastPrinted>
  <dcterms:created xsi:type="dcterms:W3CDTF">2022-09-29T14:08:10Z</dcterms:created>
  <dcterms:modified xsi:type="dcterms:W3CDTF">2022-10-10T14:25:18Z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2022-09-29T14:08:10Z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b57c5fa9-1242-46db-b75e-2dafc697a41b</vt:lpwstr>
  </property>
  <property fmtid="{D5CDD505-2E9C-101B-9397-08002B2CF9AE}" pid="8" name="MSIP_Label_261ecbe3-7ba9-4124-b9d7-ffd820687beb_ContentBits">
    <vt:lpwstr>0</vt:lpwstr>
  </property>
</Properties>
</file>