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Opr.statefarm.org\dfs\PCACT\00\WORKGROUP\P-C ACTUARIAL\HOMEOWNERS\State Files 2019 and Forward\California\2025\RDP\Filing\Filing Responses\July 10, 2024\"/>
    </mc:Choice>
  </mc:AlternateContent>
  <xr:revisionPtr revIDLastSave="0" documentId="13_ncr:1_{9EB81C6A-24D9-49CB-985F-46B2D03D744F}" xr6:coauthVersionLast="47" xr6:coauthVersionMax="47" xr10:uidLastSave="{00000000-0000-0000-0000-000000000000}"/>
  <bookViews>
    <workbookView xWindow="-120" yWindow="-120" windowWidth="29040" windowHeight="15840" tabRatio="768" xr2:uid="{00000000-000D-0000-FFFF-FFFF00000000}"/>
  </bookViews>
  <sheets>
    <sheet name="Suppl Exh 9A" sheetId="2" r:id="rId1"/>
    <sheet name="Suppl Exh 9B" sheetId="1" r:id="rId2"/>
    <sheet name="Suppl Exh 9C" sheetId="3" r:id="rId3"/>
    <sheet name="Exhibit J" sheetId="6" r:id="rId4"/>
    <sheet name="Suppl Exh 8A" sheetId="14" r:id="rId5"/>
    <sheet name="Exhibit K" sheetId="18" r:id="rId6"/>
    <sheet name="Exhibit L" sheetId="15" r:id="rId7"/>
    <sheet name="Exhibit M" sheetId="17" r:id="rId8"/>
    <sheet name="Exhibit N" sheetId="10" r:id="rId9"/>
    <sheet name="Exhibit O - p1" sheetId="16" r:id="rId10"/>
    <sheet name="Exhibit O - p2" sheetId="22" r:id="rId11"/>
    <sheet name="Exhibit P" sheetId="7" r:id="rId12"/>
    <sheet name="Exhibit Q" sheetId="11" r:id="rId13"/>
  </sheets>
  <externalReferences>
    <externalReference r:id="rId14"/>
    <externalReference r:id="rId15"/>
  </externalReferences>
  <definedNames>
    <definedName name="_AMO_UniqueIdentifier" hidden="1">"'fb49d5f5-b329-4f9b-9a47-3a8548d2c8ad'"</definedName>
    <definedName name="_xlnm._FilterDatabase" localSheetId="12" hidden="1">'Exhibit Q'!$M$25:$O$35</definedName>
    <definedName name="DCCE_LTrndCo">'[1]1.General'!$C$43</definedName>
    <definedName name="FYQtr">'[2]1.General'!$C$37</definedName>
    <definedName name="_xlnm.Print_Area" localSheetId="11">'Exhibit P'!$A$1:$I$18</definedName>
    <definedName name="_xlnm.Print_Area" localSheetId="4">'Suppl Exh 8A'!$A$1:$K$49</definedName>
    <definedName name="_xlnm.Print_Area" localSheetId="0">'Suppl Exh 9A'!$A$2:$E$47</definedName>
    <definedName name="_xlnm.Print_Area" localSheetId="2">'Suppl Exh 9C'!$A$2:$D$19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2" l="1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N43" i="1"/>
  <c r="O43" i="1" s="1"/>
  <c r="M43" i="1"/>
  <c r="J43" i="1"/>
  <c r="G43" i="1"/>
  <c r="H43" i="1" s="1"/>
  <c r="D43" i="1"/>
  <c r="O42" i="1"/>
  <c r="N42" i="1"/>
  <c r="M42" i="1"/>
  <c r="J42" i="1"/>
  <c r="G42" i="1"/>
  <c r="H42" i="1" s="1"/>
  <c r="D42" i="1"/>
  <c r="O41" i="1"/>
  <c r="N41" i="1"/>
  <c r="M41" i="1"/>
  <c r="J41" i="1"/>
  <c r="G41" i="1"/>
  <c r="H41" i="1" s="1"/>
  <c r="D41" i="1"/>
  <c r="N40" i="1"/>
  <c r="O40" i="1" s="1"/>
  <c r="M40" i="1"/>
  <c r="J40" i="1"/>
  <c r="G40" i="1"/>
  <c r="H40" i="1" s="1"/>
  <c r="D40" i="1"/>
  <c r="N39" i="1"/>
  <c r="O39" i="1" s="1"/>
  <c r="M39" i="1"/>
  <c r="J39" i="1"/>
  <c r="G39" i="1"/>
  <c r="H39" i="1" s="1"/>
  <c r="D39" i="1"/>
  <c r="N38" i="1"/>
  <c r="O38" i="1" s="1"/>
  <c r="M38" i="1"/>
  <c r="J38" i="1"/>
  <c r="H38" i="1"/>
  <c r="G38" i="1"/>
  <c r="D38" i="1"/>
  <c r="N37" i="1"/>
  <c r="O37" i="1" s="1"/>
  <c r="M37" i="1"/>
  <c r="J37" i="1"/>
  <c r="H37" i="1"/>
  <c r="G37" i="1"/>
  <c r="D37" i="1"/>
  <c r="N36" i="1"/>
  <c r="O36" i="1" s="1"/>
  <c r="M36" i="1"/>
  <c r="J36" i="1"/>
  <c r="G36" i="1"/>
  <c r="H36" i="1" s="1"/>
  <c r="D36" i="1"/>
  <c r="N35" i="1"/>
  <c r="O35" i="1" s="1"/>
  <c r="M35" i="1"/>
  <c r="J35" i="1"/>
  <c r="G35" i="1"/>
  <c r="H35" i="1" s="1"/>
  <c r="D35" i="1"/>
  <c r="O34" i="1"/>
  <c r="N34" i="1"/>
  <c r="M34" i="1"/>
  <c r="J34" i="1"/>
  <c r="G34" i="1"/>
  <c r="H34" i="1" s="1"/>
  <c r="D34" i="1"/>
  <c r="O33" i="1"/>
  <c r="N33" i="1"/>
  <c r="M33" i="1"/>
  <c r="J33" i="1"/>
  <c r="G33" i="1"/>
  <c r="H33" i="1" s="1"/>
  <c r="D33" i="1"/>
  <c r="N32" i="1"/>
  <c r="O32" i="1" s="1"/>
  <c r="M32" i="1"/>
  <c r="J32" i="1"/>
  <c r="G32" i="1"/>
  <c r="H32" i="1" s="1"/>
  <c r="D32" i="1"/>
  <c r="N31" i="1"/>
  <c r="O31" i="1" s="1"/>
  <c r="M31" i="1"/>
  <c r="J31" i="1"/>
  <c r="G31" i="1"/>
  <c r="H31" i="1" s="1"/>
  <c r="D31" i="1"/>
  <c r="N30" i="1"/>
  <c r="O30" i="1" s="1"/>
  <c r="M30" i="1"/>
  <c r="J30" i="1"/>
  <c r="H30" i="1"/>
  <c r="G30" i="1"/>
  <c r="D30" i="1"/>
  <c r="N29" i="1"/>
  <c r="O29" i="1" s="1"/>
  <c r="M29" i="1"/>
  <c r="J29" i="1"/>
  <c r="H29" i="1"/>
  <c r="G29" i="1"/>
  <c r="D29" i="1"/>
  <c r="N28" i="1"/>
  <c r="O28" i="1" s="1"/>
  <c r="M28" i="1"/>
  <c r="J28" i="1"/>
  <c r="G28" i="1"/>
  <c r="H28" i="1" s="1"/>
  <c r="D28" i="1"/>
  <c r="N27" i="1"/>
  <c r="O27" i="1" s="1"/>
  <c r="M27" i="1"/>
  <c r="J27" i="1"/>
  <c r="G27" i="1"/>
  <c r="H27" i="1" s="1"/>
  <c r="D27" i="1"/>
  <c r="O26" i="1"/>
  <c r="N26" i="1"/>
  <c r="M26" i="1"/>
  <c r="J26" i="1"/>
  <c r="G26" i="1"/>
  <c r="H26" i="1" s="1"/>
  <c r="D26" i="1"/>
  <c r="O25" i="1"/>
  <c r="N25" i="1"/>
  <c r="M25" i="1"/>
  <c r="J25" i="1"/>
  <c r="H25" i="1"/>
  <c r="G25" i="1"/>
  <c r="D25" i="1"/>
  <c r="N24" i="1"/>
  <c r="O24" i="1" s="1"/>
  <c r="M24" i="1"/>
  <c r="J24" i="1"/>
  <c r="G24" i="1"/>
  <c r="H24" i="1" s="1"/>
  <c r="D24" i="1"/>
  <c r="N23" i="1"/>
  <c r="O23" i="1" s="1"/>
  <c r="M23" i="1"/>
  <c r="J23" i="1"/>
  <c r="G23" i="1"/>
  <c r="H23" i="1" s="1"/>
  <c r="D23" i="1"/>
  <c r="N22" i="1"/>
  <c r="O22" i="1" s="1"/>
  <c r="M22" i="1"/>
  <c r="J22" i="1"/>
  <c r="H22" i="1"/>
  <c r="G22" i="1"/>
  <c r="D22" i="1"/>
  <c r="O21" i="1"/>
  <c r="N21" i="1"/>
  <c r="M21" i="1"/>
  <c r="J21" i="1"/>
  <c r="H21" i="1"/>
  <c r="G21" i="1"/>
  <c r="D21" i="1"/>
  <c r="N20" i="1"/>
  <c r="O20" i="1" s="1"/>
  <c r="M20" i="1"/>
  <c r="J20" i="1"/>
  <c r="G20" i="1"/>
  <c r="H20" i="1" s="1"/>
  <c r="D20" i="1"/>
  <c r="N19" i="1"/>
  <c r="O19" i="1" s="1"/>
  <c r="M19" i="1"/>
  <c r="J19" i="1"/>
  <c r="H19" i="1"/>
  <c r="G19" i="1"/>
  <c r="D19" i="1"/>
  <c r="O18" i="1"/>
  <c r="N18" i="1"/>
  <c r="M18" i="1"/>
  <c r="J18" i="1"/>
  <c r="G18" i="1"/>
  <c r="H18" i="1" s="1"/>
  <c r="D18" i="1"/>
  <c r="O17" i="1"/>
  <c r="N17" i="1"/>
  <c r="M17" i="1"/>
  <c r="J17" i="1"/>
  <c r="H17" i="1"/>
  <c r="G17" i="1"/>
  <c r="D17" i="1"/>
  <c r="N16" i="1"/>
  <c r="O16" i="1" s="1"/>
  <c r="M16" i="1"/>
  <c r="J16" i="1"/>
  <c r="G16" i="1"/>
  <c r="H16" i="1" s="1"/>
  <c r="D16" i="1"/>
  <c r="N15" i="1"/>
  <c r="O15" i="1" s="1"/>
  <c r="M15" i="1"/>
  <c r="J15" i="1"/>
  <c r="G15" i="1"/>
  <c r="H15" i="1" s="1"/>
  <c r="D15" i="1"/>
  <c r="N14" i="1"/>
  <c r="O14" i="1" s="1"/>
  <c r="M14" i="1"/>
  <c r="J14" i="1"/>
  <c r="H14" i="1"/>
  <c r="G14" i="1"/>
  <c r="D14" i="1"/>
  <c r="N13" i="1"/>
  <c r="O13" i="1" s="1"/>
  <c r="M13" i="1"/>
  <c r="J13" i="1"/>
  <c r="H13" i="1"/>
  <c r="G13" i="1"/>
  <c r="D13" i="1"/>
  <c r="N12" i="1"/>
  <c r="O12" i="1" s="1"/>
  <c r="M12" i="1"/>
  <c r="J12" i="1"/>
  <c r="G12" i="1"/>
  <c r="H12" i="1" s="1"/>
  <c r="D12" i="1"/>
  <c r="N11" i="1"/>
  <c r="O11" i="1" s="1"/>
  <c r="M11" i="1"/>
  <c r="J11" i="1"/>
  <c r="H11" i="1"/>
  <c r="G11" i="1"/>
  <c r="D11" i="1"/>
  <c r="O10" i="1"/>
  <c r="N10" i="1"/>
  <c r="M10" i="1"/>
  <c r="J10" i="1"/>
  <c r="G10" i="1"/>
  <c r="H10" i="1" s="1"/>
  <c r="D10" i="1"/>
  <c r="C19" i="3" l="1"/>
  <c r="L10" i="10" l="1"/>
  <c r="L11" i="10"/>
  <c r="L12" i="10"/>
  <c r="L13" i="10"/>
  <c r="L14" i="10"/>
  <c r="L15" i="10"/>
  <c r="L16" i="10"/>
  <c r="L17" i="10"/>
  <c r="L18" i="10"/>
  <c r="L9" i="10"/>
  <c r="G10" i="10" l="1"/>
  <c r="G11" i="10"/>
  <c r="G12" i="10"/>
  <c r="G13" i="10"/>
  <c r="G14" i="10"/>
  <c r="G15" i="10"/>
  <c r="G16" i="10"/>
  <c r="G17" i="10"/>
  <c r="G18" i="10"/>
  <c r="G9" i="10"/>
  <c r="A10" i="10"/>
  <c r="A11" i="10" s="1"/>
  <c r="A12" i="10" s="1"/>
  <c r="A13" i="10" s="1"/>
  <c r="A14" i="10" s="1"/>
  <c r="A15" i="10" s="1"/>
  <c r="A16" i="10" s="1"/>
  <c r="A17" i="10" s="1"/>
  <c r="A18" i="10" s="1"/>
  <c r="F12" i="15" l="1"/>
  <c r="E12" i="15"/>
  <c r="D12" i="15"/>
  <c r="C12" i="15"/>
  <c r="B12" i="15"/>
  <c r="Q26" i="14"/>
  <c r="D26" i="14" s="1"/>
  <c r="R26" i="14"/>
  <c r="F28" i="14"/>
  <c r="F23" i="14"/>
  <c r="Q23" i="14"/>
  <c r="D23" i="14" s="1"/>
  <c r="R23" i="14"/>
  <c r="Q24" i="14"/>
  <c r="D24" i="14" s="1"/>
  <c r="R24" i="14"/>
  <c r="Q25" i="14"/>
  <c r="D25" i="14" s="1"/>
  <c r="R25" i="14"/>
  <c r="Q27" i="14"/>
  <c r="D27" i="14" s="1"/>
  <c r="R27" i="14"/>
  <c r="Q28" i="14"/>
  <c r="D28" i="14" s="1"/>
  <c r="R28" i="14"/>
  <c r="E23" i="14"/>
  <c r="E24" i="14"/>
  <c r="E25" i="14"/>
  <c r="E26" i="14"/>
  <c r="E27" i="14"/>
  <c r="E28" i="14"/>
  <c r="F27" i="14" l="1"/>
  <c r="F26" i="14"/>
  <c r="F25" i="14"/>
  <c r="F24" i="14"/>
  <c r="M31" i="6" l="1"/>
  <c r="L31" i="6"/>
  <c r="K31" i="6"/>
  <c r="J31" i="6"/>
  <c r="I31" i="6"/>
  <c r="M30" i="6"/>
  <c r="L30" i="6"/>
  <c r="Q30" i="6" s="1"/>
  <c r="K30" i="6"/>
  <c r="J30" i="6"/>
  <c r="O30" i="6" s="1"/>
  <c r="I30" i="6"/>
  <c r="M29" i="6"/>
  <c r="L29" i="6"/>
  <c r="K29" i="6"/>
  <c r="J29" i="6"/>
  <c r="I29" i="6"/>
  <c r="M28" i="6"/>
  <c r="R28" i="6" s="1"/>
  <c r="L28" i="6"/>
  <c r="Q28" i="6" s="1"/>
  <c r="K28" i="6"/>
  <c r="J28" i="6"/>
  <c r="I28" i="6"/>
  <c r="M27" i="6"/>
  <c r="L27" i="6"/>
  <c r="K27" i="6"/>
  <c r="P27" i="6" s="1"/>
  <c r="J27" i="6"/>
  <c r="O27" i="6" s="1"/>
  <c r="I27" i="6"/>
  <c r="R23" i="6"/>
  <c r="Q23" i="6"/>
  <c r="K23" i="6"/>
  <c r="J23" i="6"/>
  <c r="I23" i="6"/>
  <c r="G23" i="6"/>
  <c r="M23" i="6" s="1"/>
  <c r="F23" i="6"/>
  <c r="L23" i="6" s="1"/>
  <c r="C21" i="6"/>
  <c r="M17" i="6"/>
  <c r="L17" i="6"/>
  <c r="K17" i="6"/>
  <c r="P17" i="6" s="1"/>
  <c r="J17" i="6"/>
  <c r="O17" i="6" s="1"/>
  <c r="I17" i="6"/>
  <c r="M16" i="6"/>
  <c r="L16" i="6"/>
  <c r="K16" i="6"/>
  <c r="J16" i="6"/>
  <c r="I16" i="6"/>
  <c r="M15" i="6"/>
  <c r="L15" i="6"/>
  <c r="K15" i="6"/>
  <c r="J15" i="6"/>
  <c r="I15" i="6"/>
  <c r="M14" i="6"/>
  <c r="L14" i="6"/>
  <c r="K14" i="6"/>
  <c r="P14" i="6" s="1"/>
  <c r="J14" i="6"/>
  <c r="O14" i="6" s="1"/>
  <c r="I14" i="6"/>
  <c r="Q13" i="6"/>
  <c r="N13" i="6"/>
  <c r="M13" i="6"/>
  <c r="L13" i="6"/>
  <c r="K13" i="6"/>
  <c r="J13" i="6"/>
  <c r="O13" i="6" s="1"/>
  <c r="I13" i="6"/>
  <c r="P13" i="6" s="1"/>
  <c r="R9" i="6"/>
  <c r="Q9" i="6"/>
  <c r="K9" i="6"/>
  <c r="J9" i="6"/>
  <c r="I9" i="6"/>
  <c r="G9" i="6"/>
  <c r="M9" i="6" s="1"/>
  <c r="F9" i="6"/>
  <c r="L9" i="6" s="1"/>
  <c r="C7" i="6"/>
  <c r="Q27" i="6" l="1"/>
  <c r="O29" i="6"/>
  <c r="O31" i="6"/>
  <c r="O28" i="6"/>
  <c r="P31" i="6"/>
  <c r="R27" i="6"/>
  <c r="P28" i="6"/>
  <c r="Q31" i="6"/>
  <c r="R31" i="6"/>
  <c r="O15" i="6"/>
  <c r="Q17" i="6"/>
  <c r="R13" i="6"/>
  <c r="O16" i="6"/>
  <c r="P30" i="6"/>
  <c r="P16" i="6"/>
  <c r="P29" i="6"/>
  <c r="R30" i="6"/>
  <c r="Q29" i="6"/>
  <c r="Q16" i="6"/>
  <c r="R16" i="6"/>
  <c r="Q15" i="6"/>
  <c r="R29" i="6"/>
  <c r="P15" i="6"/>
  <c r="Q14" i="6"/>
  <c r="R15" i="6"/>
  <c r="R14" i="6"/>
  <c r="R17" i="6"/>
  <c r="B9" i="3" l="1"/>
  <c r="B10" i="3" s="1"/>
  <c r="B11" i="3" s="1"/>
  <c r="B12" i="3" s="1"/>
  <c r="B13" i="3" s="1"/>
  <c r="B14" i="3" s="1"/>
  <c r="B15" i="3" s="1"/>
  <c r="B16" i="3" s="1"/>
  <c r="B17" i="3" s="1"/>
  <c r="E47" i="2"/>
  <c r="O46" i="1" l="1"/>
  <c r="M46" i="1"/>
  <c r="J46" i="1"/>
  <c r="H46" i="1"/>
  <c r="D46" i="1"/>
</calcChain>
</file>

<file path=xl/sharedStrings.xml><?xml version="1.0" encoding="utf-8"?>
<sst xmlns="http://schemas.openxmlformats.org/spreadsheetml/2006/main" count="448" uniqueCount="243">
  <si>
    <t>State Farm General Insurance Company</t>
  </si>
  <si>
    <t>Catastrophe Definition Supporting Data</t>
  </si>
  <si>
    <t>Calendar</t>
  </si>
  <si>
    <t>CAT Loss</t>
  </si>
  <si>
    <t>CAT/AIY</t>
  </si>
  <si>
    <t>Year</t>
  </si>
  <si>
    <t>AIY</t>
  </si>
  <si>
    <t>&amp; DCCE</t>
  </si>
  <si>
    <t>(3) / (2)</t>
  </si>
  <si>
    <t>Weight</t>
  </si>
  <si>
    <t>Filed</t>
  </si>
  <si>
    <t>(1)</t>
  </si>
  <si>
    <t>(2)</t>
  </si>
  <si>
    <t>(3)</t>
  </si>
  <si>
    <t>(4)</t>
  </si>
  <si>
    <t>(5)</t>
  </si>
  <si>
    <t>(6)</t>
  </si>
  <si>
    <t>Catastophe Ratio (all weighted by Column (5)):</t>
  </si>
  <si>
    <t>Old Catastrophe</t>
  </si>
  <si>
    <t>Definition CAT</t>
  </si>
  <si>
    <t>Loss &amp; DCCE</t>
  </si>
  <si>
    <t>(6) / (2)</t>
  </si>
  <si>
    <t>(7)</t>
  </si>
  <si>
    <t>(8)</t>
  </si>
  <si>
    <t>(9)</t>
  </si>
  <si>
    <t>(10)</t>
  </si>
  <si>
    <t>(11)</t>
  </si>
  <si>
    <t>(12)</t>
  </si>
  <si>
    <t>(13)</t>
  </si>
  <si>
    <t>(8) / (2)</t>
  </si>
  <si>
    <t>(10) / (2)</t>
  </si>
  <si>
    <t>(12) / (2)</t>
  </si>
  <si>
    <t>Newly Added</t>
  </si>
  <si>
    <t xml:space="preserve">Wildfire </t>
  </si>
  <si>
    <t>Designated CAT</t>
  </si>
  <si>
    <t xml:space="preserve">Non-Wildfire </t>
  </si>
  <si>
    <t>Catastrophe Ratio (Column (4) weighted by Column (5)):</t>
  </si>
  <si>
    <t>Catastrophe Adjustment Example Removing 4/1/2024 Identified Non-Renewals</t>
  </si>
  <si>
    <t>Supplemental Exhibit 9A</t>
  </si>
  <si>
    <t>Supplemental Exhibit 9B</t>
  </si>
  <si>
    <t>Supplemental Exhibit 9C</t>
  </si>
  <si>
    <t>Accident Year</t>
  </si>
  <si>
    <t>Outstanding Catastrophe Reserve</t>
  </si>
  <si>
    <t>Total</t>
  </si>
  <si>
    <t>New Business</t>
  </si>
  <si>
    <t>Quarterly Data</t>
  </si>
  <si>
    <t>Rolling 4-Quarter Data</t>
  </si>
  <si>
    <t>Calendar YYYYQ</t>
  </si>
  <si>
    <t>Earned Exposures</t>
  </si>
  <si>
    <t>Closed Claims</t>
  </si>
  <si>
    <t>Reported Claims</t>
  </si>
  <si>
    <t>Closed Frequency per 100 Exposures</t>
  </si>
  <si>
    <t>Reported Frequency per 100 Exposures</t>
  </si>
  <si>
    <t>Renewal Business</t>
  </si>
  <si>
    <t>Catastrophe and Non-Catastrophe Reserves</t>
  </si>
  <si>
    <t>Surplus to Premium Ratio</t>
  </si>
  <si>
    <t xml:space="preserve">($ Millions)
 </t>
  </si>
  <si>
    <t>Direct</t>
  </si>
  <si>
    <t>Net</t>
  </si>
  <si>
    <t>Non-Tenant</t>
  </si>
  <si>
    <t>Tenant</t>
  </si>
  <si>
    <t>All Other</t>
  </si>
  <si>
    <t>Reinsurance Program Summary and Experience</t>
  </si>
  <si>
    <t>Occurrence Treaty Parameters</t>
  </si>
  <si>
    <t>Occurrence Program Experience</t>
  </si>
  <si>
    <t>Aggregate Treaty Parameters</t>
  </si>
  <si>
    <t>Aggregate Program Experience</t>
  </si>
  <si>
    <t>Treaty Year</t>
  </si>
  <si>
    <t>Attachment Point</t>
  </si>
  <si>
    <t>Limit</t>
  </si>
  <si>
    <t>Premium Paid</t>
  </si>
  <si>
    <t>Losses Recovered</t>
  </si>
  <si>
    <t>-</t>
  </si>
  <si>
    <t>500,000,000 </t>
  </si>
  <si>
    <t>Exhibit J</t>
  </si>
  <si>
    <t>Supplemental Exhibit 8A</t>
  </si>
  <si>
    <t>Exhibits 7 &amp; 8 Closed Claims Reconciliation</t>
  </si>
  <si>
    <t>Months of Development</t>
  </si>
  <si>
    <t>Fiscal Accident Year Data Ending</t>
  </si>
  <si>
    <t>12</t>
  </si>
  <si>
    <t>Exhibit 7 Paid Claim Counts</t>
  </si>
  <si>
    <t>Exhibit 8 Closed Claims</t>
  </si>
  <si>
    <t>Calendar 
YYYYQ-YYYYQ</t>
  </si>
  <si>
    <t>Aggregated Exhibit 7</t>
  </si>
  <si>
    <t>Aggregated Exhibit 8</t>
  </si>
  <si>
    <t>Catastrophe Occurrence Program</t>
  </si>
  <si>
    <t>Catastrophe Aggregate Program</t>
  </si>
  <si>
    <t>Property Per Risk Treaty</t>
  </si>
  <si>
    <t>Umbrella Treaty</t>
  </si>
  <si>
    <t xml:space="preserve">All Other Reinsurance^ </t>
  </si>
  <si>
    <t xml:space="preserve">^All other reinsurance is made up primarily of syndicates and a quota share that cedes 100% of certain </t>
  </si>
  <si>
    <t xml:space="preserve">     types of business written by State Farm General to an external company. </t>
  </si>
  <si>
    <t>Exhibit K</t>
  </si>
  <si>
    <t>State Farm General</t>
  </si>
  <si>
    <t>Exhibit 13 Projected Reinsurance Premium</t>
  </si>
  <si>
    <t>Total*</t>
  </si>
  <si>
    <t xml:space="preserve">* These numbers correspond to Row 4 of the Baseline and Variance 6 scenarios in Exhibit 13. </t>
  </si>
  <si>
    <t>Exhibit L</t>
  </si>
  <si>
    <t>Year-End XXXX</t>
  </si>
  <si>
    <t>RDP</t>
  </si>
  <si>
    <t>Policyholder Surplus</t>
  </si>
  <si>
    <t>Written Premium</t>
  </si>
  <si>
    <t>Exhibit N</t>
  </si>
  <si>
    <t>Property Per Risk Experience</t>
  </si>
  <si>
    <t>Umbrella Experience</t>
  </si>
  <si>
    <t>**</t>
  </si>
  <si>
    <t>** The Umbrella Treaty Year starts on October 1st and such the 2024 value does not exist yet</t>
  </si>
  <si>
    <t>Total Homeowners</t>
  </si>
  <si>
    <t>Filing Date</t>
  </si>
  <si>
    <t>Approval Date</t>
  </si>
  <si>
    <t>State Tr #</t>
  </si>
  <si>
    <t>Effective Date</t>
  </si>
  <si>
    <t>Filed Indication</t>
  </si>
  <si>
    <t>Rate Requested</t>
  </si>
  <si>
    <t>Rate Approved</t>
  </si>
  <si>
    <t>13-6120</t>
  </si>
  <si>
    <t>N/A</t>
  </si>
  <si>
    <t>+6.9%</t>
  </si>
  <si>
    <t>-1.2%</t>
  </si>
  <si>
    <t>14-8381</t>
  </si>
  <si>
    <t>+24.9%</t>
  </si>
  <si>
    <t>+22.9%</t>
  </si>
  <si>
    <t>-7.0%</t>
  </si>
  <si>
    <t>18-1196</t>
  </si>
  <si>
    <t>+35.3%</t>
  </si>
  <si>
    <t>+15.9%</t>
  </si>
  <si>
    <t>+6.7%</t>
  </si>
  <si>
    <t>18-4896</t>
  </si>
  <si>
    <t>+23.3%</t>
  </si>
  <si>
    <t>+24.7%</t>
  </si>
  <si>
    <t>19-2063</t>
  </si>
  <si>
    <t>+26.6%</t>
  </si>
  <si>
    <t>+29.0%</t>
  </si>
  <si>
    <t>+6.0%</t>
  </si>
  <si>
    <t>21-1404</t>
  </si>
  <si>
    <t>22-1514</t>
  </si>
  <si>
    <t>+6.9%**</t>
  </si>
  <si>
    <t>23-613</t>
  </si>
  <si>
    <t>+28.1%</t>
  </si>
  <si>
    <t>+20.0%</t>
  </si>
  <si>
    <t>16-3238</t>
  </si>
  <si>
    <t>-26.1%</t>
  </si>
  <si>
    <t>18-2502</t>
  </si>
  <si>
    <t>+26.7%</t>
  </si>
  <si>
    <t>+16.8%</t>
  </si>
  <si>
    <t>19-3750</t>
  </si>
  <si>
    <t>+16.0%</t>
  </si>
  <si>
    <t>+30.4%</t>
  </si>
  <si>
    <t>23-563</t>
  </si>
  <si>
    <t>+26.4%</t>
  </si>
  <si>
    <t>+11.4%</t>
  </si>
  <si>
    <t>BOP</t>
  </si>
  <si>
    <t>2/26/2016*a</t>
  </si>
  <si>
    <t>16-1596</t>
  </si>
  <si>
    <t>+9.0%</t>
  </si>
  <si>
    <t>+5.0%</t>
  </si>
  <si>
    <t>2/26/2016*b</t>
  </si>
  <si>
    <t>16-1589</t>
  </si>
  <si>
    <t>+10.1%</t>
  </si>
  <si>
    <t>-4.0%</t>
  </si>
  <si>
    <t>2/26/2016*c</t>
  </si>
  <si>
    <t>16-1602</t>
  </si>
  <si>
    <t>+10.3%</t>
  </si>
  <si>
    <t>+5.5%</t>
  </si>
  <si>
    <t>+0.0%</t>
  </si>
  <si>
    <t>2/27/2018*a</t>
  </si>
  <si>
    <t>18-1577</t>
  </si>
  <si>
    <t>+26.5%</t>
  </si>
  <si>
    <t>+14.9%</t>
  </si>
  <si>
    <t>2/27/2018*b</t>
  </si>
  <si>
    <t>+25.6%</t>
  </si>
  <si>
    <t>2/27/2018*c</t>
  </si>
  <si>
    <t>18-1558</t>
  </si>
  <si>
    <t>+17.7%</t>
  </si>
  <si>
    <t>22-2021</t>
  </si>
  <si>
    <t>+39.1%**</t>
  </si>
  <si>
    <t>+34.9%</t>
  </si>
  <si>
    <t>** Originally filed for 14.9% but amended to 39.1%.</t>
  </si>
  <si>
    <t>PLUP</t>
  </si>
  <si>
    <t>17-4826</t>
  </si>
  <si>
    <t>+40.5%</t>
  </si>
  <si>
    <t>+115.4%</t>
  </si>
  <si>
    <t>17-8006</t>
  </si>
  <si>
    <t>+32.6%</t>
  </si>
  <si>
    <t>+86.9%</t>
  </si>
  <si>
    <t>19-3243</t>
  </si>
  <si>
    <t>+54.4%</t>
  </si>
  <si>
    <t>+5.4%</t>
  </si>
  <si>
    <t>23-600</t>
  </si>
  <si>
    <t>+22.7%</t>
  </si>
  <si>
    <t>+15.0%</t>
  </si>
  <si>
    <t>24-9</t>
  </si>
  <si>
    <t>+58.0%</t>
  </si>
  <si>
    <t>+40.0%</t>
  </si>
  <si>
    <t>10 Years of Rate History by Segment</t>
  </si>
  <si>
    <t>+20.9%</t>
  </si>
  <si>
    <t>Exhibit 13 Projected IRIS Ratios</t>
  </si>
  <si>
    <t>Baseline Scenario</t>
  </si>
  <si>
    <t>Two Year Overall Operating Ratio</t>
  </si>
  <si>
    <t>Gross Change in Policyholders' Surplus</t>
  </si>
  <si>
    <t>Change in Adjusted Policyholders' Surplus</t>
  </si>
  <si>
    <t>One-Year Reserve Development to Policyholders' Surplus</t>
  </si>
  <si>
    <t>Projected NAIC IRIS Ratios - State Farm General - Baseline</t>
  </si>
  <si>
    <t xml:space="preserve">Loss Reserve Development is not forecasted. </t>
  </si>
  <si>
    <t>Variance 6 Scenario</t>
  </si>
  <si>
    <t>Projected NAIC IRIS Ratios - State Farm General - Variance 6</t>
  </si>
  <si>
    <t>Catastrophe and Non-Catastrophe Direct Losses</t>
  </si>
  <si>
    <t>Catastrophe and Non-Catastrophe Net Losses</t>
  </si>
  <si>
    <t>Non-Catastrophe</t>
  </si>
  <si>
    <t>Catastrophe</t>
  </si>
  <si>
    <t>Direct Losses Paid</t>
  </si>
  <si>
    <t>Direct Losses Incurred</t>
  </si>
  <si>
    <t>Net Losses Paid</t>
  </si>
  <si>
    <t>Net Losses Incurred</t>
  </si>
  <si>
    <t>24-538</t>
  </si>
  <si>
    <t>N/A***</t>
  </si>
  <si>
    <t>+55.1%***</t>
  </si>
  <si>
    <t>+55.0%***</t>
  </si>
  <si>
    <t>Exhibit P</t>
  </si>
  <si>
    <t>*** Outstanding rate change. Originally filed for 36.3% but amended to 55.0%.  Amendment was not affiliated with Variance 6 filings.</t>
  </si>
  <si>
    <t>Exhibit M</t>
  </si>
  <si>
    <t>Exhibit O - Page 1</t>
  </si>
  <si>
    <t>Exhibit O - Page 2</t>
  </si>
  <si>
    <t>Exhibit Q</t>
  </si>
  <si>
    <t>California Rental Dwelling</t>
  </si>
  <si>
    <t>Internal Indication^</t>
  </si>
  <si>
    <t>^ Internal Indication is listed as N/A if an internal indication was not listed in the filing.</t>
  </si>
  <si>
    <t>* Three separate filings and indications for the Business owners Programs were submitted</t>
  </si>
  <si>
    <t xml:space="preserve">     (a. Miscellaneous, b. Mercantile Sevices, c. Office).</t>
  </si>
  <si>
    <t>* This filing was for Non-Tenant only. As such, rates shown only reflect this segment.</t>
  </si>
  <si>
    <t>** This filing was for Non-Tenant and Condo only. As such, rates shown only reflect these segments.</t>
  </si>
  <si>
    <t>+15.4%*</t>
  </si>
  <si>
    <t>+12.4%**</t>
  </si>
  <si>
    <t>+31.2%*</t>
  </si>
  <si>
    <t>+22.9%**</t>
  </si>
  <si>
    <t>+6.9%*</t>
  </si>
  <si>
    <t>+15.2%</t>
  </si>
  <si>
    <t>+8.9%</t>
  </si>
  <si>
    <t>+14.3%</t>
  </si>
  <si>
    <t>18-1556</t>
  </si>
  <si>
    <t>+36.4%</t>
  </si>
  <si>
    <t>+41.9%</t>
  </si>
  <si>
    <t>+56.3%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</si>
</sst>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_(* #,##0_);_(* \(#,##0\);_(* &quot;-&quot;??_);_(@_)"/>
    <numFmt numFmtId="167" formatCode="0.0000"/>
    <numFmt numFmtId="168" formatCode="_(&quot;$&quot;* #,##0_);_(&quot;$&quot;* \(#,##0\);_(&quot;$&quot;* &quot;-&quot;??_);_(@_)"/>
    <numFmt numFmtId="169" formatCode="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08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8"/>
      <color theme="1"/>
      <name val="Aptos"/>
      <family val="2"/>
    </font>
    <font>
      <sz val="11"/>
      <name val="Aptos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D9D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2" fillId="0" borderId="0"/>
    <xf numFmtId="44" fontId="13" fillId="0" borderId="0" applyFont="0" applyFill="0" applyBorder="0" applyAlignment="0" applyProtection="0"/>
    <xf numFmtId="0" fontId="5" fillId="0" borderId="0"/>
  </cellStyleXfs>
  <cellXfs count="263">
    <xf numFmtId="0" fontId="0" fillId="0" borderId="0" xfId="0"/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3" xfId="3" quotePrefix="1" applyFont="1" applyBorder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5" fontId="3" fillId="0" borderId="3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4" fillId="0" borderId="3" xfId="3" applyNumberFormat="1" applyFont="1" applyBorder="1" applyAlignment="1">
      <alignment horizontal="center"/>
    </xf>
    <xf numFmtId="164" fontId="3" fillId="0" borderId="3" xfId="3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4" xfId="3" quotePrefix="1" applyFont="1" applyBorder="1" applyAlignment="1">
      <alignment horizontal="center"/>
    </xf>
    <xf numFmtId="0" fontId="4" fillId="0" borderId="5" xfId="3" quotePrefix="1" applyFont="1" applyBorder="1" applyAlignment="1">
      <alignment horizontal="center"/>
    </xf>
    <xf numFmtId="0" fontId="4" fillId="0" borderId="6" xfId="3" quotePrefix="1" applyFont="1" applyBorder="1" applyAlignment="1">
      <alignment horizontal="center"/>
    </xf>
    <xf numFmtId="0" fontId="4" fillId="0" borderId="0" xfId="3" applyFont="1" applyAlignment="1">
      <alignment horizontal="center"/>
    </xf>
    <xf numFmtId="0" fontId="4" fillId="0" borderId="7" xfId="3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3" fontId="4" fillId="0" borderId="0" xfId="3" applyNumberFormat="1" applyFont="1" applyAlignment="1">
      <alignment horizontal="center"/>
    </xf>
    <xf numFmtId="164" fontId="3" fillId="0" borderId="0" xfId="3" applyNumberFormat="1" applyAlignment="1">
      <alignment horizontal="center"/>
    </xf>
    <xf numFmtId="165" fontId="3" fillId="0" borderId="7" xfId="2" applyNumberFormat="1" applyFont="1" applyBorder="1" applyAlignment="1">
      <alignment horizontal="center"/>
    </xf>
    <xf numFmtId="165" fontId="3" fillId="0" borderId="8" xfId="2" applyNumberFormat="1" applyFont="1" applyBorder="1" applyAlignment="1">
      <alignment horizontal="center"/>
    </xf>
    <xf numFmtId="0" fontId="0" fillId="0" borderId="5" xfId="0" applyBorder="1"/>
    <xf numFmtId="166" fontId="0" fillId="0" borderId="0" xfId="1" applyNumberFormat="1" applyFont="1" applyBorder="1"/>
    <xf numFmtId="164" fontId="0" fillId="0" borderId="7" xfId="0" applyNumberFormat="1" applyBorder="1" applyAlignment="1">
      <alignment horizontal="center"/>
    </xf>
    <xf numFmtId="166" fontId="0" fillId="0" borderId="3" xfId="1" applyNumberFormat="1" applyFont="1" applyBorder="1"/>
    <xf numFmtId="164" fontId="0" fillId="0" borderId="8" xfId="0" applyNumberFormat="1" applyBorder="1" applyAlignment="1">
      <alignment horizontal="center"/>
    </xf>
    <xf numFmtId="166" fontId="0" fillId="0" borderId="1" xfId="1" applyNumberFormat="1" applyFont="1" applyBorder="1"/>
    <xf numFmtId="166" fontId="0" fillId="0" borderId="0" xfId="0" applyNumberFormat="1"/>
    <xf numFmtId="166" fontId="0" fillId="0" borderId="2" xfId="1" applyNumberFormat="1" applyFont="1" applyBorder="1"/>
    <xf numFmtId="166" fontId="0" fillId="0" borderId="3" xfId="0" applyNumberFormat="1" applyBorder="1"/>
    <xf numFmtId="0" fontId="4" fillId="0" borderId="4" xfId="3" applyFont="1" applyBorder="1" applyAlignment="1">
      <alignment horizontal="center"/>
    </xf>
    <xf numFmtId="3" fontId="4" fillId="0" borderId="5" xfId="3" applyNumberFormat="1" applyFont="1" applyBorder="1" applyAlignment="1">
      <alignment horizontal="center"/>
    </xf>
    <xf numFmtId="164" fontId="3" fillId="0" borderId="5" xfId="3" applyNumberFormat="1" applyBorder="1" applyAlignment="1">
      <alignment horizontal="center"/>
    </xf>
    <xf numFmtId="165" fontId="3" fillId="0" borderId="6" xfId="2" applyNumberFormat="1" applyFont="1" applyBorder="1" applyAlignment="1">
      <alignment horizontal="center"/>
    </xf>
    <xf numFmtId="165" fontId="3" fillId="0" borderId="5" xfId="2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6" fontId="0" fillId="0" borderId="5" xfId="1" applyNumberFormat="1" applyFont="1" applyBorder="1"/>
    <xf numFmtId="164" fontId="0" fillId="0" borderId="6" xfId="0" applyNumberFormat="1" applyBorder="1" applyAlignment="1">
      <alignment horizontal="center"/>
    </xf>
    <xf numFmtId="166" fontId="0" fillId="0" borderId="4" xfId="1" applyNumberFormat="1" applyFont="1" applyBorder="1"/>
    <xf numFmtId="166" fontId="0" fillId="0" borderId="5" xfId="0" applyNumberFormat="1" applyBorder="1"/>
    <xf numFmtId="0" fontId="0" fillId="0" borderId="3" xfId="0" applyBorder="1"/>
    <xf numFmtId="43" fontId="0" fillId="0" borderId="0" xfId="1" applyFont="1"/>
    <xf numFmtId="43" fontId="0" fillId="0" borderId="0" xfId="0" applyNumberFormat="1"/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0" fontId="9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 wrapText="1"/>
    </xf>
    <xf numFmtId="0" fontId="10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/>
    <xf numFmtId="166" fontId="0" fillId="0" borderId="0" xfId="1" applyNumberFormat="1" applyFont="1"/>
    <xf numFmtId="0" fontId="0" fillId="2" borderId="0" xfId="0" applyFill="1"/>
    <xf numFmtId="0" fontId="12" fillId="0" borderId="0" xfId="4"/>
    <xf numFmtId="0" fontId="14" fillId="0" borderId="0" xfId="4" applyFont="1"/>
    <xf numFmtId="3" fontId="0" fillId="0" borderId="0" xfId="0" applyNumberForma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9" fillId="0" borderId="0" xfId="0" applyFont="1"/>
    <xf numFmtId="166" fontId="0" fillId="0" borderId="7" xfId="1" applyNumberFormat="1" applyFon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166" fontId="0" fillId="0" borderId="12" xfId="1" applyNumberFormat="1" applyFont="1" applyBorder="1" applyAlignment="1">
      <alignment horizontal="center"/>
    </xf>
    <xf numFmtId="165" fontId="0" fillId="0" borderId="0" xfId="2" applyNumberFormat="1" applyFont="1"/>
    <xf numFmtId="0" fontId="11" fillId="0" borderId="3" xfId="0" applyFont="1" applyBorder="1" applyAlignment="1">
      <alignment horizontal="center" vertical="center" wrapText="1"/>
    </xf>
    <xf numFmtId="38" fontId="11" fillId="0" borderId="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7" fontId="20" fillId="0" borderId="17" xfId="0" applyNumberFormat="1" applyFont="1" applyBorder="1" applyAlignment="1" applyProtection="1">
      <alignment vertical="center"/>
      <protection locked="0"/>
    </xf>
    <xf numFmtId="37" fontId="20" fillId="2" borderId="0" xfId="0" applyNumberFormat="1" applyFont="1" applyFill="1" applyAlignment="1" applyProtection="1">
      <alignment vertical="center"/>
      <protection locked="0"/>
    </xf>
    <xf numFmtId="0" fontId="2" fillId="0" borderId="0" xfId="0" applyFont="1" applyAlignment="1">
      <alignment horizontal="center" vertical="center" wrapText="1"/>
    </xf>
    <xf numFmtId="37" fontId="20" fillId="0" borderId="18" xfId="0" applyNumberFormat="1" applyFont="1" applyBorder="1" applyProtection="1">
      <protection locked="0"/>
    </xf>
    <xf numFmtId="37" fontId="20" fillId="0" borderId="17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0" fontId="12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9" xfId="0" applyFont="1" applyBorder="1" applyAlignment="1">
      <alignment vertical="center"/>
    </xf>
    <xf numFmtId="3" fontId="12" fillId="0" borderId="9" xfId="0" applyNumberFormat="1" applyFont="1" applyBorder="1" applyAlignment="1">
      <alignment vertical="center"/>
    </xf>
    <xf numFmtId="0" fontId="21" fillId="0" borderId="0" xfId="0" applyFont="1"/>
    <xf numFmtId="3" fontId="5" fillId="0" borderId="0" xfId="6" applyNumberFormat="1"/>
    <xf numFmtId="3" fontId="5" fillId="0" borderId="1" xfId="6" applyNumberFormat="1" applyBorder="1"/>
    <xf numFmtId="3" fontId="5" fillId="0" borderId="2" xfId="6" applyNumberFormat="1" applyBorder="1"/>
    <xf numFmtId="3" fontId="5" fillId="0" borderId="7" xfId="6" applyNumberFormat="1" applyBorder="1"/>
    <xf numFmtId="3" fontId="5" fillId="0" borderId="0" xfId="6" applyNumberFormat="1" applyAlignment="1">
      <alignment horizontal="center"/>
    </xf>
    <xf numFmtId="3" fontId="5" fillId="0" borderId="0" xfId="6" applyNumberFormat="1" applyAlignment="1">
      <alignment horizontal="center" vertical="center"/>
    </xf>
    <xf numFmtId="0" fontId="5" fillId="0" borderId="0" xfId="6"/>
    <xf numFmtId="3" fontId="15" fillId="0" borderId="0" xfId="6" applyNumberFormat="1" applyFont="1" applyAlignment="1">
      <alignment vertical="center" wrapText="1"/>
    </xf>
    <xf numFmtId="3" fontId="15" fillId="0" borderId="4" xfId="6" applyNumberFormat="1" applyFont="1" applyBorder="1" applyAlignment="1">
      <alignment vertical="center" wrapText="1"/>
    </xf>
    <xf numFmtId="169" fontId="5" fillId="0" borderId="7" xfId="6" applyNumberFormat="1" applyBorder="1"/>
    <xf numFmtId="3" fontId="5" fillId="0" borderId="3" xfId="6" applyNumberFormat="1" applyBorder="1"/>
    <xf numFmtId="169" fontId="5" fillId="0" borderId="8" xfId="6" applyNumberFormat="1" applyBorder="1"/>
    <xf numFmtId="3" fontId="5" fillId="0" borderId="8" xfId="6" applyNumberFormat="1" applyBorder="1"/>
    <xf numFmtId="3" fontId="5" fillId="0" borderId="2" xfId="6" applyNumberFormat="1" applyBorder="1" applyAlignment="1">
      <alignment horizontal="center" vertical="center"/>
    </xf>
    <xf numFmtId="3" fontId="5" fillId="0" borderId="3" xfId="6" applyNumberFormat="1" applyBorder="1" applyAlignment="1">
      <alignment horizontal="center" vertical="center"/>
    </xf>
    <xf numFmtId="3" fontId="5" fillId="0" borderId="8" xfId="6" applyNumberFormat="1" applyBorder="1" applyAlignment="1">
      <alignment horizontal="center" vertical="center"/>
    </xf>
    <xf numFmtId="0" fontId="15" fillId="0" borderId="4" xfId="6" applyFont="1" applyBorder="1" applyAlignment="1">
      <alignment horizontal="center" vertical="center"/>
    </xf>
    <xf numFmtId="0" fontId="5" fillId="0" borderId="1" xfId="6" applyBorder="1" applyAlignment="1">
      <alignment horizontal="center"/>
    </xf>
    <xf numFmtId="0" fontId="5" fillId="0" borderId="2" xfId="6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 wrapText="1"/>
    </xf>
    <xf numFmtId="14" fontId="0" fillId="3" borderId="4" xfId="0" quotePrefix="1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quotePrefix="1" applyNumberForma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7" xfId="0" quotePrefix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14" fontId="0" fillId="3" borderId="4" xfId="0" applyNumberForma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10" fontId="0" fillId="3" borderId="6" xfId="0" applyNumberFormat="1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23" fillId="0" borderId="21" xfId="0" applyFont="1" applyBorder="1" applyAlignment="1">
      <alignment vertical="center"/>
    </xf>
    <xf numFmtId="0" fontId="22" fillId="0" borderId="22" xfId="0" applyFont="1" applyBorder="1" applyAlignment="1">
      <alignment horizontal="right" vertical="center"/>
    </xf>
    <xf numFmtId="0" fontId="23" fillId="0" borderId="22" xfId="0" applyFont="1" applyBorder="1" applyAlignment="1">
      <alignment horizontal="right" vertical="center"/>
    </xf>
    <xf numFmtId="0" fontId="0" fillId="0" borderId="21" xfId="0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22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2" fillId="0" borderId="0" xfId="4" applyAlignment="1">
      <alignment horizontal="left" indent="1"/>
    </xf>
    <xf numFmtId="168" fontId="0" fillId="0" borderId="0" xfId="5" applyNumberFormat="1" applyFont="1" applyFill="1" applyBorder="1"/>
    <xf numFmtId="168" fontId="14" fillId="0" borderId="0" xfId="5" applyNumberFormat="1" applyFont="1" applyFill="1" applyBorder="1"/>
    <xf numFmtId="0" fontId="13" fillId="0" borderId="0" xfId="4" applyFont="1" applyAlignment="1">
      <alignment horizontal="left" indent="1"/>
    </xf>
    <xf numFmtId="0" fontId="14" fillId="0" borderId="0" xfId="4" applyFont="1" applyAlignment="1">
      <alignment vertical="center"/>
    </xf>
    <xf numFmtId="0" fontId="19" fillId="0" borderId="4" xfId="0" applyFont="1" applyBorder="1"/>
    <xf numFmtId="0" fontId="12" fillId="0" borderId="1" xfId="0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3" fontId="12" fillId="0" borderId="0" xfId="0" quotePrefix="1" applyNumberFormat="1" applyFont="1" applyAlignment="1">
      <alignment horizontal="center" vertical="center"/>
    </xf>
    <xf numFmtId="3" fontId="12" fillId="0" borderId="7" xfId="0" quotePrefix="1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3" fontId="12" fillId="0" borderId="3" xfId="0" applyNumberFormat="1" applyFont="1" applyBorder="1" applyAlignment="1">
      <alignment horizontal="center" vertical="center"/>
    </xf>
    <xf numFmtId="3" fontId="12" fillId="0" borderId="3" xfId="0" quotePrefix="1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3" fontId="12" fillId="0" borderId="8" xfId="0" quotePrefix="1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4" xfId="0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2" fillId="0" borderId="0" xfId="4" applyAlignment="1">
      <alignment horizontal="center" vertical="center"/>
    </xf>
    <xf numFmtId="0" fontId="12" fillId="0" borderId="0" xfId="4" applyAlignment="1">
      <alignment horizontal="center"/>
    </xf>
    <xf numFmtId="168" fontId="12" fillId="0" borderId="0" xfId="5" applyNumberFormat="1" applyFont="1" applyFill="1" applyBorder="1" applyAlignment="1">
      <alignment horizontal="center"/>
    </xf>
    <xf numFmtId="168" fontId="1" fillId="0" borderId="0" xfId="5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2" fillId="0" borderId="0" xfId="1" applyNumberFormat="1" applyFont="1" applyBorder="1" applyAlignment="1">
      <alignment horizontal="center"/>
    </xf>
    <xf numFmtId="166" fontId="12" fillId="0" borderId="7" xfId="1" applyNumberFormat="1" applyFont="1" applyBorder="1" applyAlignment="1">
      <alignment horizontal="center"/>
    </xf>
    <xf numFmtId="166" fontId="12" fillId="0" borderId="1" xfId="1" applyNumberFormat="1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center"/>
    </xf>
    <xf numFmtId="166" fontId="12" fillId="0" borderId="3" xfId="1" applyNumberFormat="1" applyFont="1" applyBorder="1" applyAlignment="1">
      <alignment horizontal="center"/>
    </xf>
    <xf numFmtId="166" fontId="12" fillId="0" borderId="8" xfId="1" applyNumberFormat="1" applyFont="1" applyBorder="1" applyAlignment="1">
      <alignment horizontal="center"/>
    </xf>
    <xf numFmtId="0" fontId="12" fillId="0" borderId="4" xfId="4" applyBorder="1" applyAlignment="1">
      <alignment horizontal="center"/>
    </xf>
    <xf numFmtId="0" fontId="12" fillId="0" borderId="1" xfId="4" applyBorder="1" applyAlignment="1">
      <alignment horizontal="center"/>
    </xf>
    <xf numFmtId="0" fontId="12" fillId="0" borderId="2" xfId="4" applyBorder="1" applyAlignment="1">
      <alignment horizontal="center"/>
    </xf>
    <xf numFmtId="166" fontId="12" fillId="0" borderId="1" xfId="1" applyNumberFormat="1" applyFont="1" applyBorder="1" applyAlignment="1">
      <alignment horizontal="center"/>
    </xf>
    <xf numFmtId="166" fontId="12" fillId="0" borderId="2" xfId="1" applyNumberFormat="1" applyFont="1" applyBorder="1" applyAlignment="1">
      <alignment horizontal="center"/>
    </xf>
    <xf numFmtId="168" fontId="1" fillId="0" borderId="11" xfId="5" applyNumberFormat="1" applyFont="1" applyFill="1" applyBorder="1" applyAlignment="1">
      <alignment horizontal="center"/>
    </xf>
    <xf numFmtId="0" fontId="12" fillId="0" borderId="14" xfId="4" applyBorder="1" applyAlignment="1">
      <alignment horizontal="center"/>
    </xf>
    <xf numFmtId="0" fontId="12" fillId="0" borderId="12" xfId="4" applyBorder="1" applyAlignment="1">
      <alignment horizontal="center"/>
    </xf>
    <xf numFmtId="0" fontId="12" fillId="0" borderId="11" xfId="4" applyBorder="1" applyAlignment="1">
      <alignment horizontal="center"/>
    </xf>
    <xf numFmtId="0" fontId="6" fillId="0" borderId="0" xfId="0" applyFont="1"/>
    <xf numFmtId="166" fontId="0" fillId="0" borderId="1" xfId="1" applyNumberFormat="1" applyFont="1" applyBorder="1" applyAlignment="1">
      <alignment horizontal="center"/>
    </xf>
    <xf numFmtId="166" fontId="0" fillId="0" borderId="2" xfId="1" applyNumberFormat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4" xfId="1" applyNumberFormat="1" applyFont="1" applyBorder="1" applyAlignment="1">
      <alignment horizontal="center"/>
    </xf>
    <xf numFmtId="165" fontId="0" fillId="0" borderId="3" xfId="0" quotePrefix="1" applyNumberFormat="1" applyBorder="1" applyAlignment="1">
      <alignment horizontal="center"/>
    </xf>
    <xf numFmtId="3" fontId="0" fillId="0" borderId="4" xfId="0" applyNumberFormat="1" applyBorder="1"/>
    <xf numFmtId="3" fontId="0" fillId="0" borderId="1" xfId="0" applyNumberFormat="1" applyBorder="1"/>
    <xf numFmtId="3" fontId="3" fillId="0" borderId="0" xfId="3" applyNumberFormat="1" applyAlignment="1">
      <alignment horizontal="center"/>
    </xf>
    <xf numFmtId="3" fontId="3" fillId="0" borderId="3" xfId="3" applyNumberFormat="1" applyBorder="1" applyAlignment="1">
      <alignment horizontal="center"/>
    </xf>
    <xf numFmtId="3" fontId="0" fillId="0" borderId="2" xfId="0" applyNumberFormat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2" fillId="4" borderId="19" xfId="0" applyFont="1" applyFill="1" applyBorder="1" applyAlignment="1">
      <alignment horizontal="left" vertical="center"/>
    </xf>
    <xf numFmtId="0" fontId="22" fillId="4" borderId="10" xfId="0" applyFont="1" applyFill="1" applyBorder="1" applyAlignment="1">
      <alignment horizontal="left" vertical="center"/>
    </xf>
    <xf numFmtId="0" fontId="22" fillId="4" borderId="20" xfId="0" applyFont="1" applyFill="1" applyBorder="1" applyAlignment="1">
      <alignment horizontal="left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2" fillId="4" borderId="19" xfId="0" applyFont="1" applyFill="1" applyBorder="1" applyAlignment="1">
      <alignment vertical="center"/>
    </xf>
    <xf numFmtId="0" fontId="22" fillId="4" borderId="10" xfId="0" applyFont="1" applyFill="1" applyBorder="1" applyAlignment="1">
      <alignment vertical="center"/>
    </xf>
    <xf numFmtId="0" fontId="22" fillId="4" borderId="20" xfId="0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3" fontId="16" fillId="0" borderId="0" xfId="6" applyNumberFormat="1" applyFont="1" applyAlignment="1">
      <alignment horizontal="center"/>
    </xf>
    <xf numFmtId="3" fontId="5" fillId="0" borderId="4" xfId="6" applyNumberFormat="1" applyBorder="1" applyAlignment="1">
      <alignment horizontal="center"/>
    </xf>
    <xf numFmtId="3" fontId="5" fillId="0" borderId="5" xfId="6" applyNumberFormat="1" applyBorder="1" applyAlignment="1">
      <alignment horizontal="center"/>
    </xf>
    <xf numFmtId="3" fontId="5" fillId="0" borderId="6" xfId="6" applyNumberFormat="1" applyBorder="1" applyAlignment="1">
      <alignment horizontal="center"/>
    </xf>
    <xf numFmtId="3" fontId="5" fillId="0" borderId="4" xfId="6" applyNumberFormat="1" applyBorder="1" applyAlignment="1">
      <alignment horizontal="center" vertical="center"/>
    </xf>
    <xf numFmtId="3" fontId="5" fillId="0" borderId="5" xfId="6" applyNumberFormat="1" applyBorder="1" applyAlignment="1">
      <alignment horizontal="center" vertical="center"/>
    </xf>
    <xf numFmtId="3" fontId="5" fillId="0" borderId="6" xfId="6" applyNumberFormat="1" applyBorder="1" applyAlignment="1">
      <alignment horizontal="center" vertical="center"/>
    </xf>
    <xf numFmtId="3" fontId="5" fillId="0" borderId="6" xfId="6" applyNumberFormat="1" applyBorder="1" applyAlignment="1">
      <alignment horizontal="center" vertical="center" wrapText="1"/>
    </xf>
    <xf numFmtId="3" fontId="5" fillId="0" borderId="8" xfId="6" applyNumberFormat="1" applyBorder="1" applyAlignment="1">
      <alignment horizontal="center" vertical="center" wrapText="1"/>
    </xf>
    <xf numFmtId="3" fontId="5" fillId="0" borderId="11" xfId="6" applyNumberFormat="1" applyBorder="1" applyAlignment="1">
      <alignment horizontal="center"/>
    </xf>
    <xf numFmtId="3" fontId="5" fillId="0" borderId="14" xfId="6" applyNumberFormat="1" applyBorder="1" applyAlignment="1">
      <alignment horizontal="center"/>
    </xf>
    <xf numFmtId="3" fontId="5" fillId="0" borderId="12" xfId="6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8" fontId="14" fillId="0" borderId="4" xfId="5" applyNumberFormat="1" applyFont="1" applyFill="1" applyBorder="1" applyAlignment="1">
      <alignment horizontal="center"/>
    </xf>
    <xf numFmtId="168" fontId="14" fillId="0" borderId="5" xfId="5" applyNumberFormat="1" applyFont="1" applyFill="1" applyBorder="1" applyAlignment="1">
      <alignment horizontal="center"/>
    </xf>
    <xf numFmtId="168" fontId="14" fillId="0" borderId="6" xfId="5" applyNumberFormat="1" applyFont="1" applyFill="1" applyBorder="1" applyAlignment="1">
      <alignment horizontal="center"/>
    </xf>
    <xf numFmtId="0" fontId="14" fillId="0" borderId="4" xfId="4" applyFont="1" applyBorder="1" applyAlignment="1">
      <alignment horizontal="center"/>
    </xf>
    <xf numFmtId="0" fontId="14" fillId="0" borderId="5" xfId="4" applyFont="1" applyBorder="1" applyAlignment="1">
      <alignment horizontal="center"/>
    </xf>
    <xf numFmtId="0" fontId="14" fillId="0" borderId="6" xfId="4" applyFont="1" applyBorder="1" applyAlignment="1">
      <alignment horizontal="center"/>
    </xf>
    <xf numFmtId="0" fontId="14" fillId="0" borderId="0" xfId="4" applyFont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7">
    <cellStyle name="Comma" xfId="1" builtinId="3"/>
    <cellStyle name="Currency 2" xfId="5" xr:uid="{C12C1990-DBB5-4F44-8124-8CC6FD4EA23D}"/>
    <cellStyle name="Normal" xfId="0" builtinId="0"/>
    <cellStyle name="Normal 12" xfId="3" xr:uid="{27CBB781-76D7-4D94-8421-A5BB76DEA1ED}"/>
    <cellStyle name="Normal 2" xfId="4" xr:uid="{AD729DAA-7D37-42AC-9496-B70892E23CB7}"/>
    <cellStyle name="Normal 3" xfId="6" xr:uid="{CC70E16C-0D8C-4052-A8A7-FE3EE04E22F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State%20Files%202019%20and%20Forward\California\2025\HO\Filing\Filing%20Documents\TN%20Filing\Standard%20Exhibits\TN%20StdExhTl%20No%20Var.xlsm" TargetMode="External"/><Relationship Id="rId1" Type="http://schemas.openxmlformats.org/officeDocument/2006/relationships/externalLinkPath" Target="/P-C%20ACTUARIAL/HOMEOWNERS/State%20Files%202019%20and%20Forward/California/2025/HO/Filing/Filing%20Documents/TN%20Filing/Standard%20Exhibits/TN%20StdExhTl%20No%20Va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P-C%20ACTUARIAL\HOMEOWNERS\State%20Files%202019%20and%20Forward\California\2025\HO\Filing\Filing%20Documents\NT%20Filing\Standard%20Exhibits\NT%20StdExhTl%20No%20Var.xlsm" TargetMode="External"/><Relationship Id="rId1" Type="http://schemas.openxmlformats.org/officeDocument/2006/relationships/externalLinkPath" Target="/P-C%20ACTUARIAL/HOMEOWNERS/State%20Files%202019%20and%20Forward/California/2025/HO/Filing/Filing%20Documents/NT%20Filing/Standard%20Exhibits/NT%20StdExhTl%20No%20Va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nstructions"/>
      <sheetName val="References"/>
      <sheetName val="1.General"/>
      <sheetName val="2.Exhibit 5"/>
      <sheetName val="3.Exhibit 7 - Annual"/>
      <sheetName val="4.Exhibit 8"/>
    </sheetNames>
    <sheetDataSet>
      <sheetData sheetId="0"/>
      <sheetData sheetId="1"/>
      <sheetData sheetId="2"/>
      <sheetData sheetId="3">
        <row r="43">
          <cell r="C43" t="str">
            <v>Excludes DCCE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ttings"/>
      <sheetName val="Instructions"/>
      <sheetName val="References"/>
      <sheetName val="1.General"/>
      <sheetName val="2.Exhibit 5"/>
      <sheetName val="3.Exhibit 7 - Annual"/>
      <sheetName val="4.Exhibit 8"/>
    </sheetNames>
    <sheetDataSet>
      <sheetData sheetId="0" refreshError="1"/>
      <sheetData sheetId="1" refreshError="1"/>
      <sheetData sheetId="2" refreshError="1"/>
      <sheetData sheetId="3">
        <row r="37">
          <cell r="C37">
            <v>20234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CE17-0C74-416C-8487-7B15AF25EF83}">
  <dimension ref="A2:E47"/>
  <sheetViews>
    <sheetView tabSelected="1" zoomScaleNormal="100" workbookViewId="0">
      <selection activeCell="A38" sqref="A38"/>
    </sheetView>
  </sheetViews>
  <sheetFormatPr defaultRowHeight="15" x14ac:dyDescent="0.25"/>
  <cols>
    <col min="1" max="1" width="13.85546875" customWidth="1"/>
    <col min="2" max="2" width="14.85546875" customWidth="1"/>
    <col min="3" max="3" width="16.28515625" customWidth="1"/>
    <col min="4" max="5" width="13.85546875" customWidth="1"/>
  </cols>
  <sheetData>
    <row r="2" spans="1:5" x14ac:dyDescent="0.25">
      <c r="A2" s="219" t="s">
        <v>38</v>
      </c>
      <c r="B2" s="219"/>
      <c r="C2" s="219"/>
      <c r="D2" s="219"/>
      <c r="E2" s="219"/>
    </row>
    <row r="3" spans="1:5" x14ac:dyDescent="0.25">
      <c r="A3" s="219" t="s">
        <v>0</v>
      </c>
      <c r="B3" s="219"/>
      <c r="C3" s="219"/>
      <c r="D3" s="219"/>
      <c r="E3" s="219"/>
    </row>
    <row r="4" spans="1:5" x14ac:dyDescent="0.25">
      <c r="A4" s="219" t="s">
        <v>224</v>
      </c>
      <c r="B4" s="219"/>
      <c r="C4" s="219"/>
      <c r="D4" s="219"/>
      <c r="E4" s="219"/>
    </row>
    <row r="5" spans="1:5" x14ac:dyDescent="0.25">
      <c r="A5" s="219" t="s">
        <v>37</v>
      </c>
      <c r="B5" s="219"/>
      <c r="C5" s="219"/>
      <c r="D5" s="219"/>
      <c r="E5" s="219"/>
    </row>
    <row r="9" spans="1:5" x14ac:dyDescent="0.25">
      <c r="A9" s="13" t="s">
        <v>11</v>
      </c>
      <c r="B9" s="14" t="s">
        <v>12</v>
      </c>
      <c r="C9" s="14" t="s">
        <v>13</v>
      </c>
      <c r="D9" s="14" t="s">
        <v>14</v>
      </c>
      <c r="E9" s="15" t="s">
        <v>15</v>
      </c>
    </row>
    <row r="10" spans="1:5" x14ac:dyDescent="0.25">
      <c r="A10" s="16" t="s">
        <v>2</v>
      </c>
      <c r="B10" s="7"/>
      <c r="C10" s="7" t="s">
        <v>3</v>
      </c>
      <c r="D10" s="7" t="s">
        <v>4</v>
      </c>
      <c r="E10" s="17"/>
    </row>
    <row r="11" spans="1:5" x14ac:dyDescent="0.25">
      <c r="A11" s="20" t="s">
        <v>5</v>
      </c>
      <c r="B11" s="24" t="s">
        <v>6</v>
      </c>
      <c r="C11" s="24" t="s">
        <v>7</v>
      </c>
      <c r="D11" s="24" t="s">
        <v>8</v>
      </c>
      <c r="E11" s="25" t="s">
        <v>9</v>
      </c>
    </row>
    <row r="12" spans="1:5" x14ac:dyDescent="0.25">
      <c r="A12" s="16">
        <v>1990</v>
      </c>
      <c r="B12" s="18">
        <v>22669159.870582473</v>
      </c>
      <c r="C12" s="18">
        <v>7193778.1199999992</v>
      </c>
      <c r="D12" s="10">
        <f>C12/B12</f>
        <v>0.3173376587870505</v>
      </c>
      <c r="E12" s="19">
        <v>1.70952662775328E-2</v>
      </c>
    </row>
    <row r="13" spans="1:5" x14ac:dyDescent="0.25">
      <c r="A13" s="16">
        <v>1991</v>
      </c>
      <c r="B13" s="18">
        <v>25409163.615049936</v>
      </c>
      <c r="C13" s="18">
        <v>15364567.199999999</v>
      </c>
      <c r="D13" s="10">
        <f t="shared" ref="D13:D45" si="0">C13/B13</f>
        <v>0.60468606652206025</v>
      </c>
      <c r="E13" s="19">
        <v>1.70952662775328E-2</v>
      </c>
    </row>
    <row r="14" spans="1:5" x14ac:dyDescent="0.25">
      <c r="A14" s="16">
        <v>1992</v>
      </c>
      <c r="B14" s="18">
        <v>28625075.44421209</v>
      </c>
      <c r="C14" s="18">
        <v>12311015.82</v>
      </c>
      <c r="D14" s="10">
        <f t="shared" si="0"/>
        <v>0.43007802176777332</v>
      </c>
      <c r="E14" s="19">
        <v>1.70952662775328E-2</v>
      </c>
    </row>
    <row r="15" spans="1:5" x14ac:dyDescent="0.25">
      <c r="A15" s="16">
        <v>1993</v>
      </c>
      <c r="B15" s="18">
        <v>31814120.981618617</v>
      </c>
      <c r="C15" s="18">
        <v>7616321.6999999993</v>
      </c>
      <c r="D15" s="10">
        <f t="shared" si="0"/>
        <v>0.23940066439052377</v>
      </c>
      <c r="E15" s="19">
        <v>1.70952662775328E-2</v>
      </c>
    </row>
    <row r="16" spans="1:5" x14ac:dyDescent="0.25">
      <c r="A16" s="16">
        <v>1994</v>
      </c>
      <c r="B16" s="18">
        <v>33992814.011933297</v>
      </c>
      <c r="C16" s="18">
        <v>5688373.7800000003</v>
      </c>
      <c r="D16" s="10">
        <f t="shared" si="0"/>
        <v>0.16734047902015634</v>
      </c>
      <c r="E16" s="19">
        <v>1.70952662775328E-2</v>
      </c>
    </row>
    <row r="17" spans="1:5" x14ac:dyDescent="0.25">
      <c r="A17" s="16">
        <v>1995</v>
      </c>
      <c r="B17" s="18">
        <v>34739100.501000009</v>
      </c>
      <c r="C17" s="18">
        <v>11969904.75</v>
      </c>
      <c r="D17" s="10">
        <f t="shared" si="0"/>
        <v>0.34456576530113181</v>
      </c>
      <c r="E17" s="19">
        <v>1.70952662775328E-2</v>
      </c>
    </row>
    <row r="18" spans="1:5" x14ac:dyDescent="0.25">
      <c r="A18" s="16">
        <v>1996</v>
      </c>
      <c r="B18" s="18">
        <v>34779929.516000018</v>
      </c>
      <c r="C18" s="18">
        <v>5916892.0200000005</v>
      </c>
      <c r="D18" s="10">
        <f t="shared" si="0"/>
        <v>0.17012374959753779</v>
      </c>
      <c r="E18" s="19">
        <v>1.70952662775328E-2</v>
      </c>
    </row>
    <row r="19" spans="1:5" x14ac:dyDescent="0.25">
      <c r="A19" s="16">
        <v>1997</v>
      </c>
      <c r="B19" s="18">
        <v>36122572.992000058</v>
      </c>
      <c r="C19" s="18">
        <v>5124532.8599999994</v>
      </c>
      <c r="D19" s="10">
        <f t="shared" si="0"/>
        <v>0.14186511191035345</v>
      </c>
      <c r="E19" s="19">
        <v>1.70952662775328E-2</v>
      </c>
    </row>
    <row r="20" spans="1:5" x14ac:dyDescent="0.25">
      <c r="A20" s="16">
        <v>1998</v>
      </c>
      <c r="B20" s="18">
        <v>36501494.030999988</v>
      </c>
      <c r="C20" s="18">
        <v>7047288.5099999998</v>
      </c>
      <c r="D20" s="10">
        <f t="shared" si="0"/>
        <v>0.19306849478585394</v>
      </c>
      <c r="E20" s="19">
        <v>1.70952662775328E-2</v>
      </c>
    </row>
    <row r="21" spans="1:5" x14ac:dyDescent="0.25">
      <c r="A21" s="16">
        <v>1999</v>
      </c>
      <c r="B21" s="18">
        <v>36493653.845999971</v>
      </c>
      <c r="C21" s="18">
        <v>2068944.4500000002</v>
      </c>
      <c r="D21" s="10">
        <f t="shared" si="0"/>
        <v>5.6693266690443354E-2</v>
      </c>
      <c r="E21" s="19">
        <v>1.70952662775328E-2</v>
      </c>
    </row>
    <row r="22" spans="1:5" x14ac:dyDescent="0.25">
      <c r="A22" s="16">
        <v>2000</v>
      </c>
      <c r="B22" s="18">
        <v>36930109.144000024</v>
      </c>
      <c r="C22" s="18">
        <v>1852558.28</v>
      </c>
      <c r="D22" s="10">
        <f t="shared" si="0"/>
        <v>5.0163899401878216E-2</v>
      </c>
      <c r="E22" s="19">
        <v>1.7995017134245048E-2</v>
      </c>
    </row>
    <row r="23" spans="1:5" x14ac:dyDescent="0.25">
      <c r="A23" s="16">
        <v>2001</v>
      </c>
      <c r="B23" s="18">
        <v>37920993.666999996</v>
      </c>
      <c r="C23" s="18">
        <v>2703004.67</v>
      </c>
      <c r="D23" s="10">
        <f t="shared" si="0"/>
        <v>7.1279900883827227E-2</v>
      </c>
      <c r="E23" s="19">
        <v>1.8942123299205312E-2</v>
      </c>
    </row>
    <row r="24" spans="1:5" x14ac:dyDescent="0.25">
      <c r="A24" s="16">
        <v>2002</v>
      </c>
      <c r="B24" s="18">
        <v>39832457.35400001</v>
      </c>
      <c r="C24" s="18">
        <v>4725555.53</v>
      </c>
      <c r="D24" s="10">
        <f t="shared" si="0"/>
        <v>0.11863580215508486</v>
      </c>
      <c r="E24" s="19">
        <v>1.9939077157058227E-2</v>
      </c>
    </row>
    <row r="25" spans="1:5" x14ac:dyDescent="0.25">
      <c r="A25" s="16">
        <v>2003</v>
      </c>
      <c r="B25" s="18">
        <v>38919085.285000004</v>
      </c>
      <c r="C25" s="18">
        <v>38672476.030000001</v>
      </c>
      <c r="D25" s="10">
        <f t="shared" si="0"/>
        <v>0.99366353928428397</v>
      </c>
      <c r="E25" s="19">
        <v>2.0988502270587604E-2</v>
      </c>
    </row>
    <row r="26" spans="1:5" x14ac:dyDescent="0.25">
      <c r="A26" s="16">
        <v>2004</v>
      </c>
      <c r="B26" s="18">
        <v>41520960.881000027</v>
      </c>
      <c r="C26" s="18">
        <v>-12605325.969999999</v>
      </c>
      <c r="D26" s="10">
        <f t="shared" si="0"/>
        <v>-0.30358945704862506</v>
      </c>
      <c r="E26" s="19">
        <v>2.2093160284829057E-2</v>
      </c>
    </row>
    <row r="27" spans="1:5" x14ac:dyDescent="0.25">
      <c r="A27" s="16">
        <v>2005</v>
      </c>
      <c r="B27" s="18">
        <v>46506147.005000018</v>
      </c>
      <c r="C27" s="18">
        <v>2171754.7100000004</v>
      </c>
      <c r="D27" s="10">
        <f t="shared" si="0"/>
        <v>4.6698229155954556E-2</v>
      </c>
      <c r="E27" s="19">
        <v>2.3255958194556905E-2</v>
      </c>
    </row>
    <row r="28" spans="1:5" x14ac:dyDescent="0.25">
      <c r="A28" s="16">
        <v>2006</v>
      </c>
      <c r="B28" s="18">
        <v>51410342.343000039</v>
      </c>
      <c r="C28" s="18">
        <v>2929122</v>
      </c>
      <c r="D28" s="10">
        <f t="shared" si="0"/>
        <v>5.6975345164158885E-2</v>
      </c>
      <c r="E28" s="19">
        <v>2.4479955994270428E-2</v>
      </c>
    </row>
    <row r="29" spans="1:5" x14ac:dyDescent="0.25">
      <c r="A29" s="16">
        <v>2007</v>
      </c>
      <c r="B29" s="18">
        <v>56109428.332000077</v>
      </c>
      <c r="C29" s="18">
        <v>18500876.690000001</v>
      </c>
      <c r="D29" s="10">
        <f t="shared" si="0"/>
        <v>0.32972848307293595</v>
      </c>
      <c r="E29" s="19">
        <v>2.5768374730810978E-2</v>
      </c>
    </row>
    <row r="30" spans="1:5" x14ac:dyDescent="0.25">
      <c r="A30" s="16">
        <v>2008</v>
      </c>
      <c r="B30" s="18">
        <v>61172638.638000049</v>
      </c>
      <c r="C30" s="18">
        <v>10406983.08</v>
      </c>
      <c r="D30" s="10">
        <f t="shared" si="0"/>
        <v>0.17012480271752164</v>
      </c>
      <c r="E30" s="19">
        <v>2.7124604979801025E-2</v>
      </c>
    </row>
    <row r="31" spans="1:5" x14ac:dyDescent="0.25">
      <c r="A31" s="16">
        <v>2009</v>
      </c>
      <c r="B31" s="18">
        <v>67345854.831000045</v>
      </c>
      <c r="C31" s="18">
        <v>1526712.49</v>
      </c>
      <c r="D31" s="10">
        <f t="shared" si="0"/>
        <v>2.2669732143591966E-2</v>
      </c>
      <c r="E31" s="19">
        <v>2.8552215768211604E-2</v>
      </c>
    </row>
    <row r="32" spans="1:5" x14ac:dyDescent="0.25">
      <c r="A32" s="16">
        <v>2010</v>
      </c>
      <c r="B32" s="18">
        <v>69920403.749000028</v>
      </c>
      <c r="C32" s="18">
        <v>11698573.17</v>
      </c>
      <c r="D32" s="10">
        <f t="shared" si="0"/>
        <v>0.16731272336463457</v>
      </c>
      <c r="E32" s="19">
        <v>3.0054963966538534E-2</v>
      </c>
    </row>
    <row r="33" spans="1:5" x14ac:dyDescent="0.25">
      <c r="A33" s="16">
        <v>2011</v>
      </c>
      <c r="B33" s="18">
        <v>72615243.605000108</v>
      </c>
      <c r="C33" s="18">
        <v>6466402.6000000006</v>
      </c>
      <c r="D33" s="10">
        <f t="shared" si="0"/>
        <v>8.9050208729930358E-2</v>
      </c>
      <c r="E33" s="19">
        <v>3.163680417530372E-2</v>
      </c>
    </row>
    <row r="34" spans="1:5" x14ac:dyDescent="0.25">
      <c r="A34" s="16">
        <v>2012</v>
      </c>
      <c r="B34" s="18">
        <v>76192227.591000095</v>
      </c>
      <c r="C34" s="18">
        <v>7120235.2199999997</v>
      </c>
      <c r="D34" s="10">
        <f t="shared" si="0"/>
        <v>9.34509390934391E-2</v>
      </c>
      <c r="E34" s="19">
        <v>3.3301899131898655E-2</v>
      </c>
    </row>
    <row r="35" spans="1:5" x14ac:dyDescent="0.25">
      <c r="A35" s="16">
        <v>2013</v>
      </c>
      <c r="B35" s="18">
        <v>79825945.786000058</v>
      </c>
      <c r="C35" s="18">
        <v>7904944.4499999993</v>
      </c>
      <c r="D35" s="10">
        <f t="shared" si="0"/>
        <v>9.9027257017308967E-2</v>
      </c>
      <c r="E35" s="19">
        <v>3.5054630665156482E-2</v>
      </c>
    </row>
    <row r="36" spans="1:5" x14ac:dyDescent="0.25">
      <c r="A36" s="16">
        <v>2014</v>
      </c>
      <c r="B36" s="18">
        <v>82770359.739000067</v>
      </c>
      <c r="C36" s="18">
        <v>10162235.08</v>
      </c>
      <c r="D36" s="10">
        <f t="shared" si="0"/>
        <v>0.12277625845827655</v>
      </c>
      <c r="E36" s="19">
        <v>3.68996112264805E-2</v>
      </c>
    </row>
    <row r="37" spans="1:5" x14ac:dyDescent="0.25">
      <c r="A37" s="16">
        <v>2015</v>
      </c>
      <c r="B37" s="18">
        <v>86128334.285000086</v>
      </c>
      <c r="C37" s="18">
        <v>19166165.210000001</v>
      </c>
      <c r="D37" s="10">
        <f t="shared" si="0"/>
        <v>0.22253031327157499</v>
      </c>
      <c r="E37" s="19">
        <v>3.8841696027874212E-2</v>
      </c>
    </row>
    <row r="38" spans="1:5" x14ac:dyDescent="0.25">
      <c r="A38" s="16">
        <v>2016</v>
      </c>
      <c r="B38" s="18">
        <v>88418228.87800014</v>
      </c>
      <c r="C38" s="18">
        <v>2650350.6799999997</v>
      </c>
      <c r="D38" s="10">
        <f t="shared" si="0"/>
        <v>2.9975161385068741E-2</v>
      </c>
      <c r="E38" s="19">
        <v>4.0885995818814962E-2</v>
      </c>
    </row>
    <row r="39" spans="1:5" x14ac:dyDescent="0.25">
      <c r="A39" s="16">
        <v>2017</v>
      </c>
      <c r="B39" s="18">
        <v>90721295.580000147</v>
      </c>
      <c r="C39" s="18">
        <v>250065842.95000002</v>
      </c>
      <c r="D39" s="10">
        <f t="shared" si="0"/>
        <v>2.7564183398316455</v>
      </c>
      <c r="E39" s="19">
        <v>4.3037890335594693E-2</v>
      </c>
    </row>
    <row r="40" spans="1:5" x14ac:dyDescent="0.25">
      <c r="A40" s="16">
        <v>2018</v>
      </c>
      <c r="B40" s="18">
        <v>94106170.830000117</v>
      </c>
      <c r="C40" s="18">
        <v>-8832679.6600000001</v>
      </c>
      <c r="D40" s="10">
        <f t="shared" si="0"/>
        <v>-9.3858666037490379E-2</v>
      </c>
      <c r="E40" s="19">
        <v>4.5303042458520737E-2</v>
      </c>
    </row>
    <row r="41" spans="1:5" x14ac:dyDescent="0.25">
      <c r="A41" s="16">
        <v>2019</v>
      </c>
      <c r="B41" s="18">
        <v>100786419.2390001</v>
      </c>
      <c r="C41" s="18">
        <v>-12642499.129999999</v>
      </c>
      <c r="D41" s="10">
        <f t="shared" si="0"/>
        <v>-0.12543851865617114</v>
      </c>
      <c r="E41" s="19">
        <v>4.7687413114232351E-2</v>
      </c>
    </row>
    <row r="42" spans="1:5" x14ac:dyDescent="0.25">
      <c r="A42" s="16">
        <v>2020</v>
      </c>
      <c r="B42" s="18">
        <v>107400019.41300009</v>
      </c>
      <c r="C42" s="18">
        <v>-40475726.490000002</v>
      </c>
      <c r="D42" s="10">
        <f t="shared" si="0"/>
        <v>-0.37686889361121167</v>
      </c>
      <c r="E42" s="19">
        <v>5.0197276962349845E-2</v>
      </c>
    </row>
    <row r="43" spans="1:5" x14ac:dyDescent="0.25">
      <c r="A43" s="16">
        <v>2021</v>
      </c>
      <c r="B43" s="18">
        <v>115903248.67600009</v>
      </c>
      <c r="C43" s="18">
        <v>-4072687.4900000012</v>
      </c>
      <c r="D43" s="10">
        <f t="shared" si="0"/>
        <v>-3.513868279382687E-2</v>
      </c>
      <c r="E43" s="19">
        <v>5.2839238907736674E-2</v>
      </c>
    </row>
    <row r="44" spans="1:5" x14ac:dyDescent="0.25">
      <c r="A44" s="16">
        <v>2022</v>
      </c>
      <c r="B44" s="18">
        <v>126588570.25200009</v>
      </c>
      <c r="C44" s="18">
        <v>6421940.6499999994</v>
      </c>
      <c r="D44" s="10">
        <f t="shared" si="0"/>
        <v>5.0730809560577475E-2</v>
      </c>
      <c r="E44" s="19">
        <v>5.5620251481828087E-2</v>
      </c>
    </row>
    <row r="45" spans="1:5" x14ac:dyDescent="0.25">
      <c r="A45" s="20">
        <v>2023</v>
      </c>
      <c r="B45" s="21">
        <v>134148974.745</v>
      </c>
      <c r="C45" s="21">
        <v>22535193.090000004</v>
      </c>
      <c r="D45" s="22">
        <f t="shared" si="0"/>
        <v>0.16798632365872729</v>
      </c>
      <c r="E45" s="23">
        <v>5.8547633138766403E-2</v>
      </c>
    </row>
    <row r="46" spans="1:5" x14ac:dyDescent="0.25">
      <c r="A46" s="7"/>
      <c r="B46" s="7"/>
      <c r="C46" s="7"/>
      <c r="D46" s="7"/>
      <c r="E46" s="7"/>
    </row>
    <row r="47" spans="1:5" x14ac:dyDescent="0.25">
      <c r="A47" s="12" t="s">
        <v>36</v>
      </c>
      <c r="B47" s="7"/>
      <c r="C47" s="7"/>
      <c r="D47" s="7"/>
      <c r="E47" s="11">
        <f>SUMPRODUCT(D12:D45,E12:E45)</f>
        <v>0.20967501209848141</v>
      </c>
    </row>
  </sheetData>
  <mergeCells count="4">
    <mergeCell ref="A3:E3"/>
    <mergeCell ref="A4:E4"/>
    <mergeCell ref="A2:E2"/>
    <mergeCell ref="A5:E5"/>
  </mergeCells>
  <printOptions horizontalCentered="1"/>
  <pageMargins left="0.7" right="0.7" top="0.75" bottom="0.75" header="0.3" footer="0.3"/>
  <pageSetup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2B43-22A0-4CC0-AE05-C0E619785A13}">
  <sheetPr>
    <pageSetUpPr fitToPage="1"/>
  </sheetPr>
  <dimension ref="A1:I33"/>
  <sheetViews>
    <sheetView zoomScaleNormal="100" workbookViewId="0">
      <selection activeCell="A38" sqref="A38"/>
    </sheetView>
  </sheetViews>
  <sheetFormatPr defaultRowHeight="15" x14ac:dyDescent="0.25"/>
  <cols>
    <col min="2" max="2" width="16.85546875" bestFit="1" customWidth="1"/>
    <col min="3" max="5" width="15.42578125" bestFit="1" customWidth="1"/>
    <col min="6" max="6" width="16.85546875" bestFit="1" customWidth="1"/>
    <col min="7" max="8" width="15.42578125" bestFit="1" customWidth="1"/>
    <col min="9" max="9" width="17" bestFit="1" customWidth="1"/>
  </cols>
  <sheetData>
    <row r="1" spans="1:9" x14ac:dyDescent="0.25">
      <c r="A1" s="219" t="s">
        <v>221</v>
      </c>
      <c r="B1" s="219"/>
      <c r="C1" s="219"/>
      <c r="D1" s="219"/>
      <c r="E1" s="219"/>
      <c r="F1" s="219"/>
      <c r="G1" s="219"/>
      <c r="H1" s="219"/>
      <c r="I1" s="219"/>
    </row>
    <row r="2" spans="1:9" x14ac:dyDescent="0.25">
      <c r="A2" s="219" t="s">
        <v>0</v>
      </c>
      <c r="B2" s="219"/>
      <c r="C2" s="219"/>
      <c r="D2" s="219"/>
      <c r="E2" s="219"/>
      <c r="F2" s="219"/>
      <c r="G2" s="219"/>
      <c r="H2" s="219"/>
      <c r="I2" s="219"/>
    </row>
    <row r="3" spans="1:9" x14ac:dyDescent="0.25">
      <c r="A3" s="219" t="s">
        <v>206</v>
      </c>
      <c r="B3" s="219"/>
      <c r="C3" s="219"/>
      <c r="D3" s="219"/>
      <c r="E3" s="219"/>
      <c r="F3" s="219"/>
      <c r="G3" s="219"/>
      <c r="H3" s="219"/>
      <c r="I3" s="219"/>
    </row>
    <row r="6" spans="1:9" x14ac:dyDescent="0.25">
      <c r="A6" s="207" t="s">
        <v>208</v>
      </c>
    </row>
    <row r="7" spans="1:9" x14ac:dyDescent="0.25">
      <c r="A7" s="7"/>
      <c r="B7" s="250" t="s">
        <v>210</v>
      </c>
      <c r="C7" s="251"/>
      <c r="D7" s="251"/>
      <c r="E7" s="251"/>
      <c r="F7" s="250" t="s">
        <v>211</v>
      </c>
      <c r="G7" s="251"/>
      <c r="H7" s="251"/>
      <c r="I7" s="252"/>
    </row>
    <row r="8" spans="1:9" x14ac:dyDescent="0.25">
      <c r="A8" s="123" t="s">
        <v>5</v>
      </c>
      <c r="B8" s="123" t="s">
        <v>59</v>
      </c>
      <c r="C8" s="185" t="s">
        <v>60</v>
      </c>
      <c r="D8" s="185" t="s">
        <v>99</v>
      </c>
      <c r="E8" s="185" t="s">
        <v>61</v>
      </c>
      <c r="F8" s="123" t="s">
        <v>59</v>
      </c>
      <c r="G8" s="185" t="s">
        <v>60</v>
      </c>
      <c r="H8" s="185" t="s">
        <v>99</v>
      </c>
      <c r="I8" s="186" t="s">
        <v>61</v>
      </c>
    </row>
    <row r="9" spans="1:9" x14ac:dyDescent="0.25">
      <c r="A9" s="16">
        <v>2014</v>
      </c>
      <c r="B9" s="208">
        <v>482396938.02999896</v>
      </c>
      <c r="C9" s="18">
        <v>78523148.499999911</v>
      </c>
      <c r="D9" s="18">
        <v>78988754.310000017</v>
      </c>
      <c r="E9" s="18">
        <v>264130162.69999981</v>
      </c>
      <c r="F9" s="208">
        <v>451085343.02999896</v>
      </c>
      <c r="G9" s="18">
        <v>79203745.49999994</v>
      </c>
      <c r="H9" s="18">
        <v>72197843.310000077</v>
      </c>
      <c r="I9" s="78">
        <v>224519091.69999984</v>
      </c>
    </row>
    <row r="10" spans="1:9" x14ac:dyDescent="0.25">
      <c r="A10" s="16">
        <v>2015</v>
      </c>
      <c r="B10" s="208">
        <v>472190776.00999904</v>
      </c>
      <c r="C10" s="18">
        <v>83166061.469999984</v>
      </c>
      <c r="D10" s="18">
        <v>76692082.509999976</v>
      </c>
      <c r="E10" s="18">
        <v>286454976.75000018</v>
      </c>
      <c r="F10" s="208">
        <v>432986508.00999898</v>
      </c>
      <c r="G10" s="18">
        <v>80165053.469999999</v>
      </c>
      <c r="H10" s="18">
        <v>80340491.509999976</v>
      </c>
      <c r="I10" s="78">
        <v>294694678.75</v>
      </c>
    </row>
    <row r="11" spans="1:9" x14ac:dyDescent="0.25">
      <c r="A11" s="16">
        <v>2016</v>
      </c>
      <c r="B11" s="208">
        <v>531729844.83999902</v>
      </c>
      <c r="C11" s="18">
        <v>97020917.910000011</v>
      </c>
      <c r="D11" s="18">
        <v>85623061.769999951</v>
      </c>
      <c r="E11" s="18">
        <v>340840580.71000016</v>
      </c>
      <c r="F11" s="208">
        <v>546152686.83999884</v>
      </c>
      <c r="G11" s="18">
        <v>100804000.90999998</v>
      </c>
      <c r="H11" s="18">
        <v>86357769.769999966</v>
      </c>
      <c r="I11" s="78">
        <v>406512729.71000004</v>
      </c>
    </row>
    <row r="12" spans="1:9" x14ac:dyDescent="0.25">
      <c r="A12" s="16">
        <v>2017</v>
      </c>
      <c r="B12" s="208">
        <v>535849745.80999929</v>
      </c>
      <c r="C12" s="18">
        <v>99908799.149999961</v>
      </c>
      <c r="D12" s="18">
        <v>83789052.970000014</v>
      </c>
      <c r="E12" s="18">
        <v>324004475.99999982</v>
      </c>
      <c r="F12" s="208">
        <v>541645932.80999887</v>
      </c>
      <c r="G12" s="18">
        <v>100482735.14999996</v>
      </c>
      <c r="H12" s="18">
        <v>74959816.969999999</v>
      </c>
      <c r="I12" s="78">
        <v>346444080</v>
      </c>
    </row>
    <row r="13" spans="1:9" x14ac:dyDescent="0.25">
      <c r="A13" s="16">
        <v>2018</v>
      </c>
      <c r="B13" s="208">
        <v>520584907.77999914</v>
      </c>
      <c r="C13" s="18">
        <v>98985722.040000021</v>
      </c>
      <c r="D13" s="18">
        <v>80010670.409999967</v>
      </c>
      <c r="E13" s="18">
        <v>348033607.23000038</v>
      </c>
      <c r="F13" s="208">
        <v>549041152.77999878</v>
      </c>
      <c r="G13" s="18">
        <v>104887948.04000001</v>
      </c>
      <c r="H13" s="18">
        <v>80744942.409999952</v>
      </c>
      <c r="I13" s="78">
        <v>394940712.23000032</v>
      </c>
    </row>
    <row r="14" spans="1:9" x14ac:dyDescent="0.25">
      <c r="A14" s="16">
        <v>2019</v>
      </c>
      <c r="B14" s="208">
        <v>575658922.32999873</v>
      </c>
      <c r="C14" s="18">
        <v>106615828.58999996</v>
      </c>
      <c r="D14" s="18">
        <v>76808580.409999967</v>
      </c>
      <c r="E14" s="18">
        <v>362323044.75999993</v>
      </c>
      <c r="F14" s="208">
        <v>625888675.32999837</v>
      </c>
      <c r="G14" s="18">
        <v>109715087.59</v>
      </c>
      <c r="H14" s="18">
        <v>74662606.409999967</v>
      </c>
      <c r="I14" s="78">
        <v>387434986.76000023</v>
      </c>
    </row>
    <row r="15" spans="1:9" x14ac:dyDescent="0.25">
      <c r="A15" s="16">
        <v>2020</v>
      </c>
      <c r="B15" s="208">
        <v>650763447.4899987</v>
      </c>
      <c r="C15" s="18">
        <v>96454017.719999999</v>
      </c>
      <c r="D15" s="18">
        <v>79398800.159999952</v>
      </c>
      <c r="E15" s="18">
        <v>373533906.54000044</v>
      </c>
      <c r="F15" s="208">
        <v>689061155.48999894</v>
      </c>
      <c r="G15" s="18">
        <v>98929873.719999999</v>
      </c>
      <c r="H15" s="18">
        <v>81964812.159999996</v>
      </c>
      <c r="I15" s="78">
        <v>398670135.54000008</v>
      </c>
    </row>
    <row r="16" spans="1:9" x14ac:dyDescent="0.25">
      <c r="A16" s="16">
        <v>2021</v>
      </c>
      <c r="B16" s="208">
        <v>770058607.82999873</v>
      </c>
      <c r="C16" s="18">
        <v>107575739.23999991</v>
      </c>
      <c r="D16" s="18">
        <v>103688536.60999994</v>
      </c>
      <c r="E16" s="18">
        <v>457233770.28999984</v>
      </c>
      <c r="F16" s="208">
        <v>810916246.82999897</v>
      </c>
      <c r="G16" s="18">
        <v>109438298.23999992</v>
      </c>
      <c r="H16" s="18">
        <v>113022409.60999998</v>
      </c>
      <c r="I16" s="78">
        <v>521173646.29000014</v>
      </c>
    </row>
    <row r="17" spans="1:9" x14ac:dyDescent="0.25">
      <c r="A17" s="16">
        <v>2022</v>
      </c>
      <c r="B17" s="208">
        <v>837174337.47999811</v>
      </c>
      <c r="C17" s="18">
        <v>125508489.44999985</v>
      </c>
      <c r="D17" s="18">
        <v>106467359.58999997</v>
      </c>
      <c r="E17" s="18">
        <v>539676278.31000006</v>
      </c>
      <c r="F17" s="208">
        <v>955249227.47999835</v>
      </c>
      <c r="G17" s="18">
        <v>143256689.44999996</v>
      </c>
      <c r="H17" s="18">
        <v>138708058.59000006</v>
      </c>
      <c r="I17" s="78">
        <v>710420509.31000054</v>
      </c>
    </row>
    <row r="18" spans="1:9" x14ac:dyDescent="0.25">
      <c r="A18" s="20">
        <v>2023</v>
      </c>
      <c r="B18" s="209">
        <v>832275541.45999861</v>
      </c>
      <c r="C18" s="21">
        <v>130908209.74999994</v>
      </c>
      <c r="D18" s="21">
        <v>99756222.739999935</v>
      </c>
      <c r="E18" s="21">
        <v>677624304.55000091</v>
      </c>
      <c r="F18" s="209">
        <v>897968482.45999897</v>
      </c>
      <c r="G18" s="21">
        <v>164181000.75000006</v>
      </c>
      <c r="H18" s="21">
        <v>117643295.73999999</v>
      </c>
      <c r="I18" s="79">
        <v>1199227550.5500011</v>
      </c>
    </row>
    <row r="21" spans="1:9" x14ac:dyDescent="0.25">
      <c r="A21" s="207" t="s">
        <v>209</v>
      </c>
    </row>
    <row r="22" spans="1:9" x14ac:dyDescent="0.25">
      <c r="B22" s="250" t="s">
        <v>210</v>
      </c>
      <c r="C22" s="251"/>
      <c r="D22" s="251"/>
      <c r="E22" s="251"/>
      <c r="F22" s="251" t="s">
        <v>211</v>
      </c>
      <c r="G22" s="251"/>
      <c r="H22" s="251"/>
      <c r="I22" s="252"/>
    </row>
    <row r="23" spans="1:9" x14ac:dyDescent="0.25">
      <c r="A23" s="123" t="s">
        <v>5</v>
      </c>
      <c r="B23" s="185" t="s">
        <v>59</v>
      </c>
      <c r="C23" s="185" t="s">
        <v>60</v>
      </c>
      <c r="D23" s="185" t="s">
        <v>99</v>
      </c>
      <c r="E23" s="185" t="s">
        <v>61</v>
      </c>
      <c r="F23" s="185" t="s">
        <v>59</v>
      </c>
      <c r="G23" s="185" t="s">
        <v>60</v>
      </c>
      <c r="H23" s="185" t="s">
        <v>99</v>
      </c>
      <c r="I23" s="186" t="s">
        <v>61</v>
      </c>
    </row>
    <row r="24" spans="1:9" x14ac:dyDescent="0.25">
      <c r="A24" s="13">
        <v>2014</v>
      </c>
      <c r="B24" s="210">
        <v>15676086.989999982</v>
      </c>
      <c r="C24" s="210">
        <v>1142668.49</v>
      </c>
      <c r="D24" s="210">
        <v>3746321.32</v>
      </c>
      <c r="E24" s="211">
        <v>4847515.4600000037</v>
      </c>
      <c r="F24" s="212">
        <v>25533987.989999976</v>
      </c>
      <c r="G24" s="210">
        <v>2242727.4899999998</v>
      </c>
      <c r="H24" s="210">
        <v>4376777.3199999984</v>
      </c>
      <c r="I24" s="211">
        <v>6532957.4600000009</v>
      </c>
    </row>
    <row r="25" spans="1:9" x14ac:dyDescent="0.25">
      <c r="A25" s="16">
        <v>2015</v>
      </c>
      <c r="B25" s="18">
        <v>138449910.17999977</v>
      </c>
      <c r="C25" s="18">
        <v>1645155.8299999998</v>
      </c>
      <c r="D25" s="18">
        <v>12699979.49</v>
      </c>
      <c r="E25" s="78">
        <v>10722832.910000002</v>
      </c>
      <c r="F25" s="208">
        <v>217199337.18000007</v>
      </c>
      <c r="G25" s="18">
        <v>1344955.8300000017</v>
      </c>
      <c r="H25" s="18">
        <v>18790351.490000002</v>
      </c>
      <c r="I25" s="78">
        <v>13581698.909999995</v>
      </c>
    </row>
    <row r="26" spans="1:9" x14ac:dyDescent="0.25">
      <c r="A26" s="16">
        <v>2016</v>
      </c>
      <c r="B26" s="18">
        <v>62325457.74999997</v>
      </c>
      <c r="C26" s="18">
        <v>1125622.7</v>
      </c>
      <c r="D26" s="18">
        <v>3740240.2399999998</v>
      </c>
      <c r="E26" s="78">
        <v>7463007.2799999965</v>
      </c>
      <c r="F26" s="208">
        <v>46984560.749999978</v>
      </c>
      <c r="G26" s="18">
        <v>913032.7</v>
      </c>
      <c r="H26" s="18">
        <v>788273.24</v>
      </c>
      <c r="I26" s="78">
        <v>5251034.2799999984</v>
      </c>
    </row>
    <row r="27" spans="1:9" x14ac:dyDescent="0.25">
      <c r="A27" s="16">
        <v>2017</v>
      </c>
      <c r="B27" s="18">
        <v>724572678.04999578</v>
      </c>
      <c r="C27" s="18">
        <v>14313811.32</v>
      </c>
      <c r="D27" s="18">
        <v>73406789.749999791</v>
      </c>
      <c r="E27" s="78">
        <v>30857393.059999987</v>
      </c>
      <c r="F27" s="208">
        <v>2791555332.0500002</v>
      </c>
      <c r="G27" s="18">
        <v>103114376.32000002</v>
      </c>
      <c r="H27" s="18">
        <v>248783792.74999982</v>
      </c>
      <c r="I27" s="78">
        <v>137973592.06</v>
      </c>
    </row>
    <row r="28" spans="1:9" x14ac:dyDescent="0.25">
      <c r="A28" s="16">
        <v>2018</v>
      </c>
      <c r="B28" s="18">
        <v>1484547995.3899915</v>
      </c>
      <c r="C28" s="18">
        <v>19404038.77</v>
      </c>
      <c r="D28" s="18">
        <v>63714128.909999996</v>
      </c>
      <c r="E28" s="78">
        <v>57243477.790000014</v>
      </c>
      <c r="F28" s="208">
        <v>479951412.39000773</v>
      </c>
      <c r="G28" s="18">
        <v>-36824854.229999878</v>
      </c>
      <c r="H28" s="18">
        <v>-11587656.089999799</v>
      </c>
      <c r="I28" s="78">
        <v>74509248.789999992</v>
      </c>
    </row>
    <row r="29" spans="1:9" x14ac:dyDescent="0.25">
      <c r="A29" s="16">
        <v>2019</v>
      </c>
      <c r="B29" s="18">
        <v>983706554.84999812</v>
      </c>
      <c r="C29" s="18">
        <v>16017164.859999998</v>
      </c>
      <c r="D29" s="18">
        <v>74293299.029999927</v>
      </c>
      <c r="E29" s="78">
        <v>60460300.82</v>
      </c>
      <c r="F29" s="208">
        <v>111451700.84999986</v>
      </c>
      <c r="G29" s="18">
        <v>-10420761.139999988</v>
      </c>
      <c r="H29" s="18">
        <v>-12761271.969999999</v>
      </c>
      <c r="I29" s="78">
        <v>-47191011.179999895</v>
      </c>
    </row>
    <row r="30" spans="1:9" x14ac:dyDescent="0.25">
      <c r="A30" s="16">
        <v>2020</v>
      </c>
      <c r="B30" s="18">
        <v>-629871736.83999681</v>
      </c>
      <c r="C30" s="18">
        <v>-4790738.4199999953</v>
      </c>
      <c r="D30" s="18">
        <v>-49292257.009999894</v>
      </c>
      <c r="E30" s="78">
        <v>-10479764.11000005</v>
      </c>
      <c r="F30" s="208">
        <v>-343451885.83999753</v>
      </c>
      <c r="G30" s="18">
        <v>-535712.4199999969</v>
      </c>
      <c r="H30" s="18">
        <v>-42670070.009999894</v>
      </c>
      <c r="I30" s="78">
        <v>-13183027.110000022</v>
      </c>
    </row>
    <row r="31" spans="1:9" x14ac:dyDescent="0.25">
      <c r="A31" s="16">
        <v>2021</v>
      </c>
      <c r="B31" s="18">
        <v>88765080.769999519</v>
      </c>
      <c r="C31" s="18">
        <v>-222540.20999999935</v>
      </c>
      <c r="D31" s="18">
        <v>-2404371.83</v>
      </c>
      <c r="E31" s="78">
        <v>20182804.420000017</v>
      </c>
      <c r="F31" s="208">
        <v>-133419311.22999981</v>
      </c>
      <c r="G31" s="18">
        <v>-5766646.209999999</v>
      </c>
      <c r="H31" s="18">
        <v>-12557154.830000009</v>
      </c>
      <c r="I31" s="78">
        <v>36981590.419999987</v>
      </c>
    </row>
    <row r="32" spans="1:9" x14ac:dyDescent="0.25">
      <c r="A32" s="16">
        <v>2022</v>
      </c>
      <c r="B32" s="18">
        <v>99277500.319999844</v>
      </c>
      <c r="C32" s="18">
        <v>3097813.9199999995</v>
      </c>
      <c r="D32" s="18">
        <v>7156712.5</v>
      </c>
      <c r="E32" s="78">
        <v>3961374.59</v>
      </c>
      <c r="F32" s="208">
        <v>-30569327.679999992</v>
      </c>
      <c r="G32" s="18">
        <v>2282307.92</v>
      </c>
      <c r="H32" s="18">
        <v>1306051.5000000002</v>
      </c>
      <c r="I32" s="78">
        <v>-16953981.409999996</v>
      </c>
    </row>
    <row r="33" spans="1:9" x14ac:dyDescent="0.25">
      <c r="A33" s="20">
        <v>2023</v>
      </c>
      <c r="B33" s="21">
        <v>280508148.78999901</v>
      </c>
      <c r="C33" s="21">
        <v>13222008.500000002</v>
      </c>
      <c r="D33" s="21">
        <v>25128828.37999998</v>
      </c>
      <c r="E33" s="79">
        <v>61350648.440000035</v>
      </c>
      <c r="F33" s="209">
        <v>249375057.7899999</v>
      </c>
      <c r="G33" s="21">
        <v>27604453.499999996</v>
      </c>
      <c r="H33" s="21">
        <v>27100251.380000003</v>
      </c>
      <c r="I33" s="79">
        <v>86530157.439999998</v>
      </c>
    </row>
  </sheetData>
  <mergeCells count="7">
    <mergeCell ref="B7:E7"/>
    <mergeCell ref="F7:I7"/>
    <mergeCell ref="B22:E22"/>
    <mergeCell ref="F22:I22"/>
    <mergeCell ref="A1:I1"/>
    <mergeCell ref="A2:I2"/>
    <mergeCell ref="A3:I3"/>
  </mergeCells>
  <printOptions horizontalCentered="1"/>
  <pageMargins left="0.2" right="0.2" top="0.75" bottom="0.75" header="0.3" footer="0.3"/>
  <pageSetup scale="98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6613-4533-45DB-A552-778896A91077}">
  <sheetPr>
    <pageSetUpPr fitToPage="1"/>
  </sheetPr>
  <dimension ref="A1:I34"/>
  <sheetViews>
    <sheetView topLeftCell="A2" zoomScaleNormal="100" workbookViewId="0">
      <selection activeCell="A38" sqref="A38"/>
    </sheetView>
  </sheetViews>
  <sheetFormatPr defaultRowHeight="15" x14ac:dyDescent="0.25"/>
  <cols>
    <col min="2" max="2" width="16.85546875" bestFit="1" customWidth="1"/>
    <col min="3" max="3" width="15.42578125" bestFit="1" customWidth="1"/>
    <col min="4" max="4" width="16" bestFit="1" customWidth="1"/>
    <col min="5" max="5" width="15.42578125" bestFit="1" customWidth="1"/>
    <col min="6" max="6" width="16.85546875" bestFit="1" customWidth="1"/>
    <col min="7" max="7" width="15.42578125" bestFit="1" customWidth="1"/>
    <col min="8" max="8" width="17.7109375" bestFit="1" customWidth="1"/>
    <col min="9" max="9" width="17" bestFit="1" customWidth="1"/>
  </cols>
  <sheetData>
    <row r="1" spans="1:9" x14ac:dyDescent="0.25">
      <c r="A1" s="219" t="s">
        <v>222</v>
      </c>
      <c r="B1" s="219"/>
      <c r="C1" s="219"/>
      <c r="D1" s="219"/>
      <c r="E1" s="219"/>
      <c r="F1" s="219"/>
      <c r="G1" s="219"/>
      <c r="H1" s="219"/>
      <c r="I1" s="219"/>
    </row>
    <row r="2" spans="1:9" x14ac:dyDescent="0.25">
      <c r="A2" s="219" t="s">
        <v>0</v>
      </c>
      <c r="B2" s="219"/>
      <c r="C2" s="219"/>
      <c r="D2" s="219"/>
      <c r="E2" s="219"/>
      <c r="F2" s="219"/>
      <c r="G2" s="219"/>
      <c r="H2" s="219"/>
      <c r="I2" s="219"/>
    </row>
    <row r="3" spans="1:9" x14ac:dyDescent="0.25">
      <c r="A3" s="219" t="s">
        <v>207</v>
      </c>
      <c r="B3" s="219"/>
      <c r="C3" s="219"/>
      <c r="D3" s="219"/>
      <c r="E3" s="219"/>
      <c r="F3" s="219"/>
      <c r="G3" s="219"/>
      <c r="H3" s="219"/>
      <c r="I3" s="219"/>
    </row>
    <row r="7" spans="1:9" x14ac:dyDescent="0.25">
      <c r="A7" s="207" t="s">
        <v>208</v>
      </c>
    </row>
    <row r="8" spans="1:9" x14ac:dyDescent="0.25">
      <c r="B8" s="250" t="s">
        <v>212</v>
      </c>
      <c r="C8" s="251"/>
      <c r="D8" s="251"/>
      <c r="E8" s="251"/>
      <c r="F8" s="251" t="s">
        <v>213</v>
      </c>
      <c r="G8" s="251"/>
      <c r="H8" s="251"/>
      <c r="I8" s="252"/>
    </row>
    <row r="9" spans="1:9" x14ac:dyDescent="0.25">
      <c r="A9" s="123" t="s">
        <v>5</v>
      </c>
      <c r="B9" s="123" t="s">
        <v>59</v>
      </c>
      <c r="C9" s="185" t="s">
        <v>60</v>
      </c>
      <c r="D9" s="185" t="s">
        <v>99</v>
      </c>
      <c r="E9" s="186" t="s">
        <v>61</v>
      </c>
      <c r="F9" s="185" t="s">
        <v>59</v>
      </c>
      <c r="G9" s="185" t="s">
        <v>60</v>
      </c>
      <c r="H9" s="185" t="s">
        <v>99</v>
      </c>
      <c r="I9" s="186" t="s">
        <v>61</v>
      </c>
    </row>
    <row r="10" spans="1:9" x14ac:dyDescent="0.25">
      <c r="A10" s="16">
        <v>2014</v>
      </c>
      <c r="B10" s="208">
        <v>482139515.69999915</v>
      </c>
      <c r="C10" s="18">
        <v>78523400.549999878</v>
      </c>
      <c r="D10" s="18">
        <v>75256246.549999967</v>
      </c>
      <c r="E10" s="78">
        <v>257839691.25999981</v>
      </c>
      <c r="F10" s="18">
        <v>448972920.69999915</v>
      </c>
      <c r="G10" s="18">
        <v>79212497.549999908</v>
      </c>
      <c r="H10" s="18">
        <v>69664678.550000027</v>
      </c>
      <c r="I10" s="78">
        <v>219219151.25999987</v>
      </c>
    </row>
    <row r="11" spans="1:9" x14ac:dyDescent="0.25">
      <c r="A11" s="16">
        <v>2015</v>
      </c>
      <c r="B11" s="208">
        <v>469726713.64999902</v>
      </c>
      <c r="C11" s="18">
        <v>83166645.359999985</v>
      </c>
      <c r="D11" s="18">
        <v>72245160.569999978</v>
      </c>
      <c r="E11" s="78">
        <v>280667942.63000005</v>
      </c>
      <c r="F11" s="18">
        <v>432261778.64999902</v>
      </c>
      <c r="G11" s="18">
        <v>80159637.359999999</v>
      </c>
      <c r="H11" s="18">
        <v>70710413.569999978</v>
      </c>
      <c r="I11" s="78">
        <v>282816108.62999994</v>
      </c>
    </row>
    <row r="12" spans="1:9" x14ac:dyDescent="0.25">
      <c r="A12" s="16">
        <v>2016</v>
      </c>
      <c r="B12" s="208">
        <v>531797193.13999903</v>
      </c>
      <c r="C12" s="18">
        <v>97020067.100000024</v>
      </c>
      <c r="D12" s="18">
        <v>82832773.859999955</v>
      </c>
      <c r="E12" s="78">
        <v>329478466.18000001</v>
      </c>
      <c r="F12" s="18">
        <v>545320295.13999891</v>
      </c>
      <c r="G12" s="18">
        <v>100809150.09999998</v>
      </c>
      <c r="H12" s="18">
        <v>84353250.859999955</v>
      </c>
      <c r="I12" s="78">
        <v>400849244.17999989</v>
      </c>
    </row>
    <row r="13" spans="1:9" x14ac:dyDescent="0.25">
      <c r="A13" s="16">
        <v>2017</v>
      </c>
      <c r="B13" s="208">
        <v>531366637.74999928</v>
      </c>
      <c r="C13" s="18">
        <v>99908991.979999959</v>
      </c>
      <c r="D13" s="18">
        <v>82115582.460000008</v>
      </c>
      <c r="E13" s="78">
        <v>317241268.37999994</v>
      </c>
      <c r="F13" s="18">
        <v>535257902.74999893</v>
      </c>
      <c r="G13" s="18">
        <v>100484927.97999997</v>
      </c>
      <c r="H13" s="18">
        <v>79387963.459999979</v>
      </c>
      <c r="I13" s="78">
        <v>339660814.38000005</v>
      </c>
    </row>
    <row r="14" spans="1:9" x14ac:dyDescent="0.25">
      <c r="A14" s="16">
        <v>2018</v>
      </c>
      <c r="B14" s="208">
        <v>518797157.11999917</v>
      </c>
      <c r="C14" s="18">
        <v>98985735.440000027</v>
      </c>
      <c r="D14" s="18">
        <v>76815532.169999957</v>
      </c>
      <c r="E14" s="78">
        <v>340896920.0200004</v>
      </c>
      <c r="F14" s="18">
        <v>538133510.11999881</v>
      </c>
      <c r="G14" s="18">
        <v>104887961.44000001</v>
      </c>
      <c r="H14" s="18">
        <v>82353836.169999957</v>
      </c>
      <c r="I14" s="78">
        <v>389284228.02000034</v>
      </c>
    </row>
    <row r="15" spans="1:9" x14ac:dyDescent="0.25">
      <c r="A15" s="16">
        <v>2019</v>
      </c>
      <c r="B15" s="208">
        <v>575166060.73999882</v>
      </c>
      <c r="C15" s="18">
        <v>106612415.43999995</v>
      </c>
      <c r="D15" s="18">
        <v>76172772.039999962</v>
      </c>
      <c r="E15" s="78">
        <v>355070879.96999979</v>
      </c>
      <c r="F15" s="18">
        <v>623927475.73999846</v>
      </c>
      <c r="G15" s="18">
        <v>109707674.43999998</v>
      </c>
      <c r="H15" s="18">
        <v>78093093.039999992</v>
      </c>
      <c r="I15" s="78">
        <v>379433124.97000015</v>
      </c>
    </row>
    <row r="16" spans="1:9" x14ac:dyDescent="0.25">
      <c r="A16" s="16">
        <v>2020</v>
      </c>
      <c r="B16" s="208">
        <v>648456948.69999874</v>
      </c>
      <c r="C16" s="18">
        <v>96453870.660000011</v>
      </c>
      <c r="D16" s="18">
        <v>79113864.109999955</v>
      </c>
      <c r="E16" s="78">
        <v>366386354.0000003</v>
      </c>
      <c r="F16" s="18">
        <v>691947166.69999897</v>
      </c>
      <c r="G16" s="18">
        <v>98930332.660000011</v>
      </c>
      <c r="H16" s="18">
        <v>81836650.109999999</v>
      </c>
      <c r="I16" s="78">
        <v>388860610.00000006</v>
      </c>
    </row>
    <row r="17" spans="1:9" x14ac:dyDescent="0.25">
      <c r="A17" s="16">
        <v>2021</v>
      </c>
      <c r="B17" s="208">
        <v>763963980.61999869</v>
      </c>
      <c r="C17" s="18">
        <v>107567136.65999992</v>
      </c>
      <c r="D17" s="18">
        <v>103538378.02999994</v>
      </c>
      <c r="E17" s="78">
        <v>442798106.18999988</v>
      </c>
      <c r="F17" s="18">
        <v>804335747.61999893</v>
      </c>
      <c r="G17" s="18">
        <v>109433389.65999989</v>
      </c>
      <c r="H17" s="18">
        <v>112937251.02999999</v>
      </c>
      <c r="I17" s="78">
        <v>502396327.19000012</v>
      </c>
    </row>
    <row r="18" spans="1:9" x14ac:dyDescent="0.25">
      <c r="A18" s="16">
        <v>2022</v>
      </c>
      <c r="B18" s="208">
        <v>813463120.53999853</v>
      </c>
      <c r="C18" s="18">
        <v>125458552.59000002</v>
      </c>
      <c r="D18" s="18">
        <v>106406030</v>
      </c>
      <c r="E18" s="78">
        <v>531314556.24999946</v>
      </c>
      <c r="F18" s="18">
        <v>894846371.53999877</v>
      </c>
      <c r="G18" s="18">
        <v>143206752.58999997</v>
      </c>
      <c r="H18" s="18">
        <v>138665229</v>
      </c>
      <c r="I18" s="78">
        <v>684987550.24999928</v>
      </c>
    </row>
    <row r="19" spans="1:9" x14ac:dyDescent="0.25">
      <c r="A19" s="20">
        <v>2023</v>
      </c>
      <c r="B19" s="209">
        <v>805001504.56999886</v>
      </c>
      <c r="C19" s="21">
        <v>130826118.44999985</v>
      </c>
      <c r="D19" s="21">
        <v>99760172.699999943</v>
      </c>
      <c r="E19" s="79">
        <v>645720700.01000094</v>
      </c>
      <c r="F19" s="21">
        <v>897977932.56999898</v>
      </c>
      <c r="G19" s="21">
        <v>164100609.44999984</v>
      </c>
      <c r="H19" s="21">
        <v>117599264.69999999</v>
      </c>
      <c r="I19" s="79">
        <v>1152557890.0100014</v>
      </c>
    </row>
    <row r="20" spans="1:9" x14ac:dyDescent="0.25">
      <c r="B20" s="7"/>
      <c r="C20" s="7"/>
      <c r="D20" s="7"/>
      <c r="E20" s="7"/>
      <c r="F20" s="7"/>
      <c r="G20" s="7"/>
      <c r="H20" s="7"/>
      <c r="I20" s="7"/>
    </row>
    <row r="21" spans="1:9" x14ac:dyDescent="0.25">
      <c r="B21" s="7"/>
      <c r="C21" s="7"/>
      <c r="D21" s="7"/>
      <c r="E21" s="7"/>
      <c r="F21" s="7"/>
      <c r="G21" s="7"/>
      <c r="H21" s="7"/>
      <c r="I21" s="7"/>
    </row>
    <row r="22" spans="1:9" x14ac:dyDescent="0.25">
      <c r="A22" s="207" t="s">
        <v>209</v>
      </c>
      <c r="B22" s="7"/>
      <c r="C22" s="7"/>
      <c r="D22" s="7"/>
      <c r="E22" s="7"/>
      <c r="F22" s="7"/>
      <c r="G22" s="7"/>
      <c r="H22" s="7"/>
      <c r="I22" s="7"/>
    </row>
    <row r="23" spans="1:9" x14ac:dyDescent="0.25">
      <c r="B23" s="250" t="s">
        <v>212</v>
      </c>
      <c r="C23" s="251"/>
      <c r="D23" s="251"/>
      <c r="E23" s="251"/>
      <c r="F23" s="251" t="s">
        <v>213</v>
      </c>
      <c r="G23" s="251"/>
      <c r="H23" s="251"/>
      <c r="I23" s="252"/>
    </row>
    <row r="24" spans="1:9" x14ac:dyDescent="0.25">
      <c r="A24" s="123" t="s">
        <v>5</v>
      </c>
      <c r="B24" s="123" t="s">
        <v>59</v>
      </c>
      <c r="C24" s="185" t="s">
        <v>60</v>
      </c>
      <c r="D24" s="185" t="s">
        <v>99</v>
      </c>
      <c r="E24" s="186" t="s">
        <v>61</v>
      </c>
      <c r="F24" s="185" t="s">
        <v>59</v>
      </c>
      <c r="G24" s="185" t="s">
        <v>60</v>
      </c>
      <c r="H24" s="185" t="s">
        <v>99</v>
      </c>
      <c r="I24" s="186" t="s">
        <v>61</v>
      </c>
    </row>
    <row r="25" spans="1:9" x14ac:dyDescent="0.25">
      <c r="A25" s="16">
        <v>2014</v>
      </c>
      <c r="B25" s="208">
        <v>15676086.989999982</v>
      </c>
      <c r="C25" s="18">
        <v>1142668.49</v>
      </c>
      <c r="D25" s="18">
        <v>3746321.32</v>
      </c>
      <c r="E25" s="78">
        <v>3668884.0100000026</v>
      </c>
      <c r="F25" s="18">
        <v>25534180.989999976</v>
      </c>
      <c r="G25" s="18">
        <v>2242727.4899999998</v>
      </c>
      <c r="H25" s="18">
        <v>4376122.3199999984</v>
      </c>
      <c r="I25" s="78">
        <v>6107503.0100000007</v>
      </c>
    </row>
    <row r="26" spans="1:9" x14ac:dyDescent="0.25">
      <c r="A26" s="16">
        <v>2015</v>
      </c>
      <c r="B26" s="208">
        <v>138431910.17999977</v>
      </c>
      <c r="C26" s="18">
        <v>1645155.8299999998</v>
      </c>
      <c r="D26" s="18">
        <v>12699979.49</v>
      </c>
      <c r="E26" s="78">
        <v>9623811.4200000018</v>
      </c>
      <c r="F26" s="18">
        <v>217181292.18000007</v>
      </c>
      <c r="G26" s="18">
        <v>1344955.8300000017</v>
      </c>
      <c r="H26" s="18">
        <v>18790522.490000002</v>
      </c>
      <c r="I26" s="78">
        <v>12716307.419999998</v>
      </c>
    </row>
    <row r="27" spans="1:9" x14ac:dyDescent="0.25">
      <c r="A27" s="16">
        <v>2016</v>
      </c>
      <c r="B27" s="208">
        <v>62343457.74999997</v>
      </c>
      <c r="C27" s="18">
        <v>1125622.7</v>
      </c>
      <c r="D27" s="18">
        <v>3740240.2399999998</v>
      </c>
      <c r="E27" s="78">
        <v>5730040.9299999988</v>
      </c>
      <c r="F27" s="18">
        <v>47002516.749999978</v>
      </c>
      <c r="G27" s="18">
        <v>913032.7</v>
      </c>
      <c r="H27" s="18">
        <v>788058.24</v>
      </c>
      <c r="I27" s="78">
        <v>3468882.9299999997</v>
      </c>
    </row>
    <row r="28" spans="1:9" x14ac:dyDescent="0.25">
      <c r="A28" s="16">
        <v>2017</v>
      </c>
      <c r="B28" s="208">
        <v>723394846.0099957</v>
      </c>
      <c r="C28" s="18">
        <v>14313811.32</v>
      </c>
      <c r="D28" s="18">
        <v>73406789.749999791</v>
      </c>
      <c r="E28" s="78">
        <v>28872363.859999988</v>
      </c>
      <c r="F28" s="18">
        <v>2733555377.0100002</v>
      </c>
      <c r="G28" s="18">
        <v>103114376.32000002</v>
      </c>
      <c r="H28" s="18">
        <v>-1413244532.25</v>
      </c>
      <c r="I28" s="78">
        <v>135931252.86000001</v>
      </c>
    </row>
    <row r="29" spans="1:9" x14ac:dyDescent="0.25">
      <c r="A29" s="16">
        <v>2018</v>
      </c>
      <c r="B29" s="208">
        <v>1427472985.6799912</v>
      </c>
      <c r="C29" s="18">
        <v>19404038.77</v>
      </c>
      <c r="D29" s="18">
        <v>-567945543.85999954</v>
      </c>
      <c r="E29" s="78">
        <v>56065530.980000027</v>
      </c>
      <c r="F29" s="18">
        <v>433570518.68000782</v>
      </c>
      <c r="G29" s="18">
        <v>-36824854.229999878</v>
      </c>
      <c r="H29" s="18">
        <v>557665276.13999963</v>
      </c>
      <c r="I29" s="78">
        <v>73426279.979999974</v>
      </c>
    </row>
    <row r="30" spans="1:9" x14ac:dyDescent="0.25">
      <c r="A30" s="16">
        <v>2019</v>
      </c>
      <c r="B30" s="208">
        <v>931897309.88999808</v>
      </c>
      <c r="C30" s="18">
        <v>16017164.859999998</v>
      </c>
      <c r="D30" s="18">
        <v>-169958758.11000022</v>
      </c>
      <c r="E30" s="78">
        <v>58761231.670000002</v>
      </c>
      <c r="F30" s="18">
        <v>103748090.88999984</v>
      </c>
      <c r="G30" s="18">
        <v>-10420761.139999988</v>
      </c>
      <c r="H30" s="18">
        <v>21901363.890000056</v>
      </c>
      <c r="I30" s="78">
        <v>-48612678.329999879</v>
      </c>
    </row>
    <row r="31" spans="1:9" x14ac:dyDescent="0.25">
      <c r="A31" s="16">
        <v>2020</v>
      </c>
      <c r="B31" s="208">
        <v>-599597384.63999748</v>
      </c>
      <c r="C31" s="18">
        <v>-4790738.4199999953</v>
      </c>
      <c r="D31" s="18">
        <v>699589342.93999994</v>
      </c>
      <c r="E31" s="78">
        <v>-38132874.370000027</v>
      </c>
      <c r="F31" s="18">
        <v>-315510393.63999748</v>
      </c>
      <c r="G31" s="18">
        <v>-535712.4199999969</v>
      </c>
      <c r="H31" s="18">
        <v>879465983.93999994</v>
      </c>
      <c r="I31" s="78">
        <v>-43857249.37000002</v>
      </c>
    </row>
    <row r="32" spans="1:9" x14ac:dyDescent="0.25">
      <c r="A32" s="16">
        <v>2021</v>
      </c>
      <c r="B32" s="208">
        <v>96369975.419999421</v>
      </c>
      <c r="C32" s="18">
        <v>-222540.20999999935</v>
      </c>
      <c r="D32" s="18">
        <v>15799133.680000015</v>
      </c>
      <c r="E32" s="78">
        <v>-9479437.010000011</v>
      </c>
      <c r="F32" s="18">
        <v>-130122472.57999983</v>
      </c>
      <c r="G32" s="18">
        <v>-5766646.209999999</v>
      </c>
      <c r="H32" s="18">
        <v>-3065101.3199999956</v>
      </c>
      <c r="I32" s="78">
        <v>-12297393.009999994</v>
      </c>
    </row>
    <row r="33" spans="1:9" x14ac:dyDescent="0.25">
      <c r="A33" s="16">
        <v>2022</v>
      </c>
      <c r="B33" s="208">
        <v>76706875.129999831</v>
      </c>
      <c r="C33" s="18">
        <v>3097813.92</v>
      </c>
      <c r="D33" s="18">
        <v>24438442.890000027</v>
      </c>
      <c r="E33" s="78">
        <v>9567040.1500000041</v>
      </c>
      <c r="F33" s="18">
        <v>-50761828.869999975</v>
      </c>
      <c r="G33" s="18">
        <v>2282307.9200000004</v>
      </c>
      <c r="H33" s="18">
        <v>24421519.890000015</v>
      </c>
      <c r="I33" s="78">
        <v>5826722.1500000013</v>
      </c>
    </row>
    <row r="34" spans="1:9" x14ac:dyDescent="0.25">
      <c r="A34" s="20">
        <v>2023</v>
      </c>
      <c r="B34" s="209">
        <v>279885730.12999898</v>
      </c>
      <c r="C34" s="21">
        <v>13222008.500000002</v>
      </c>
      <c r="D34" s="21">
        <v>33091481.439999979</v>
      </c>
      <c r="E34" s="79">
        <v>55440532.360000029</v>
      </c>
      <c r="F34" s="21">
        <v>252609445.12999994</v>
      </c>
      <c r="G34" s="21">
        <v>27604453.500000011</v>
      </c>
      <c r="H34" s="21">
        <v>30715407.440000001</v>
      </c>
      <c r="I34" s="79">
        <v>73093222.35999997</v>
      </c>
    </row>
  </sheetData>
  <mergeCells count="7">
    <mergeCell ref="B23:E23"/>
    <mergeCell ref="F23:I23"/>
    <mergeCell ref="A1:I1"/>
    <mergeCell ref="A2:I2"/>
    <mergeCell ref="A3:I3"/>
    <mergeCell ref="B8:E8"/>
    <mergeCell ref="F8:I8"/>
  </mergeCells>
  <printOptions horizontalCentered="1"/>
  <pageMargins left="0.2" right="0.2" top="0.75" bottom="0.75" header="0.3" footer="0.3"/>
  <pageSetup scale="96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176B-39CD-48A4-B253-00AFCB11E642}">
  <dimension ref="A1:J36"/>
  <sheetViews>
    <sheetView zoomScaleNormal="100" workbookViewId="0">
      <selection activeCell="A38" sqref="A38"/>
    </sheetView>
  </sheetViews>
  <sheetFormatPr defaultColWidth="8.7109375" defaultRowHeight="15" x14ac:dyDescent="0.25"/>
  <cols>
    <col min="1" max="1" width="12.28515625" style="72" customWidth="1"/>
    <col min="2" max="9" width="14.7109375" style="72" customWidth="1"/>
    <col min="10" max="16384" width="8.7109375" style="72"/>
  </cols>
  <sheetData>
    <row r="1" spans="1:10" x14ac:dyDescent="0.25">
      <c r="A1" s="259" t="s">
        <v>218</v>
      </c>
      <c r="B1" s="259"/>
      <c r="C1" s="259"/>
      <c r="D1" s="259"/>
      <c r="E1" s="259"/>
      <c r="F1" s="259"/>
      <c r="G1" s="259"/>
      <c r="H1" s="259"/>
      <c r="I1" s="259"/>
    </row>
    <row r="2" spans="1:10" x14ac:dyDescent="0.25">
      <c r="A2" s="259" t="s">
        <v>0</v>
      </c>
      <c r="B2" s="259"/>
      <c r="C2" s="259"/>
      <c r="D2" s="259"/>
      <c r="E2" s="259"/>
      <c r="F2" s="259"/>
      <c r="G2" s="259"/>
      <c r="H2" s="259"/>
      <c r="I2" s="259"/>
    </row>
    <row r="3" spans="1:10" x14ac:dyDescent="0.25">
      <c r="A3" s="259" t="s">
        <v>54</v>
      </c>
      <c r="B3" s="259"/>
      <c r="C3" s="259"/>
      <c r="D3" s="259"/>
      <c r="E3" s="259"/>
      <c r="F3" s="259"/>
      <c r="G3" s="259"/>
      <c r="H3" s="259"/>
      <c r="I3" s="259"/>
    </row>
    <row r="5" spans="1:10" x14ac:dyDescent="0.25">
      <c r="A5"/>
      <c r="B5" s="165"/>
    </row>
    <row r="6" spans="1:10" x14ac:dyDescent="0.25">
      <c r="A6" s="187"/>
      <c r="B6" s="187"/>
      <c r="C6" s="188"/>
      <c r="D6" s="188"/>
      <c r="E6" s="188"/>
      <c r="F6" s="188"/>
      <c r="G6" s="188"/>
      <c r="H6" s="188"/>
      <c r="I6" s="188"/>
      <c r="J6" s="188"/>
    </row>
    <row r="7" spans="1:10" x14ac:dyDescent="0.25">
      <c r="A7" s="188"/>
      <c r="B7" s="253" t="s">
        <v>208</v>
      </c>
      <c r="C7" s="254"/>
      <c r="D7" s="254"/>
      <c r="E7" s="255"/>
      <c r="F7" s="256" t="s">
        <v>209</v>
      </c>
      <c r="G7" s="257"/>
      <c r="H7" s="257"/>
      <c r="I7" s="258"/>
      <c r="J7" s="188"/>
    </row>
    <row r="8" spans="1:10" x14ac:dyDescent="0.25">
      <c r="A8" s="198" t="s">
        <v>5</v>
      </c>
      <c r="B8" s="203" t="s">
        <v>59</v>
      </c>
      <c r="C8" s="204" t="s">
        <v>60</v>
      </c>
      <c r="D8" s="204" t="s">
        <v>99</v>
      </c>
      <c r="E8" s="205" t="s">
        <v>61</v>
      </c>
      <c r="F8" s="206" t="s">
        <v>59</v>
      </c>
      <c r="G8" s="204" t="s">
        <v>60</v>
      </c>
      <c r="H8" s="204" t="s">
        <v>99</v>
      </c>
      <c r="I8" s="205" t="s">
        <v>61</v>
      </c>
      <c r="J8" s="188"/>
    </row>
    <row r="9" spans="1:10" x14ac:dyDescent="0.25">
      <c r="A9" s="199">
        <v>2014</v>
      </c>
      <c r="B9" s="191">
        <v>283719892</v>
      </c>
      <c r="C9" s="192">
        <v>52173081</v>
      </c>
      <c r="D9" s="192">
        <v>38465784</v>
      </c>
      <c r="E9" s="193">
        <v>381941972</v>
      </c>
      <c r="F9" s="201">
        <v>22876637</v>
      </c>
      <c r="G9" s="192">
        <v>1481125</v>
      </c>
      <c r="H9" s="192">
        <v>3413151</v>
      </c>
      <c r="I9" s="193">
        <v>4263627</v>
      </c>
      <c r="J9" s="188"/>
    </row>
    <row r="10" spans="1:10" x14ac:dyDescent="0.25">
      <c r="A10" s="199">
        <v>2015</v>
      </c>
      <c r="B10" s="194">
        <v>246254957</v>
      </c>
      <c r="C10" s="192">
        <v>49166073</v>
      </c>
      <c r="D10" s="192">
        <v>36931037</v>
      </c>
      <c r="E10" s="193">
        <v>384090138</v>
      </c>
      <c r="F10" s="201">
        <v>101626019</v>
      </c>
      <c r="G10" s="192">
        <v>1180925</v>
      </c>
      <c r="H10" s="192">
        <v>9503694</v>
      </c>
      <c r="I10" s="193">
        <v>7356123</v>
      </c>
      <c r="J10" s="188"/>
    </row>
    <row r="11" spans="1:10" x14ac:dyDescent="0.25">
      <c r="A11" s="199">
        <v>2016</v>
      </c>
      <c r="B11" s="191">
        <v>259778059</v>
      </c>
      <c r="C11" s="192">
        <v>52955156</v>
      </c>
      <c r="D11" s="192">
        <v>38451514</v>
      </c>
      <c r="E11" s="193">
        <v>455460916</v>
      </c>
      <c r="F11" s="201">
        <v>86285078</v>
      </c>
      <c r="G11" s="192">
        <v>968335</v>
      </c>
      <c r="H11" s="192">
        <v>6551512</v>
      </c>
      <c r="I11" s="193">
        <v>5094965</v>
      </c>
      <c r="J11" s="188"/>
    </row>
    <row r="12" spans="1:10" x14ac:dyDescent="0.25">
      <c r="A12" s="199">
        <v>2017</v>
      </c>
      <c r="B12" s="191">
        <v>263669324</v>
      </c>
      <c r="C12" s="192">
        <v>53531092</v>
      </c>
      <c r="D12" s="192">
        <v>35723895</v>
      </c>
      <c r="E12" s="193">
        <v>477880462</v>
      </c>
      <c r="F12" s="201">
        <v>2096445609</v>
      </c>
      <c r="G12" s="192">
        <v>89768900</v>
      </c>
      <c r="H12" s="192">
        <v>-1480099810</v>
      </c>
      <c r="I12" s="193">
        <v>112153854</v>
      </c>
      <c r="J12" s="188"/>
    </row>
    <row r="13" spans="1:10" x14ac:dyDescent="0.25">
      <c r="A13" s="199">
        <v>2018</v>
      </c>
      <c r="B13" s="194">
        <v>283005677</v>
      </c>
      <c r="C13" s="192">
        <v>59433318</v>
      </c>
      <c r="D13" s="192">
        <v>41262199</v>
      </c>
      <c r="E13" s="193">
        <v>526267770</v>
      </c>
      <c r="F13" s="201">
        <v>1102543142</v>
      </c>
      <c r="G13" s="192">
        <v>33540007</v>
      </c>
      <c r="H13" s="192">
        <v>-354488990</v>
      </c>
      <c r="I13" s="193">
        <v>129514603</v>
      </c>
      <c r="J13" s="188"/>
    </row>
    <row r="14" spans="1:10" x14ac:dyDescent="0.25">
      <c r="A14" s="199">
        <v>2019</v>
      </c>
      <c r="B14" s="191">
        <v>331767092</v>
      </c>
      <c r="C14" s="192">
        <v>62528577</v>
      </c>
      <c r="D14" s="192">
        <v>43182520</v>
      </c>
      <c r="E14" s="193">
        <v>550630015</v>
      </c>
      <c r="F14" s="201">
        <v>274393923</v>
      </c>
      <c r="G14" s="192">
        <v>7102081</v>
      </c>
      <c r="H14" s="192">
        <v>-162628868</v>
      </c>
      <c r="I14" s="193">
        <v>22140693</v>
      </c>
      <c r="J14" s="188"/>
    </row>
    <row r="15" spans="1:10" x14ac:dyDescent="0.25">
      <c r="A15" s="199">
        <v>2020</v>
      </c>
      <c r="B15" s="191">
        <v>375257310</v>
      </c>
      <c r="C15" s="192">
        <v>65005039</v>
      </c>
      <c r="D15" s="192">
        <v>45905306</v>
      </c>
      <c r="E15" s="193">
        <v>573104271</v>
      </c>
      <c r="F15" s="201">
        <v>558480914</v>
      </c>
      <c r="G15" s="192">
        <v>11357107</v>
      </c>
      <c r="H15" s="192">
        <v>17247773</v>
      </c>
      <c r="I15" s="193">
        <v>16416318</v>
      </c>
      <c r="J15" s="188"/>
    </row>
    <row r="16" spans="1:10" x14ac:dyDescent="0.25">
      <c r="A16" s="199">
        <v>2021</v>
      </c>
      <c r="B16" s="194">
        <v>415629077</v>
      </c>
      <c r="C16" s="192">
        <v>66871292</v>
      </c>
      <c r="D16" s="192">
        <v>55304179</v>
      </c>
      <c r="E16" s="193">
        <v>632702492</v>
      </c>
      <c r="F16" s="201">
        <v>331988466</v>
      </c>
      <c r="G16" s="192">
        <v>5813001</v>
      </c>
      <c r="H16" s="192">
        <v>-1616462</v>
      </c>
      <c r="I16" s="193">
        <v>13598362</v>
      </c>
      <c r="J16" s="188"/>
    </row>
    <row r="17" spans="1:10" x14ac:dyDescent="0.25">
      <c r="A17" s="199">
        <v>2022</v>
      </c>
      <c r="B17" s="191">
        <v>497012328</v>
      </c>
      <c r="C17" s="192">
        <v>84619492</v>
      </c>
      <c r="D17" s="192">
        <v>87563378</v>
      </c>
      <c r="E17" s="193">
        <v>786375486</v>
      </c>
      <c r="F17" s="201">
        <v>204519762</v>
      </c>
      <c r="G17" s="192">
        <v>4997495</v>
      </c>
      <c r="H17" s="192">
        <v>-1633385</v>
      </c>
      <c r="I17" s="193">
        <v>9858044</v>
      </c>
      <c r="J17" s="188"/>
    </row>
    <row r="18" spans="1:10" x14ac:dyDescent="0.25">
      <c r="A18" s="200">
        <v>2023</v>
      </c>
      <c r="B18" s="195">
        <v>589988756</v>
      </c>
      <c r="C18" s="196">
        <v>117893983</v>
      </c>
      <c r="D18" s="196">
        <v>105402470</v>
      </c>
      <c r="E18" s="197">
        <v>1293212676</v>
      </c>
      <c r="F18" s="202">
        <v>177243477</v>
      </c>
      <c r="G18" s="196">
        <v>19379940</v>
      </c>
      <c r="H18" s="196">
        <v>-4009459</v>
      </c>
      <c r="I18" s="197">
        <v>27510734</v>
      </c>
      <c r="J18" s="188"/>
    </row>
    <row r="19" spans="1:10" x14ac:dyDescent="0.25">
      <c r="A19" s="188"/>
      <c r="B19" s="189"/>
      <c r="C19" s="188"/>
      <c r="D19" s="188"/>
      <c r="E19" s="188"/>
      <c r="F19" s="188"/>
      <c r="G19" s="188"/>
      <c r="H19" s="188"/>
      <c r="I19" s="188"/>
      <c r="J19" s="188"/>
    </row>
    <row r="20" spans="1:10" x14ac:dyDescent="0.25">
      <c r="A20" s="188"/>
      <c r="B20" s="190"/>
      <c r="C20" s="188"/>
      <c r="D20" s="188"/>
      <c r="E20" s="188"/>
      <c r="F20" s="188"/>
      <c r="G20" s="188"/>
      <c r="H20" s="188"/>
      <c r="I20" s="188"/>
      <c r="J20" s="188"/>
    </row>
    <row r="21" spans="1:10" x14ac:dyDescent="0.25">
      <c r="A21" s="188"/>
      <c r="B21" s="190"/>
      <c r="C21" s="188"/>
      <c r="D21" s="188"/>
      <c r="E21" s="188"/>
      <c r="F21" s="188"/>
      <c r="G21" s="188"/>
      <c r="H21" s="188"/>
      <c r="I21" s="188"/>
      <c r="J21" s="188"/>
    </row>
    <row r="22" spans="1:10" x14ac:dyDescent="0.25">
      <c r="A22" s="188"/>
      <c r="B22" s="189"/>
      <c r="C22" s="188"/>
      <c r="D22" s="188"/>
      <c r="E22" s="188"/>
      <c r="F22" s="188"/>
      <c r="G22" s="188"/>
      <c r="H22" s="188"/>
      <c r="I22" s="188"/>
      <c r="J22" s="188"/>
    </row>
    <row r="23" spans="1:10" x14ac:dyDescent="0.25">
      <c r="A23" s="188"/>
      <c r="B23" s="190"/>
      <c r="C23" s="188"/>
      <c r="D23" s="188"/>
      <c r="E23" s="188"/>
      <c r="F23" s="188"/>
      <c r="G23" s="188"/>
      <c r="H23" s="188"/>
      <c r="I23" s="188"/>
      <c r="J23" s="188"/>
    </row>
    <row r="24" spans="1:10" x14ac:dyDescent="0.25">
      <c r="A24" s="188"/>
      <c r="B24" s="190"/>
      <c r="C24" s="188"/>
      <c r="D24" s="188"/>
      <c r="E24" s="188"/>
      <c r="F24" s="188"/>
      <c r="G24" s="188"/>
      <c r="H24" s="188"/>
      <c r="I24" s="188"/>
      <c r="J24" s="188"/>
    </row>
    <row r="25" spans="1:10" x14ac:dyDescent="0.25">
      <c r="A25" s="73"/>
      <c r="B25" s="163"/>
    </row>
    <row r="26" spans="1:10" x14ac:dyDescent="0.25">
      <c r="A26" s="161"/>
      <c r="B26" s="162"/>
    </row>
    <row r="27" spans="1:10" x14ac:dyDescent="0.25">
      <c r="A27" s="161"/>
      <c r="B27" s="162"/>
    </row>
    <row r="28" spans="1:10" x14ac:dyDescent="0.25">
      <c r="A28" s="73"/>
      <c r="B28" s="163"/>
    </row>
    <row r="29" spans="1:10" x14ac:dyDescent="0.25">
      <c r="A29" s="161"/>
      <c r="B29" s="162"/>
    </row>
    <row r="30" spans="1:10" x14ac:dyDescent="0.25">
      <c r="A30" s="161"/>
      <c r="B30" s="162"/>
    </row>
    <row r="31" spans="1:10" x14ac:dyDescent="0.25">
      <c r="A31" s="73"/>
      <c r="B31" s="163"/>
    </row>
    <row r="32" spans="1:10" x14ac:dyDescent="0.25">
      <c r="A32" s="161"/>
      <c r="B32" s="162"/>
    </row>
    <row r="33" spans="1:2" x14ac:dyDescent="0.25">
      <c r="A33" s="161"/>
      <c r="B33" s="162"/>
    </row>
    <row r="34" spans="1:2" x14ac:dyDescent="0.25">
      <c r="A34" s="73"/>
      <c r="B34" s="163"/>
    </row>
    <row r="35" spans="1:2" x14ac:dyDescent="0.25">
      <c r="A35" s="164"/>
      <c r="B35" s="162"/>
    </row>
    <row r="36" spans="1:2" x14ac:dyDescent="0.25">
      <c r="A36" s="161"/>
      <c r="B36" s="162"/>
    </row>
  </sheetData>
  <mergeCells count="5">
    <mergeCell ref="B7:E7"/>
    <mergeCell ref="F7:I7"/>
    <mergeCell ref="A1:I1"/>
    <mergeCell ref="A2:I2"/>
    <mergeCell ref="A3:I3"/>
  </mergeCells>
  <printOptions horizontalCentered="1"/>
  <pageMargins left="0.2" right="0.2" top="0.75" bottom="0.75" header="0.3" footer="0.3"/>
  <pageSetup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5F2A-E16B-4005-832B-C4DF7E7694D3}">
  <sheetPr>
    <pageSetUpPr fitToPage="1"/>
  </sheetPr>
  <dimension ref="A1:O35"/>
  <sheetViews>
    <sheetView zoomScaleNormal="100" workbookViewId="0">
      <selection activeCell="A38" sqref="A38"/>
    </sheetView>
  </sheetViews>
  <sheetFormatPr defaultRowHeight="15" x14ac:dyDescent="0.25"/>
  <cols>
    <col min="1" max="9" width="19.28515625" customWidth="1"/>
    <col min="13" max="15" width="11.140625" bestFit="1" customWidth="1"/>
  </cols>
  <sheetData>
    <row r="1" spans="1:13" x14ac:dyDescent="0.25">
      <c r="A1" s="219" t="s">
        <v>223</v>
      </c>
      <c r="B1" s="219"/>
      <c r="C1" s="219"/>
      <c r="D1" s="219"/>
      <c r="E1" s="219"/>
      <c r="F1" s="219"/>
      <c r="G1" s="219"/>
      <c r="H1" s="219"/>
      <c r="I1" s="219"/>
    </row>
    <row r="2" spans="1:13" x14ac:dyDescent="0.25">
      <c r="A2" s="219" t="s">
        <v>0</v>
      </c>
      <c r="B2" s="219"/>
      <c r="C2" s="219"/>
      <c r="D2" s="219"/>
      <c r="E2" s="219"/>
      <c r="F2" s="219"/>
      <c r="G2" s="219"/>
      <c r="H2" s="219"/>
      <c r="I2" s="219"/>
    </row>
    <row r="3" spans="1:13" x14ac:dyDescent="0.25">
      <c r="A3" s="219" t="s">
        <v>62</v>
      </c>
      <c r="B3" s="219"/>
      <c r="C3" s="219"/>
      <c r="D3" s="219"/>
      <c r="E3" s="219"/>
      <c r="F3" s="219"/>
      <c r="G3" s="219"/>
      <c r="H3" s="219"/>
      <c r="I3" s="219"/>
    </row>
    <row r="5" spans="1:13" x14ac:dyDescent="0.25">
      <c r="A5" s="166"/>
      <c r="B5" s="260" t="s">
        <v>63</v>
      </c>
      <c r="C5" s="261"/>
      <c r="D5" s="262" t="s">
        <v>64</v>
      </c>
      <c r="E5" s="262"/>
      <c r="F5" s="260" t="s">
        <v>65</v>
      </c>
      <c r="G5" s="261"/>
      <c r="H5" s="262" t="s">
        <v>66</v>
      </c>
      <c r="I5" s="261"/>
    </row>
    <row r="6" spans="1:13" x14ac:dyDescent="0.25">
      <c r="A6" s="181" t="s">
        <v>67</v>
      </c>
      <c r="B6" s="171" t="s">
        <v>68</v>
      </c>
      <c r="C6" s="180" t="s">
        <v>69</v>
      </c>
      <c r="D6" s="174" t="s">
        <v>70</v>
      </c>
      <c r="E6" s="174" t="s">
        <v>71</v>
      </c>
      <c r="F6" s="171" t="s">
        <v>68</v>
      </c>
      <c r="G6" s="180" t="s">
        <v>69</v>
      </c>
      <c r="H6" s="174" t="s">
        <v>70</v>
      </c>
      <c r="I6" s="180" t="s">
        <v>71</v>
      </c>
      <c r="M6" s="74"/>
    </row>
    <row r="7" spans="1:13" x14ac:dyDescent="0.25">
      <c r="A7" s="167">
        <v>2015</v>
      </c>
      <c r="B7" s="176">
        <v>1000000000</v>
      </c>
      <c r="C7" s="177">
        <v>1900000000</v>
      </c>
      <c r="D7" s="168">
        <v>87637500</v>
      </c>
      <c r="E7" s="169" t="s">
        <v>72</v>
      </c>
      <c r="F7" s="176">
        <v>1500000000</v>
      </c>
      <c r="G7" s="177" t="s">
        <v>73</v>
      </c>
      <c r="H7" s="168">
        <v>10250000</v>
      </c>
      <c r="I7" s="170" t="s">
        <v>72</v>
      </c>
    </row>
    <row r="8" spans="1:13" x14ac:dyDescent="0.25">
      <c r="A8" s="167">
        <v>2016</v>
      </c>
      <c r="B8" s="176">
        <v>1000000000</v>
      </c>
      <c r="C8" s="177">
        <v>2100000000</v>
      </c>
      <c r="D8" s="168">
        <v>97912500</v>
      </c>
      <c r="E8" s="169" t="s">
        <v>72</v>
      </c>
      <c r="F8" s="176">
        <v>1500000000</v>
      </c>
      <c r="G8" s="177">
        <v>500000000</v>
      </c>
      <c r="H8" s="168">
        <v>11250000</v>
      </c>
      <c r="I8" s="170" t="s">
        <v>72</v>
      </c>
    </row>
    <row r="9" spans="1:13" x14ac:dyDescent="0.25">
      <c r="A9" s="167">
        <v>2017</v>
      </c>
      <c r="B9" s="176">
        <v>1000000000</v>
      </c>
      <c r="C9" s="177">
        <v>2100000000</v>
      </c>
      <c r="D9" s="168">
        <v>100852500</v>
      </c>
      <c r="E9" s="169" t="s">
        <v>72</v>
      </c>
      <c r="F9" s="176">
        <v>1500000000</v>
      </c>
      <c r="G9" s="177">
        <v>500000000</v>
      </c>
      <c r="H9" s="168">
        <v>10750000</v>
      </c>
      <c r="I9" s="170" t="s">
        <v>72</v>
      </c>
    </row>
    <row r="10" spans="1:13" x14ac:dyDescent="0.25">
      <c r="A10" s="167">
        <v>2018</v>
      </c>
      <c r="B10" s="176">
        <v>1000000000</v>
      </c>
      <c r="C10" s="177">
        <v>2600000000</v>
      </c>
      <c r="D10" s="168">
        <v>121225000</v>
      </c>
      <c r="E10" s="169">
        <v>87467900</v>
      </c>
      <c r="F10" s="176">
        <v>1500000000</v>
      </c>
      <c r="G10" s="177">
        <v>500000000</v>
      </c>
      <c r="H10" s="168">
        <v>14750000</v>
      </c>
      <c r="I10" s="170" t="s">
        <v>72</v>
      </c>
    </row>
    <row r="11" spans="1:13" x14ac:dyDescent="0.25">
      <c r="A11" s="167">
        <v>2019</v>
      </c>
      <c r="B11" s="176">
        <v>750000000</v>
      </c>
      <c r="C11" s="177">
        <v>3150000000</v>
      </c>
      <c r="D11" s="168">
        <v>156662500</v>
      </c>
      <c r="E11" s="169" t="s">
        <v>72</v>
      </c>
      <c r="F11" s="176">
        <v>1250000000</v>
      </c>
      <c r="G11" s="177">
        <v>600000000</v>
      </c>
      <c r="H11" s="168">
        <v>20400000</v>
      </c>
      <c r="I11" s="170" t="s">
        <v>72</v>
      </c>
    </row>
    <row r="12" spans="1:13" x14ac:dyDescent="0.25">
      <c r="A12" s="167">
        <v>2020</v>
      </c>
      <c r="B12" s="176">
        <v>750000000</v>
      </c>
      <c r="C12" s="177">
        <v>3850000000</v>
      </c>
      <c r="D12" s="168">
        <v>206250000</v>
      </c>
      <c r="E12" s="169" t="s">
        <v>72</v>
      </c>
      <c r="F12" s="176">
        <v>1250000000</v>
      </c>
      <c r="G12" s="177">
        <v>600000000</v>
      </c>
      <c r="H12" s="168">
        <v>24000000</v>
      </c>
      <c r="I12" s="170" t="s">
        <v>72</v>
      </c>
    </row>
    <row r="13" spans="1:13" x14ac:dyDescent="0.25">
      <c r="A13" s="167">
        <v>2021</v>
      </c>
      <c r="B13" s="176">
        <v>500000000</v>
      </c>
      <c r="C13" s="177">
        <v>5200000000</v>
      </c>
      <c r="D13" s="168">
        <v>317950000</v>
      </c>
      <c r="E13" s="168" t="s">
        <v>72</v>
      </c>
      <c r="F13" s="176">
        <v>750000000</v>
      </c>
      <c r="G13" s="177">
        <v>600000000</v>
      </c>
      <c r="H13" s="168">
        <v>62700000</v>
      </c>
      <c r="I13" s="170" t="s">
        <v>72</v>
      </c>
    </row>
    <row r="14" spans="1:13" x14ac:dyDescent="0.25">
      <c r="A14" s="167">
        <v>2022</v>
      </c>
      <c r="B14" s="176">
        <v>500000000</v>
      </c>
      <c r="C14" s="177">
        <v>6400000000</v>
      </c>
      <c r="D14" s="168">
        <v>374950000</v>
      </c>
      <c r="E14" s="169" t="s">
        <v>72</v>
      </c>
      <c r="F14" s="176">
        <v>750000000</v>
      </c>
      <c r="G14" s="177">
        <v>600000000</v>
      </c>
      <c r="H14" s="168">
        <v>74700000</v>
      </c>
      <c r="I14" s="170" t="s">
        <v>72</v>
      </c>
    </row>
    <row r="15" spans="1:13" x14ac:dyDescent="0.25">
      <c r="A15" s="167">
        <v>2023</v>
      </c>
      <c r="B15" s="176">
        <v>250000000</v>
      </c>
      <c r="C15" s="177">
        <v>8850000000</v>
      </c>
      <c r="D15" s="168">
        <v>665197000</v>
      </c>
      <c r="E15" s="169" t="s">
        <v>72</v>
      </c>
      <c r="F15" s="176">
        <v>375000000</v>
      </c>
      <c r="G15" s="177">
        <v>600000000</v>
      </c>
      <c r="H15" s="168">
        <v>144600000</v>
      </c>
      <c r="I15" s="170" t="s">
        <v>72</v>
      </c>
    </row>
    <row r="16" spans="1:13" x14ac:dyDescent="0.25">
      <c r="A16" s="171">
        <v>2024</v>
      </c>
      <c r="B16" s="178">
        <v>250000000</v>
      </c>
      <c r="C16" s="179">
        <v>8920000000</v>
      </c>
      <c r="D16" s="172">
        <v>637598000</v>
      </c>
      <c r="E16" s="173" t="s">
        <v>72</v>
      </c>
      <c r="F16" s="178">
        <v>375000000</v>
      </c>
      <c r="G16" s="179">
        <v>600000000</v>
      </c>
      <c r="H16" s="172">
        <v>167100000</v>
      </c>
      <c r="I16" s="175" t="s">
        <v>72</v>
      </c>
    </row>
    <row r="17" spans="1:15" x14ac:dyDescent="0.25">
      <c r="A17" s="122"/>
    </row>
    <row r="19" spans="1:15" x14ac:dyDescent="0.25">
      <c r="A19" s="182"/>
      <c r="B19" s="260" t="s">
        <v>103</v>
      </c>
      <c r="C19" s="261"/>
      <c r="D19" s="262" t="s">
        <v>104</v>
      </c>
      <c r="E19" s="261"/>
    </row>
    <row r="20" spans="1:15" x14ac:dyDescent="0.25">
      <c r="A20" s="181" t="s">
        <v>67</v>
      </c>
      <c r="B20" s="171" t="s">
        <v>70</v>
      </c>
      <c r="C20" s="180" t="s">
        <v>71</v>
      </c>
      <c r="D20" s="174" t="s">
        <v>70</v>
      </c>
      <c r="E20" s="180" t="s">
        <v>71</v>
      </c>
    </row>
    <row r="21" spans="1:15" x14ac:dyDescent="0.25">
      <c r="A21" s="167">
        <v>2015</v>
      </c>
      <c r="B21" s="41">
        <v>14400000</v>
      </c>
      <c r="C21" s="183">
        <v>418013.16</v>
      </c>
      <c r="D21" s="37">
        <v>770247.99</v>
      </c>
      <c r="E21" s="183">
        <v>0</v>
      </c>
    </row>
    <row r="22" spans="1:15" x14ac:dyDescent="0.25">
      <c r="A22" s="167">
        <v>2016</v>
      </c>
      <c r="B22" s="41">
        <v>11295000</v>
      </c>
      <c r="C22" s="183">
        <v>2924033.01</v>
      </c>
      <c r="D22" s="37">
        <v>925769.66</v>
      </c>
      <c r="E22" s="183">
        <v>0</v>
      </c>
    </row>
    <row r="23" spans="1:15" x14ac:dyDescent="0.25">
      <c r="A23" s="167">
        <v>2017</v>
      </c>
      <c r="B23" s="41">
        <v>11525000</v>
      </c>
      <c r="C23" s="183">
        <v>28049028.350000009</v>
      </c>
      <c r="D23" s="37">
        <v>789993.5</v>
      </c>
      <c r="E23" s="183">
        <v>0</v>
      </c>
    </row>
    <row r="24" spans="1:15" x14ac:dyDescent="0.25">
      <c r="A24" s="167">
        <v>2018</v>
      </c>
      <c r="B24" s="41">
        <v>16100000</v>
      </c>
      <c r="C24" s="183">
        <v>38279907.639999963</v>
      </c>
      <c r="D24" s="37">
        <v>704072.61</v>
      </c>
      <c r="E24" s="183">
        <v>381045</v>
      </c>
    </row>
    <row r="25" spans="1:15" x14ac:dyDescent="0.25">
      <c r="A25" s="167">
        <v>2019</v>
      </c>
      <c r="B25" s="41">
        <v>15500000</v>
      </c>
      <c r="C25" s="183">
        <v>9798295.6699999962</v>
      </c>
      <c r="D25" s="37">
        <v>735033.16</v>
      </c>
      <c r="E25" s="183">
        <v>3619</v>
      </c>
    </row>
    <row r="26" spans="1:15" x14ac:dyDescent="0.25">
      <c r="A26" s="167">
        <v>2020</v>
      </c>
      <c r="B26" s="41">
        <v>16400000</v>
      </c>
      <c r="C26" s="183">
        <v>63550974.020000003</v>
      </c>
      <c r="D26" s="37">
        <v>769422.49</v>
      </c>
      <c r="E26" s="183">
        <v>64.150000000000006</v>
      </c>
      <c r="M26" s="75"/>
      <c r="N26" s="76"/>
      <c r="O26" s="76"/>
    </row>
    <row r="27" spans="1:15" x14ac:dyDescent="0.25">
      <c r="A27" s="167">
        <v>2021</v>
      </c>
      <c r="B27" s="41">
        <v>19000000</v>
      </c>
      <c r="C27" s="183">
        <v>15473078.699999997</v>
      </c>
      <c r="D27" s="37">
        <v>829313.94</v>
      </c>
      <c r="E27" s="183">
        <v>14905580</v>
      </c>
      <c r="M27" s="75"/>
      <c r="N27" s="76"/>
      <c r="O27" s="76"/>
    </row>
    <row r="28" spans="1:15" x14ac:dyDescent="0.25">
      <c r="A28" s="167">
        <v>2022</v>
      </c>
      <c r="B28" s="41">
        <v>20700000</v>
      </c>
      <c r="C28" s="183">
        <v>41742037.149999999</v>
      </c>
      <c r="D28" s="37">
        <v>955966.83</v>
      </c>
      <c r="E28" s="183">
        <v>0</v>
      </c>
      <c r="M28" s="75"/>
      <c r="N28" s="76"/>
      <c r="O28" s="76"/>
    </row>
    <row r="29" spans="1:15" x14ac:dyDescent="0.25">
      <c r="A29" s="167">
        <v>2023</v>
      </c>
      <c r="B29" s="41">
        <v>27800000</v>
      </c>
      <c r="C29" s="183">
        <v>15164632.689999998</v>
      </c>
      <c r="D29" s="37">
        <v>1144652.3</v>
      </c>
      <c r="E29" s="183">
        <v>0</v>
      </c>
      <c r="M29" s="75"/>
      <c r="N29" s="76"/>
      <c r="O29" s="76"/>
    </row>
    <row r="30" spans="1:15" x14ac:dyDescent="0.25">
      <c r="A30" s="171">
        <v>2024</v>
      </c>
      <c r="B30" s="43">
        <v>42500000</v>
      </c>
      <c r="C30" s="184">
        <v>0</v>
      </c>
      <c r="D30" s="21" t="s">
        <v>105</v>
      </c>
      <c r="E30" s="184">
        <v>0</v>
      </c>
      <c r="M30" s="75"/>
      <c r="N30" s="76"/>
      <c r="O30" s="76"/>
    </row>
    <row r="31" spans="1:15" x14ac:dyDescent="0.25">
      <c r="M31" s="75"/>
      <c r="N31" s="76"/>
      <c r="O31" s="76"/>
    </row>
    <row r="32" spans="1:15" x14ac:dyDescent="0.25">
      <c r="A32" t="s">
        <v>106</v>
      </c>
      <c r="M32" s="75"/>
      <c r="N32" s="76"/>
      <c r="O32" s="76"/>
    </row>
    <row r="33" spans="13:15" x14ac:dyDescent="0.25">
      <c r="M33" s="75"/>
      <c r="N33" s="76"/>
      <c r="O33" s="76"/>
    </row>
    <row r="34" spans="13:15" x14ac:dyDescent="0.25">
      <c r="M34" s="75"/>
      <c r="N34" s="76"/>
      <c r="O34" s="76"/>
    </row>
    <row r="35" spans="13:15" x14ac:dyDescent="0.25">
      <c r="M35" s="75"/>
      <c r="N35" s="76"/>
      <c r="O35" s="76"/>
    </row>
  </sheetData>
  <mergeCells count="9">
    <mergeCell ref="B19:C19"/>
    <mergeCell ref="D19:E19"/>
    <mergeCell ref="A1:I1"/>
    <mergeCell ref="A2:I2"/>
    <mergeCell ref="A3:I3"/>
    <mergeCell ref="B5:C5"/>
    <mergeCell ref="D5:E5"/>
    <mergeCell ref="F5:G5"/>
    <mergeCell ref="H5:I5"/>
  </mergeCells>
  <printOptions horizontalCentered="1"/>
  <pageMargins left="0.2" right="0.2" top="0.75" bottom="0.75" header="0.3" footer="0.3"/>
  <pageSetup scale="77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6"/>
  <sheetViews>
    <sheetView zoomScaleNormal="100" workbookViewId="0">
      <selection activeCell="A38" sqref="A38"/>
    </sheetView>
  </sheetViews>
  <sheetFormatPr defaultRowHeight="15" x14ac:dyDescent="0.25"/>
  <cols>
    <col min="1" max="1" width="14.140625" customWidth="1"/>
    <col min="2" max="2" width="13.85546875" bestFit="1" customWidth="1"/>
    <col min="3" max="3" width="17.7109375" bestFit="1" customWidth="1"/>
    <col min="4" max="4" width="10" bestFit="1" customWidth="1"/>
    <col min="5" max="5" width="6.85546875" bestFit="1" customWidth="1"/>
    <col min="6" max="6" width="2.85546875" customWidth="1"/>
    <col min="7" max="7" width="16.85546875" bestFit="1" customWidth="1"/>
    <col min="9" max="9" width="15.28515625" bestFit="1" customWidth="1"/>
    <col min="10" max="10" width="12" bestFit="1" customWidth="1"/>
    <col min="11" max="11" width="2.28515625" customWidth="1"/>
    <col min="12" max="12" width="16.85546875" bestFit="1" customWidth="1"/>
    <col min="13" max="13" width="10.5703125" bestFit="1" customWidth="1"/>
    <col min="14" max="14" width="15" bestFit="1" customWidth="1"/>
    <col min="15" max="15" width="10.5703125" bestFit="1" customWidth="1"/>
    <col min="21" max="21" width="15.28515625" bestFit="1" customWidth="1"/>
    <col min="22" max="22" width="17.85546875" customWidth="1"/>
    <col min="24" max="24" width="16.85546875" bestFit="1" customWidth="1"/>
  </cols>
  <sheetData>
    <row r="1" spans="1:15" x14ac:dyDescent="0.25">
      <c r="A1" s="219" t="s">
        <v>39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</row>
    <row r="2" spans="1:15" x14ac:dyDescent="0.25">
      <c r="A2" s="219" t="s">
        <v>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</row>
    <row r="3" spans="1:15" x14ac:dyDescent="0.25">
      <c r="A3" s="219" t="s">
        <v>224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</row>
    <row r="4" spans="1:15" x14ac:dyDescent="0.25">
      <c r="A4" s="219" t="s">
        <v>1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</row>
    <row r="6" spans="1:15" x14ac:dyDescent="0.25">
      <c r="A6" s="26" t="s">
        <v>11</v>
      </c>
      <c r="B6" s="27" t="s">
        <v>12</v>
      </c>
      <c r="C6" s="27" t="s">
        <v>13</v>
      </c>
      <c r="D6" s="27" t="s">
        <v>14</v>
      </c>
      <c r="E6" s="28" t="s">
        <v>15</v>
      </c>
      <c r="F6" s="27"/>
      <c r="G6" s="26" t="s">
        <v>16</v>
      </c>
      <c r="H6" s="27" t="s">
        <v>22</v>
      </c>
      <c r="I6" s="27" t="s">
        <v>23</v>
      </c>
      <c r="J6" s="28" t="s">
        <v>24</v>
      </c>
      <c r="K6" s="36"/>
      <c r="L6" s="26" t="s">
        <v>25</v>
      </c>
      <c r="M6" s="27" t="s">
        <v>26</v>
      </c>
      <c r="N6" s="27" t="s">
        <v>27</v>
      </c>
      <c r="O6" s="28" t="s">
        <v>28</v>
      </c>
    </row>
    <row r="7" spans="1:15" x14ac:dyDescent="0.25">
      <c r="A7" s="16"/>
      <c r="B7" s="7"/>
      <c r="C7" s="7" t="s">
        <v>10</v>
      </c>
      <c r="D7" s="7"/>
      <c r="E7" s="17"/>
      <c r="F7" s="7"/>
      <c r="G7" s="16" t="s">
        <v>18</v>
      </c>
      <c r="H7" s="7"/>
      <c r="I7" s="7" t="s">
        <v>32</v>
      </c>
      <c r="J7" s="17"/>
      <c r="K7" s="7"/>
      <c r="L7" s="16" t="s">
        <v>33</v>
      </c>
      <c r="M7" s="7"/>
      <c r="N7" s="7" t="s">
        <v>35</v>
      </c>
      <c r="O7" s="17"/>
    </row>
    <row r="8" spans="1:15" x14ac:dyDescent="0.25">
      <c r="A8" s="1" t="s">
        <v>2</v>
      </c>
      <c r="B8" s="29"/>
      <c r="C8" s="29" t="s">
        <v>3</v>
      </c>
      <c r="D8" s="29" t="s">
        <v>4</v>
      </c>
      <c r="E8" s="30"/>
      <c r="F8" s="29"/>
      <c r="G8" s="16" t="s">
        <v>19</v>
      </c>
      <c r="H8" s="7" t="s">
        <v>4</v>
      </c>
      <c r="I8" s="7" t="s">
        <v>3</v>
      </c>
      <c r="J8" s="17" t="s">
        <v>4</v>
      </c>
      <c r="K8" s="7"/>
      <c r="L8" s="16" t="s">
        <v>34</v>
      </c>
      <c r="M8" s="7" t="s">
        <v>4</v>
      </c>
      <c r="N8" s="7" t="s">
        <v>34</v>
      </c>
      <c r="O8" s="17" t="s">
        <v>4</v>
      </c>
    </row>
    <row r="9" spans="1:15" x14ac:dyDescent="0.25">
      <c r="A9" s="2" t="s">
        <v>5</v>
      </c>
      <c r="B9" s="3" t="s">
        <v>6</v>
      </c>
      <c r="C9" s="3" t="s">
        <v>7</v>
      </c>
      <c r="D9" s="4" t="s">
        <v>8</v>
      </c>
      <c r="E9" s="31" t="s">
        <v>9</v>
      </c>
      <c r="F9" s="3"/>
      <c r="G9" s="2" t="s">
        <v>20</v>
      </c>
      <c r="H9" s="24" t="s">
        <v>21</v>
      </c>
      <c r="I9" s="24" t="s">
        <v>7</v>
      </c>
      <c r="J9" s="25" t="s">
        <v>29</v>
      </c>
      <c r="K9" s="24"/>
      <c r="L9" s="20" t="s">
        <v>20</v>
      </c>
      <c r="M9" s="24" t="s">
        <v>30</v>
      </c>
      <c r="N9" s="24" t="s">
        <v>20</v>
      </c>
      <c r="O9" s="25" t="s">
        <v>31</v>
      </c>
    </row>
    <row r="10" spans="1:15" x14ac:dyDescent="0.25">
      <c r="A10" s="45">
        <v>1990</v>
      </c>
      <c r="B10" s="46">
        <v>22674567.000000011</v>
      </c>
      <c r="C10" s="46">
        <v>7193778.1199999992</v>
      </c>
      <c r="D10" s="47">
        <f>C10/B10</f>
        <v>0.31726198431925934</v>
      </c>
      <c r="E10" s="48">
        <v>1.70952662775328E-2</v>
      </c>
      <c r="F10" s="49"/>
      <c r="G10" s="214">
        <f>C10-I10</f>
        <v>7193778.1199999992</v>
      </c>
      <c r="H10" s="50">
        <f>G10/$B10</f>
        <v>0.31726198431925934</v>
      </c>
      <c r="I10" s="51">
        <v>0</v>
      </c>
      <c r="J10" s="52">
        <f>I10/$B10</f>
        <v>0</v>
      </c>
      <c r="K10" s="36"/>
      <c r="L10" s="53">
        <v>1056829.8700000001</v>
      </c>
      <c r="M10" s="50">
        <f>L10/$B10</f>
        <v>4.6608602051805427E-2</v>
      </c>
      <c r="N10" s="54">
        <f>C10-L10</f>
        <v>6136948.2499999991</v>
      </c>
      <c r="O10" s="52">
        <f>N10/$B10</f>
        <v>0.27065338226745395</v>
      </c>
    </row>
    <row r="11" spans="1:15" x14ac:dyDescent="0.25">
      <c r="A11" s="1">
        <v>1991</v>
      </c>
      <c r="B11" s="32">
        <v>25415224.29999999</v>
      </c>
      <c r="C11" s="32">
        <v>15364567.199999999</v>
      </c>
      <c r="D11" s="33">
        <f t="shared" ref="D11:D43" si="0">C11/B11</f>
        <v>0.60454186902454388</v>
      </c>
      <c r="E11" s="34">
        <v>1.70952662775328E-2</v>
      </c>
      <c r="F11" s="5"/>
      <c r="G11" s="215">
        <f t="shared" ref="G11:G43" si="1">C11-I11</f>
        <v>15364567.199999999</v>
      </c>
      <c r="H11" s="10">
        <f t="shared" ref="H11:J43" si="2">G11/$B11</f>
        <v>0.60454186902454388</v>
      </c>
      <c r="I11" s="37">
        <v>0</v>
      </c>
      <c r="J11" s="38">
        <f t="shared" si="2"/>
        <v>0</v>
      </c>
      <c r="L11" s="41">
        <v>13194223.600000001</v>
      </c>
      <c r="M11" s="10">
        <f t="shared" ref="M11:M43" si="3">L11/$B11</f>
        <v>0.51914645506394397</v>
      </c>
      <c r="N11" s="42">
        <f t="shared" ref="N11:N43" si="4">C11-L11</f>
        <v>2170343.5999999978</v>
      </c>
      <c r="O11" s="38">
        <f t="shared" ref="O11:O43" si="5">N11/$B11</f>
        <v>8.5395413960599936E-2</v>
      </c>
    </row>
    <row r="12" spans="1:15" x14ac:dyDescent="0.25">
      <c r="A12" s="1">
        <v>1992</v>
      </c>
      <c r="B12" s="32">
        <v>28631903.20000001</v>
      </c>
      <c r="C12" s="32">
        <v>12311015.82</v>
      </c>
      <c r="D12" s="33">
        <f t="shared" si="0"/>
        <v>0.42997546247641671</v>
      </c>
      <c r="E12" s="34">
        <v>1.70952662775328E-2</v>
      </c>
      <c r="F12" s="5"/>
      <c r="G12" s="215">
        <f t="shared" si="1"/>
        <v>12311015.82</v>
      </c>
      <c r="H12" s="10">
        <f t="shared" si="2"/>
        <v>0.42997546247641671</v>
      </c>
      <c r="I12" s="37">
        <v>0</v>
      </c>
      <c r="J12" s="38">
        <f t="shared" si="2"/>
        <v>0</v>
      </c>
      <c r="L12" s="41">
        <v>4735544.5</v>
      </c>
      <c r="M12" s="10">
        <f t="shared" si="3"/>
        <v>0.16539398261167629</v>
      </c>
      <c r="N12" s="42">
        <f>C12-L12</f>
        <v>7575471.3200000003</v>
      </c>
      <c r="O12" s="38">
        <f t="shared" si="5"/>
        <v>0.26458147986474045</v>
      </c>
    </row>
    <row r="13" spans="1:15" x14ac:dyDescent="0.25">
      <c r="A13" s="1">
        <v>1993</v>
      </c>
      <c r="B13" s="32">
        <v>31821709.400000021</v>
      </c>
      <c r="C13" s="32">
        <v>7631671.6999999993</v>
      </c>
      <c r="D13" s="33">
        <f t="shared" si="0"/>
        <v>0.23982595039347554</v>
      </c>
      <c r="E13" s="34">
        <v>1.70952662775328E-2</v>
      </c>
      <c r="F13" s="5"/>
      <c r="G13" s="215">
        <f t="shared" si="1"/>
        <v>7631671.6999999993</v>
      </c>
      <c r="H13" s="10">
        <f t="shared" si="2"/>
        <v>0.23982595039347554</v>
      </c>
      <c r="I13" s="37">
        <v>0</v>
      </c>
      <c r="J13" s="38">
        <f t="shared" si="2"/>
        <v>0</v>
      </c>
      <c r="L13" s="41">
        <v>4258690.9799999995</v>
      </c>
      <c r="M13" s="10">
        <f t="shared" si="3"/>
        <v>0.13382973637487861</v>
      </c>
      <c r="N13" s="42">
        <f t="shared" si="4"/>
        <v>3372980.7199999997</v>
      </c>
      <c r="O13" s="38">
        <f t="shared" si="5"/>
        <v>0.10599621401859692</v>
      </c>
    </row>
    <row r="14" spans="1:15" x14ac:dyDescent="0.25">
      <c r="A14" s="1">
        <v>1994</v>
      </c>
      <c r="B14" s="32">
        <v>34000922.100000001</v>
      </c>
      <c r="C14" s="32">
        <v>5975718.8700000001</v>
      </c>
      <c r="D14" s="33">
        <f t="shared" si="0"/>
        <v>0.17575167086424401</v>
      </c>
      <c r="E14" s="34">
        <v>1.70952662775328E-2</v>
      </c>
      <c r="F14" s="5"/>
      <c r="G14" s="215">
        <f t="shared" si="1"/>
        <v>5975718.8700000001</v>
      </c>
      <c r="H14" s="10">
        <f t="shared" si="2"/>
        <v>0.17575167086424401</v>
      </c>
      <c r="I14" s="37">
        <v>0</v>
      </c>
      <c r="J14" s="38">
        <f t="shared" si="2"/>
        <v>0</v>
      </c>
      <c r="L14" s="41">
        <v>3365394.79</v>
      </c>
      <c r="M14" s="10">
        <f t="shared" si="3"/>
        <v>9.8979515323203537E-2</v>
      </c>
      <c r="N14" s="42">
        <f t="shared" si="4"/>
        <v>2610324.08</v>
      </c>
      <c r="O14" s="38">
        <f t="shared" si="5"/>
        <v>7.6772155541040457E-2</v>
      </c>
    </row>
    <row r="15" spans="1:15" x14ac:dyDescent="0.25">
      <c r="A15" s="1">
        <v>1995</v>
      </c>
      <c r="B15" s="32">
        <v>34747386.596000008</v>
      </c>
      <c r="C15" s="32">
        <v>11969904.75</v>
      </c>
      <c r="D15" s="33">
        <f t="shared" si="0"/>
        <v>0.34448359783633142</v>
      </c>
      <c r="E15" s="34">
        <v>1.70952662775328E-2</v>
      </c>
      <c r="F15" s="5"/>
      <c r="G15" s="215">
        <f t="shared" si="1"/>
        <v>11969904.75</v>
      </c>
      <c r="H15" s="10">
        <f t="shared" si="2"/>
        <v>0.34448359783633142</v>
      </c>
      <c r="I15" s="37">
        <v>0</v>
      </c>
      <c r="J15" s="38">
        <f t="shared" si="2"/>
        <v>0</v>
      </c>
      <c r="L15" s="41">
        <v>315331.36</v>
      </c>
      <c r="M15" s="10">
        <f t="shared" si="3"/>
        <v>9.0749662317424398E-3</v>
      </c>
      <c r="N15" s="42">
        <f t="shared" si="4"/>
        <v>11654573.390000001</v>
      </c>
      <c r="O15" s="38">
        <f t="shared" si="5"/>
        <v>0.335408631604589</v>
      </c>
    </row>
    <row r="16" spans="1:15" x14ac:dyDescent="0.25">
      <c r="A16" s="1">
        <v>1996</v>
      </c>
      <c r="B16" s="32">
        <v>34789431.672000021</v>
      </c>
      <c r="C16" s="32">
        <v>5916892.0200000005</v>
      </c>
      <c r="D16" s="33">
        <f t="shared" si="0"/>
        <v>0.17007728311819939</v>
      </c>
      <c r="E16" s="34">
        <v>1.70952662775328E-2</v>
      </c>
      <c r="F16" s="5"/>
      <c r="G16" s="215">
        <f t="shared" si="1"/>
        <v>5916892.0200000005</v>
      </c>
      <c r="H16" s="10">
        <f t="shared" si="2"/>
        <v>0.17007728311819939</v>
      </c>
      <c r="I16" s="37">
        <v>0</v>
      </c>
      <c r="J16" s="38">
        <f t="shared" si="2"/>
        <v>0</v>
      </c>
      <c r="L16" s="41">
        <v>1491944.52</v>
      </c>
      <c r="M16" s="10">
        <f t="shared" si="3"/>
        <v>4.2884992605406055E-2</v>
      </c>
      <c r="N16" s="42">
        <f t="shared" si="4"/>
        <v>4424947.5</v>
      </c>
      <c r="O16" s="38">
        <f t="shared" si="5"/>
        <v>0.12719229051279332</v>
      </c>
    </row>
    <row r="17" spans="1:22" x14ac:dyDescent="0.25">
      <c r="A17" s="1">
        <v>1997</v>
      </c>
      <c r="B17" s="32">
        <v>36135263.275000058</v>
      </c>
      <c r="C17" s="32">
        <v>5124707.8599999994</v>
      </c>
      <c r="D17" s="33">
        <f t="shared" si="0"/>
        <v>0.14182013345245209</v>
      </c>
      <c r="E17" s="34">
        <v>1.70952662775328E-2</v>
      </c>
      <c r="F17" s="5"/>
      <c r="G17" s="215">
        <f t="shared" si="1"/>
        <v>5124707.8599999994</v>
      </c>
      <c r="H17" s="10">
        <f t="shared" si="2"/>
        <v>0.14182013345245209</v>
      </c>
      <c r="I17" s="37">
        <v>0</v>
      </c>
      <c r="J17" s="38">
        <f t="shared" si="2"/>
        <v>0</v>
      </c>
      <c r="L17" s="41">
        <v>170160.25999999998</v>
      </c>
      <c r="M17" s="10">
        <f t="shared" si="3"/>
        <v>4.708980773296987E-3</v>
      </c>
      <c r="N17" s="42">
        <f t="shared" si="4"/>
        <v>4954547.5999999996</v>
      </c>
      <c r="O17" s="38">
        <f t="shared" si="5"/>
        <v>0.13711115267915511</v>
      </c>
    </row>
    <row r="18" spans="1:22" x14ac:dyDescent="0.25">
      <c r="A18" s="1">
        <v>1998</v>
      </c>
      <c r="B18" s="32">
        <v>36516349.067999989</v>
      </c>
      <c r="C18" s="32">
        <v>7047288.5099999998</v>
      </c>
      <c r="D18" s="33">
        <f t="shared" si="0"/>
        <v>0.19298995353770676</v>
      </c>
      <c r="E18" s="34">
        <v>1.70952662775328E-2</v>
      </c>
      <c r="F18" s="5"/>
      <c r="G18" s="215">
        <f t="shared" si="1"/>
        <v>7047288.5099999998</v>
      </c>
      <c r="H18" s="10">
        <f t="shared" si="2"/>
        <v>0.19298995353770676</v>
      </c>
      <c r="I18" s="37">
        <v>0</v>
      </c>
      <c r="J18" s="38">
        <f t="shared" si="2"/>
        <v>0</v>
      </c>
      <c r="L18" s="41">
        <v>50778.5</v>
      </c>
      <c r="M18" s="10">
        <f t="shared" si="3"/>
        <v>1.3905689176494981E-3</v>
      </c>
      <c r="N18" s="42">
        <f t="shared" si="4"/>
        <v>6996510.0099999998</v>
      </c>
      <c r="O18" s="38">
        <f t="shared" si="5"/>
        <v>0.19159938462005727</v>
      </c>
    </row>
    <row r="19" spans="1:22" x14ac:dyDescent="0.25">
      <c r="A19" s="1">
        <v>1999</v>
      </c>
      <c r="B19" s="32">
        <v>36509634.380999967</v>
      </c>
      <c r="C19" s="32">
        <v>2068944.4500000002</v>
      </c>
      <c r="D19" s="33">
        <f t="shared" si="0"/>
        <v>5.6668451631405617E-2</v>
      </c>
      <c r="E19" s="34">
        <v>1.70952662775328E-2</v>
      </c>
      <c r="F19" s="5"/>
      <c r="G19" s="215">
        <f t="shared" si="1"/>
        <v>2068944.4500000002</v>
      </c>
      <c r="H19" s="10">
        <f t="shared" si="2"/>
        <v>5.6668451631405617E-2</v>
      </c>
      <c r="I19" s="37">
        <v>0</v>
      </c>
      <c r="J19" s="38">
        <f t="shared" si="2"/>
        <v>0</v>
      </c>
      <c r="L19" s="41">
        <v>845053.72</v>
      </c>
      <c r="M19" s="10">
        <f t="shared" si="3"/>
        <v>2.314604718254247E-2</v>
      </c>
      <c r="N19" s="42">
        <f t="shared" si="4"/>
        <v>1223890.7300000002</v>
      </c>
      <c r="O19" s="38">
        <f t="shared" si="5"/>
        <v>3.3522404448863147E-2</v>
      </c>
    </row>
    <row r="20" spans="1:22" x14ac:dyDescent="0.25">
      <c r="A20" s="1">
        <v>2000</v>
      </c>
      <c r="B20" s="32">
        <v>36947141.868000023</v>
      </c>
      <c r="C20" s="32">
        <v>1852558.28</v>
      </c>
      <c r="D20" s="33">
        <f t="shared" si="0"/>
        <v>5.0140773719888294E-2</v>
      </c>
      <c r="E20" s="34">
        <v>1.7995017134245048E-2</v>
      </c>
      <c r="F20" s="5"/>
      <c r="G20" s="215">
        <f t="shared" si="1"/>
        <v>1852558.28</v>
      </c>
      <c r="H20" s="10">
        <f t="shared" si="2"/>
        <v>5.0140773719888294E-2</v>
      </c>
      <c r="I20" s="37">
        <v>0</v>
      </c>
      <c r="J20" s="38">
        <f t="shared" si="2"/>
        <v>0</v>
      </c>
      <c r="L20" s="41">
        <v>7004.23</v>
      </c>
      <c r="M20" s="10">
        <f t="shared" si="3"/>
        <v>1.8957433906589602E-4</v>
      </c>
      <c r="N20" s="42">
        <f t="shared" si="4"/>
        <v>1845554.05</v>
      </c>
      <c r="O20" s="38">
        <f t="shared" si="5"/>
        <v>4.9951199380822396E-2</v>
      </c>
    </row>
    <row r="21" spans="1:22" x14ac:dyDescent="0.25">
      <c r="A21" s="1">
        <v>2001</v>
      </c>
      <c r="B21" s="32">
        <v>37940588.700999998</v>
      </c>
      <c r="C21" s="32">
        <v>2703004.67</v>
      </c>
      <c r="D21" s="33">
        <f t="shared" si="0"/>
        <v>7.1243087219908033E-2</v>
      </c>
      <c r="E21" s="34">
        <v>1.8942123299205312E-2</v>
      </c>
      <c r="F21" s="5"/>
      <c r="G21" s="215">
        <f t="shared" si="1"/>
        <v>2703004.67</v>
      </c>
      <c r="H21" s="10">
        <f t="shared" si="2"/>
        <v>7.1243087219908033E-2</v>
      </c>
      <c r="I21" s="37">
        <v>0</v>
      </c>
      <c r="J21" s="38">
        <f t="shared" si="2"/>
        <v>0</v>
      </c>
      <c r="L21" s="41">
        <v>6225</v>
      </c>
      <c r="M21" s="10">
        <f t="shared" si="3"/>
        <v>1.6407230918469981E-4</v>
      </c>
      <c r="N21" s="42">
        <f t="shared" si="4"/>
        <v>2696779.67</v>
      </c>
      <c r="O21" s="38">
        <f t="shared" si="5"/>
        <v>7.1079014910723326E-2</v>
      </c>
    </row>
    <row r="22" spans="1:22" x14ac:dyDescent="0.25">
      <c r="A22" s="1">
        <v>2002</v>
      </c>
      <c r="B22" s="32">
        <v>39854326.779000007</v>
      </c>
      <c r="C22" s="32">
        <v>4725555.53</v>
      </c>
      <c r="D22" s="33">
        <f t="shared" si="0"/>
        <v>0.1185707026542971</v>
      </c>
      <c r="E22" s="34">
        <v>1.9939077157058227E-2</v>
      </c>
      <c r="F22" s="5"/>
      <c r="G22" s="215">
        <f t="shared" si="1"/>
        <v>4725555.53</v>
      </c>
      <c r="H22" s="10">
        <f t="shared" si="2"/>
        <v>0.1185707026542971</v>
      </c>
      <c r="I22" s="37">
        <v>0</v>
      </c>
      <c r="J22" s="38">
        <f t="shared" si="2"/>
        <v>0</v>
      </c>
      <c r="L22" s="41">
        <v>0</v>
      </c>
      <c r="M22" s="10">
        <f t="shared" si="3"/>
        <v>0</v>
      </c>
      <c r="N22" s="42">
        <f t="shared" si="4"/>
        <v>4725555.53</v>
      </c>
      <c r="O22" s="38">
        <f t="shared" si="5"/>
        <v>0.1185707026542971</v>
      </c>
    </row>
    <row r="23" spans="1:22" x14ac:dyDescent="0.25">
      <c r="A23" s="1">
        <v>2003</v>
      </c>
      <c r="B23" s="32">
        <v>38943571.07</v>
      </c>
      <c r="C23" s="32">
        <v>38672476.030000001</v>
      </c>
      <c r="D23" s="33">
        <f t="shared" si="0"/>
        <v>0.99303877295914356</v>
      </c>
      <c r="E23" s="34">
        <v>2.0988502270587604E-2</v>
      </c>
      <c r="F23" s="5"/>
      <c r="G23" s="215">
        <f t="shared" si="1"/>
        <v>38672476.030000001</v>
      </c>
      <c r="H23" s="10">
        <f t="shared" si="2"/>
        <v>0.99303877295914356</v>
      </c>
      <c r="I23" s="37">
        <v>0</v>
      </c>
      <c r="J23" s="38">
        <f t="shared" si="2"/>
        <v>0</v>
      </c>
      <c r="L23" s="41">
        <v>34678153.619999997</v>
      </c>
      <c r="M23" s="10">
        <f t="shared" si="3"/>
        <v>0.89047184598625961</v>
      </c>
      <c r="N23" s="42">
        <f t="shared" si="4"/>
        <v>3994322.4100000039</v>
      </c>
      <c r="O23" s="38">
        <f t="shared" si="5"/>
        <v>0.10256692697288389</v>
      </c>
    </row>
    <row r="24" spans="1:22" x14ac:dyDescent="0.25">
      <c r="A24" s="1">
        <v>2004</v>
      </c>
      <c r="B24" s="32">
        <v>41551816.778000027</v>
      </c>
      <c r="C24" s="32">
        <v>-12605325.969999999</v>
      </c>
      <c r="D24" s="33">
        <f t="shared" si="0"/>
        <v>-0.30336401504046867</v>
      </c>
      <c r="E24" s="34">
        <v>2.2093160284829057E-2</v>
      </c>
      <c r="F24" s="5"/>
      <c r="G24" s="215">
        <f t="shared" si="1"/>
        <v>-12605325.969999999</v>
      </c>
      <c r="H24" s="10">
        <f t="shared" si="2"/>
        <v>-0.30336401504046867</v>
      </c>
      <c r="I24" s="37">
        <v>0</v>
      </c>
      <c r="J24" s="38">
        <f t="shared" si="2"/>
        <v>0</v>
      </c>
      <c r="L24" s="41">
        <v>-14791029.940000001</v>
      </c>
      <c r="M24" s="10">
        <f t="shared" si="3"/>
        <v>-0.35596590202119011</v>
      </c>
      <c r="N24" s="42">
        <f t="shared" si="4"/>
        <v>2185703.9700000025</v>
      </c>
      <c r="O24" s="38">
        <f t="shared" si="5"/>
        <v>5.2601886980721442E-2</v>
      </c>
    </row>
    <row r="25" spans="1:22" x14ac:dyDescent="0.25">
      <c r="A25" s="1">
        <v>2005</v>
      </c>
      <c r="B25" s="32">
        <v>46549449.601000018</v>
      </c>
      <c r="C25" s="32">
        <v>2173907.1300000004</v>
      </c>
      <c r="D25" s="33">
        <f t="shared" si="0"/>
        <v>4.6701027587516278E-2</v>
      </c>
      <c r="E25" s="34">
        <v>2.3255958194556905E-2</v>
      </c>
      <c r="F25" s="5"/>
      <c r="G25" s="215">
        <f t="shared" si="1"/>
        <v>2173907.1300000004</v>
      </c>
      <c r="H25" s="10">
        <f t="shared" si="2"/>
        <v>4.6701027587516278E-2</v>
      </c>
      <c r="I25" s="37">
        <v>0</v>
      </c>
      <c r="J25" s="38">
        <f t="shared" si="2"/>
        <v>0</v>
      </c>
      <c r="L25" s="41">
        <v>-1680855.5299999998</v>
      </c>
      <c r="M25" s="10">
        <f t="shared" si="3"/>
        <v>-3.6109031243280049E-2</v>
      </c>
      <c r="N25" s="42">
        <f t="shared" si="4"/>
        <v>3854762.66</v>
      </c>
      <c r="O25" s="38">
        <f t="shared" si="5"/>
        <v>8.2810058830796326E-2</v>
      </c>
    </row>
    <row r="26" spans="1:22" x14ac:dyDescent="0.25">
      <c r="A26" s="1">
        <v>2006</v>
      </c>
      <c r="B26" s="32">
        <v>51465146.143000036</v>
      </c>
      <c r="C26" s="32">
        <v>2939394</v>
      </c>
      <c r="D26" s="33">
        <f t="shared" si="0"/>
        <v>5.7114265095695213E-2</v>
      </c>
      <c r="E26" s="34">
        <v>2.4479955994270428E-2</v>
      </c>
      <c r="F26" s="5"/>
      <c r="G26" s="215">
        <f t="shared" si="1"/>
        <v>2939394</v>
      </c>
      <c r="H26" s="10">
        <f t="shared" si="2"/>
        <v>5.7114265095695213E-2</v>
      </c>
      <c r="I26" s="37">
        <v>0</v>
      </c>
      <c r="J26" s="38">
        <f t="shared" si="2"/>
        <v>0</v>
      </c>
      <c r="L26" s="41">
        <v>-161171.32999999999</v>
      </c>
      <c r="M26" s="10">
        <f t="shared" si="3"/>
        <v>-3.1316598140452671E-3</v>
      </c>
      <c r="N26" s="42">
        <f t="shared" si="4"/>
        <v>3100565.33</v>
      </c>
      <c r="O26" s="38">
        <f t="shared" si="5"/>
        <v>6.0245924909740477E-2</v>
      </c>
    </row>
    <row r="27" spans="1:22" x14ac:dyDescent="0.25">
      <c r="A27" s="1">
        <v>2007</v>
      </c>
      <c r="B27" s="32">
        <v>56179293.134000078</v>
      </c>
      <c r="C27" s="32">
        <v>18500876.690000001</v>
      </c>
      <c r="D27" s="33">
        <f t="shared" si="0"/>
        <v>0.32931843136351513</v>
      </c>
      <c r="E27" s="34">
        <v>2.5768374730810978E-2</v>
      </c>
      <c r="F27" s="5"/>
      <c r="G27" s="215">
        <f t="shared" si="1"/>
        <v>18500876.690000001</v>
      </c>
      <c r="H27" s="10">
        <f t="shared" si="2"/>
        <v>0.32931843136351513</v>
      </c>
      <c r="I27" s="37">
        <v>0</v>
      </c>
      <c r="J27" s="38">
        <f t="shared" si="2"/>
        <v>0</v>
      </c>
      <c r="L27" s="41">
        <v>12753617.99</v>
      </c>
      <c r="M27" s="10">
        <f t="shared" si="3"/>
        <v>0.22701634852506583</v>
      </c>
      <c r="N27" s="42">
        <f t="shared" si="4"/>
        <v>5747258.7000000011</v>
      </c>
      <c r="O27" s="38">
        <f t="shared" si="5"/>
        <v>0.10230208283844928</v>
      </c>
    </row>
    <row r="28" spans="1:22" x14ac:dyDescent="0.25">
      <c r="A28" s="1">
        <v>2008</v>
      </c>
      <c r="B28" s="32">
        <v>61255516.370000049</v>
      </c>
      <c r="C28" s="32">
        <v>10406983.08</v>
      </c>
      <c r="D28" s="33">
        <f t="shared" si="0"/>
        <v>0.16989462658577523</v>
      </c>
      <c r="E28" s="34">
        <v>2.7124604979801025E-2</v>
      </c>
      <c r="F28" s="5"/>
      <c r="G28" s="215">
        <f t="shared" si="1"/>
        <v>10406983.08</v>
      </c>
      <c r="H28" s="10">
        <f t="shared" si="2"/>
        <v>0.16989462658577523</v>
      </c>
      <c r="I28" s="37">
        <v>0</v>
      </c>
      <c r="J28" s="38">
        <f t="shared" si="2"/>
        <v>0</v>
      </c>
      <c r="L28" s="41">
        <v>4260296.67</v>
      </c>
      <c r="M28" s="10">
        <f t="shared" si="3"/>
        <v>6.9549600141587981E-2</v>
      </c>
      <c r="N28" s="42">
        <f t="shared" si="4"/>
        <v>6146686.4100000001</v>
      </c>
      <c r="O28" s="38">
        <f t="shared" si="5"/>
        <v>0.10034502644418725</v>
      </c>
    </row>
    <row r="29" spans="1:22" x14ac:dyDescent="0.25">
      <c r="A29" s="1">
        <v>2009</v>
      </c>
      <c r="B29" s="32">
        <v>67447234.928000048</v>
      </c>
      <c r="C29" s="32">
        <v>1526712.49</v>
      </c>
      <c r="D29" s="33">
        <f t="shared" si="0"/>
        <v>2.2635657216041046E-2</v>
      </c>
      <c r="E29" s="34">
        <v>2.8552215768211604E-2</v>
      </c>
      <c r="F29" s="5"/>
      <c r="G29" s="215">
        <f t="shared" si="1"/>
        <v>1526712.49</v>
      </c>
      <c r="H29" s="10">
        <f t="shared" si="2"/>
        <v>2.2635657216041046E-2</v>
      </c>
      <c r="I29" s="37">
        <v>0</v>
      </c>
      <c r="J29" s="38">
        <f t="shared" si="2"/>
        <v>0</v>
      </c>
      <c r="L29" s="41">
        <v>-18152.919999999998</v>
      </c>
      <c r="M29" s="10">
        <f t="shared" si="3"/>
        <v>-2.6914253815413263E-4</v>
      </c>
      <c r="N29" s="42">
        <f t="shared" si="4"/>
        <v>1544865.41</v>
      </c>
      <c r="O29" s="38">
        <f t="shared" si="5"/>
        <v>2.2904799754195179E-2</v>
      </c>
    </row>
    <row r="30" spans="1:22" x14ac:dyDescent="0.25">
      <c r="A30" s="1">
        <v>2010</v>
      </c>
      <c r="B30" s="32">
        <v>70033007.676000029</v>
      </c>
      <c r="C30" s="32">
        <v>11701909.65</v>
      </c>
      <c r="D30" s="33">
        <f t="shared" si="0"/>
        <v>0.16709134789894492</v>
      </c>
      <c r="E30" s="34">
        <v>3.0054963966538534E-2</v>
      </c>
      <c r="F30" s="5"/>
      <c r="G30" s="215">
        <f t="shared" si="1"/>
        <v>11701909.65</v>
      </c>
      <c r="H30" s="10">
        <f t="shared" si="2"/>
        <v>0.16709134789894492</v>
      </c>
      <c r="I30" s="37">
        <v>0</v>
      </c>
      <c r="J30" s="38">
        <f t="shared" si="2"/>
        <v>0</v>
      </c>
      <c r="L30" s="41">
        <v>5610235.25</v>
      </c>
      <c r="M30" s="10">
        <f t="shared" si="3"/>
        <v>8.0108443663524112E-2</v>
      </c>
      <c r="N30" s="42">
        <f t="shared" si="4"/>
        <v>6091674.4000000004</v>
      </c>
      <c r="O30" s="38">
        <f t="shared" si="5"/>
        <v>8.6982904235420808E-2</v>
      </c>
    </row>
    <row r="31" spans="1:22" x14ac:dyDescent="0.25">
      <c r="A31" s="1">
        <v>2011</v>
      </c>
      <c r="B31" s="32">
        <v>72738660.79700011</v>
      </c>
      <c r="C31" s="32">
        <v>6466402.6000000006</v>
      </c>
      <c r="D31" s="33">
        <f t="shared" si="0"/>
        <v>8.889911539678344E-2</v>
      </c>
      <c r="E31" s="34">
        <v>3.163680417530372E-2</v>
      </c>
      <c r="F31" s="5"/>
      <c r="G31" s="215">
        <f t="shared" si="1"/>
        <v>6466402.6000000006</v>
      </c>
      <c r="H31" s="10">
        <f t="shared" si="2"/>
        <v>8.889911539678344E-2</v>
      </c>
      <c r="I31" s="37">
        <v>0</v>
      </c>
      <c r="J31" s="38">
        <f t="shared" si="2"/>
        <v>0</v>
      </c>
      <c r="L31" s="41">
        <v>-833965.6</v>
      </c>
      <c r="M31" s="10">
        <f t="shared" si="3"/>
        <v>-1.1465231705701054E-2</v>
      </c>
      <c r="N31" s="42">
        <f t="shared" si="4"/>
        <v>7300368.2000000002</v>
      </c>
      <c r="O31" s="38">
        <f t="shared" si="5"/>
        <v>0.10036434710248449</v>
      </c>
      <c r="U31" s="56"/>
      <c r="V31" s="57"/>
    </row>
    <row r="32" spans="1:22" x14ac:dyDescent="0.25">
      <c r="A32" s="1">
        <v>2012</v>
      </c>
      <c r="B32" s="32">
        <v>76332960.641000092</v>
      </c>
      <c r="C32" s="32">
        <v>7120235.2199999997</v>
      </c>
      <c r="D32" s="33">
        <f t="shared" si="0"/>
        <v>9.3278646081697586E-2</v>
      </c>
      <c r="E32" s="34">
        <v>3.3301899131898655E-2</v>
      </c>
      <c r="F32" s="5"/>
      <c r="G32" s="215">
        <f t="shared" si="1"/>
        <v>6695841.7599999998</v>
      </c>
      <c r="H32" s="10">
        <f t="shared" si="2"/>
        <v>8.7718879285857518E-2</v>
      </c>
      <c r="I32" s="37">
        <v>424393.46</v>
      </c>
      <c r="J32" s="38">
        <f t="shared" si="2"/>
        <v>5.5597667958400803E-3</v>
      </c>
      <c r="L32" s="41">
        <v>485806.37</v>
      </c>
      <c r="M32" s="10">
        <f t="shared" si="3"/>
        <v>6.3643066628161519E-3</v>
      </c>
      <c r="N32" s="42">
        <f t="shared" si="4"/>
        <v>6634428.8499999996</v>
      </c>
      <c r="O32" s="38">
        <f t="shared" si="5"/>
        <v>8.6914339418881437E-2</v>
      </c>
      <c r="U32" s="56"/>
      <c r="V32" s="57"/>
    </row>
    <row r="33" spans="1:26" x14ac:dyDescent="0.25">
      <c r="A33" s="1">
        <v>2013</v>
      </c>
      <c r="B33" s="32">
        <v>79997173.604000062</v>
      </c>
      <c r="C33" s="32">
        <v>7905555.3299999991</v>
      </c>
      <c r="D33" s="33">
        <f t="shared" si="0"/>
        <v>9.882293303428287E-2</v>
      </c>
      <c r="E33" s="34">
        <v>3.5054630665156482E-2</v>
      </c>
      <c r="F33" s="5"/>
      <c r="G33" s="215">
        <f t="shared" si="1"/>
        <v>5506519.129999999</v>
      </c>
      <c r="H33" s="10">
        <f t="shared" si="2"/>
        <v>6.8833921023988012E-2</v>
      </c>
      <c r="I33" s="37">
        <v>2399036.1999999997</v>
      </c>
      <c r="J33" s="38">
        <f t="shared" si="2"/>
        <v>2.9989012010294847E-2</v>
      </c>
      <c r="L33" s="41">
        <v>3302080.46</v>
      </c>
      <c r="M33" s="10">
        <f t="shared" si="3"/>
        <v>4.1277464080742066E-2</v>
      </c>
      <c r="N33" s="42">
        <f t="shared" si="4"/>
        <v>4603474.8699999992</v>
      </c>
      <c r="O33" s="38">
        <f t="shared" si="5"/>
        <v>5.7545468953540797E-2</v>
      </c>
      <c r="U33" s="56"/>
    </row>
    <row r="34" spans="1:26" x14ac:dyDescent="0.25">
      <c r="A34" s="1">
        <v>2014</v>
      </c>
      <c r="B34" s="32">
        <v>82981086.89500007</v>
      </c>
      <c r="C34" s="32">
        <v>10162235.08</v>
      </c>
      <c r="D34" s="33">
        <f t="shared" si="0"/>
        <v>0.12246447305346532</v>
      </c>
      <c r="E34" s="34">
        <v>3.68996112264805E-2</v>
      </c>
      <c r="F34" s="5"/>
      <c r="G34" s="215">
        <f t="shared" si="1"/>
        <v>4471424.7699999996</v>
      </c>
      <c r="H34" s="10">
        <f t="shared" si="2"/>
        <v>5.3884866266669981E-2</v>
      </c>
      <c r="I34" s="37">
        <v>5690810.3100000005</v>
      </c>
      <c r="J34" s="38">
        <f t="shared" si="2"/>
        <v>6.8579606786795339E-2</v>
      </c>
      <c r="L34" s="41">
        <v>5803615.4300000006</v>
      </c>
      <c r="M34" s="10">
        <f t="shared" si="3"/>
        <v>6.9939014384610226E-2</v>
      </c>
      <c r="N34" s="42">
        <f t="shared" si="4"/>
        <v>4358619.6499999994</v>
      </c>
      <c r="O34" s="38">
        <f t="shared" si="5"/>
        <v>5.2525458668855093E-2</v>
      </c>
      <c r="U34" s="56"/>
    </row>
    <row r="35" spans="1:26" x14ac:dyDescent="0.25">
      <c r="A35" s="1">
        <v>2015</v>
      </c>
      <c r="B35" s="32">
        <v>86382064.321000084</v>
      </c>
      <c r="C35" s="32">
        <v>19166165.210000001</v>
      </c>
      <c r="D35" s="33">
        <f t="shared" si="0"/>
        <v>0.22187667498634403</v>
      </c>
      <c r="E35" s="34">
        <v>3.8841696027874212E-2</v>
      </c>
      <c r="F35" s="5"/>
      <c r="G35" s="215">
        <f t="shared" si="1"/>
        <v>18841695.75</v>
      </c>
      <c r="H35" s="10">
        <f t="shared" si="2"/>
        <v>0.21812046167342464</v>
      </c>
      <c r="I35" s="37">
        <v>324469.46000000002</v>
      </c>
      <c r="J35" s="38">
        <f t="shared" si="2"/>
        <v>3.7562133129193953E-3</v>
      </c>
      <c r="L35" s="41">
        <v>17777616.739999998</v>
      </c>
      <c r="M35" s="10">
        <f t="shared" si="3"/>
        <v>0.2058021752517685</v>
      </c>
      <c r="N35" s="42">
        <f t="shared" si="4"/>
        <v>1388548.4700000025</v>
      </c>
      <c r="O35" s="38">
        <f t="shared" si="5"/>
        <v>1.6074499734575535E-2</v>
      </c>
      <c r="U35" s="56"/>
    </row>
    <row r="36" spans="1:26" x14ac:dyDescent="0.25">
      <c r="A36" s="1">
        <v>2016</v>
      </c>
      <c r="B36" s="32">
        <v>88715399.898000136</v>
      </c>
      <c r="C36" s="32">
        <v>2650350.6799999997</v>
      </c>
      <c r="D36" s="33">
        <f t="shared" si="0"/>
        <v>2.9874753233905506E-2</v>
      </c>
      <c r="E36" s="34">
        <v>4.0885995818814962E-2</v>
      </c>
      <c r="F36" s="5"/>
      <c r="G36" s="215">
        <f t="shared" si="1"/>
        <v>809789.36999999965</v>
      </c>
      <c r="H36" s="10">
        <f t="shared" si="2"/>
        <v>9.1279458913677766E-3</v>
      </c>
      <c r="I36" s="37">
        <v>1840561.31</v>
      </c>
      <c r="J36" s="38">
        <f t="shared" si="2"/>
        <v>2.074680734253773E-2</v>
      </c>
      <c r="L36" s="41">
        <v>894847.39</v>
      </c>
      <c r="M36" s="10">
        <f t="shared" si="3"/>
        <v>1.0086719904648394E-2</v>
      </c>
      <c r="N36" s="42">
        <f t="shared" si="4"/>
        <v>1755503.2899999996</v>
      </c>
      <c r="O36" s="38">
        <f t="shared" si="5"/>
        <v>1.9788033329257111E-2</v>
      </c>
      <c r="U36" s="56"/>
    </row>
    <row r="37" spans="1:26" x14ac:dyDescent="0.25">
      <c r="A37" s="1">
        <v>2017</v>
      </c>
      <c r="B37" s="32">
        <v>91050799.652000144</v>
      </c>
      <c r="C37" s="216">
        <v>252346380.76000002</v>
      </c>
      <c r="D37" s="33">
        <f t="shared" si="0"/>
        <v>2.7714900003567036</v>
      </c>
      <c r="E37" s="34">
        <v>4.3037890335594693E-2</v>
      </c>
      <c r="F37" s="5"/>
      <c r="G37" s="215">
        <f t="shared" si="1"/>
        <v>249098816.43000001</v>
      </c>
      <c r="H37" s="10">
        <f t="shared" si="2"/>
        <v>2.7358223912592288</v>
      </c>
      <c r="I37" s="37">
        <v>3247564.33</v>
      </c>
      <c r="J37" s="38">
        <f t="shared" si="2"/>
        <v>3.5667609097474406E-2</v>
      </c>
      <c r="L37" s="41">
        <v>237310194.5</v>
      </c>
      <c r="M37" s="10">
        <f t="shared" si="3"/>
        <v>2.6063493720759094</v>
      </c>
      <c r="N37" s="42">
        <f t="shared" si="4"/>
        <v>15036186.26000002</v>
      </c>
      <c r="O37" s="38">
        <f t="shared" si="5"/>
        <v>0.16514062828079418</v>
      </c>
      <c r="U37" s="56"/>
    </row>
    <row r="38" spans="1:26" x14ac:dyDescent="0.25">
      <c r="A38" s="1">
        <v>2018</v>
      </c>
      <c r="B38" s="32">
        <v>94493625.178000122</v>
      </c>
      <c r="C38" s="216">
        <v>-7150149.1899999995</v>
      </c>
      <c r="D38" s="33">
        <f t="shared" si="0"/>
        <v>-7.5668058840277067E-2</v>
      </c>
      <c r="E38" s="34">
        <v>4.5303042458520737E-2</v>
      </c>
      <c r="F38" s="5"/>
      <c r="G38" s="215">
        <f t="shared" si="1"/>
        <v>-11108936.98</v>
      </c>
      <c r="H38" s="10">
        <f t="shared" si="2"/>
        <v>-0.11756281928091768</v>
      </c>
      <c r="I38" s="37">
        <v>3958787.79</v>
      </c>
      <c r="J38" s="38">
        <f t="shared" si="2"/>
        <v>4.1894760440640597E-2</v>
      </c>
      <c r="L38" s="41">
        <v>-12775064.48</v>
      </c>
      <c r="M38" s="10">
        <f t="shared" si="3"/>
        <v>-0.13519498755535389</v>
      </c>
      <c r="N38" s="42">
        <f t="shared" si="4"/>
        <v>5624915.290000001</v>
      </c>
      <c r="O38" s="38">
        <f t="shared" si="5"/>
        <v>5.9526928715076817E-2</v>
      </c>
      <c r="U38" s="56"/>
    </row>
    <row r="39" spans="1:26" x14ac:dyDescent="0.25">
      <c r="A39" s="1">
        <v>2019</v>
      </c>
      <c r="B39" s="32">
        <v>101254924.5920001</v>
      </c>
      <c r="C39" s="216">
        <v>-11779395.819999998</v>
      </c>
      <c r="D39" s="33">
        <f t="shared" si="0"/>
        <v>-0.11633405355309168</v>
      </c>
      <c r="E39" s="34">
        <v>4.7687413114232351E-2</v>
      </c>
      <c r="F39" s="5"/>
      <c r="G39" s="215">
        <f>C39-I39</f>
        <v>-12450281.909999998</v>
      </c>
      <c r="H39" s="10">
        <f t="shared" si="2"/>
        <v>-0.1229597667488033</v>
      </c>
      <c r="I39" s="37">
        <v>670886.09</v>
      </c>
      <c r="J39" s="38">
        <f t="shared" si="2"/>
        <v>6.6257131957116189E-3</v>
      </c>
      <c r="L39" s="41">
        <v>-15381444.569999998</v>
      </c>
      <c r="M39" s="10">
        <f t="shared" si="3"/>
        <v>-0.15190811342735669</v>
      </c>
      <c r="N39" s="42">
        <f t="shared" si="4"/>
        <v>3602048.75</v>
      </c>
      <c r="O39" s="38">
        <f t="shared" si="5"/>
        <v>3.5574059874265013E-2</v>
      </c>
      <c r="U39" s="56"/>
    </row>
    <row r="40" spans="1:26" x14ac:dyDescent="0.25">
      <c r="A40" s="1">
        <v>2020</v>
      </c>
      <c r="B40" s="32">
        <v>107998178.6950001</v>
      </c>
      <c r="C40" s="216">
        <v>-40601237.520000003</v>
      </c>
      <c r="D40" s="33">
        <f t="shared" si="0"/>
        <v>-0.37594372433504458</v>
      </c>
      <c r="E40" s="34">
        <v>5.0197276962349845E-2</v>
      </c>
      <c r="F40" s="5"/>
      <c r="G40" s="215">
        <f t="shared" si="1"/>
        <v>-42581234.130000003</v>
      </c>
      <c r="H40" s="10">
        <f t="shared" si="2"/>
        <v>-0.39427733545631866</v>
      </c>
      <c r="I40" s="37">
        <v>1979996.61</v>
      </c>
      <c r="J40" s="38">
        <f t="shared" si="2"/>
        <v>1.8333611121274088E-2</v>
      </c>
      <c r="L40" s="41">
        <v>-40671202.870000005</v>
      </c>
      <c r="M40" s="10">
        <f t="shared" si="3"/>
        <v>-0.37659156257496151</v>
      </c>
      <c r="N40" s="42">
        <f t="shared" si="4"/>
        <v>69965.35000000149</v>
      </c>
      <c r="O40" s="38">
        <f t="shared" si="5"/>
        <v>6.4783823991691649E-4</v>
      </c>
      <c r="U40" s="56"/>
    </row>
    <row r="41" spans="1:26" x14ac:dyDescent="0.25">
      <c r="A41" s="1">
        <v>2021</v>
      </c>
      <c r="B41" s="32">
        <v>116683235.58300009</v>
      </c>
      <c r="C41" s="216">
        <v>-3603718.7000000025</v>
      </c>
      <c r="D41" s="33">
        <f t="shared" si="0"/>
        <v>-3.0884631215394906E-2</v>
      </c>
      <c r="E41" s="34">
        <v>5.2839238907736674E-2</v>
      </c>
      <c r="F41" s="5"/>
      <c r="G41" s="215">
        <f t="shared" si="1"/>
        <v>-12359289.470000003</v>
      </c>
      <c r="H41" s="10">
        <f t="shared" si="2"/>
        <v>-0.10592172395843866</v>
      </c>
      <c r="I41" s="37">
        <v>8755570.7699999996</v>
      </c>
      <c r="J41" s="38">
        <f t="shared" si="2"/>
        <v>7.5037092743043737E-2</v>
      </c>
      <c r="L41" s="41">
        <v>-11768880.75</v>
      </c>
      <c r="M41" s="10">
        <f t="shared" si="3"/>
        <v>-0.10086179639429403</v>
      </c>
      <c r="N41" s="42">
        <f t="shared" si="4"/>
        <v>8165162.049999997</v>
      </c>
      <c r="O41" s="38">
        <f t="shared" si="5"/>
        <v>6.9977165178899126E-2</v>
      </c>
      <c r="U41" s="56"/>
    </row>
    <row r="42" spans="1:26" x14ac:dyDescent="0.25">
      <c r="A42" s="1">
        <v>2022</v>
      </c>
      <c r="B42" s="32">
        <v>127684156.9230001</v>
      </c>
      <c r="C42" s="216">
        <v>6823488.0799999991</v>
      </c>
      <c r="D42" s="33">
        <f t="shared" si="0"/>
        <v>5.3440366012792818E-2</v>
      </c>
      <c r="E42" s="34">
        <v>5.5620251481828087E-2</v>
      </c>
      <c r="F42" s="5"/>
      <c r="G42" s="215">
        <f t="shared" si="1"/>
        <v>1603815.2999999998</v>
      </c>
      <c r="H42" s="10">
        <f t="shared" si="2"/>
        <v>1.2560801109938645E-2</v>
      </c>
      <c r="I42" s="37">
        <v>5219672.7799999993</v>
      </c>
      <c r="J42" s="38">
        <f t="shared" si="2"/>
        <v>4.0879564902854174E-2</v>
      </c>
      <c r="L42" s="41">
        <v>1570297.7299999991</v>
      </c>
      <c r="M42" s="10">
        <f t="shared" si="3"/>
        <v>1.2298297360000323E-2</v>
      </c>
      <c r="N42" s="42">
        <f t="shared" si="4"/>
        <v>5253190.3499999996</v>
      </c>
      <c r="O42" s="38">
        <f t="shared" si="5"/>
        <v>4.1142068652792491E-2</v>
      </c>
      <c r="U42" s="56"/>
    </row>
    <row r="43" spans="1:26" x14ac:dyDescent="0.25">
      <c r="A43" s="2">
        <v>2023</v>
      </c>
      <c r="B43" s="8">
        <v>135563744.06</v>
      </c>
      <c r="C43" s="217">
        <v>22709525.810000002</v>
      </c>
      <c r="D43" s="9">
        <f t="shared" si="0"/>
        <v>0.16751916943182724</v>
      </c>
      <c r="E43" s="35">
        <v>5.8547633138766403E-2</v>
      </c>
      <c r="F43" s="6"/>
      <c r="G43" s="218">
        <f t="shared" si="1"/>
        <v>26725458.830000002</v>
      </c>
      <c r="H43" s="22">
        <f t="shared" si="2"/>
        <v>0.19714311533156989</v>
      </c>
      <c r="I43" s="39">
        <v>-4015933.02</v>
      </c>
      <c r="J43" s="40">
        <f t="shared" si="2"/>
        <v>-2.9623945899742658E-2</v>
      </c>
      <c r="K43" s="55"/>
      <c r="L43" s="43">
        <v>-5007503.87</v>
      </c>
      <c r="M43" s="22">
        <f t="shared" si="3"/>
        <v>-3.693837098349613E-2</v>
      </c>
      <c r="N43" s="44">
        <f t="shared" si="4"/>
        <v>27717029.680000003</v>
      </c>
      <c r="O43" s="40">
        <f t="shared" si="5"/>
        <v>0.20445754041532338</v>
      </c>
      <c r="U43" s="56"/>
      <c r="X43" s="57"/>
    </row>
    <row r="44" spans="1:26" x14ac:dyDescent="0.25">
      <c r="X44" s="57"/>
    </row>
    <row r="45" spans="1:26" x14ac:dyDescent="0.25">
      <c r="X45" s="57"/>
      <c r="Z45" s="42"/>
    </row>
    <row r="46" spans="1:26" x14ac:dyDescent="0.25">
      <c r="A46" t="s">
        <v>17</v>
      </c>
      <c r="D46" s="11">
        <f>SUMPRODUCT(D10:D43,$E$10:$E$43)</f>
        <v>0.21202712235130491</v>
      </c>
      <c r="H46" s="11">
        <f>SUMPRODUCT(H10:H43,$E$10:$E$43)</f>
        <v>0.19809250354425231</v>
      </c>
      <c r="J46" s="11">
        <f>SUMPRODUCT(J10:J43,$E$10:$E$43)</f>
        <v>1.3934618807052592E-2</v>
      </c>
      <c r="M46" s="11">
        <f>SUMPRODUCT(M10:M43,$E$10:$E$43)</f>
        <v>0.1232930366311988</v>
      </c>
      <c r="O46" s="11">
        <f>SUMPRODUCT(O10:O43,$E$10:$E$43)</f>
        <v>8.8734085720106104E-2</v>
      </c>
      <c r="X46" s="57"/>
    </row>
    <row r="47" spans="1:26" x14ac:dyDescent="0.25">
      <c r="X47" s="57"/>
    </row>
    <row r="48" spans="1:26" x14ac:dyDescent="0.25">
      <c r="X48" s="57"/>
    </row>
    <row r="49" spans="24:26" x14ac:dyDescent="0.25">
      <c r="X49" s="57"/>
    </row>
    <row r="50" spans="24:26" x14ac:dyDescent="0.25">
      <c r="X50" s="57"/>
    </row>
    <row r="51" spans="24:26" x14ac:dyDescent="0.25">
      <c r="X51" s="57"/>
    </row>
    <row r="52" spans="24:26" x14ac:dyDescent="0.25">
      <c r="X52" s="57"/>
    </row>
    <row r="53" spans="24:26" x14ac:dyDescent="0.25">
      <c r="X53" s="57"/>
      <c r="Z53" s="57"/>
    </row>
    <row r="55" spans="24:26" x14ac:dyDescent="0.25">
      <c r="X55" s="57"/>
    </row>
    <row r="56" spans="24:26" x14ac:dyDescent="0.25">
      <c r="X56" s="57"/>
    </row>
  </sheetData>
  <mergeCells count="4">
    <mergeCell ref="A1:O1"/>
    <mergeCell ref="A2:O2"/>
    <mergeCell ref="A3:O3"/>
    <mergeCell ref="A4:O4"/>
  </mergeCells>
  <printOptions horizontalCentered="1"/>
  <pageMargins left="0.2" right="0.2" top="0.75" bottom="0.75" header="0.3" footer="0.3"/>
  <pageSetup scale="75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FC20-ECD1-49F0-ABBB-2E2CB8007A7F}">
  <dimension ref="A2:E19"/>
  <sheetViews>
    <sheetView zoomScaleNormal="100" workbookViewId="0">
      <selection activeCell="A38" sqref="A38"/>
    </sheetView>
  </sheetViews>
  <sheetFormatPr defaultRowHeight="15" x14ac:dyDescent="0.25"/>
  <cols>
    <col min="2" max="2" width="10.85546875" customWidth="1"/>
    <col min="3" max="3" width="17.85546875" customWidth="1"/>
  </cols>
  <sheetData>
    <row r="2" spans="1:5" x14ac:dyDescent="0.25">
      <c r="A2" s="219" t="s">
        <v>40</v>
      </c>
      <c r="B2" s="219"/>
      <c r="C2" s="219"/>
      <c r="D2" s="219"/>
      <c r="E2" s="69"/>
    </row>
    <row r="3" spans="1:5" x14ac:dyDescent="0.25">
      <c r="A3" s="219" t="s">
        <v>0</v>
      </c>
      <c r="B3" s="219"/>
      <c r="C3" s="219"/>
      <c r="D3" s="219"/>
      <c r="E3" s="69"/>
    </row>
    <row r="4" spans="1:5" x14ac:dyDescent="0.25">
      <c r="A4" s="219" t="s">
        <v>224</v>
      </c>
      <c r="B4" s="219"/>
      <c r="C4" s="219"/>
      <c r="D4" s="219"/>
      <c r="E4" s="69"/>
    </row>
    <row r="5" spans="1:5" x14ac:dyDescent="0.25">
      <c r="A5" s="69"/>
      <c r="B5" s="69"/>
      <c r="C5" s="69"/>
      <c r="D5" s="69"/>
      <c r="E5" s="69"/>
    </row>
    <row r="7" spans="1:5" ht="42.75" customHeight="1" x14ac:dyDescent="0.25">
      <c r="B7" s="81" t="s">
        <v>41</v>
      </c>
      <c r="C7" s="80" t="s">
        <v>42</v>
      </c>
    </row>
    <row r="8" spans="1:5" x14ac:dyDescent="0.25">
      <c r="B8" s="82">
        <v>2014</v>
      </c>
      <c r="C8" s="78">
        <v>3157</v>
      </c>
    </row>
    <row r="9" spans="1:5" x14ac:dyDescent="0.25">
      <c r="B9" s="82">
        <f t="shared" ref="B9:B17" si="0">B8+1</f>
        <v>2015</v>
      </c>
      <c r="C9" s="78">
        <v>10375</v>
      </c>
    </row>
    <row r="10" spans="1:5" x14ac:dyDescent="0.25">
      <c r="B10" s="82">
        <f t="shared" si="0"/>
        <v>2016</v>
      </c>
      <c r="C10" s="78">
        <v>4700</v>
      </c>
    </row>
    <row r="11" spans="1:5" x14ac:dyDescent="0.25">
      <c r="B11" s="82">
        <f t="shared" si="0"/>
        <v>2017</v>
      </c>
      <c r="C11" s="78">
        <v>1641552</v>
      </c>
    </row>
    <row r="12" spans="1:5" x14ac:dyDescent="0.25">
      <c r="B12" s="82">
        <f t="shared" si="0"/>
        <v>2018</v>
      </c>
      <c r="C12" s="78">
        <v>1794268</v>
      </c>
    </row>
    <row r="13" spans="1:5" x14ac:dyDescent="0.25">
      <c r="B13" s="82">
        <f t="shared" si="0"/>
        <v>2019</v>
      </c>
      <c r="C13" s="78">
        <v>213574</v>
      </c>
    </row>
    <row r="14" spans="1:5" x14ac:dyDescent="0.25">
      <c r="B14" s="82">
        <f t="shared" si="0"/>
        <v>2020</v>
      </c>
      <c r="C14" s="78">
        <v>1472083</v>
      </c>
    </row>
    <row r="15" spans="1:5" x14ac:dyDescent="0.25">
      <c r="B15" s="82">
        <f t="shared" si="0"/>
        <v>2021</v>
      </c>
      <c r="C15" s="78">
        <v>1098345</v>
      </c>
    </row>
    <row r="16" spans="1:5" x14ac:dyDescent="0.25">
      <c r="B16" s="82">
        <f t="shared" si="0"/>
        <v>2022</v>
      </c>
      <c r="C16" s="78">
        <v>790172</v>
      </c>
    </row>
    <row r="17" spans="2:3" x14ac:dyDescent="0.25">
      <c r="B17" s="82">
        <f t="shared" si="0"/>
        <v>2023</v>
      </c>
      <c r="C17" s="78">
        <v>4843225</v>
      </c>
    </row>
    <row r="18" spans="2:3" ht="6" customHeight="1" x14ac:dyDescent="0.25">
      <c r="B18" s="84"/>
      <c r="C18" s="85"/>
    </row>
    <row r="19" spans="2:3" x14ac:dyDescent="0.25">
      <c r="B19" s="83" t="s">
        <v>43</v>
      </c>
      <c r="C19" s="79">
        <f>SUM(C8:C17)</f>
        <v>11871451</v>
      </c>
    </row>
  </sheetData>
  <mergeCells count="3">
    <mergeCell ref="A2:D2"/>
    <mergeCell ref="A3:D3"/>
    <mergeCell ref="A4:D4"/>
  </mergeCells>
  <printOptions horizontalCentered="1"/>
  <pageMargins left="0.7" right="0.7" top="0.75" bottom="0.75" header="0.3" footer="0.3"/>
  <pageSetup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55E5-8508-4DC0-A3A7-96599D8131EC}">
  <sheetPr>
    <pageSetUpPr fitToPage="1"/>
  </sheetPr>
  <dimension ref="A1:AD33"/>
  <sheetViews>
    <sheetView zoomScaleNormal="100" workbookViewId="0">
      <selection activeCell="A38" sqref="A38"/>
    </sheetView>
  </sheetViews>
  <sheetFormatPr defaultRowHeight="15" x14ac:dyDescent="0.25"/>
  <cols>
    <col min="2" max="2" width="2.85546875" customWidth="1"/>
    <col min="3" max="3" width="10.42578125" customWidth="1"/>
    <col min="4" max="4" width="9.5703125" bestFit="1" customWidth="1"/>
    <col min="5" max="5" width="10.5703125" bestFit="1" customWidth="1"/>
    <col min="6" max="6" width="15.28515625" bestFit="1" customWidth="1"/>
    <col min="7" max="7" width="17.5703125" customWidth="1"/>
    <col min="8" max="8" width="2" customWidth="1"/>
    <col min="9" max="9" width="10.42578125" customWidth="1"/>
    <col min="12" max="12" width="12.5703125" bestFit="1" customWidth="1"/>
    <col min="13" max="13" width="17.5703125" customWidth="1"/>
    <col min="14" max="14" width="1.85546875" customWidth="1"/>
    <col min="15" max="15" width="13.7109375" customWidth="1"/>
    <col min="16" max="16" width="13" customWidth="1"/>
    <col min="17" max="17" width="12.28515625" customWidth="1"/>
    <col min="18" max="18" width="17.5703125" customWidth="1"/>
    <col min="29" max="30" width="15.28515625" bestFit="1" customWidth="1"/>
  </cols>
  <sheetData>
    <row r="1" spans="1:30" x14ac:dyDescent="0.25">
      <c r="A1" s="219" t="s">
        <v>74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</row>
    <row r="2" spans="1:30" x14ac:dyDescent="0.25">
      <c r="A2" s="219" t="s">
        <v>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</row>
    <row r="3" spans="1:30" x14ac:dyDescent="0.25">
      <c r="A3" s="219" t="s">
        <v>224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</row>
    <row r="5" spans="1:30" x14ac:dyDescent="0.25">
      <c r="A5" s="220" t="s">
        <v>44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</row>
    <row r="7" spans="1:30" x14ac:dyDescent="0.25">
      <c r="A7" s="58"/>
      <c r="B7" s="59"/>
      <c r="C7" s="60" t="str">
        <f>"California Company-Specific Loss "&amp;IF(DCCE_LTrndCo="Includes DCCE","and DCCE ","")&amp;"Trend Data"</f>
        <v>California Company-Specific Loss Trend Data</v>
      </c>
      <c r="D7" s="60"/>
      <c r="E7" s="61"/>
      <c r="F7" s="60"/>
      <c r="G7" s="60"/>
    </row>
    <row r="8" spans="1:30" ht="15.75" thickBot="1" x14ac:dyDescent="0.3">
      <c r="A8" s="62"/>
      <c r="B8" s="63"/>
      <c r="C8" s="64" t="s">
        <v>45</v>
      </c>
      <c r="D8" s="65"/>
      <c r="E8" s="66"/>
      <c r="F8" s="65"/>
      <c r="G8" s="65"/>
      <c r="I8" s="67" t="s">
        <v>46</v>
      </c>
      <c r="J8" s="61"/>
      <c r="K8" s="61"/>
      <c r="L8" s="61"/>
      <c r="M8" s="61"/>
      <c r="O8" s="67" t="s">
        <v>46</v>
      </c>
      <c r="P8" s="61"/>
      <c r="Q8" s="61"/>
      <c r="R8" s="61"/>
    </row>
    <row r="9" spans="1:30" ht="90.75" thickBot="1" x14ac:dyDescent="0.3">
      <c r="A9" s="68" t="s">
        <v>47</v>
      </c>
      <c r="C9" s="68" t="s">
        <v>48</v>
      </c>
      <c r="D9" s="68" t="s">
        <v>49</v>
      </c>
      <c r="E9" s="68" t="s">
        <v>50</v>
      </c>
      <c r="F9" s="68" t="str">
        <f>IF(DCCE_LTrndCo="Excludes DCCE","Paid Losses","Paid Losses &amp; DCCE")</f>
        <v>Paid Losses</v>
      </c>
      <c r="G9" s="68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9" s="69"/>
      <c r="I9" s="68" t="str">
        <f>C9</f>
        <v>Earned Exposures</v>
      </c>
      <c r="J9" s="68" t="str">
        <f t="shared" ref="J9:M9" si="0">D9</f>
        <v>Closed Claims</v>
      </c>
      <c r="K9" s="68" t="str">
        <f t="shared" si="0"/>
        <v>Reported Claims</v>
      </c>
      <c r="L9" s="68" t="str">
        <f t="shared" si="0"/>
        <v>Paid Losses</v>
      </c>
      <c r="M9" s="68" t="str">
        <f t="shared" si="0"/>
        <v>Total Paid Losses including Partial Payments on Prior Calendar Years, on Closed Claims</v>
      </c>
      <c r="O9" s="68" t="s">
        <v>51</v>
      </c>
      <c r="P9" s="68" t="s">
        <v>52</v>
      </c>
      <c r="Q9" s="68" t="str">
        <f>IF(DCCE_LTrndCo="Excludes DCCE","Paid Loss Severity","Paid Loss &amp; DCCE Severity")</f>
        <v>Paid Loss Severity</v>
      </c>
      <c r="R9" s="68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10" spans="1:30" x14ac:dyDescent="0.25">
      <c r="A10" s="69">
        <v>20221</v>
      </c>
      <c r="C10" s="70">
        <v>3719.9359000000004</v>
      </c>
      <c r="D10" s="70">
        <v>45</v>
      </c>
      <c r="E10" s="70">
        <v>82</v>
      </c>
      <c r="F10" s="70">
        <v>2038066.5899999999</v>
      </c>
      <c r="G10" s="70">
        <v>2689102.69</v>
      </c>
      <c r="I10" s="71"/>
      <c r="J10" s="71"/>
      <c r="K10" s="71"/>
      <c r="L10" s="71"/>
      <c r="M10" s="71"/>
      <c r="O10" s="71"/>
      <c r="P10" s="71"/>
      <c r="Q10" s="71"/>
      <c r="R10" s="71"/>
      <c r="Z10" s="42"/>
      <c r="AA10" s="42"/>
      <c r="AB10" s="42"/>
      <c r="AC10" s="42"/>
      <c r="AD10" s="42"/>
    </row>
    <row r="11" spans="1:30" x14ac:dyDescent="0.25">
      <c r="A11" s="69">
        <v>20222</v>
      </c>
      <c r="C11" s="70">
        <v>3659.9335000000001</v>
      </c>
      <c r="D11" s="70">
        <v>33</v>
      </c>
      <c r="E11" s="70">
        <v>96</v>
      </c>
      <c r="F11" s="70">
        <v>1248117.7999999998</v>
      </c>
      <c r="G11" s="70">
        <v>1541188.67</v>
      </c>
      <c r="I11" s="71"/>
      <c r="J11" s="71"/>
      <c r="K11" s="71"/>
      <c r="L11" s="71"/>
      <c r="M11" s="71"/>
      <c r="O11" s="71"/>
      <c r="P11" s="71"/>
      <c r="Q11" s="71"/>
      <c r="R11" s="71"/>
      <c r="Z11" s="42"/>
      <c r="AA11" s="42"/>
      <c r="AB11" s="42"/>
      <c r="AC11" s="42"/>
      <c r="AD11" s="42"/>
    </row>
    <row r="12" spans="1:30" x14ac:dyDescent="0.25">
      <c r="A12" s="69">
        <v>20223</v>
      </c>
      <c r="C12" s="70">
        <v>3775.6657999999998</v>
      </c>
      <c r="D12" s="70">
        <v>36</v>
      </c>
      <c r="E12" s="70">
        <v>105</v>
      </c>
      <c r="F12" s="70">
        <v>2221159.6799999997</v>
      </c>
      <c r="G12" s="70">
        <v>1874963.19</v>
      </c>
      <c r="I12" s="71"/>
      <c r="J12" s="71"/>
      <c r="K12" s="71"/>
      <c r="L12" s="71"/>
      <c r="M12" s="71"/>
      <c r="O12" s="71"/>
      <c r="P12" s="71"/>
      <c r="Q12" s="71"/>
      <c r="R12" s="71"/>
      <c r="Z12" s="42"/>
      <c r="AA12" s="42"/>
      <c r="AB12" s="42"/>
      <c r="AC12" s="42"/>
      <c r="AD12" s="42"/>
    </row>
    <row r="13" spans="1:30" x14ac:dyDescent="0.25">
      <c r="A13" s="69">
        <v>20224</v>
      </c>
      <c r="C13" s="70">
        <v>3844.1346000000003</v>
      </c>
      <c r="D13" s="70">
        <v>42</v>
      </c>
      <c r="E13" s="70">
        <v>90</v>
      </c>
      <c r="F13" s="70">
        <v>3482327.4700000007</v>
      </c>
      <c r="G13" s="70">
        <v>3912838.68</v>
      </c>
      <c r="I13" s="42">
        <f>SUM(C10:C13)</f>
        <v>14999.6698</v>
      </c>
      <c r="J13" s="42">
        <f>SUM(D10:D13)</f>
        <v>156</v>
      </c>
      <c r="K13" s="42">
        <f>SUM(E10:E13)</f>
        <v>373</v>
      </c>
      <c r="L13" s="42">
        <f>SUM(F10:F13)</f>
        <v>8989671.5399999991</v>
      </c>
      <c r="M13" s="42">
        <f>SUM(G10:G13)</f>
        <v>10018093.229999999</v>
      </c>
      <c r="N13" s="42">
        <f>SUM(G10:G13)</f>
        <v>10018093.229999999</v>
      </c>
      <c r="O13" s="57">
        <f>J13/I13*100</f>
        <v>1.040022894370648</v>
      </c>
      <c r="P13" s="56">
        <f>K13/I13*100</f>
        <v>2.4867214076939215</v>
      </c>
      <c r="Q13" s="70">
        <f>L13/J13</f>
        <v>57626.099615384606</v>
      </c>
      <c r="R13" s="70">
        <f>M13/J13</f>
        <v>64218.546346153838</v>
      </c>
      <c r="Z13" s="42"/>
      <c r="AA13" s="42"/>
      <c r="AB13" s="42"/>
      <c r="AC13" s="42"/>
      <c r="AD13" s="42"/>
    </row>
    <row r="14" spans="1:30" x14ac:dyDescent="0.25">
      <c r="A14" s="69">
        <v>20231</v>
      </c>
      <c r="C14" s="70">
        <v>4003.9043999999994</v>
      </c>
      <c r="D14" s="70">
        <v>49</v>
      </c>
      <c r="E14" s="70">
        <v>115</v>
      </c>
      <c r="F14" s="70">
        <v>1642254.01</v>
      </c>
      <c r="G14" s="70">
        <v>2008474.64</v>
      </c>
      <c r="I14" s="42">
        <f t="shared" ref="I14:I17" si="1">SUM(C11:C14)</f>
        <v>15283.638299999999</v>
      </c>
      <c r="J14" s="42">
        <f t="shared" ref="J14:M17" si="2">SUM(D11:D14)</f>
        <v>160</v>
      </c>
      <c r="K14" s="42">
        <f t="shared" si="2"/>
        <v>406</v>
      </c>
      <c r="L14" s="42">
        <f t="shared" si="2"/>
        <v>8593858.9600000009</v>
      </c>
      <c r="M14" s="42">
        <f t="shared" si="2"/>
        <v>9337465.1799999997</v>
      </c>
      <c r="O14" s="57">
        <f t="shared" ref="O14:O17" si="3">J14/I14*100</f>
        <v>1.0468711497837528</v>
      </c>
      <c r="P14" s="56">
        <f t="shared" ref="P14:P17" si="4">K14/I14*100</f>
        <v>2.6564355425762729</v>
      </c>
      <c r="Q14" s="70">
        <f t="shared" ref="Q14:Q17" si="5">L14/J14</f>
        <v>53711.618500000004</v>
      </c>
      <c r="R14" s="70">
        <f t="shared" ref="R14:R17" si="6">M14/J14</f>
        <v>58359.157374999995</v>
      </c>
      <c r="Z14" s="42"/>
      <c r="AA14" s="42"/>
      <c r="AB14" s="42"/>
      <c r="AC14" s="42"/>
      <c r="AD14" s="42"/>
    </row>
    <row r="15" spans="1:30" x14ac:dyDescent="0.25">
      <c r="A15" s="69">
        <v>20232</v>
      </c>
      <c r="C15" s="70">
        <v>3084.9209000000001</v>
      </c>
      <c r="D15" s="70">
        <v>42</v>
      </c>
      <c r="E15" s="70">
        <v>69</v>
      </c>
      <c r="F15" s="70">
        <v>3052074.64</v>
      </c>
      <c r="G15" s="70">
        <v>2626592.7999999998</v>
      </c>
      <c r="I15" s="42">
        <f t="shared" si="1"/>
        <v>14708.625700000001</v>
      </c>
      <c r="J15" s="42">
        <f t="shared" si="2"/>
        <v>169</v>
      </c>
      <c r="K15" s="42">
        <f t="shared" si="2"/>
        <v>379</v>
      </c>
      <c r="L15" s="42">
        <f t="shared" si="2"/>
        <v>10397815.800000001</v>
      </c>
      <c r="M15" s="42">
        <f t="shared" si="2"/>
        <v>10422869.309999999</v>
      </c>
      <c r="O15" s="57">
        <f t="shared" si="3"/>
        <v>1.148985659482789</v>
      </c>
      <c r="P15" s="56">
        <f t="shared" si="4"/>
        <v>2.5767193191951301</v>
      </c>
      <c r="Q15" s="70">
        <f t="shared" si="5"/>
        <v>61525.537278106516</v>
      </c>
      <c r="R15" s="70">
        <f t="shared" si="6"/>
        <v>61673.782899408274</v>
      </c>
      <c r="Z15" s="42"/>
      <c r="AA15" s="42"/>
      <c r="AB15" s="42"/>
      <c r="AC15" s="42"/>
      <c r="AD15" s="42"/>
    </row>
    <row r="16" spans="1:30" x14ac:dyDescent="0.25">
      <c r="A16" s="69">
        <v>20233</v>
      </c>
      <c r="C16" s="70">
        <v>2035.3076000000001</v>
      </c>
      <c r="D16" s="70">
        <v>36</v>
      </c>
      <c r="E16" s="70">
        <v>48</v>
      </c>
      <c r="F16" s="70">
        <v>1167257.6300000001</v>
      </c>
      <c r="G16" s="70">
        <v>2722054.21</v>
      </c>
      <c r="I16" s="42">
        <f t="shared" si="1"/>
        <v>12968.2675</v>
      </c>
      <c r="J16" s="42">
        <f t="shared" si="2"/>
        <v>169</v>
      </c>
      <c r="K16" s="42">
        <f t="shared" si="2"/>
        <v>322</v>
      </c>
      <c r="L16" s="42">
        <f t="shared" si="2"/>
        <v>9343913.7500000019</v>
      </c>
      <c r="M16" s="42">
        <f t="shared" si="2"/>
        <v>11269960.330000002</v>
      </c>
      <c r="O16" s="57">
        <f t="shared" si="3"/>
        <v>1.3031810147346203</v>
      </c>
      <c r="P16" s="56">
        <f t="shared" si="4"/>
        <v>2.4829839452340106</v>
      </c>
      <c r="Q16" s="70">
        <f t="shared" si="5"/>
        <v>55289.430473372791</v>
      </c>
      <c r="R16" s="70">
        <f t="shared" si="6"/>
        <v>66686.155798816573</v>
      </c>
      <c r="Z16" s="42"/>
      <c r="AA16" s="42"/>
      <c r="AB16" s="42"/>
      <c r="AC16" s="42"/>
      <c r="AD16" s="42"/>
    </row>
    <row r="17" spans="1:30" x14ac:dyDescent="0.25">
      <c r="A17" s="69">
        <v>20234</v>
      </c>
      <c r="C17" s="70">
        <v>1114.1282000000001</v>
      </c>
      <c r="D17" s="70">
        <v>31</v>
      </c>
      <c r="E17" s="70">
        <v>31</v>
      </c>
      <c r="F17" s="70">
        <v>2677401.4400000004</v>
      </c>
      <c r="G17" s="70">
        <v>4521691.79</v>
      </c>
      <c r="I17" s="42">
        <f t="shared" si="1"/>
        <v>10238.2611</v>
      </c>
      <c r="J17" s="42">
        <f t="shared" si="2"/>
        <v>158</v>
      </c>
      <c r="K17" s="42">
        <f t="shared" si="2"/>
        <v>263</v>
      </c>
      <c r="L17" s="42">
        <f t="shared" si="2"/>
        <v>8538987.7200000007</v>
      </c>
      <c r="M17" s="42">
        <f t="shared" si="2"/>
        <v>11878813.439999999</v>
      </c>
      <c r="O17" s="57">
        <f t="shared" si="3"/>
        <v>1.5432308128965377</v>
      </c>
      <c r="P17" s="56">
        <f t="shared" si="4"/>
        <v>2.5687955936189204</v>
      </c>
      <c r="Q17" s="70">
        <f t="shared" si="5"/>
        <v>54044.226075949373</v>
      </c>
      <c r="R17" s="70">
        <f t="shared" si="6"/>
        <v>75182.363544303793</v>
      </c>
      <c r="Z17" s="42"/>
      <c r="AA17" s="42"/>
      <c r="AB17" s="42"/>
      <c r="AC17" s="42"/>
      <c r="AD17" s="42"/>
    </row>
    <row r="19" spans="1:30" x14ac:dyDescent="0.25">
      <c r="A19" s="220" t="s">
        <v>53</v>
      </c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</row>
    <row r="21" spans="1:30" x14ac:dyDescent="0.25">
      <c r="A21" s="58"/>
      <c r="B21" s="59"/>
      <c r="C21" s="60" t="str">
        <f>"California Company-Specific Loss "&amp;IF(DCCE_LTrndCo="Includes DCCE","and DCCE ","")&amp;"Trend Data"</f>
        <v>California Company-Specific Loss Trend Data</v>
      </c>
      <c r="D21" s="60"/>
      <c r="E21" s="61"/>
      <c r="F21" s="60"/>
      <c r="G21" s="60"/>
    </row>
    <row r="22" spans="1:30" ht="15.75" thickBot="1" x14ac:dyDescent="0.3">
      <c r="A22" s="62"/>
      <c r="B22" s="63"/>
      <c r="C22" s="64" t="s">
        <v>45</v>
      </c>
      <c r="D22" s="65"/>
      <c r="E22" s="66"/>
      <c r="F22" s="65"/>
      <c r="G22" s="65"/>
      <c r="I22" s="67" t="s">
        <v>46</v>
      </c>
      <c r="J22" s="61"/>
      <c r="K22" s="61"/>
      <c r="L22" s="61"/>
      <c r="M22" s="61"/>
      <c r="O22" s="67" t="s">
        <v>46</v>
      </c>
      <c r="P22" s="61"/>
      <c r="Q22" s="61"/>
      <c r="R22" s="61"/>
    </row>
    <row r="23" spans="1:30" ht="90.75" thickBot="1" x14ac:dyDescent="0.3">
      <c r="A23" s="68" t="s">
        <v>47</v>
      </c>
      <c r="C23" s="68" t="s">
        <v>48</v>
      </c>
      <c r="D23" s="68" t="s">
        <v>49</v>
      </c>
      <c r="E23" s="68" t="s">
        <v>50</v>
      </c>
      <c r="F23" s="68" t="str">
        <f>IF(DCCE_LTrndCo="Excludes DCCE","Paid Losses","Paid Losses &amp; DCCE")</f>
        <v>Paid Losses</v>
      </c>
      <c r="G23" s="68" t="str">
        <f>IF(DCCE_LTrndCo="Excludes DCCE","Total Paid Losses including Partial Payments on Prior Calendar Years, on Closed Claims","Total Paid Losses &amp; DCCE including Partial Payments on Prior Calendar Years, on Closed Claims")</f>
        <v>Total Paid Losses including Partial Payments on Prior Calendar Years, on Closed Claims</v>
      </c>
      <c r="H23" s="69"/>
      <c r="I23" s="68" t="str">
        <f>C23</f>
        <v>Earned Exposures</v>
      </c>
      <c r="J23" s="68" t="str">
        <f t="shared" ref="J23:M23" si="7">D23</f>
        <v>Closed Claims</v>
      </c>
      <c r="K23" s="68" t="str">
        <f t="shared" si="7"/>
        <v>Reported Claims</v>
      </c>
      <c r="L23" s="68" t="str">
        <f t="shared" si="7"/>
        <v>Paid Losses</v>
      </c>
      <c r="M23" s="68" t="str">
        <f t="shared" si="7"/>
        <v>Total Paid Losses including Partial Payments on Prior Calendar Years, on Closed Claims</v>
      </c>
      <c r="O23" s="68" t="s">
        <v>51</v>
      </c>
      <c r="P23" s="68" t="s">
        <v>52</v>
      </c>
      <c r="Q23" s="68" t="str">
        <f>IF(DCCE_LTrndCo="Excludes DCCE","Paid Loss Severity","Paid Loss &amp; DCCE Severity")</f>
        <v>Paid Loss Severity</v>
      </c>
      <c r="R23" s="68" t="str">
        <f>IF(DCCE_LTrndCo="Excludes DCCE","Total Paid Loss Severity including Partial Payments on Prior Calendar Years, on Closed Claims","Total Paid Loss &amp; DCCE Severity including Partial Payments on Prior Calendar Years, on Closed Claims")</f>
        <v>Total Paid Loss Severity including Partial Payments on Prior Calendar Years, on Closed Claims</v>
      </c>
    </row>
    <row r="24" spans="1:30" x14ac:dyDescent="0.25">
      <c r="A24" s="69">
        <v>20221</v>
      </c>
      <c r="C24" s="70">
        <v>63532.236299998804</v>
      </c>
      <c r="D24" s="70">
        <v>728</v>
      </c>
      <c r="E24" s="70">
        <v>1266</v>
      </c>
      <c r="F24" s="70">
        <v>23883609.899999999</v>
      </c>
      <c r="G24" s="70">
        <v>22310907.260000002</v>
      </c>
      <c r="I24" s="71"/>
      <c r="J24" s="71"/>
      <c r="K24" s="71"/>
      <c r="L24" s="71"/>
      <c r="M24" s="71"/>
      <c r="O24" s="71"/>
      <c r="P24" s="71"/>
      <c r="Q24" s="71"/>
      <c r="R24" s="71"/>
      <c r="AC24" s="70"/>
      <c r="AD24" s="70"/>
    </row>
    <row r="25" spans="1:30" x14ac:dyDescent="0.25">
      <c r="A25" s="69">
        <v>20222</v>
      </c>
      <c r="C25" s="70">
        <v>63418.511399998803</v>
      </c>
      <c r="D25" s="70">
        <v>607</v>
      </c>
      <c r="E25" s="70">
        <v>1209</v>
      </c>
      <c r="F25" s="70">
        <v>23294803.68</v>
      </c>
      <c r="G25" s="70">
        <v>24844231.77</v>
      </c>
      <c r="I25" s="71"/>
      <c r="J25" s="71"/>
      <c r="K25" s="71"/>
      <c r="L25" s="71"/>
      <c r="M25" s="71"/>
      <c r="O25" s="71"/>
      <c r="P25" s="71"/>
      <c r="Q25" s="71"/>
      <c r="R25" s="71"/>
      <c r="AC25" s="70"/>
      <c r="AD25" s="70"/>
    </row>
    <row r="26" spans="1:30" x14ac:dyDescent="0.25">
      <c r="A26" s="69">
        <v>20223</v>
      </c>
      <c r="C26" s="70">
        <v>63481.934699998797</v>
      </c>
      <c r="D26" s="70">
        <v>633</v>
      </c>
      <c r="E26" s="70">
        <v>1323</v>
      </c>
      <c r="F26" s="70">
        <v>22678468.789999999</v>
      </c>
      <c r="G26" s="70">
        <v>23096989.289999999</v>
      </c>
      <c r="I26" s="71"/>
      <c r="J26" s="71"/>
      <c r="K26" s="71"/>
      <c r="L26" s="71"/>
      <c r="M26" s="71"/>
      <c r="O26" s="71"/>
      <c r="P26" s="71"/>
      <c r="Q26" s="71"/>
      <c r="R26" s="71"/>
      <c r="AC26" s="70"/>
      <c r="AD26" s="70"/>
    </row>
    <row r="27" spans="1:30" x14ac:dyDescent="0.25">
      <c r="A27" s="69">
        <v>20224</v>
      </c>
      <c r="C27" s="70">
        <v>63733.462899998798</v>
      </c>
      <c r="D27" s="70">
        <v>651</v>
      </c>
      <c r="E27" s="70">
        <v>1223</v>
      </c>
      <c r="F27" s="70">
        <v>23694501.079999998</v>
      </c>
      <c r="G27" s="70">
        <v>23451005.34</v>
      </c>
      <c r="I27" s="42">
        <f>SUM(C24:C27)</f>
        <v>254166.1452999952</v>
      </c>
      <c r="J27" s="42">
        <f>SUM(D24:D27)</f>
        <v>2619</v>
      </c>
      <c r="K27" s="42">
        <f>SUM(E24:E27)</f>
        <v>5021</v>
      </c>
      <c r="L27" s="42">
        <f>SUM(F24:F27)</f>
        <v>93551383.450000003</v>
      </c>
      <c r="M27" s="42">
        <f>SUM(G24:G27)</f>
        <v>93703133.659999996</v>
      </c>
      <c r="O27" s="57">
        <f>J27/I27*100</f>
        <v>1.0304283432039165</v>
      </c>
      <c r="P27" s="56">
        <f>K27/I27*100</f>
        <v>1.9754794620950231</v>
      </c>
      <c r="Q27" s="70">
        <f>L27/J27</f>
        <v>35720.268594883542</v>
      </c>
      <c r="R27" s="70">
        <f>M27/J27</f>
        <v>35778.210637647957</v>
      </c>
      <c r="AC27" s="70"/>
      <c r="AD27" s="70"/>
    </row>
    <row r="28" spans="1:30" x14ac:dyDescent="0.25">
      <c r="A28" s="69">
        <v>20231</v>
      </c>
      <c r="C28" s="70">
        <v>64181.196899998802</v>
      </c>
      <c r="D28" s="70">
        <v>738</v>
      </c>
      <c r="E28" s="70">
        <v>1524</v>
      </c>
      <c r="F28" s="70">
        <v>22857481.91</v>
      </c>
      <c r="G28" s="70">
        <v>23069939.030000001</v>
      </c>
      <c r="I28" s="42">
        <f>SUM(C25:C28)</f>
        <v>254815.10589999519</v>
      </c>
      <c r="J28" s="42">
        <f t="shared" ref="J28:M31" si="8">SUM(D25:D28)</f>
        <v>2629</v>
      </c>
      <c r="K28" s="42">
        <f t="shared" si="8"/>
        <v>5279</v>
      </c>
      <c r="L28" s="42">
        <f t="shared" si="8"/>
        <v>92525255.459999993</v>
      </c>
      <c r="M28" s="42">
        <f t="shared" si="8"/>
        <v>94462165.430000007</v>
      </c>
      <c r="O28" s="57">
        <f t="shared" ref="O28:O31" si="9">J28/I28*100</f>
        <v>1.0317284725779867</v>
      </c>
      <c r="P28" s="56">
        <f>K28/I28*100</f>
        <v>2.0716982148114083</v>
      </c>
      <c r="Q28" s="70">
        <f t="shared" ref="Q28:Q31" si="10">L28/J28</f>
        <v>35194.087280334723</v>
      </c>
      <c r="R28" s="70">
        <f t="shared" ref="R28:R31" si="11">M28/J28</f>
        <v>35930.835081780147</v>
      </c>
      <c r="AC28" s="70"/>
      <c r="AD28" s="70"/>
    </row>
    <row r="29" spans="1:30" x14ac:dyDescent="0.25">
      <c r="A29" s="69">
        <v>20232</v>
      </c>
      <c r="C29" s="70">
        <v>64319.359199998798</v>
      </c>
      <c r="D29" s="70">
        <v>702</v>
      </c>
      <c r="E29" s="70">
        <v>1310</v>
      </c>
      <c r="F29" s="70">
        <v>25049333.93</v>
      </c>
      <c r="G29" s="70">
        <v>24426426.59</v>
      </c>
      <c r="I29" s="42">
        <f t="shared" ref="I29:I31" si="12">SUM(C26:C29)</f>
        <v>255715.95369999518</v>
      </c>
      <c r="J29" s="42">
        <f t="shared" si="8"/>
        <v>2724</v>
      </c>
      <c r="K29" s="42">
        <f t="shared" si="8"/>
        <v>5380</v>
      </c>
      <c r="L29" s="42">
        <f t="shared" si="8"/>
        <v>94279785.710000008</v>
      </c>
      <c r="M29" s="42">
        <f t="shared" si="8"/>
        <v>94044360.25</v>
      </c>
      <c r="O29" s="57">
        <f t="shared" si="9"/>
        <v>1.0652444482192083</v>
      </c>
      <c r="P29" s="56">
        <f t="shared" ref="P29:P31" si="13">K29/I29*100</f>
        <v>2.1038968911231062</v>
      </c>
      <c r="Q29" s="70">
        <f>L29/J29</f>
        <v>34610.787705580035</v>
      </c>
      <c r="R29" s="70">
        <f t="shared" si="11"/>
        <v>34524.361325256978</v>
      </c>
      <c r="AC29" s="70"/>
      <c r="AD29" s="70"/>
    </row>
    <row r="30" spans="1:30" x14ac:dyDescent="0.25">
      <c r="A30" s="69">
        <v>20233</v>
      </c>
      <c r="C30" s="70">
        <v>64644.183699998801</v>
      </c>
      <c r="D30" s="70">
        <v>592</v>
      </c>
      <c r="E30" s="70">
        <v>1166</v>
      </c>
      <c r="F30" s="70">
        <v>21173671.789999999</v>
      </c>
      <c r="G30" s="70">
        <v>27755814.59</v>
      </c>
      <c r="I30" s="42">
        <f t="shared" si="12"/>
        <v>256878.20269999522</v>
      </c>
      <c r="J30" s="42">
        <f t="shared" si="8"/>
        <v>2683</v>
      </c>
      <c r="K30" s="42">
        <f t="shared" si="8"/>
        <v>5223</v>
      </c>
      <c r="L30" s="42">
        <f t="shared" si="8"/>
        <v>92774988.709999979</v>
      </c>
      <c r="M30" s="42">
        <f t="shared" si="8"/>
        <v>98703185.550000012</v>
      </c>
      <c r="O30" s="57">
        <f t="shared" si="9"/>
        <v>1.0444638633404957</v>
      </c>
      <c r="P30" s="56">
        <f t="shared" si="13"/>
        <v>2.0332593209941892</v>
      </c>
      <c r="Q30" s="70">
        <f t="shared" si="10"/>
        <v>34578.825460305619</v>
      </c>
      <c r="R30" s="70">
        <f>M30/J30</f>
        <v>36788.365840477083</v>
      </c>
      <c r="AC30" s="70"/>
      <c r="AD30" s="70"/>
    </row>
    <row r="31" spans="1:30" x14ac:dyDescent="0.25">
      <c r="A31" s="69">
        <v>20234</v>
      </c>
      <c r="C31" s="70">
        <v>64858.684999998804</v>
      </c>
      <c r="D31" s="70">
        <v>533</v>
      </c>
      <c r="E31" s="70">
        <v>1072</v>
      </c>
      <c r="F31" s="70">
        <v>25061699.419999998</v>
      </c>
      <c r="G31" s="70">
        <v>32607265.210000001</v>
      </c>
      <c r="I31" s="42">
        <f t="shared" si="12"/>
        <v>258003.42479999521</v>
      </c>
      <c r="J31" s="42">
        <f t="shared" si="8"/>
        <v>2565</v>
      </c>
      <c r="K31" s="42">
        <f t="shared" si="8"/>
        <v>5072</v>
      </c>
      <c r="L31" s="42">
        <f t="shared" si="8"/>
        <v>94142187.049999997</v>
      </c>
      <c r="M31" s="42">
        <f t="shared" si="8"/>
        <v>107859445.42000002</v>
      </c>
      <c r="O31" s="57">
        <f t="shared" si="9"/>
        <v>0.99417284944507744</v>
      </c>
      <c r="P31" s="56">
        <f t="shared" si="13"/>
        <v>1.965865377148317</v>
      </c>
      <c r="Q31" s="70">
        <f t="shared" si="10"/>
        <v>36702.607037037036</v>
      </c>
      <c r="R31" s="70">
        <f t="shared" si="11"/>
        <v>42050.466050682269</v>
      </c>
      <c r="AC31" s="70"/>
      <c r="AD31" s="70"/>
    </row>
    <row r="33" spans="17:17" x14ac:dyDescent="0.25">
      <c r="Q33" s="86"/>
    </row>
  </sheetData>
  <mergeCells count="5">
    <mergeCell ref="A1:R1"/>
    <mergeCell ref="A2:R2"/>
    <mergeCell ref="A5:R5"/>
    <mergeCell ref="A19:R19"/>
    <mergeCell ref="A3:R3"/>
  </mergeCells>
  <printOptions horizontalCentered="1"/>
  <pageMargins left="0.2" right="0.2" top="0.75" bottom="0.75" header="0.3" footer="0.3"/>
  <pageSetup scale="69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76D34-206C-4E94-A2F9-8A8563666B3B}">
  <sheetPr>
    <pageSetUpPr fitToPage="1"/>
  </sheetPr>
  <dimension ref="A1:R49"/>
  <sheetViews>
    <sheetView zoomScaleNormal="100" workbookViewId="0">
      <selection activeCell="A38" sqref="A38"/>
    </sheetView>
  </sheetViews>
  <sheetFormatPr defaultRowHeight="15" x14ac:dyDescent="0.25"/>
  <cols>
    <col min="2" max="2" width="12.5703125" customWidth="1"/>
    <col min="4" max="4" width="14.85546875" customWidth="1"/>
    <col min="5" max="5" width="12.140625" customWidth="1"/>
    <col min="6" max="6" width="13" customWidth="1"/>
  </cols>
  <sheetData>
    <row r="1" spans="1:14" x14ac:dyDescent="0.25">
      <c r="A1" s="219" t="s">
        <v>75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69"/>
      <c r="M1" s="69"/>
      <c r="N1" s="69"/>
    </row>
    <row r="2" spans="1:14" x14ac:dyDescent="0.25">
      <c r="A2" s="219" t="s">
        <v>0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69"/>
      <c r="M2" s="69"/>
      <c r="N2" s="69"/>
    </row>
    <row r="3" spans="1:14" x14ac:dyDescent="0.25">
      <c r="A3" s="219" t="s">
        <v>224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69"/>
      <c r="M3" s="69"/>
      <c r="N3" s="69"/>
    </row>
    <row r="4" spans="1:14" x14ac:dyDescent="0.25">
      <c r="A4" s="219" t="s">
        <v>76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69"/>
      <c r="M4" s="69"/>
      <c r="N4" s="69"/>
    </row>
    <row r="7" spans="1:14" x14ac:dyDescent="0.25">
      <c r="A7" s="219" t="s">
        <v>80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</row>
    <row r="8" spans="1:14" x14ac:dyDescent="0.25">
      <c r="A8" s="221" t="s">
        <v>77</v>
      </c>
      <c r="B8" s="221"/>
      <c r="C8" s="221"/>
      <c r="D8" s="221"/>
      <c r="E8" s="221"/>
      <c r="F8" s="221"/>
      <c r="G8" s="221"/>
      <c r="H8" s="221"/>
      <c r="I8" s="221"/>
      <c r="J8" s="221"/>
      <c r="K8" s="221"/>
    </row>
    <row r="9" spans="1:14" ht="75" x14ac:dyDescent="0.25">
      <c r="A9" s="87" t="s">
        <v>78</v>
      </c>
      <c r="B9" s="88" t="s">
        <v>79</v>
      </c>
      <c r="C9" s="88">
        <v>24</v>
      </c>
      <c r="D9" s="88">
        <v>36</v>
      </c>
      <c r="E9" s="88">
        <v>48</v>
      </c>
      <c r="F9" s="88">
        <v>60</v>
      </c>
      <c r="G9" s="88">
        <v>72</v>
      </c>
      <c r="H9" s="88">
        <v>84</v>
      </c>
      <c r="I9" s="88">
        <v>96</v>
      </c>
      <c r="J9" s="88">
        <v>108</v>
      </c>
      <c r="K9" s="88">
        <v>120</v>
      </c>
    </row>
    <row r="10" spans="1:14" x14ac:dyDescent="0.25">
      <c r="A10" s="89">
        <v>20144</v>
      </c>
      <c r="B10" s="90">
        <v>3286</v>
      </c>
      <c r="C10" s="90">
        <v>4368</v>
      </c>
      <c r="D10" s="90">
        <v>4458</v>
      </c>
      <c r="E10" s="90">
        <v>4511</v>
      </c>
      <c r="F10" s="90">
        <v>4531</v>
      </c>
      <c r="G10" s="90">
        <v>4546</v>
      </c>
      <c r="H10" s="90">
        <v>4551</v>
      </c>
      <c r="I10" s="90">
        <v>4555</v>
      </c>
      <c r="J10" s="90">
        <v>4561</v>
      </c>
      <c r="K10" s="90">
        <v>4566</v>
      </c>
    </row>
    <row r="11" spans="1:14" x14ac:dyDescent="0.25">
      <c r="A11" s="89">
        <v>20154</v>
      </c>
      <c r="B11" s="90">
        <v>3239</v>
      </c>
      <c r="C11" s="90">
        <v>4227</v>
      </c>
      <c r="D11" s="90">
        <v>4319</v>
      </c>
      <c r="E11" s="90">
        <v>4366</v>
      </c>
      <c r="F11" s="90">
        <v>4389</v>
      </c>
      <c r="G11" s="90">
        <v>4399</v>
      </c>
      <c r="H11" s="90">
        <v>4407</v>
      </c>
      <c r="I11" s="90">
        <v>4415</v>
      </c>
      <c r="J11" s="90">
        <v>4421</v>
      </c>
      <c r="K11" s="91"/>
    </row>
    <row r="12" spans="1:14" x14ac:dyDescent="0.25">
      <c r="A12" s="89">
        <v>20164</v>
      </c>
      <c r="B12" s="90">
        <v>3388</v>
      </c>
      <c r="C12" s="90">
        <v>4376</v>
      </c>
      <c r="D12" s="90">
        <v>4454</v>
      </c>
      <c r="E12" s="90">
        <v>4507</v>
      </c>
      <c r="F12" s="90">
        <v>4534</v>
      </c>
      <c r="G12" s="90">
        <v>4556</v>
      </c>
      <c r="H12" s="90">
        <v>4566</v>
      </c>
      <c r="I12" s="90">
        <v>4574</v>
      </c>
      <c r="J12" s="91"/>
      <c r="K12" s="91"/>
    </row>
    <row r="13" spans="1:14" x14ac:dyDescent="0.25">
      <c r="A13" s="89">
        <v>20174</v>
      </c>
      <c r="B13" s="90">
        <v>3223</v>
      </c>
      <c r="C13" s="90">
        <v>3903</v>
      </c>
      <c r="D13" s="90">
        <v>3984</v>
      </c>
      <c r="E13" s="90">
        <v>4025</v>
      </c>
      <c r="F13" s="90">
        <v>4044</v>
      </c>
      <c r="G13" s="90">
        <v>4070</v>
      </c>
      <c r="H13" s="90">
        <v>4073</v>
      </c>
      <c r="I13" s="91"/>
      <c r="J13" s="91"/>
      <c r="K13" s="91"/>
    </row>
    <row r="14" spans="1:14" x14ac:dyDescent="0.25">
      <c r="A14" s="89">
        <v>20184</v>
      </c>
      <c r="B14" s="90">
        <v>2678</v>
      </c>
      <c r="C14" s="90">
        <v>3388</v>
      </c>
      <c r="D14" s="90">
        <v>3444</v>
      </c>
      <c r="E14" s="90">
        <v>3501</v>
      </c>
      <c r="F14" s="90">
        <v>3518</v>
      </c>
      <c r="G14" s="90">
        <v>3534</v>
      </c>
      <c r="H14" s="91"/>
      <c r="I14" s="91"/>
      <c r="J14" s="91"/>
      <c r="K14" s="91"/>
    </row>
    <row r="15" spans="1:14" x14ac:dyDescent="0.25">
      <c r="A15" s="89">
        <v>20194</v>
      </c>
      <c r="B15" s="90">
        <v>2561</v>
      </c>
      <c r="C15" s="90">
        <v>3391</v>
      </c>
      <c r="D15" s="90">
        <v>3493</v>
      </c>
      <c r="E15" s="90">
        <v>3549</v>
      </c>
      <c r="F15" s="90">
        <v>3592</v>
      </c>
      <c r="G15" s="91"/>
      <c r="H15" s="91"/>
      <c r="I15" s="91"/>
      <c r="J15" s="91"/>
      <c r="K15" s="91"/>
    </row>
    <row r="16" spans="1:14" x14ac:dyDescent="0.25">
      <c r="A16" s="89">
        <v>20204</v>
      </c>
      <c r="B16" s="90">
        <v>2230</v>
      </c>
      <c r="C16" s="90">
        <v>2910</v>
      </c>
      <c r="D16" s="90">
        <v>3000</v>
      </c>
      <c r="E16" s="90">
        <v>3039</v>
      </c>
      <c r="F16" s="91"/>
      <c r="G16" s="91"/>
      <c r="H16" s="91"/>
      <c r="I16" s="91"/>
      <c r="J16" s="91"/>
      <c r="K16" s="91"/>
    </row>
    <row r="17" spans="1:18" x14ac:dyDescent="0.25">
      <c r="A17" s="89">
        <v>20214</v>
      </c>
      <c r="B17" s="90">
        <v>1964</v>
      </c>
      <c r="C17" s="90">
        <v>2715</v>
      </c>
      <c r="D17" s="90">
        <v>2807</v>
      </c>
      <c r="E17" s="91"/>
      <c r="F17" s="91"/>
      <c r="G17" s="91"/>
      <c r="H17" s="91"/>
      <c r="I17" s="91"/>
      <c r="J17" s="91"/>
      <c r="K17" s="91"/>
    </row>
    <row r="18" spans="1:18" x14ac:dyDescent="0.25">
      <c r="A18" s="89">
        <v>20224</v>
      </c>
      <c r="B18" s="90">
        <v>1801</v>
      </c>
      <c r="C18" s="90">
        <v>2597</v>
      </c>
      <c r="D18" s="91"/>
      <c r="E18" s="91"/>
      <c r="F18" s="91"/>
      <c r="G18" s="91"/>
      <c r="H18" s="91"/>
      <c r="I18" s="91"/>
      <c r="J18" s="91"/>
      <c r="K18" s="91"/>
    </row>
    <row r="19" spans="1:18" x14ac:dyDescent="0.25">
      <c r="A19" s="89">
        <v>20234</v>
      </c>
      <c r="B19" s="90">
        <v>1712</v>
      </c>
      <c r="C19" s="91"/>
      <c r="D19" s="91"/>
      <c r="E19" s="91"/>
      <c r="F19" s="91"/>
      <c r="G19" s="91"/>
      <c r="H19" s="91"/>
      <c r="I19" s="91"/>
      <c r="J19" s="91"/>
      <c r="K19" s="91"/>
    </row>
    <row r="21" spans="1:18" ht="15.75" thickBot="1" x14ac:dyDescent="0.3"/>
    <row r="22" spans="1:18" ht="45.75" thickBot="1" x14ac:dyDescent="0.3">
      <c r="A22" s="68" t="s">
        <v>47</v>
      </c>
      <c r="B22" s="92" t="s">
        <v>81</v>
      </c>
      <c r="D22" s="95" t="s">
        <v>82</v>
      </c>
      <c r="E22" s="95" t="s">
        <v>83</v>
      </c>
      <c r="F22" s="95" t="s">
        <v>84</v>
      </c>
    </row>
    <row r="23" spans="1:18" x14ac:dyDescent="0.25">
      <c r="A23" s="89">
        <v>20172</v>
      </c>
      <c r="B23" s="93">
        <v>1274</v>
      </c>
      <c r="D23" s="96" t="str">
        <f>Q23&amp;" - "&amp;R23</f>
        <v>20181 - 20184</v>
      </c>
      <c r="E23" s="97">
        <f>SUM(B14,C13,D12,E11,F10)-SUM(B13,C12,D11,E10)</f>
        <v>3503</v>
      </c>
      <c r="F23" s="97">
        <f>SUM(B26:B29)</f>
        <v>3522</v>
      </c>
      <c r="Q23">
        <f>A26</f>
        <v>20181</v>
      </c>
      <c r="R23">
        <f>A29</f>
        <v>20184</v>
      </c>
    </row>
    <row r="24" spans="1:18" x14ac:dyDescent="0.25">
      <c r="A24" s="89">
        <v>20173</v>
      </c>
      <c r="B24" s="94">
        <v>922</v>
      </c>
      <c r="D24" s="96" t="str">
        <f t="shared" ref="D24:D28" si="0">Q24&amp;" - "&amp;R24</f>
        <v>20191 - 20194</v>
      </c>
      <c r="E24" s="97">
        <f>SUM(B15,C14,D13,E12,F11,G10)-SUM(B14,C13,D12,E11,F10)</f>
        <v>3443</v>
      </c>
      <c r="F24" s="97">
        <f>SUM(B30:B33)</f>
        <v>3456</v>
      </c>
      <c r="Q24">
        <f>A30</f>
        <v>20191</v>
      </c>
      <c r="R24">
        <f>A33</f>
        <v>20194</v>
      </c>
    </row>
    <row r="25" spans="1:18" x14ac:dyDescent="0.25">
      <c r="A25" s="89">
        <v>20174</v>
      </c>
      <c r="B25" s="94">
        <v>855</v>
      </c>
      <c r="D25" s="96" t="str">
        <f t="shared" si="0"/>
        <v>20201 - 20204</v>
      </c>
      <c r="E25" s="97">
        <f>SUM(B16,C15,D14,E13,F12,G11,H10)-SUM(,B15,C14,D13,E12,F11,G10)</f>
        <v>3199</v>
      </c>
      <c r="F25" s="97">
        <f>SUM(B34:B37)</f>
        <v>3205</v>
      </c>
      <c r="Q25">
        <f>A34</f>
        <v>20201</v>
      </c>
      <c r="R25">
        <f>A37</f>
        <v>20204</v>
      </c>
    </row>
    <row r="26" spans="1:18" x14ac:dyDescent="0.25">
      <c r="A26" s="89">
        <v>20181</v>
      </c>
      <c r="B26" s="94">
        <v>885</v>
      </c>
      <c r="D26" s="96" t="str">
        <f t="shared" si="0"/>
        <v>20211 - 20214</v>
      </c>
      <c r="E26" s="97">
        <f>SUM(B17,C16,D15,E14,F13,G12,H11,I10)-SUM(B16,C15,D14,E13,F12,G11,H10)</f>
        <v>2856</v>
      </c>
      <c r="F26" s="97">
        <f>SUM(B38:B41)</f>
        <v>2867</v>
      </c>
      <c r="Q26">
        <f>A38</f>
        <v>20211</v>
      </c>
      <c r="R26">
        <f>A41</f>
        <v>20214</v>
      </c>
    </row>
    <row r="27" spans="1:18" x14ac:dyDescent="0.25">
      <c r="A27" s="89">
        <v>20182</v>
      </c>
      <c r="B27" s="94">
        <v>933</v>
      </c>
      <c r="D27" s="96" t="str">
        <f t="shared" si="0"/>
        <v>20221 - 20224</v>
      </c>
      <c r="E27" s="97">
        <f>SUM(B18,C17,D16,E15,F14,G13,H12,I11,J10)-SUM(B17,C16,D15,E14,F13,G12,H11,I10)</f>
        <v>2765</v>
      </c>
      <c r="F27" s="97">
        <f>SUM(B42:B45)</f>
        <v>2775</v>
      </c>
      <c r="Q27">
        <f>A42</f>
        <v>20221</v>
      </c>
      <c r="R27">
        <f>A45</f>
        <v>20224</v>
      </c>
    </row>
    <row r="28" spans="1:18" x14ac:dyDescent="0.25">
      <c r="A28" s="89">
        <v>20183</v>
      </c>
      <c r="B28" s="94">
        <v>832</v>
      </c>
      <c r="D28" s="96" t="str">
        <f t="shared" si="0"/>
        <v>20231 - 20234</v>
      </c>
      <c r="E28" s="97">
        <f>SUM(B19,C18,D17,E16,F15,G14,H13,I12,J11,K10)-SUM(B18,C17,D16,E15,F14,G13,H12,I11,J10)</f>
        <v>2720</v>
      </c>
      <c r="F28" s="97">
        <f>SUM(B46:B49)</f>
        <v>2723</v>
      </c>
      <c r="Q28">
        <f>A46</f>
        <v>20231</v>
      </c>
      <c r="R28">
        <f>A49</f>
        <v>20234</v>
      </c>
    </row>
    <row r="29" spans="1:18" x14ac:dyDescent="0.25">
      <c r="A29" s="89">
        <v>20184</v>
      </c>
      <c r="B29" s="94">
        <v>872</v>
      </c>
    </row>
    <row r="30" spans="1:18" x14ac:dyDescent="0.25">
      <c r="A30" s="89">
        <v>20191</v>
      </c>
      <c r="B30" s="94">
        <v>910</v>
      </c>
    </row>
    <row r="31" spans="1:18" x14ac:dyDescent="0.25">
      <c r="A31" s="89">
        <v>20192</v>
      </c>
      <c r="B31" s="94">
        <v>965</v>
      </c>
    </row>
    <row r="32" spans="1:18" x14ac:dyDescent="0.25">
      <c r="A32" s="89">
        <v>20193</v>
      </c>
      <c r="B32" s="94">
        <v>820</v>
      </c>
    </row>
    <row r="33" spans="1:2" x14ac:dyDescent="0.25">
      <c r="A33" s="89">
        <v>20194</v>
      </c>
      <c r="B33" s="94">
        <v>761</v>
      </c>
    </row>
    <row r="34" spans="1:2" x14ac:dyDescent="0.25">
      <c r="A34" s="89">
        <v>20201</v>
      </c>
      <c r="B34" s="94">
        <v>948</v>
      </c>
    </row>
    <row r="35" spans="1:2" x14ac:dyDescent="0.25">
      <c r="A35" s="89">
        <v>20202</v>
      </c>
      <c r="B35" s="94">
        <v>785</v>
      </c>
    </row>
    <row r="36" spans="1:2" x14ac:dyDescent="0.25">
      <c r="A36" s="89">
        <v>20203</v>
      </c>
      <c r="B36" s="94">
        <v>748</v>
      </c>
    </row>
    <row r="37" spans="1:2" x14ac:dyDescent="0.25">
      <c r="A37" s="89">
        <v>20204</v>
      </c>
      <c r="B37" s="94">
        <v>724</v>
      </c>
    </row>
    <row r="38" spans="1:2" x14ac:dyDescent="0.25">
      <c r="A38" s="89">
        <v>20211</v>
      </c>
      <c r="B38" s="94">
        <v>807</v>
      </c>
    </row>
    <row r="39" spans="1:2" x14ac:dyDescent="0.25">
      <c r="A39" s="89">
        <v>20212</v>
      </c>
      <c r="B39" s="94">
        <v>634</v>
      </c>
    </row>
    <row r="40" spans="1:2" x14ac:dyDescent="0.25">
      <c r="A40" s="89">
        <v>20213</v>
      </c>
      <c r="B40" s="94">
        <v>703</v>
      </c>
    </row>
    <row r="41" spans="1:2" x14ac:dyDescent="0.25">
      <c r="A41" s="89">
        <v>20214</v>
      </c>
      <c r="B41" s="94">
        <v>723</v>
      </c>
    </row>
    <row r="42" spans="1:2" x14ac:dyDescent="0.25">
      <c r="A42" s="89">
        <v>20221</v>
      </c>
      <c r="B42" s="94">
        <v>773</v>
      </c>
    </row>
    <row r="43" spans="1:2" x14ac:dyDescent="0.25">
      <c r="A43" s="89">
        <v>20222</v>
      </c>
      <c r="B43" s="94">
        <v>640</v>
      </c>
    </row>
    <row r="44" spans="1:2" x14ac:dyDescent="0.25">
      <c r="A44" s="89">
        <v>20223</v>
      </c>
      <c r="B44" s="94">
        <v>669</v>
      </c>
    </row>
    <row r="45" spans="1:2" x14ac:dyDescent="0.25">
      <c r="A45" s="89">
        <v>20224</v>
      </c>
      <c r="B45" s="94">
        <v>693</v>
      </c>
    </row>
    <row r="46" spans="1:2" x14ac:dyDescent="0.25">
      <c r="A46" s="89">
        <v>20231</v>
      </c>
      <c r="B46" s="94">
        <v>787</v>
      </c>
    </row>
    <row r="47" spans="1:2" x14ac:dyDescent="0.25">
      <c r="A47" s="89">
        <v>20232</v>
      </c>
      <c r="B47" s="94">
        <v>744</v>
      </c>
    </row>
    <row r="48" spans="1:2" x14ac:dyDescent="0.25">
      <c r="A48" s="89">
        <v>20233</v>
      </c>
      <c r="B48" s="94">
        <v>628</v>
      </c>
    </row>
    <row r="49" spans="1:2" x14ac:dyDescent="0.25">
      <c r="A49" s="89">
        <v>20234</v>
      </c>
      <c r="B49" s="94">
        <v>564</v>
      </c>
    </row>
  </sheetData>
  <mergeCells count="6">
    <mergeCell ref="A7:K7"/>
    <mergeCell ref="A8:K8"/>
    <mergeCell ref="A1:K1"/>
    <mergeCell ref="A2:K2"/>
    <mergeCell ref="A3:K3"/>
    <mergeCell ref="A4:K4"/>
  </mergeCells>
  <printOptions horizontalCentered="1"/>
  <pageMargins left="0.2" right="0.2" top="0.75" bottom="0.75" header="0.3" footer="0.3"/>
  <pageSetup scale="85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EC1F1-B5FA-438C-9F91-443CACB852F5}">
  <dimension ref="A1:G23"/>
  <sheetViews>
    <sheetView zoomScaleNormal="100" workbookViewId="0">
      <selection activeCell="A38" sqref="A38"/>
    </sheetView>
  </sheetViews>
  <sheetFormatPr defaultRowHeight="15" x14ac:dyDescent="0.25"/>
  <cols>
    <col min="1" max="1" width="56.85546875" customWidth="1"/>
  </cols>
  <sheetData>
    <row r="1" spans="1:7" x14ac:dyDescent="0.25">
      <c r="A1" s="219" t="s">
        <v>92</v>
      </c>
      <c r="B1" s="219"/>
      <c r="C1" s="219"/>
      <c r="D1" s="219"/>
      <c r="E1" s="219"/>
      <c r="F1" s="219"/>
      <c r="G1" s="219"/>
    </row>
    <row r="2" spans="1:7" x14ac:dyDescent="0.25">
      <c r="A2" s="219" t="s">
        <v>0</v>
      </c>
      <c r="B2" s="219"/>
      <c r="C2" s="219"/>
      <c r="D2" s="219"/>
      <c r="E2" s="219"/>
      <c r="F2" s="219"/>
      <c r="G2" s="219"/>
    </row>
    <row r="3" spans="1:7" x14ac:dyDescent="0.25">
      <c r="A3" s="219" t="s">
        <v>196</v>
      </c>
      <c r="B3" s="219"/>
      <c r="C3" s="219"/>
      <c r="D3" s="219"/>
      <c r="E3" s="219"/>
      <c r="F3" s="219"/>
      <c r="G3" s="219"/>
    </row>
    <row r="6" spans="1:7" x14ac:dyDescent="0.25">
      <c r="A6" s="220" t="s">
        <v>197</v>
      </c>
      <c r="B6" s="220"/>
      <c r="C6" s="220"/>
      <c r="D6" s="220"/>
      <c r="E6" s="220"/>
      <c r="F6" s="220"/>
      <c r="G6" s="220"/>
    </row>
    <row r="7" spans="1:7" ht="15.75" thickBot="1" x14ac:dyDescent="0.3"/>
    <row r="8" spans="1:7" ht="15.75" thickBot="1" x14ac:dyDescent="0.3">
      <c r="A8" s="229" t="s">
        <v>202</v>
      </c>
      <c r="B8" s="230"/>
      <c r="C8" s="230"/>
      <c r="D8" s="230"/>
      <c r="E8" s="230"/>
      <c r="F8" s="230"/>
      <c r="G8" s="231"/>
    </row>
    <row r="9" spans="1:7" ht="15.75" thickBot="1" x14ac:dyDescent="0.3">
      <c r="A9" s="157"/>
      <c r="B9" s="158">
        <v>2023</v>
      </c>
      <c r="C9" s="158">
        <v>2024</v>
      </c>
      <c r="D9" s="158">
        <v>2025</v>
      </c>
      <c r="E9" s="158">
        <v>2026</v>
      </c>
      <c r="F9" s="158">
        <v>2027</v>
      </c>
      <c r="G9" s="158">
        <v>2028</v>
      </c>
    </row>
    <row r="10" spans="1:7" ht="15.75" thickBot="1" x14ac:dyDescent="0.3">
      <c r="A10" s="157" t="s">
        <v>198</v>
      </c>
      <c r="B10" s="159">
        <v>117</v>
      </c>
      <c r="C10" s="159">
        <v>126</v>
      </c>
      <c r="D10" s="159">
        <v>112</v>
      </c>
      <c r="E10" s="159">
        <v>103</v>
      </c>
      <c r="F10" s="159">
        <v>104</v>
      </c>
      <c r="G10" s="159">
        <v>105</v>
      </c>
    </row>
    <row r="11" spans="1:7" ht="15.75" thickBot="1" x14ac:dyDescent="0.3">
      <c r="A11" s="157" t="s">
        <v>199</v>
      </c>
      <c r="B11" s="159">
        <v>-40</v>
      </c>
      <c r="C11" s="159">
        <v>-38</v>
      </c>
      <c r="D11" s="159">
        <v>-11</v>
      </c>
      <c r="E11" s="159">
        <v>-11</v>
      </c>
      <c r="F11" s="159">
        <v>-14</v>
      </c>
      <c r="G11" s="159">
        <v>-17</v>
      </c>
    </row>
    <row r="12" spans="1:7" ht="15.75" thickBot="1" x14ac:dyDescent="0.3">
      <c r="A12" s="157" t="s">
        <v>200</v>
      </c>
      <c r="B12" s="159">
        <v>-40</v>
      </c>
      <c r="C12" s="159">
        <v>-38</v>
      </c>
      <c r="D12" s="159">
        <v>-11</v>
      </c>
      <c r="E12" s="159">
        <v>-11</v>
      </c>
      <c r="F12" s="159">
        <v>-14</v>
      </c>
      <c r="G12" s="159">
        <v>-17</v>
      </c>
    </row>
    <row r="13" spans="1:7" ht="15.75" thickBot="1" x14ac:dyDescent="0.3">
      <c r="A13" s="157" t="s">
        <v>201</v>
      </c>
      <c r="B13" s="232" t="s">
        <v>203</v>
      </c>
      <c r="C13" s="233"/>
      <c r="D13" s="233"/>
      <c r="E13" s="233"/>
      <c r="F13" s="233"/>
      <c r="G13" s="234"/>
    </row>
    <row r="16" spans="1:7" x14ac:dyDescent="0.25">
      <c r="A16" s="228" t="s">
        <v>204</v>
      </c>
      <c r="B16" s="228"/>
      <c r="C16" s="228"/>
      <c r="D16" s="228"/>
      <c r="E16" s="228"/>
      <c r="F16" s="228"/>
      <c r="G16" s="228"/>
    </row>
    <row r="17" spans="1:7" ht="15.75" thickBot="1" x14ac:dyDescent="0.3"/>
    <row r="18" spans="1:7" ht="15.75" thickBot="1" x14ac:dyDescent="0.3">
      <c r="A18" s="222" t="s">
        <v>205</v>
      </c>
      <c r="B18" s="223"/>
      <c r="C18" s="223"/>
      <c r="D18" s="223"/>
      <c r="E18" s="223"/>
      <c r="F18" s="223"/>
      <c r="G18" s="224"/>
    </row>
    <row r="19" spans="1:7" ht="15.75" thickBot="1" x14ac:dyDescent="0.3">
      <c r="A19" s="154"/>
      <c r="B19" s="155">
        <v>2023</v>
      </c>
      <c r="C19" s="155">
        <v>2024</v>
      </c>
      <c r="D19" s="155">
        <v>2025</v>
      </c>
      <c r="E19" s="155">
        <v>2026</v>
      </c>
      <c r="F19" s="155">
        <v>2027</v>
      </c>
      <c r="G19" s="155">
        <v>2028</v>
      </c>
    </row>
    <row r="20" spans="1:7" ht="15.75" thickBot="1" x14ac:dyDescent="0.3">
      <c r="A20" s="154" t="s">
        <v>198</v>
      </c>
      <c r="B20" s="156">
        <v>117</v>
      </c>
      <c r="C20" s="156">
        <v>126</v>
      </c>
      <c r="D20" s="156">
        <v>103</v>
      </c>
      <c r="E20" s="156">
        <v>86</v>
      </c>
      <c r="F20" s="156">
        <v>82</v>
      </c>
      <c r="G20" s="156">
        <v>82</v>
      </c>
    </row>
    <row r="21" spans="1:7" ht="15.75" thickBot="1" x14ac:dyDescent="0.3">
      <c r="A21" s="154" t="s">
        <v>199</v>
      </c>
      <c r="B21" s="156">
        <v>-40</v>
      </c>
      <c r="C21" s="156">
        <v>-38</v>
      </c>
      <c r="D21" s="156">
        <v>20</v>
      </c>
      <c r="E21" s="156">
        <v>64</v>
      </c>
      <c r="F21" s="156">
        <v>37</v>
      </c>
      <c r="G21" s="156">
        <v>26</v>
      </c>
    </row>
    <row r="22" spans="1:7" ht="15.75" thickBot="1" x14ac:dyDescent="0.3">
      <c r="A22" s="154" t="s">
        <v>200</v>
      </c>
      <c r="B22" s="156">
        <v>-40</v>
      </c>
      <c r="C22" s="156">
        <v>-38</v>
      </c>
      <c r="D22" s="156">
        <v>20</v>
      </c>
      <c r="E22" s="156">
        <v>64</v>
      </c>
      <c r="F22" s="156">
        <v>37</v>
      </c>
      <c r="G22" s="156">
        <v>26</v>
      </c>
    </row>
    <row r="23" spans="1:7" ht="15.75" thickBot="1" x14ac:dyDescent="0.3">
      <c r="A23" s="154" t="s">
        <v>201</v>
      </c>
      <c r="B23" s="225" t="s">
        <v>203</v>
      </c>
      <c r="C23" s="226"/>
      <c r="D23" s="226"/>
      <c r="E23" s="226"/>
      <c r="F23" s="226"/>
      <c r="G23" s="227"/>
    </row>
  </sheetData>
  <mergeCells count="9">
    <mergeCell ref="A18:G18"/>
    <mergeCell ref="B23:G23"/>
    <mergeCell ref="A1:G1"/>
    <mergeCell ref="A2:G2"/>
    <mergeCell ref="A3:G3"/>
    <mergeCell ref="A6:G6"/>
    <mergeCell ref="A16:G16"/>
    <mergeCell ref="A8:G8"/>
    <mergeCell ref="B13:G13"/>
  </mergeCells>
  <printOptions horizontalCentered="1"/>
  <pageMargins left="0.7" right="0.7" top="0.75" bottom="0.75" header="0.3" footer="0.3"/>
  <pageSetup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C92A9-7554-4AAD-8562-5B3510538B2B}">
  <dimension ref="A1:F17"/>
  <sheetViews>
    <sheetView zoomScaleNormal="100" workbookViewId="0">
      <selection activeCell="A38" sqref="A38"/>
    </sheetView>
  </sheetViews>
  <sheetFormatPr defaultRowHeight="15" x14ac:dyDescent="0.25"/>
  <cols>
    <col min="1" max="1" width="30.7109375" bestFit="1" customWidth="1"/>
    <col min="2" max="6" width="12.85546875" customWidth="1"/>
  </cols>
  <sheetData>
    <row r="1" spans="1:6" x14ac:dyDescent="0.25">
      <c r="A1" s="219" t="s">
        <v>97</v>
      </c>
      <c r="B1" s="219"/>
      <c r="C1" s="219"/>
      <c r="D1" s="219"/>
      <c r="E1" s="219"/>
      <c r="F1" s="219"/>
    </row>
    <row r="2" spans="1:6" x14ac:dyDescent="0.25">
      <c r="A2" s="219" t="s">
        <v>93</v>
      </c>
      <c r="B2" s="219"/>
      <c r="C2" s="219"/>
      <c r="D2" s="219"/>
      <c r="E2" s="219"/>
      <c r="F2" s="219"/>
    </row>
    <row r="3" spans="1:6" x14ac:dyDescent="0.25">
      <c r="A3" s="219" t="s">
        <v>94</v>
      </c>
      <c r="B3" s="219"/>
      <c r="C3" s="219"/>
      <c r="D3" s="219"/>
      <c r="E3" s="219"/>
      <c r="F3" s="219"/>
    </row>
    <row r="6" spans="1:6" x14ac:dyDescent="0.25">
      <c r="A6" s="77"/>
      <c r="B6" s="160">
        <v>2024</v>
      </c>
      <c r="C6" s="160">
        <v>2025</v>
      </c>
      <c r="D6" s="160">
        <v>2026</v>
      </c>
      <c r="E6" s="160">
        <v>2027</v>
      </c>
      <c r="F6" s="160">
        <v>2028</v>
      </c>
    </row>
    <row r="7" spans="1:6" x14ac:dyDescent="0.25">
      <c r="A7" s="98" t="s">
        <v>85</v>
      </c>
      <c r="B7" s="99">
        <v>657897750</v>
      </c>
      <c r="C7" s="99">
        <v>587424250</v>
      </c>
      <c r="D7" s="99">
        <v>504875000</v>
      </c>
      <c r="E7" s="99">
        <v>484250000</v>
      </c>
      <c r="F7" s="99">
        <v>482250000</v>
      </c>
    </row>
    <row r="8" spans="1:6" x14ac:dyDescent="0.25">
      <c r="A8" s="98" t="s">
        <v>86</v>
      </c>
      <c r="B8" s="99">
        <v>144700000</v>
      </c>
      <c r="C8" s="99">
        <v>138900000</v>
      </c>
      <c r="D8" s="99">
        <v>130750000</v>
      </c>
      <c r="E8" s="99">
        <v>128250000</v>
      </c>
      <c r="F8" s="99">
        <v>128000000</v>
      </c>
    </row>
    <row r="9" spans="1:6" x14ac:dyDescent="0.25">
      <c r="A9" s="98" t="s">
        <v>87</v>
      </c>
      <c r="B9" s="99">
        <v>35150000</v>
      </c>
      <c r="C9" s="99">
        <v>42185211</v>
      </c>
      <c r="D9" s="99">
        <v>41733906</v>
      </c>
      <c r="E9" s="99">
        <v>41528417</v>
      </c>
      <c r="F9" s="99">
        <v>41404603</v>
      </c>
    </row>
    <row r="10" spans="1:6" x14ac:dyDescent="0.25">
      <c r="A10" s="98" t="s">
        <v>88</v>
      </c>
      <c r="B10" s="99">
        <v>1091296</v>
      </c>
      <c r="C10" s="99">
        <v>1134907</v>
      </c>
      <c r="D10" s="99">
        <v>1123115</v>
      </c>
      <c r="E10" s="99">
        <v>1113255</v>
      </c>
      <c r="F10" s="99">
        <v>1108578</v>
      </c>
    </row>
    <row r="11" spans="1:6" ht="15.75" thickBot="1" x14ac:dyDescent="0.3">
      <c r="A11" s="100" t="s">
        <v>89</v>
      </c>
      <c r="B11" s="101">
        <v>71652859</v>
      </c>
      <c r="C11" s="101">
        <v>75482483</v>
      </c>
      <c r="D11" s="101">
        <v>77911210</v>
      </c>
      <c r="E11" s="101">
        <v>80869635</v>
      </c>
      <c r="F11" s="101">
        <v>84224650</v>
      </c>
    </row>
    <row r="12" spans="1:6" x14ac:dyDescent="0.25">
      <c r="A12" s="98" t="s">
        <v>95</v>
      </c>
      <c r="B12" s="99">
        <f>SUM(B7:B11)</f>
        <v>910491905</v>
      </c>
      <c r="C12" s="99">
        <f>SUM(C7:C11)</f>
        <v>845126851</v>
      </c>
      <c r="D12" s="99">
        <f>SUM(D7:D11)</f>
        <v>756393231</v>
      </c>
      <c r="E12" s="99">
        <f>SUM(E7:E11)</f>
        <v>736011307</v>
      </c>
      <c r="F12" s="99">
        <f>SUM(F7:F11)</f>
        <v>736987831</v>
      </c>
    </row>
    <row r="13" spans="1:6" x14ac:dyDescent="0.25">
      <c r="A13" s="102"/>
      <c r="B13" s="102"/>
      <c r="C13" s="102"/>
      <c r="D13" s="102"/>
      <c r="E13" s="102"/>
      <c r="F13" s="102"/>
    </row>
    <row r="14" spans="1:6" x14ac:dyDescent="0.25">
      <c r="A14" s="98" t="s">
        <v>90</v>
      </c>
      <c r="B14" s="102"/>
      <c r="C14" s="102"/>
      <c r="D14" s="102"/>
      <c r="E14" s="102"/>
      <c r="F14" s="102"/>
    </row>
    <row r="15" spans="1:6" x14ac:dyDescent="0.25">
      <c r="A15" t="s">
        <v>91</v>
      </c>
    </row>
    <row r="17" spans="1:1" x14ac:dyDescent="0.25">
      <c r="A17" t="s">
        <v>96</v>
      </c>
    </row>
  </sheetData>
  <mergeCells count="3">
    <mergeCell ref="A1:F1"/>
    <mergeCell ref="A2:F2"/>
    <mergeCell ref="A3:F3"/>
  </mergeCells>
  <printOptions horizontalCentered="1"/>
  <pageMargins left="0.2" right="0.2" top="0.75" bottom="0.75" header="0.3" footer="0.3"/>
  <pageSetup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253C-4FB8-4C02-9897-290F09CB188A}">
  <sheetPr>
    <pageSetUpPr fitToPage="1"/>
  </sheetPr>
  <dimension ref="A1:H53"/>
  <sheetViews>
    <sheetView zoomScaleNormal="100" workbookViewId="0">
      <selection activeCell="A38" sqref="A38"/>
    </sheetView>
  </sheetViews>
  <sheetFormatPr defaultRowHeight="15" x14ac:dyDescent="0.25"/>
  <cols>
    <col min="1" max="1" width="13" customWidth="1"/>
    <col min="2" max="2" width="13.7109375" customWidth="1"/>
    <col min="3" max="3" width="11" customWidth="1"/>
    <col min="4" max="4" width="14.7109375" customWidth="1"/>
    <col min="5" max="5" width="18.7109375" customWidth="1"/>
    <col min="6" max="6" width="16.5703125" customWidth="1"/>
    <col min="7" max="7" width="16.85546875" customWidth="1"/>
    <col min="8" max="8" width="15" customWidth="1"/>
  </cols>
  <sheetData>
    <row r="1" spans="1:8" x14ac:dyDescent="0.25">
      <c r="A1" s="219" t="s">
        <v>220</v>
      </c>
      <c r="B1" s="219"/>
      <c r="C1" s="219"/>
      <c r="D1" s="219"/>
      <c r="E1" s="219"/>
      <c r="F1" s="219"/>
      <c r="G1" s="219"/>
      <c r="H1" s="219"/>
    </row>
    <row r="2" spans="1:8" x14ac:dyDescent="0.25">
      <c r="A2" s="219" t="s">
        <v>0</v>
      </c>
      <c r="B2" s="219"/>
      <c r="C2" s="219"/>
      <c r="D2" s="219"/>
      <c r="E2" s="219"/>
      <c r="F2" s="219"/>
      <c r="G2" s="219"/>
      <c r="H2" s="219"/>
    </row>
    <row r="3" spans="1:8" x14ac:dyDescent="0.25">
      <c r="A3" s="219" t="s">
        <v>194</v>
      </c>
      <c r="B3" s="219"/>
      <c r="C3" s="219"/>
      <c r="D3" s="219"/>
      <c r="E3" s="219"/>
      <c r="F3" s="219"/>
      <c r="G3" s="219"/>
      <c r="H3" s="219"/>
    </row>
    <row r="5" spans="1:8" x14ac:dyDescent="0.25">
      <c r="A5" s="235" t="s">
        <v>107</v>
      </c>
      <c r="B5" s="236"/>
      <c r="C5" s="236"/>
      <c r="D5" s="236"/>
      <c r="E5" s="236"/>
      <c r="F5" s="236"/>
      <c r="G5" s="236"/>
      <c r="H5" s="237"/>
    </row>
    <row r="6" spans="1:8" ht="16.5" customHeight="1" x14ac:dyDescent="0.25">
      <c r="A6" s="123" t="s">
        <v>108</v>
      </c>
      <c r="B6" s="124" t="s">
        <v>109</v>
      </c>
      <c r="C6" s="124" t="s">
        <v>110</v>
      </c>
      <c r="D6" s="124" t="s">
        <v>111</v>
      </c>
      <c r="E6" s="124" t="s">
        <v>225</v>
      </c>
      <c r="F6" s="124" t="s">
        <v>112</v>
      </c>
      <c r="G6" s="124" t="s">
        <v>113</v>
      </c>
      <c r="H6" s="80" t="s">
        <v>114</v>
      </c>
    </row>
    <row r="7" spans="1:8" x14ac:dyDescent="0.25">
      <c r="A7" s="125">
        <v>41505</v>
      </c>
      <c r="B7" s="126">
        <v>41697</v>
      </c>
      <c r="C7" s="127" t="s">
        <v>115</v>
      </c>
      <c r="D7" s="126">
        <v>41774</v>
      </c>
      <c r="E7" s="127" t="s">
        <v>116</v>
      </c>
      <c r="F7" s="128" t="s">
        <v>117</v>
      </c>
      <c r="G7" s="128" t="s">
        <v>117</v>
      </c>
      <c r="H7" s="129" t="s">
        <v>118</v>
      </c>
    </row>
    <row r="8" spans="1:8" x14ac:dyDescent="0.25">
      <c r="A8" s="130">
        <v>41977</v>
      </c>
      <c r="B8" s="131">
        <v>42712</v>
      </c>
      <c r="C8" s="7" t="s">
        <v>119</v>
      </c>
      <c r="D8" s="131">
        <v>42712</v>
      </c>
      <c r="E8" s="132" t="s">
        <v>120</v>
      </c>
      <c r="F8" s="133" t="s">
        <v>121</v>
      </c>
      <c r="G8" s="133" t="s">
        <v>117</v>
      </c>
      <c r="H8" s="134" t="s">
        <v>122</v>
      </c>
    </row>
    <row r="9" spans="1:8" x14ac:dyDescent="0.25">
      <c r="A9" s="135">
        <v>43146</v>
      </c>
      <c r="B9" s="136">
        <v>43227</v>
      </c>
      <c r="C9" s="137" t="s">
        <v>123</v>
      </c>
      <c r="D9" s="136">
        <v>43296</v>
      </c>
      <c r="E9" s="138" t="s">
        <v>124</v>
      </c>
      <c r="F9" s="139" t="s">
        <v>125</v>
      </c>
      <c r="G9" s="139" t="s">
        <v>126</v>
      </c>
      <c r="H9" s="140" t="s">
        <v>126</v>
      </c>
    </row>
    <row r="10" spans="1:8" x14ac:dyDescent="0.25">
      <c r="A10" s="130">
        <v>43343</v>
      </c>
      <c r="B10" s="131">
        <v>44034</v>
      </c>
      <c r="C10" s="7" t="s">
        <v>127</v>
      </c>
      <c r="D10" s="131">
        <v>44119</v>
      </c>
      <c r="E10" s="133" t="s">
        <v>128</v>
      </c>
      <c r="F10" s="133" t="s">
        <v>129</v>
      </c>
      <c r="G10" s="133" t="s">
        <v>126</v>
      </c>
      <c r="H10" s="134" t="s">
        <v>126</v>
      </c>
    </row>
    <row r="11" spans="1:8" x14ac:dyDescent="0.25">
      <c r="A11" s="135">
        <v>43615</v>
      </c>
      <c r="B11" s="136">
        <v>44160</v>
      </c>
      <c r="C11" s="137" t="s">
        <v>130</v>
      </c>
      <c r="D11" s="136">
        <v>44287</v>
      </c>
      <c r="E11" s="139" t="s">
        <v>131</v>
      </c>
      <c r="F11" s="139" t="s">
        <v>195</v>
      </c>
      <c r="G11" s="139" t="s">
        <v>133</v>
      </c>
      <c r="H11" s="140" t="s">
        <v>133</v>
      </c>
    </row>
    <row r="12" spans="1:8" x14ac:dyDescent="0.25">
      <c r="A12" s="130">
        <v>44315</v>
      </c>
      <c r="B12" s="131">
        <v>44512</v>
      </c>
      <c r="C12" s="7" t="s">
        <v>134</v>
      </c>
      <c r="D12" s="131">
        <v>44593</v>
      </c>
      <c r="E12" s="133" t="s">
        <v>231</v>
      </c>
      <c r="F12" s="133" t="s">
        <v>233</v>
      </c>
      <c r="G12" s="133" t="s">
        <v>235</v>
      </c>
      <c r="H12" s="134" t="s">
        <v>235</v>
      </c>
    </row>
    <row r="13" spans="1:8" x14ac:dyDescent="0.25">
      <c r="A13" s="135">
        <v>44714</v>
      </c>
      <c r="B13" s="136">
        <v>44956</v>
      </c>
      <c r="C13" s="137" t="s">
        <v>135</v>
      </c>
      <c r="D13" s="136">
        <v>45078</v>
      </c>
      <c r="E13" s="139" t="s">
        <v>232</v>
      </c>
      <c r="F13" s="139" t="s">
        <v>234</v>
      </c>
      <c r="G13" s="139" t="s">
        <v>136</v>
      </c>
      <c r="H13" s="140" t="s">
        <v>136</v>
      </c>
    </row>
    <row r="14" spans="1:8" x14ac:dyDescent="0.25">
      <c r="A14" s="141">
        <v>44985</v>
      </c>
      <c r="B14" s="142">
        <v>45282</v>
      </c>
      <c r="C14" s="24" t="s">
        <v>137</v>
      </c>
      <c r="D14" s="142">
        <v>45366</v>
      </c>
      <c r="E14" s="24" t="s">
        <v>116</v>
      </c>
      <c r="F14" s="143" t="s">
        <v>132</v>
      </c>
      <c r="G14" s="143" t="s">
        <v>138</v>
      </c>
      <c r="H14" s="144" t="s">
        <v>139</v>
      </c>
    </row>
    <row r="15" spans="1:8" x14ac:dyDescent="0.25">
      <c r="A15" t="s">
        <v>226</v>
      </c>
    </row>
    <row r="16" spans="1:8" x14ac:dyDescent="0.25">
      <c r="A16" t="s">
        <v>229</v>
      </c>
    </row>
    <row r="17" spans="1:8" x14ac:dyDescent="0.25">
      <c r="A17" t="s">
        <v>230</v>
      </c>
    </row>
    <row r="20" spans="1:8" ht="16.5" customHeight="1" x14ac:dyDescent="0.25">
      <c r="A20" s="235" t="s">
        <v>99</v>
      </c>
      <c r="B20" s="236"/>
      <c r="C20" s="236"/>
      <c r="D20" s="236"/>
      <c r="E20" s="236"/>
      <c r="F20" s="236"/>
      <c r="G20" s="236"/>
      <c r="H20" s="237"/>
    </row>
    <row r="21" spans="1:8" x14ac:dyDescent="0.25">
      <c r="A21" s="123" t="s">
        <v>108</v>
      </c>
      <c r="B21" s="124" t="s">
        <v>109</v>
      </c>
      <c r="C21" s="124" t="s">
        <v>110</v>
      </c>
      <c r="D21" s="124" t="s">
        <v>111</v>
      </c>
      <c r="E21" s="124" t="s">
        <v>225</v>
      </c>
      <c r="F21" s="124" t="s">
        <v>112</v>
      </c>
      <c r="G21" s="124" t="s">
        <v>113</v>
      </c>
      <c r="H21" s="80" t="s">
        <v>114</v>
      </c>
    </row>
    <row r="22" spans="1:8" x14ac:dyDescent="0.25">
      <c r="A22" s="145">
        <v>42522</v>
      </c>
      <c r="B22" s="126">
        <v>42674</v>
      </c>
      <c r="C22" s="127" t="s">
        <v>140</v>
      </c>
      <c r="D22" s="126">
        <v>42767</v>
      </c>
      <c r="E22" s="146">
        <v>-0.17599999999999999</v>
      </c>
      <c r="F22" s="146">
        <v>-0.26100000000000001</v>
      </c>
      <c r="G22" s="128" t="s">
        <v>141</v>
      </c>
      <c r="H22" s="147">
        <v>-0.4</v>
      </c>
    </row>
    <row r="23" spans="1:8" x14ac:dyDescent="0.25">
      <c r="A23" s="130">
        <v>43220</v>
      </c>
      <c r="B23" s="131">
        <v>43363</v>
      </c>
      <c r="C23" s="7" t="s">
        <v>142</v>
      </c>
      <c r="D23" s="131">
        <v>43449</v>
      </c>
      <c r="E23" s="133" t="s">
        <v>143</v>
      </c>
      <c r="F23" s="133" t="s">
        <v>144</v>
      </c>
      <c r="G23" s="133" t="s">
        <v>117</v>
      </c>
      <c r="H23" s="134" t="s">
        <v>117</v>
      </c>
    </row>
    <row r="24" spans="1:8" x14ac:dyDescent="0.25">
      <c r="A24" s="135">
        <v>43761</v>
      </c>
      <c r="B24" s="136">
        <v>44175</v>
      </c>
      <c r="C24" s="137" t="s">
        <v>145</v>
      </c>
      <c r="D24" s="136">
        <v>44287</v>
      </c>
      <c r="E24" s="139" t="s">
        <v>146</v>
      </c>
      <c r="F24" s="139" t="s">
        <v>147</v>
      </c>
      <c r="G24" s="139" t="s">
        <v>117</v>
      </c>
      <c r="H24" s="140" t="s">
        <v>117</v>
      </c>
    </row>
    <row r="25" spans="1:8" x14ac:dyDescent="0.25">
      <c r="A25" s="141">
        <v>44985</v>
      </c>
      <c r="B25" s="142">
        <v>45247</v>
      </c>
      <c r="C25" s="24" t="s">
        <v>148</v>
      </c>
      <c r="D25" s="142">
        <v>45323</v>
      </c>
      <c r="E25" s="24" t="s">
        <v>116</v>
      </c>
      <c r="F25" s="143" t="s">
        <v>149</v>
      </c>
      <c r="G25" s="143" t="s">
        <v>139</v>
      </c>
      <c r="H25" s="144" t="s">
        <v>150</v>
      </c>
    </row>
    <row r="26" spans="1:8" x14ac:dyDescent="0.25">
      <c r="A26" t="s">
        <v>226</v>
      </c>
    </row>
    <row r="28" spans="1:8" ht="16.5" customHeight="1" x14ac:dyDescent="0.25"/>
    <row r="29" spans="1:8" x14ac:dyDescent="0.25">
      <c r="A29" s="235" t="s">
        <v>151</v>
      </c>
      <c r="B29" s="236"/>
      <c r="C29" s="236"/>
      <c r="D29" s="236"/>
      <c r="E29" s="236"/>
      <c r="F29" s="236"/>
      <c r="G29" s="236"/>
      <c r="H29" s="237"/>
    </row>
    <row r="30" spans="1:8" x14ac:dyDescent="0.25">
      <c r="A30" s="123" t="s">
        <v>108</v>
      </c>
      <c r="B30" s="124" t="s">
        <v>109</v>
      </c>
      <c r="C30" s="124" t="s">
        <v>110</v>
      </c>
      <c r="D30" s="124" t="s">
        <v>111</v>
      </c>
      <c r="E30" s="124" t="s">
        <v>225</v>
      </c>
      <c r="F30" s="124" t="s">
        <v>112</v>
      </c>
      <c r="G30" s="124" t="s">
        <v>113</v>
      </c>
      <c r="H30" s="80" t="s">
        <v>114</v>
      </c>
    </row>
    <row r="31" spans="1:8" x14ac:dyDescent="0.25">
      <c r="A31" s="145" t="s">
        <v>152</v>
      </c>
      <c r="B31" s="126">
        <v>42593</v>
      </c>
      <c r="C31" s="127" t="s">
        <v>153</v>
      </c>
      <c r="D31" s="126">
        <v>42689</v>
      </c>
      <c r="E31" s="128" t="s">
        <v>139</v>
      </c>
      <c r="F31" s="128" t="s">
        <v>236</v>
      </c>
      <c r="G31" s="128" t="s">
        <v>154</v>
      </c>
      <c r="H31" s="129" t="s">
        <v>155</v>
      </c>
    </row>
    <row r="32" spans="1:8" x14ac:dyDescent="0.25">
      <c r="A32" s="130" t="s">
        <v>156</v>
      </c>
      <c r="B32" s="131">
        <v>42593</v>
      </c>
      <c r="C32" s="7" t="s">
        <v>157</v>
      </c>
      <c r="D32" s="131">
        <v>42689</v>
      </c>
      <c r="E32" s="133" t="s">
        <v>158</v>
      </c>
      <c r="F32" s="133" t="s">
        <v>237</v>
      </c>
      <c r="G32" s="133" t="s">
        <v>155</v>
      </c>
      <c r="H32" s="134" t="s">
        <v>159</v>
      </c>
    </row>
    <row r="33" spans="1:8" x14ac:dyDescent="0.25">
      <c r="A33" s="148" t="s">
        <v>160</v>
      </c>
      <c r="B33" s="136">
        <v>42593</v>
      </c>
      <c r="C33" s="137" t="s">
        <v>161</v>
      </c>
      <c r="D33" s="136">
        <v>42689</v>
      </c>
      <c r="E33" s="139" t="s">
        <v>162</v>
      </c>
      <c r="F33" s="139" t="s">
        <v>238</v>
      </c>
      <c r="G33" s="139" t="s">
        <v>163</v>
      </c>
      <c r="H33" s="140" t="s">
        <v>164</v>
      </c>
    </row>
    <row r="34" spans="1:8" x14ac:dyDescent="0.25">
      <c r="A34" s="130" t="s">
        <v>165</v>
      </c>
      <c r="B34" s="131">
        <v>43301</v>
      </c>
      <c r="C34" s="7" t="s">
        <v>239</v>
      </c>
      <c r="D34" s="131">
        <v>43449</v>
      </c>
      <c r="E34" s="133" t="s">
        <v>167</v>
      </c>
      <c r="F34" s="133" t="s">
        <v>240</v>
      </c>
      <c r="G34" s="133" t="s">
        <v>168</v>
      </c>
      <c r="H34" s="134" t="s">
        <v>168</v>
      </c>
    </row>
    <row r="35" spans="1:8" x14ac:dyDescent="0.25">
      <c r="A35" s="135" t="s">
        <v>169</v>
      </c>
      <c r="B35" s="136">
        <v>43301</v>
      </c>
      <c r="C35" s="137" t="s">
        <v>166</v>
      </c>
      <c r="D35" s="136">
        <v>43449</v>
      </c>
      <c r="E35" s="139" t="s">
        <v>170</v>
      </c>
      <c r="F35" s="139" t="s">
        <v>241</v>
      </c>
      <c r="G35" s="139" t="s">
        <v>168</v>
      </c>
      <c r="H35" s="140" t="s">
        <v>168</v>
      </c>
    </row>
    <row r="36" spans="1:8" x14ac:dyDescent="0.25">
      <c r="A36" s="130" t="s">
        <v>171</v>
      </c>
      <c r="B36" s="131">
        <v>43301</v>
      </c>
      <c r="C36" s="7" t="s">
        <v>172</v>
      </c>
      <c r="D36" s="131">
        <v>43449</v>
      </c>
      <c r="E36" s="133" t="s">
        <v>125</v>
      </c>
      <c r="F36" s="133" t="s">
        <v>173</v>
      </c>
      <c r="G36" s="133" t="s">
        <v>150</v>
      </c>
      <c r="H36" s="134" t="s">
        <v>150</v>
      </c>
    </row>
    <row r="37" spans="1:8" x14ac:dyDescent="0.25">
      <c r="A37" s="135">
        <v>44795</v>
      </c>
      <c r="B37" s="136">
        <v>45275</v>
      </c>
      <c r="C37" s="137" t="s">
        <v>174</v>
      </c>
      <c r="D37" s="136">
        <v>45366</v>
      </c>
      <c r="E37" s="137" t="s">
        <v>116</v>
      </c>
      <c r="F37" s="139" t="s">
        <v>242</v>
      </c>
      <c r="G37" s="139" t="s">
        <v>175</v>
      </c>
      <c r="H37" s="140" t="s">
        <v>176</v>
      </c>
    </row>
    <row r="38" spans="1:8" x14ac:dyDescent="0.25">
      <c r="A38" s="141">
        <v>45351</v>
      </c>
      <c r="B38" s="142" t="s">
        <v>215</v>
      </c>
      <c r="C38" s="24" t="s">
        <v>214</v>
      </c>
      <c r="D38" s="142" t="s">
        <v>215</v>
      </c>
      <c r="E38" s="24" t="s">
        <v>116</v>
      </c>
      <c r="F38" s="213" t="s">
        <v>216</v>
      </c>
      <c r="G38" s="143" t="s">
        <v>217</v>
      </c>
      <c r="H38" s="144" t="s">
        <v>215</v>
      </c>
    </row>
    <row r="39" spans="1:8" x14ac:dyDescent="0.25">
      <c r="A39" t="s">
        <v>226</v>
      </c>
    </row>
    <row r="40" spans="1:8" x14ac:dyDescent="0.25">
      <c r="A40" t="s">
        <v>227</v>
      </c>
    </row>
    <row r="41" spans="1:8" x14ac:dyDescent="0.25">
      <c r="A41" t="s">
        <v>228</v>
      </c>
    </row>
    <row r="42" spans="1:8" ht="16.5" customHeight="1" x14ac:dyDescent="0.25">
      <c r="A42" t="s">
        <v>177</v>
      </c>
    </row>
    <row r="43" spans="1:8" x14ac:dyDescent="0.25">
      <c r="A43" t="s">
        <v>219</v>
      </c>
    </row>
    <row r="46" spans="1:8" x14ac:dyDescent="0.25">
      <c r="A46" s="235" t="s">
        <v>178</v>
      </c>
      <c r="B46" s="236"/>
      <c r="C46" s="236"/>
      <c r="D46" s="236"/>
      <c r="E46" s="236"/>
      <c r="F46" s="236"/>
      <c r="G46" s="236"/>
      <c r="H46" s="237"/>
    </row>
    <row r="47" spans="1:8" x14ac:dyDescent="0.25">
      <c r="A47" s="123" t="s">
        <v>108</v>
      </c>
      <c r="B47" s="124" t="s">
        <v>109</v>
      </c>
      <c r="C47" s="124" t="s">
        <v>110</v>
      </c>
      <c r="D47" s="124" t="s">
        <v>111</v>
      </c>
      <c r="E47" s="124" t="s">
        <v>225</v>
      </c>
      <c r="F47" s="124" t="s">
        <v>112</v>
      </c>
      <c r="G47" s="124" t="s">
        <v>113</v>
      </c>
      <c r="H47" s="80" t="s">
        <v>114</v>
      </c>
    </row>
    <row r="48" spans="1:8" x14ac:dyDescent="0.25">
      <c r="A48" s="145">
        <v>42930</v>
      </c>
      <c r="B48" s="126">
        <v>43048</v>
      </c>
      <c r="C48" s="127" t="s">
        <v>179</v>
      </c>
      <c r="D48" s="126">
        <v>43160</v>
      </c>
      <c r="E48" s="128" t="s">
        <v>180</v>
      </c>
      <c r="F48" s="128" t="s">
        <v>181</v>
      </c>
      <c r="G48" s="128" t="s">
        <v>117</v>
      </c>
      <c r="H48" s="129" t="s">
        <v>117</v>
      </c>
    </row>
    <row r="49" spans="1:8" x14ac:dyDescent="0.25">
      <c r="A49" s="130">
        <v>43068</v>
      </c>
      <c r="B49" s="131">
        <v>43206</v>
      </c>
      <c r="C49" s="7" t="s">
        <v>182</v>
      </c>
      <c r="D49" s="131">
        <v>43296</v>
      </c>
      <c r="E49" s="133" t="s">
        <v>183</v>
      </c>
      <c r="F49" s="133" t="s">
        <v>184</v>
      </c>
      <c r="G49" s="133" t="s">
        <v>117</v>
      </c>
      <c r="H49" s="134" t="s">
        <v>117</v>
      </c>
    </row>
    <row r="50" spans="1:8" x14ac:dyDescent="0.25">
      <c r="A50" s="135">
        <v>43707</v>
      </c>
      <c r="B50" s="136">
        <v>43840</v>
      </c>
      <c r="C50" s="137" t="s">
        <v>185</v>
      </c>
      <c r="D50" s="136">
        <v>43936</v>
      </c>
      <c r="E50" s="137" t="s">
        <v>116</v>
      </c>
      <c r="F50" s="139" t="s">
        <v>186</v>
      </c>
      <c r="G50" s="139" t="s">
        <v>117</v>
      </c>
      <c r="H50" s="140" t="s">
        <v>187</v>
      </c>
    </row>
    <row r="51" spans="1:8" x14ac:dyDescent="0.25">
      <c r="A51" s="130">
        <v>44985</v>
      </c>
      <c r="B51" s="131">
        <v>45218</v>
      </c>
      <c r="C51" s="7" t="s">
        <v>188</v>
      </c>
      <c r="D51" s="131">
        <v>45323</v>
      </c>
      <c r="E51" s="7" t="s">
        <v>116</v>
      </c>
      <c r="F51" s="133" t="s">
        <v>189</v>
      </c>
      <c r="G51" s="133" t="s">
        <v>139</v>
      </c>
      <c r="H51" s="134" t="s">
        <v>190</v>
      </c>
    </row>
    <row r="52" spans="1:8" x14ac:dyDescent="0.25">
      <c r="A52" s="149">
        <v>45288</v>
      </c>
      <c r="B52" s="150">
        <v>45460</v>
      </c>
      <c r="C52" s="151" t="s">
        <v>191</v>
      </c>
      <c r="D52" s="150">
        <v>45536</v>
      </c>
      <c r="E52" s="151" t="s">
        <v>116</v>
      </c>
      <c r="F52" s="152" t="s">
        <v>192</v>
      </c>
      <c r="G52" s="152" t="s">
        <v>193</v>
      </c>
      <c r="H52" s="153" t="s">
        <v>193</v>
      </c>
    </row>
    <row r="53" spans="1:8" x14ac:dyDescent="0.25">
      <c r="A53" t="s">
        <v>226</v>
      </c>
    </row>
  </sheetData>
  <mergeCells count="7">
    <mergeCell ref="A29:H29"/>
    <mergeCell ref="A46:H46"/>
    <mergeCell ref="A1:H1"/>
    <mergeCell ref="A2:H2"/>
    <mergeCell ref="A3:H3"/>
    <mergeCell ref="A5:H5"/>
    <mergeCell ref="A20:H20"/>
  </mergeCells>
  <printOptions horizontalCentered="1"/>
  <pageMargins left="0.2" right="0.2" top="0.75" bottom="0.75" header="0.3" footer="0.3"/>
  <pageSetup scale="86" orientation="portrait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35A0-C60D-42F1-8933-ED0E34411616}">
  <sheetPr>
    <pageSetUpPr fitToPage="1"/>
  </sheetPr>
  <dimension ref="A1:V19"/>
  <sheetViews>
    <sheetView zoomScaleNormal="100" workbookViewId="0">
      <selection activeCell="A38" sqref="A38"/>
    </sheetView>
  </sheetViews>
  <sheetFormatPr defaultColWidth="9.140625" defaultRowHeight="15" x14ac:dyDescent="0.25"/>
  <cols>
    <col min="1" max="1" width="14" style="103" bestFit="1" customWidth="1"/>
    <col min="2" max="2" width="19.42578125" style="103" bestFit="1" customWidth="1"/>
    <col min="3" max="6" width="13" style="103" customWidth="1"/>
    <col min="7" max="7" width="12.42578125" style="103" customWidth="1"/>
    <col min="8" max="11" width="13" style="103" customWidth="1"/>
    <col min="12" max="12" width="12.42578125" style="103" customWidth="1"/>
    <col min="13" max="22" width="8.42578125" style="103" customWidth="1"/>
    <col min="23" max="16384" width="9.140625" style="103"/>
  </cols>
  <sheetData>
    <row r="1" spans="1:22" x14ac:dyDescent="0.25">
      <c r="A1" s="238" t="s">
        <v>102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</row>
    <row r="2" spans="1:22" x14ac:dyDescent="0.25">
      <c r="A2" s="238" t="s">
        <v>0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</row>
    <row r="3" spans="1:22" x14ac:dyDescent="0.25">
      <c r="A3" s="238" t="s">
        <v>55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22" x14ac:dyDescent="0.25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x14ac:dyDescent="0.25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x14ac:dyDescent="0.25">
      <c r="B6" s="110"/>
      <c r="C6" s="239" t="s">
        <v>57</v>
      </c>
      <c r="D6" s="240"/>
      <c r="E6" s="240"/>
      <c r="F6" s="240"/>
      <c r="G6" s="241"/>
      <c r="H6" s="247" t="s">
        <v>58</v>
      </c>
      <c r="I6" s="248"/>
      <c r="J6" s="248"/>
      <c r="K6" s="248"/>
      <c r="L6" s="249"/>
    </row>
    <row r="7" spans="1:22" s="108" customFormat="1" ht="22.5" customHeight="1" x14ac:dyDescent="0.25">
      <c r="A7" s="111"/>
      <c r="B7" s="119" t="s">
        <v>56</v>
      </c>
      <c r="C7" s="242" t="s">
        <v>101</v>
      </c>
      <c r="D7" s="243"/>
      <c r="E7" s="243"/>
      <c r="F7" s="244"/>
      <c r="G7" s="245" t="s">
        <v>55</v>
      </c>
      <c r="H7" s="242" t="s">
        <v>101</v>
      </c>
      <c r="I7" s="243"/>
      <c r="J7" s="243"/>
      <c r="K7" s="244"/>
      <c r="L7" s="245" t="s">
        <v>55</v>
      </c>
    </row>
    <row r="8" spans="1:22" s="108" customFormat="1" ht="22.5" customHeight="1" x14ac:dyDescent="0.25">
      <c r="A8" s="116" t="s">
        <v>98</v>
      </c>
      <c r="B8" s="116" t="s">
        <v>100</v>
      </c>
      <c r="C8" s="116" t="s">
        <v>59</v>
      </c>
      <c r="D8" s="117" t="s">
        <v>60</v>
      </c>
      <c r="E8" s="117" t="s">
        <v>99</v>
      </c>
      <c r="F8" s="118" t="s">
        <v>61</v>
      </c>
      <c r="G8" s="246"/>
      <c r="H8" s="116" t="s">
        <v>59</v>
      </c>
      <c r="I8" s="117" t="s">
        <v>60</v>
      </c>
      <c r="J8" s="117" t="s">
        <v>99</v>
      </c>
      <c r="K8" s="118" t="s">
        <v>61</v>
      </c>
      <c r="L8" s="246"/>
    </row>
    <row r="9" spans="1:22" x14ac:dyDescent="0.25">
      <c r="A9" s="120">
        <v>2014</v>
      </c>
      <c r="B9" s="104">
        <v>3821</v>
      </c>
      <c r="C9" s="104">
        <v>1051</v>
      </c>
      <c r="D9" s="103">
        <v>153</v>
      </c>
      <c r="E9" s="103">
        <v>239</v>
      </c>
      <c r="F9" s="106">
        <v>609</v>
      </c>
      <c r="G9" s="112">
        <f t="shared" ref="G9:G18" si="0">B9/SUM(C9:F9)</f>
        <v>1.8620857699805069</v>
      </c>
      <c r="H9" s="104">
        <v>961</v>
      </c>
      <c r="I9" s="103">
        <v>153</v>
      </c>
      <c r="J9" s="103">
        <v>222</v>
      </c>
      <c r="K9" s="106">
        <v>557</v>
      </c>
      <c r="L9" s="112">
        <f>B9/SUM(H9:K9)</f>
        <v>2.0184891706286319</v>
      </c>
    </row>
    <row r="10" spans="1:22" x14ac:dyDescent="0.25">
      <c r="A10" s="120">
        <f>A9+1</f>
        <v>2015</v>
      </c>
      <c r="B10" s="104">
        <v>3991</v>
      </c>
      <c r="C10" s="104">
        <v>1018</v>
      </c>
      <c r="D10" s="103">
        <v>164</v>
      </c>
      <c r="E10" s="103">
        <v>247</v>
      </c>
      <c r="F10" s="106">
        <v>615</v>
      </c>
      <c r="G10" s="112">
        <f t="shared" si="0"/>
        <v>1.9525440313111546</v>
      </c>
      <c r="H10" s="104">
        <v>944</v>
      </c>
      <c r="I10" s="103">
        <v>164</v>
      </c>
      <c r="J10" s="103">
        <v>232</v>
      </c>
      <c r="K10" s="106">
        <v>564</v>
      </c>
      <c r="L10" s="112">
        <f t="shared" ref="L10:L18" si="1">B10/SUM(H10:K10)</f>
        <v>2.0961134453781511</v>
      </c>
    </row>
    <row r="11" spans="1:22" x14ac:dyDescent="0.25">
      <c r="A11" s="120">
        <f t="shared" ref="A11:A18" si="2">A10+1</f>
        <v>2016</v>
      </c>
      <c r="B11" s="104">
        <v>4076</v>
      </c>
      <c r="C11" s="104">
        <v>1043</v>
      </c>
      <c r="D11" s="103">
        <v>170</v>
      </c>
      <c r="E11" s="103">
        <v>248</v>
      </c>
      <c r="F11" s="106">
        <v>618</v>
      </c>
      <c r="G11" s="112">
        <f t="shared" si="0"/>
        <v>1.9605579605579606</v>
      </c>
      <c r="H11" s="104">
        <v>964</v>
      </c>
      <c r="I11" s="103">
        <v>170</v>
      </c>
      <c r="J11" s="103">
        <v>233</v>
      </c>
      <c r="K11" s="106">
        <v>564</v>
      </c>
      <c r="L11" s="112">
        <f t="shared" si="1"/>
        <v>2.1108234075608494</v>
      </c>
    </row>
    <row r="12" spans="1:22" x14ac:dyDescent="0.25">
      <c r="A12" s="120">
        <f t="shared" si="2"/>
        <v>2017</v>
      </c>
      <c r="B12" s="104">
        <v>3187</v>
      </c>
      <c r="C12" s="104">
        <v>1016</v>
      </c>
      <c r="D12" s="103">
        <v>149</v>
      </c>
      <c r="E12" s="103">
        <v>158</v>
      </c>
      <c r="F12" s="106">
        <v>610</v>
      </c>
      <c r="G12" s="112">
        <f t="shared" si="0"/>
        <v>1.6487325400931194</v>
      </c>
      <c r="H12" s="104">
        <v>933</v>
      </c>
      <c r="I12" s="103">
        <v>149</v>
      </c>
      <c r="J12" s="103">
        <v>139</v>
      </c>
      <c r="K12" s="106">
        <v>560</v>
      </c>
      <c r="L12" s="112">
        <f t="shared" si="1"/>
        <v>1.789444132509826</v>
      </c>
    </row>
    <row r="13" spans="1:22" x14ac:dyDescent="0.25">
      <c r="A13" s="120">
        <f t="shared" si="2"/>
        <v>2018</v>
      </c>
      <c r="B13" s="104">
        <v>2463</v>
      </c>
      <c r="C13" s="104">
        <v>1108</v>
      </c>
      <c r="D13" s="103">
        <v>158</v>
      </c>
      <c r="E13" s="103">
        <v>159</v>
      </c>
      <c r="F13" s="106">
        <v>628</v>
      </c>
      <c r="G13" s="112">
        <f t="shared" si="0"/>
        <v>1.1997077447637603</v>
      </c>
      <c r="H13" s="104">
        <v>1000</v>
      </c>
      <c r="I13" s="103">
        <v>158</v>
      </c>
      <c r="J13" s="103">
        <v>143</v>
      </c>
      <c r="K13" s="106">
        <v>571</v>
      </c>
      <c r="L13" s="112">
        <f t="shared" si="1"/>
        <v>1.3157051282051282</v>
      </c>
    </row>
    <row r="14" spans="1:22" x14ac:dyDescent="0.25">
      <c r="A14" s="120">
        <f t="shared" si="2"/>
        <v>2019</v>
      </c>
      <c r="B14" s="104">
        <v>2552</v>
      </c>
      <c r="C14" s="104">
        <v>1214</v>
      </c>
      <c r="D14" s="103">
        <v>164</v>
      </c>
      <c r="E14" s="103">
        <v>178</v>
      </c>
      <c r="F14" s="106">
        <v>682</v>
      </c>
      <c r="G14" s="112">
        <f t="shared" si="0"/>
        <v>1.1403038427167114</v>
      </c>
      <c r="H14" s="104">
        <v>1075</v>
      </c>
      <c r="I14" s="103">
        <v>164</v>
      </c>
      <c r="J14" s="103">
        <v>159</v>
      </c>
      <c r="K14" s="106">
        <v>618</v>
      </c>
      <c r="L14" s="112">
        <f t="shared" si="1"/>
        <v>1.2658730158730158</v>
      </c>
    </row>
    <row r="15" spans="1:22" x14ac:dyDescent="0.25">
      <c r="A15" s="120">
        <f t="shared" si="2"/>
        <v>2020</v>
      </c>
      <c r="B15" s="104">
        <v>2145</v>
      </c>
      <c r="C15" s="104">
        <v>1355</v>
      </c>
      <c r="D15" s="103">
        <v>171</v>
      </c>
      <c r="E15" s="103">
        <v>188</v>
      </c>
      <c r="F15" s="106">
        <v>736</v>
      </c>
      <c r="G15" s="112">
        <f t="shared" si="0"/>
        <v>0.8755102040816326</v>
      </c>
      <c r="H15" s="104">
        <v>1176</v>
      </c>
      <c r="I15" s="103">
        <v>172</v>
      </c>
      <c r="J15" s="103">
        <v>163</v>
      </c>
      <c r="K15" s="106">
        <v>657</v>
      </c>
      <c r="L15" s="112">
        <f t="shared" si="1"/>
        <v>0.98939114391143912</v>
      </c>
    </row>
    <row r="16" spans="1:22" x14ac:dyDescent="0.25">
      <c r="A16" s="120">
        <f t="shared" si="2"/>
        <v>2021</v>
      </c>
      <c r="B16" s="104">
        <v>2301</v>
      </c>
      <c r="C16" s="104">
        <v>1711</v>
      </c>
      <c r="D16" s="103">
        <v>187</v>
      </c>
      <c r="E16" s="103">
        <v>213</v>
      </c>
      <c r="F16" s="106">
        <v>827</v>
      </c>
      <c r="G16" s="112">
        <f t="shared" si="0"/>
        <v>0.7831858407079646</v>
      </c>
      <c r="H16" s="104">
        <v>1415</v>
      </c>
      <c r="I16" s="103">
        <v>187</v>
      </c>
      <c r="J16" s="103">
        <v>175</v>
      </c>
      <c r="K16" s="106">
        <v>711</v>
      </c>
      <c r="L16" s="112">
        <f t="shared" si="1"/>
        <v>0.92483922829581988</v>
      </c>
    </row>
    <row r="17" spans="1:12" x14ac:dyDescent="0.25">
      <c r="A17" s="120">
        <f t="shared" si="2"/>
        <v>2022</v>
      </c>
      <c r="B17" s="104">
        <v>2238</v>
      </c>
      <c r="C17" s="104">
        <v>2064</v>
      </c>
      <c r="D17" s="103">
        <v>203</v>
      </c>
      <c r="E17" s="103">
        <v>234</v>
      </c>
      <c r="F17" s="106">
        <v>932</v>
      </c>
      <c r="G17" s="112">
        <f t="shared" si="0"/>
        <v>0.65190795222837172</v>
      </c>
      <c r="H17" s="104">
        <v>1729</v>
      </c>
      <c r="I17" s="103">
        <v>203</v>
      </c>
      <c r="J17" s="103">
        <v>191</v>
      </c>
      <c r="K17" s="106">
        <v>785</v>
      </c>
      <c r="L17" s="112">
        <f t="shared" si="1"/>
        <v>0.76960110041265473</v>
      </c>
    </row>
    <row r="18" spans="1:12" x14ac:dyDescent="0.25">
      <c r="A18" s="121">
        <f t="shared" si="2"/>
        <v>2023</v>
      </c>
      <c r="B18" s="105">
        <v>1342</v>
      </c>
      <c r="C18" s="105">
        <v>2231</v>
      </c>
      <c r="D18" s="113">
        <v>199</v>
      </c>
      <c r="E18" s="113">
        <v>237</v>
      </c>
      <c r="F18" s="115">
        <v>1038</v>
      </c>
      <c r="G18" s="114">
        <f t="shared" si="0"/>
        <v>0.36221322537112011</v>
      </c>
      <c r="H18" s="105">
        <v>1616</v>
      </c>
      <c r="I18" s="113">
        <v>200</v>
      </c>
      <c r="J18" s="113">
        <v>163</v>
      </c>
      <c r="K18" s="115">
        <v>808</v>
      </c>
      <c r="L18" s="114">
        <f t="shared" si="1"/>
        <v>0.48152134912091854</v>
      </c>
    </row>
    <row r="19" spans="1:12" x14ac:dyDescent="0.25">
      <c r="A19" s="109"/>
      <c r="B19" s="109"/>
    </row>
  </sheetData>
  <mergeCells count="9">
    <mergeCell ref="A1:L1"/>
    <mergeCell ref="A2:L2"/>
    <mergeCell ref="A3:L3"/>
    <mergeCell ref="C6:G6"/>
    <mergeCell ref="C7:F7"/>
    <mergeCell ref="G7:G8"/>
    <mergeCell ref="H6:L6"/>
    <mergeCell ref="H7:K7"/>
    <mergeCell ref="L7:L8"/>
  </mergeCells>
  <printOptions horizontalCentered="1"/>
  <pageMargins left="0.2" right="0.2" top="0.75" bottom="0.75" header="0.3" footer="0.3"/>
  <pageSetup scale="83" fitToHeight="0" orientation="landscape" r:id="rId1"/>
  <headerFooter>
    <oddFooter>&amp;C&amp;8©, Copyright, State Farm Mutual Automobile Insurance Company 2024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Suppl Exh 9A</vt:lpstr>
      <vt:lpstr>Suppl Exh 9B</vt:lpstr>
      <vt:lpstr>Suppl Exh 9C</vt:lpstr>
      <vt:lpstr>Exhibit J</vt:lpstr>
      <vt:lpstr>Suppl Exh 8A</vt:lpstr>
      <vt:lpstr>Exhibit K</vt:lpstr>
      <vt:lpstr>Exhibit L</vt:lpstr>
      <vt:lpstr>Exhibit M</vt:lpstr>
      <vt:lpstr>Exhibit N</vt:lpstr>
      <vt:lpstr>Exhibit O - p1</vt:lpstr>
      <vt:lpstr>Exhibit O - p2</vt:lpstr>
      <vt:lpstr>Exhibit P</vt:lpstr>
      <vt:lpstr>Exhibit Q</vt:lpstr>
      <vt:lpstr>'Exhibit P'!Print_Area</vt:lpstr>
      <vt:lpstr>'Suppl Exh 8A'!Print_Area</vt:lpstr>
      <vt:lpstr>'Suppl Exh 9A'!Print_Area</vt:lpstr>
      <vt:lpstr>'Suppl Exh 9C'!Print_Area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Cooley</dc:creator>
  <cp:lastModifiedBy>Emily Gaertner</cp:lastModifiedBy>
  <cp:lastPrinted>2024-08-28T13:15:39Z</cp:lastPrinted>
  <dcterms:created xsi:type="dcterms:W3CDTF">2015-06-05T18:17:20Z</dcterms:created>
  <dcterms:modified xsi:type="dcterms:W3CDTF">2024-08-28T13:15:56Z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ec7713-ff10-4e30-a417-5bbcd9826c75_Enabled">
    <vt:lpwstr>true</vt:lpwstr>
  </property>
  <property fmtid="{D5CDD505-2E9C-101B-9397-08002B2CF9AE}" pid="3" name="MSIP_Label_9fec7713-ff10-4e30-a417-5bbcd9826c75_SetDate">
    <vt:lpwstr>2024-07-22T18:20:25Z</vt:lpwstr>
  </property>
  <property fmtid="{D5CDD505-2E9C-101B-9397-08002B2CF9AE}" pid="4" name="MSIP_Label_9fec7713-ff10-4e30-a417-5bbcd9826c75_Method">
    <vt:lpwstr>Standard</vt:lpwstr>
  </property>
  <property fmtid="{D5CDD505-2E9C-101B-9397-08002B2CF9AE}" pid="5" name="MSIP_Label_9fec7713-ff10-4e30-a417-5bbcd9826c75_Name">
    <vt:lpwstr>Enteprise-InternalUseOnly-Child-514205181618919515141225</vt:lpwstr>
  </property>
  <property fmtid="{D5CDD505-2E9C-101B-9397-08002B2CF9AE}" pid="6" name="MSIP_Label_9fec7713-ff10-4e30-a417-5bbcd9826c75_SiteId">
    <vt:lpwstr>fa23982e-6646-4a33-a5c4-1a848d02fcc4</vt:lpwstr>
  </property>
  <property fmtid="{D5CDD505-2E9C-101B-9397-08002B2CF9AE}" pid="7" name="MSIP_Label_9fec7713-ff10-4e30-a417-5bbcd9826c75_ActionId">
    <vt:lpwstr>2c3b1c75-a12b-4f32-841f-c4bede9b1ed8</vt:lpwstr>
  </property>
  <property fmtid="{D5CDD505-2E9C-101B-9397-08002B2CF9AE}" pid="8" name="MSIP_Label_9fec7713-ff10-4e30-a417-5bbcd9826c75_ContentBits">
    <vt:lpwstr>0</vt:lpwstr>
  </property>
</Properties>
</file>