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3" activeTab="7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记录" sheetId="20" r:id="rId9"/>
    <sheet name="分红选择" sheetId="15" state="hidden" r:id="rId10"/>
    <sheet name="易H股ETF联接（110031）" sheetId="2" state="hidden" r:id="rId11"/>
    <sheet name="打包资产统计" sheetId="3" state="hidden" r:id="rId12"/>
    <sheet name="资产结构" sheetId="8" r:id="rId13"/>
    <sheet name="用户资产" sheetId="14" state="hidden" r:id="rId14"/>
    <sheet name="Operation" sheetId="9" r:id="rId15"/>
    <sheet name="余额宝损益表" sheetId="11" r:id="rId16"/>
    <sheet name="待确认" sheetId="19" r:id="rId17"/>
    <sheet name="策略" sheetId="10" state="hidden" r:id="rId18"/>
    <sheet name="投资记录" sheetId="21" r:id="rId19"/>
  </sheets>
  <definedNames>
    <definedName name="_xlnm._FilterDatabase" localSheetId="6" hidden="1">rand资产报告!$C$3:$C$25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7" l="1"/>
  <c r="H27" i="17"/>
  <c r="I27" i="17"/>
  <c r="J27" i="17"/>
  <c r="G27" i="17"/>
  <c r="F27" i="17"/>
  <c r="F29" i="12"/>
  <c r="L29" i="12"/>
  <c r="G29" i="12"/>
  <c r="D29" i="12"/>
  <c r="F230" i="8"/>
  <c r="F229" i="8"/>
  <c r="E72" i="11"/>
  <c r="D229" i="8"/>
  <c r="H230" i="8"/>
  <c r="D230" i="8"/>
  <c r="H231" i="8"/>
  <c r="D231" i="8"/>
  <c r="D233" i="8"/>
  <c r="E233" i="8"/>
  <c r="E232" i="8"/>
  <c r="E231" i="8"/>
  <c r="E230" i="8"/>
  <c r="H229" i="8"/>
  <c r="E229" i="8"/>
  <c r="E71" i="11"/>
  <c r="E32" i="12"/>
  <c r="E31" i="12"/>
  <c r="C33" i="16"/>
  <c r="H27" i="16"/>
  <c r="F27" i="16"/>
  <c r="L26" i="17"/>
  <c r="H26" i="17"/>
  <c r="I26" i="17"/>
  <c r="J26" i="17"/>
  <c r="G26" i="17"/>
  <c r="F26" i="17"/>
  <c r="L28" i="12"/>
  <c r="F28" i="12"/>
  <c r="G28" i="12"/>
  <c r="D28" i="12"/>
  <c r="F221" i="8"/>
  <c r="D221" i="8"/>
  <c r="H222" i="8"/>
  <c r="D222" i="8"/>
  <c r="H223" i="8"/>
  <c r="D223" i="8"/>
  <c r="D225" i="8"/>
  <c r="E225" i="8"/>
  <c r="E224" i="8"/>
  <c r="E223" i="8"/>
  <c r="E222" i="8"/>
  <c r="H221" i="8"/>
  <c r="E221" i="8"/>
  <c r="E70" i="11"/>
  <c r="E69" i="11"/>
  <c r="I23" i="17"/>
  <c r="I25" i="17"/>
  <c r="I24" i="17"/>
  <c r="I22" i="17"/>
  <c r="K24" i="17"/>
  <c r="F25" i="17"/>
  <c r="L25" i="17"/>
  <c r="H25" i="17"/>
  <c r="J25" i="17"/>
  <c r="G25" i="17"/>
  <c r="F27" i="12"/>
  <c r="L27" i="12"/>
  <c r="G27" i="12"/>
  <c r="D27" i="12"/>
  <c r="I69" i="11"/>
  <c r="H69" i="11"/>
  <c r="F214" i="8"/>
  <c r="D214" i="8"/>
  <c r="H215" i="8"/>
  <c r="D215" i="8"/>
  <c r="H216" i="8"/>
  <c r="D216" i="8"/>
  <c r="D218" i="8"/>
  <c r="E218" i="8"/>
  <c r="E217" i="8"/>
  <c r="E216" i="8"/>
  <c r="E215" i="8"/>
  <c r="H214" i="8"/>
  <c r="E214" i="8"/>
  <c r="J24" i="17"/>
  <c r="L24" i="17"/>
  <c r="M25" i="12"/>
  <c r="E68" i="11"/>
  <c r="D10" i="20"/>
  <c r="D26" i="12"/>
  <c r="F26" i="12"/>
  <c r="L26" i="12"/>
  <c r="G26" i="12"/>
  <c r="F207" i="8"/>
  <c r="D207" i="8"/>
  <c r="H208" i="8"/>
  <c r="D208" i="8"/>
  <c r="H209" i="8"/>
  <c r="D209" i="8"/>
  <c r="D211" i="8"/>
  <c r="E211" i="8"/>
  <c r="E210" i="8"/>
  <c r="E209" i="8"/>
  <c r="E208" i="8"/>
  <c r="H207" i="8"/>
  <c r="E207" i="8"/>
  <c r="C8" i="20"/>
  <c r="I67" i="11"/>
  <c r="E6" i="20"/>
  <c r="E5" i="20"/>
  <c r="H26" i="16"/>
  <c r="F26" i="16"/>
  <c r="H24" i="17"/>
  <c r="G24" i="17"/>
  <c r="F24" i="17"/>
  <c r="D6" i="20"/>
  <c r="C6" i="20"/>
  <c r="G25" i="12"/>
  <c r="D25" i="12"/>
  <c r="F25" i="12"/>
  <c r="L25" i="12"/>
  <c r="K25" i="12"/>
  <c r="F200" i="8"/>
  <c r="D200" i="8"/>
  <c r="H201" i="8"/>
  <c r="D201" i="8"/>
  <c r="H202" i="8"/>
  <c r="D202" i="8"/>
  <c r="D204" i="8"/>
  <c r="E204" i="8"/>
  <c r="E203" i="8"/>
  <c r="E202" i="8"/>
  <c r="E201" i="8"/>
  <c r="H200" i="8"/>
  <c r="E200" i="8"/>
  <c r="H22" i="17"/>
  <c r="F23" i="17"/>
  <c r="G23" i="17"/>
  <c r="H23" i="17"/>
  <c r="J23" i="17"/>
  <c r="F24" i="12"/>
  <c r="L24" i="12"/>
  <c r="J24" i="12"/>
  <c r="K24" i="12"/>
  <c r="G24" i="12"/>
  <c r="D24" i="12"/>
  <c r="F192" i="8"/>
  <c r="D192" i="8"/>
  <c r="H193" i="8"/>
  <c r="D193" i="8"/>
  <c r="H194" i="8"/>
  <c r="D194" i="8"/>
  <c r="D195" i="8"/>
  <c r="D196" i="8"/>
  <c r="E196" i="8"/>
  <c r="H195" i="8"/>
  <c r="F195" i="8"/>
  <c r="E195" i="8"/>
  <c r="E194" i="8"/>
  <c r="E193" i="8"/>
  <c r="H192" i="8"/>
  <c r="E192" i="8"/>
  <c r="H187" i="8"/>
  <c r="F187" i="8"/>
  <c r="D187" i="8"/>
  <c r="I66" i="11"/>
  <c r="F18" i="17"/>
  <c r="H25" i="16"/>
  <c r="H24" i="16"/>
  <c r="F25" i="16"/>
  <c r="J22" i="17"/>
  <c r="G22" i="17"/>
  <c r="H21" i="17"/>
  <c r="F22" i="17"/>
  <c r="F23" i="12"/>
  <c r="L23" i="12"/>
  <c r="J23" i="12"/>
  <c r="K23" i="12"/>
  <c r="G23" i="12"/>
  <c r="D23" i="12"/>
  <c r="H23" i="16"/>
  <c r="F24" i="16"/>
  <c r="H186" i="8"/>
  <c r="D186" i="8"/>
  <c r="D184" i="8"/>
  <c r="H185" i="8"/>
  <c r="D185" i="8"/>
  <c r="D188" i="8"/>
  <c r="E184" i="8"/>
  <c r="I21" i="17"/>
  <c r="J21" i="17"/>
  <c r="G21" i="17"/>
  <c r="H20" i="17"/>
  <c r="F21" i="17"/>
  <c r="F22" i="12"/>
  <c r="L22" i="12"/>
  <c r="J22" i="12"/>
  <c r="K22" i="12"/>
  <c r="G22" i="12"/>
  <c r="D22" i="12"/>
  <c r="I65" i="11"/>
  <c r="J188" i="8"/>
  <c r="F184" i="8"/>
  <c r="E188" i="8"/>
  <c r="E187" i="8"/>
  <c r="E186" i="8"/>
  <c r="E185" i="8"/>
  <c r="H184" i="8"/>
  <c r="H22" i="16"/>
  <c r="F23" i="16"/>
  <c r="I20" i="17"/>
  <c r="J20" i="17"/>
  <c r="G20" i="17"/>
  <c r="H19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1" i="16"/>
  <c r="F22" i="16"/>
  <c r="I19" i="17"/>
  <c r="H18" i="17"/>
  <c r="K18" i="17"/>
  <c r="L18" i="17"/>
  <c r="J19" i="17"/>
  <c r="G19" i="17"/>
  <c r="F19" i="17"/>
  <c r="I61" i="11"/>
  <c r="I18" i="17"/>
  <c r="J18" i="17"/>
  <c r="G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H16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I16" i="17"/>
  <c r="J16" i="17"/>
  <c r="G16" i="17"/>
  <c r="H15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I15" i="17"/>
  <c r="J15" i="17"/>
  <c r="G15" i="17"/>
  <c r="H14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<sst xmlns="http://schemas.openxmlformats.org/spreadsheetml/2006/main" count="914" uniqueCount="219">
  <si>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</si>
  <si>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</si>
  <si>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</si>
  <si>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</si>
  <si>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</si>
  <si>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</si>
  <si>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</si>
  <si>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</si>
  <si>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</si>
  <si>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</si>
  <si>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</si>
  <si>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</si>
  <si>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</si>
  <si>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</si>
  <si>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</si>
  <si>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</si>
  <si>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</si>
  <si>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</si>
  <si>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</si>
  <si>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</si>
  <si>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</si>
  <si>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</si>
  <si>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</si>
  <si>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</si>
  <si>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</si>
  <si>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</si>
  <si>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</si>
  <si>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</si>
  <si>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</si>
  <si>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</si>
  <si>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</si>
  <si>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</si>
  <si>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</si>
  <si>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</si>
  <si>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</si>
  <si>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</si>
  <si>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</si>
  <si>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</si>
  <si>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</si>
  <si>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</si>
  <si>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</si>
  <si>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</si>
  <si>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</si>
  <si>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</si>
  <si>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</si>
  <si>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</si>
  <si>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</si>
  <si>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</si>
  <si>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</si>
  <si>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</si>
  <si>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</si>
  <si>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</si>
  <si>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</si>
  <si>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</si>
  <si>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</si>
  <si>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</si>
  <si>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</si>
  <si>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</si>
  <si>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</si>
  <si>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</si>
  <si>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</si>
  <si>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</si>
  <si>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</si>
  <si>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</si>
  <si>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</si>
  <si>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</si>
  <si>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</si>
  <si>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</si>
  <si>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</si>
  <si>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</si>
  <si>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</si>
  <si>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</si>
  <si>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</si>
  <si>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</si>
  <si>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</si>
  <si>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</si>
  <si>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</si>
  <si>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</si>
  <si>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</si>
  <si>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</si>
  <si>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</si>
  <si>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</si>
  <si>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</si>
  <si>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</si>
  <si>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</si>
  <si>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</si>
  <si>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</si>
  <si>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</si>
  <si>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</si>
  <si>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</si>
  <si>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</si>
  <si>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</si>
  <si>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</si>
  <si>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</si>
  <si>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</si>
  <si>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</si>
  <si>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</si>
  <si>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</si>
  <si>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</si>
  <si>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</si>
  <si>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</si>
  <si>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</si>
  <si>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</si>
  <si>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</si>
  <si>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</si>
  <si>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</si>
  <si>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</si>
  <si>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</si>
  <si>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</si>
  <si>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</si>
  <si>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</si>
  <si>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</si>
  <si>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</si>
  <si>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</si>
  <si>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</si>
  <si>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</si>
  <si>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</si>
  <si>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</si>
  <si>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</si>
  <si>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</si>
  <si>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</si>
  <si>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</si>
  <si>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</si>
  <si>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</si>
  <si>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</si>
  <si>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</si>
  <si>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</si>
  <si>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</si>
  <si>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</si>
  <si>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</si>
  <si>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</si>
  <si>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</si>
  <si>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</si>
  <si>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</si>
  <si>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</si>
  <si>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</si>
  <si>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</si>
  <si>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</si>
  <si>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</si>
  <si>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</si>
  <si>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</si>
  <si>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</si>
  <si>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</si>
  <si>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</si>
  <si>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</si>
  <si>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</si>
  <si>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</si>
  <si>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</si>
  <si>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</si>
  <si>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</si>
  <si>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</si>
  <si>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</si>
  <si>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</si>
  <si>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</si>
  <si>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</si>
  <si>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</si>
  <si>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</si>
  <si>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</si>
  <si>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</si>
  <si>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</si>
  <si>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</si>
  <si>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</si>
  <si>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</si>
  <si>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</si>
  <si>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</si>
  <si>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</si>
  <si>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</si>
  <si>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</si>
  <si>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</si>
  <si>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</si>
  <si>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</si>
  <si>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</si>
  <si>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</si>
  <si>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</si>
  <si>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</si>
  <si>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</si>
  <si>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</si>
  <si>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</si>
  <si>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</si>
  <si>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</si>
  <si>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</si>
  <si>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</si>
  <si>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</si>
  <si>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</si>
  <si>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</si>
  <si>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</si>
  <si>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</si>
  <si>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</si>
  <si>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</si>
  <si>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</si>
  <si>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</si>
  <si>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</si>
  <si>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</si>
  <si>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</si>
  <si>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</si>
  <si>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</si>
  <si>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</si>
  <si>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</si>
  <si>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</si>
  <si>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</si>
  <si>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</si>
  <si>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</si>
  <si>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</si>
  <si>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</si>
  <si>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</si>
  <si>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</si>
  <si>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</si>
  <si>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</si>
  <si>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</si>
  <si>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</si>
  <si>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</si>
  <si>
    <t>目标：2月16日</t>
    <rPh sb="0" eb="1">
      <t>mu'biao</t>
    </rPh>
    <rPh sb="4" eb="5">
      <t>yue</t>
    </rPh>
    <rPh sb="7" eb="8">
      <t>ri</t>
    </rPh>
    <phoneticPr fontId="2" type="noConversion"/>
  </si>
  <si>
    <t>分红净值</t>
    <rPh sb="0" eb="1">
      <t>fen'hong'jing'zhi</t>
    </rPh>
    <phoneticPr fontId="2" type="noConversion"/>
  </si>
  <si>
    <t>分红份数</t>
    <rPh sb="0" eb="1">
      <t>fen'hong'fen'shu</t>
    </rPh>
    <phoneticPr fontId="2" type="noConversion"/>
  </si>
  <si>
    <t>rand</t>
    <phoneticPr fontId="2" type="noConversion"/>
  </si>
  <si>
    <t>TOTAL</t>
    <phoneticPr fontId="2" type="noConversion"/>
  </si>
  <si>
    <t>分红后+rand投资</t>
    <rPh sb="0" eb="1">
      <t>fen'hong'hou</t>
    </rPh>
    <rPh sb="8" eb="9">
      <t>tou'zi</t>
    </rPh>
    <phoneticPr fontId="2" type="noConversion"/>
  </si>
  <si>
    <t>rand投资</t>
    <rPh sb="4" eb="5">
      <t>tou'zi</t>
    </rPh>
    <phoneticPr fontId="2" type="noConversion"/>
  </si>
  <si>
    <t>手续费16，赎回港股</t>
    <rPh sb="0" eb="1">
      <t>shou'xu'fei</t>
    </rPh>
    <rPh sb="6" eb="7">
      <t>shu'hui'gang'gu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</si>
</sst>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0" fillId="4" borderId="0" xfId="0" applyFill="1"/>
    <xf numFmtId="0" fontId="4" fillId="0" borderId="26" xfId="0" applyFont="1" applyBorder="1" applyAlignment="1">
      <alignment horizontal="center" vertical="center"/>
    </xf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39" t="s">
        <v>0</v>
      </c>
      <c r="C17" s="139" t="s">
        <v>1</v>
      </c>
      <c r="D17" s="139">
        <v>7000</v>
      </c>
      <c r="E17" s="140">
        <v>7013.3</v>
      </c>
      <c r="F17" s="4"/>
      <c r="G17" s="138">
        <v>7058.1</v>
      </c>
      <c r="H17" s="138"/>
      <c r="I17" s="138"/>
    </row>
    <row r="18" spans="2:9" ht="18" x14ac:dyDescent="0.2">
      <c r="B18" s="139"/>
      <c r="C18" s="139"/>
      <c r="D18" s="139"/>
      <c r="E18" s="140"/>
      <c r="F18" s="4"/>
      <c r="G18" s="138"/>
      <c r="H18" s="138"/>
      <c r="I18" s="138"/>
    </row>
    <row r="19" spans="2:9" ht="18" x14ac:dyDescent="0.2">
      <c r="B19" s="139" t="s">
        <v>2</v>
      </c>
      <c r="C19" s="139" t="s">
        <v>3</v>
      </c>
      <c r="D19" s="139">
        <v>10000</v>
      </c>
      <c r="E19" s="140">
        <v>10623.79</v>
      </c>
      <c r="F19" s="4"/>
      <c r="G19" s="138"/>
      <c r="H19" s="138"/>
      <c r="I19" s="138"/>
    </row>
    <row r="20" spans="2:9" ht="18" x14ac:dyDescent="0.2">
      <c r="B20" s="139"/>
      <c r="C20" s="139"/>
      <c r="D20" s="139"/>
      <c r="E20" s="140"/>
      <c r="F20" s="4"/>
      <c r="G20" s="138"/>
      <c r="H20" s="138"/>
      <c r="I20" s="138"/>
    </row>
    <row r="21" spans="2:9" ht="18" x14ac:dyDescent="0.2">
      <c r="B21" s="139" t="s">
        <v>4</v>
      </c>
      <c r="C21" s="139" t="s">
        <v>3</v>
      </c>
      <c r="D21" s="139">
        <v>10000</v>
      </c>
      <c r="E21" s="140">
        <v>10065.91</v>
      </c>
      <c r="F21" s="4"/>
      <c r="G21" s="138"/>
      <c r="H21" s="138"/>
      <c r="I21" s="138"/>
    </row>
    <row r="22" spans="2:9" ht="18" x14ac:dyDescent="0.2">
      <c r="B22" s="139"/>
      <c r="C22" s="139"/>
      <c r="D22" s="139"/>
      <c r="E22" s="140"/>
      <c r="F22" s="4"/>
      <c r="G22" s="138"/>
      <c r="H22" s="138"/>
      <c r="I22" s="138"/>
    </row>
    <row r="23" spans="2:9" ht="18" x14ac:dyDescent="0.2">
      <c r="B23" s="139" t="s">
        <v>5</v>
      </c>
      <c r="C23" s="139" t="s">
        <v>1</v>
      </c>
      <c r="D23" s="139">
        <v>10000</v>
      </c>
      <c r="E23" s="140">
        <v>10809.31</v>
      </c>
      <c r="F23" s="4"/>
      <c r="G23" s="138"/>
      <c r="H23" s="138"/>
      <c r="I23" s="138"/>
    </row>
    <row r="24" spans="2:9" ht="18" x14ac:dyDescent="0.2">
      <c r="B24" s="139"/>
      <c r="C24" s="139"/>
      <c r="D24" s="139"/>
      <c r="E24" s="140"/>
      <c r="F24" s="4"/>
      <c r="G24" s="138"/>
      <c r="H24" s="138"/>
      <c r="I24" s="138"/>
    </row>
    <row r="25" spans="2:9" ht="18" x14ac:dyDescent="0.2">
      <c r="B25" s="139" t="s">
        <v>6</v>
      </c>
      <c r="C25" s="139" t="s">
        <v>1</v>
      </c>
      <c r="D25" s="139">
        <v>1000</v>
      </c>
      <c r="E25" s="140">
        <v>1053.7</v>
      </c>
      <c r="F25" s="4"/>
      <c r="G25" s="138"/>
      <c r="H25" s="138"/>
      <c r="I25" s="138"/>
    </row>
    <row r="26" spans="2:9" ht="18" x14ac:dyDescent="0.2">
      <c r="B26" s="139"/>
      <c r="C26" s="139"/>
      <c r="D26" s="139"/>
      <c r="E26" s="140"/>
      <c r="F26" s="4"/>
      <c r="G26" s="138"/>
      <c r="H26" s="138"/>
      <c r="I26" s="138"/>
    </row>
    <row r="27" spans="2:9" ht="18" x14ac:dyDescent="0.2">
      <c r="B27" s="139" t="s">
        <v>7</v>
      </c>
      <c r="C27" s="139" t="s">
        <v>8</v>
      </c>
      <c r="D27" s="139">
        <v>22000</v>
      </c>
      <c r="E27" s="140">
        <v>21825.21</v>
      </c>
      <c r="F27" s="4"/>
      <c r="G27" s="138"/>
      <c r="H27" s="138"/>
      <c r="I27" s="138"/>
    </row>
    <row r="28" spans="2:9" ht="18" x14ac:dyDescent="0.2">
      <c r="B28" s="139"/>
      <c r="C28" s="139"/>
      <c r="D28" s="139"/>
      <c r="E28" s="140"/>
      <c r="F28" s="4"/>
      <c r="G28" s="138"/>
      <c r="H28" s="138"/>
      <c r="I28" s="138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54" t="s">
        <v>46</v>
      </c>
      <c r="D1" s="154"/>
      <c r="E1" s="154"/>
      <c r="F1" s="154"/>
    </row>
    <row r="3" spans="3:12" ht="24" thickBot="1" x14ac:dyDescent="0.35"/>
    <row r="4" spans="3:12" x14ac:dyDescent="0.3">
      <c r="C4" s="159" t="s">
        <v>25</v>
      </c>
      <c r="D4" s="143"/>
      <c r="E4" s="143"/>
      <c r="F4" s="144"/>
      <c r="G4" s="155"/>
      <c r="H4" s="155"/>
      <c r="I4" s="155"/>
      <c r="J4" s="155"/>
      <c r="K4" s="155"/>
      <c r="L4" s="155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56" t="s">
        <v>47</v>
      </c>
      <c r="D8" s="157"/>
      <c r="E8" s="157"/>
      <c r="F8" s="158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56" t="s">
        <v>68</v>
      </c>
      <c r="D12" s="157"/>
      <c r="E12" s="157"/>
      <c r="F12" s="158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56" t="s">
        <v>77</v>
      </c>
      <c r="D16" s="157"/>
      <c r="E16" s="157"/>
      <c r="F16" s="158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51" t="s">
        <v>69</v>
      </c>
      <c r="D20" s="152"/>
      <c r="E20" s="152"/>
      <c r="F20" s="152"/>
      <c r="G20" s="153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45" t="s">
        <v>27</v>
      </c>
      <c r="E4" s="146"/>
      <c r="F4" s="146"/>
      <c r="G4" s="146"/>
      <c r="H4" s="145" t="s">
        <v>48</v>
      </c>
      <c r="I4" s="146"/>
      <c r="J4" s="146"/>
      <c r="K4" s="146"/>
      <c r="L4" s="146"/>
      <c r="M4" s="147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64">
        <f>SUM(D6:D9)</f>
        <v>28756.7</v>
      </c>
      <c r="F6" s="28">
        <f>D6-C6</f>
        <v>13.300000000000182</v>
      </c>
      <c r="G6" s="162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64">
        <f>J6+J7+J8+J9</f>
        <v>-382.68999999999915</v>
      </c>
      <c r="L6" s="164">
        <f>SUM(H6:H9)</f>
        <v>28374.010000000002</v>
      </c>
      <c r="M6" s="160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64"/>
      <c r="F7" s="28">
        <f>D7-C7</f>
        <v>53.700000000000045</v>
      </c>
      <c r="G7" s="162"/>
      <c r="H7" s="25">
        <v>1078.76</v>
      </c>
      <c r="I7" s="24">
        <f>H7-C7</f>
        <v>78.759999999999991</v>
      </c>
      <c r="J7" s="28">
        <f>H7-D7</f>
        <v>25.059999999999945</v>
      </c>
      <c r="K7" s="164"/>
      <c r="L7" s="164"/>
      <c r="M7" s="160"/>
    </row>
    <row r="8" spans="2:13" x14ac:dyDescent="0.3">
      <c r="B8" s="10" t="s">
        <v>30</v>
      </c>
      <c r="C8" s="10">
        <v>10000</v>
      </c>
      <c r="D8" s="25">
        <v>10065.91</v>
      </c>
      <c r="E8" s="164"/>
      <c r="F8" s="28">
        <f>D8-C8</f>
        <v>65.909999999999854</v>
      </c>
      <c r="G8" s="162"/>
      <c r="H8" s="25">
        <v>9985.2000000000007</v>
      </c>
      <c r="I8" s="24">
        <f>H8-C8</f>
        <v>-14.799999999999272</v>
      </c>
      <c r="J8" s="28">
        <f>H8-D8</f>
        <v>-80.709999999999127</v>
      </c>
      <c r="K8" s="164"/>
      <c r="L8" s="164"/>
      <c r="M8" s="160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65"/>
      <c r="F9" s="31">
        <f>D9-C9</f>
        <v>623.79000000000087</v>
      </c>
      <c r="G9" s="163"/>
      <c r="H9" s="26">
        <v>10251.950000000001</v>
      </c>
      <c r="I9" s="32">
        <f>H9-C9</f>
        <v>251.95000000000073</v>
      </c>
      <c r="J9" s="31">
        <f>H9-D9</f>
        <v>-371.84000000000015</v>
      </c>
      <c r="K9" s="165"/>
      <c r="L9" s="165"/>
      <c r="M9" s="161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45" t="s">
        <v>63</v>
      </c>
      <c r="E13" s="146"/>
      <c r="F13" s="146"/>
      <c r="G13" s="146"/>
      <c r="H13" s="146"/>
      <c r="I13" s="147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66">
        <f>F15+F16+F17+F18</f>
        <v>-873.43000000000166</v>
      </c>
      <c r="H15" s="166">
        <f>SUM(D15:D18)</f>
        <v>27883.269999999997</v>
      </c>
      <c r="I15" s="169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67"/>
      <c r="H16" s="167"/>
      <c r="I16" s="170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67"/>
      <c r="H17" s="167"/>
      <c r="I17" s="170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68"/>
      <c r="H18" s="168"/>
      <c r="I18" s="171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33"/>
  <sheetViews>
    <sheetView topLeftCell="A218" workbookViewId="0">
      <selection activeCell="D233" sqref="D233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72">
        <v>20160622</v>
      </c>
      <c r="E4" s="173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72">
        <v>20160713</v>
      </c>
      <c r="E15" s="173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72">
        <v>20160808</v>
      </c>
      <c r="E25" s="173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72">
        <v>20160825</v>
      </c>
      <c r="E35" s="173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72">
        <v>20160906</v>
      </c>
      <c r="E45" s="173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72">
        <v>20160921</v>
      </c>
      <c r="E56" s="173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72">
        <v>20161017</v>
      </c>
      <c r="E66" s="173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72">
        <v>20161020</v>
      </c>
      <c r="E75" s="173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72">
        <v>201610207</v>
      </c>
      <c r="E84" s="173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72">
        <v>20161031</v>
      </c>
      <c r="E93" s="173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72">
        <v>20161103</v>
      </c>
      <c r="E102" s="173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72">
        <v>20161103</v>
      </c>
      <c r="E111" s="173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72">
        <v>20161108</v>
      </c>
      <c r="E120" s="173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72">
        <v>20161108</v>
      </c>
      <c r="E129" s="173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72">
        <v>20161122</v>
      </c>
      <c r="E138" s="173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72">
        <v>20161122</v>
      </c>
      <c r="E146" s="173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72">
        <v>20161209</v>
      </c>
      <c r="E154" s="173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72">
        <v>20161209</v>
      </c>
      <c r="E161" s="173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72">
        <v>20161210</v>
      </c>
      <c r="E168" s="173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72">
        <v>20161215</v>
      </c>
      <c r="E175" s="173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72">
        <v>20170117</v>
      </c>
      <c r="E182" s="173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13260.105908</v>
      </c>
      <c r="E184" s="107">
        <f>D184/D188</f>
        <v>0.16206818214775304</v>
      </c>
      <c r="F184" s="11">
        <f>4017.64+8860</f>
        <v>12877.64</v>
      </c>
      <c r="G184" s="9">
        <v>1.0297000000000001</v>
      </c>
      <c r="H184" s="11">
        <f>F184*G184</f>
        <v>13260.105908</v>
      </c>
      <c r="J184" s="9">
        <v>4572.0200000000004</v>
      </c>
    </row>
    <row r="185" spans="3:11" x14ac:dyDescent="0.3">
      <c r="C185" s="59" t="s">
        <v>28</v>
      </c>
      <c r="D185" s="78">
        <f>H185</f>
        <v>9570.4516309999999</v>
      </c>
      <c r="E185" s="53">
        <f>D185/D188</f>
        <v>0.11697234614343384</v>
      </c>
      <c r="F185" s="96">
        <v>9859.33</v>
      </c>
      <c r="G185" s="9">
        <v>0.97070000000000001</v>
      </c>
      <c r="H185" s="11">
        <f t="shared" ref="H185:H186" si="17">F185*G185</f>
        <v>9570.4516309999999</v>
      </c>
      <c r="I185" s="9" t="s">
        <v>208</v>
      </c>
    </row>
    <row r="186" spans="3:11" x14ac:dyDescent="0.3">
      <c r="C186" s="60" t="s">
        <v>30</v>
      </c>
      <c r="D186" s="56">
        <f>H186</f>
        <v>816</v>
      </c>
      <c r="E186" s="53">
        <f>D186/D188</f>
        <v>9.9733469363000871E-3</v>
      </c>
      <c r="F186" s="11">
        <v>800</v>
      </c>
      <c r="G186" s="9">
        <v>1.02</v>
      </c>
      <c r="H186" s="11">
        <f t="shared" si="17"/>
        <v>816</v>
      </c>
    </row>
    <row r="187" spans="3:11" x14ac:dyDescent="0.3">
      <c r="C187" s="60" t="s">
        <v>59</v>
      </c>
      <c r="D187" s="53">
        <f>57999.9295598*(1+0.0355/12)</f>
        <v>58171.512684747751</v>
      </c>
      <c r="E187" s="53">
        <f>D187/D188</f>
        <v>0.710986124772513</v>
      </c>
      <c r="F187" s="53">
        <f>57999.9295598*(1+0.0355/12)</f>
        <v>58171.512684747751</v>
      </c>
      <c r="G187" s="9">
        <v>1</v>
      </c>
      <c r="H187" s="53">
        <f>57999.9295598*(1+0.0355/12)</f>
        <v>58171.512684747751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81818.070223747753</v>
      </c>
      <c r="E188" s="54">
        <f>D188/D188</f>
        <v>1</v>
      </c>
      <c r="J188" s="9">
        <f>J186*J187</f>
        <v>0</v>
      </c>
    </row>
    <row r="189" spans="3:11" ht="24" thickBot="1" x14ac:dyDescent="0.35"/>
    <row r="190" spans="3:11" x14ac:dyDescent="0.3">
      <c r="D190" s="172">
        <v>20170122</v>
      </c>
      <c r="E190" s="173"/>
    </row>
    <row r="191" spans="3:11" ht="24" thickBot="1" x14ac:dyDescent="0.35">
      <c r="D191" s="105" t="s">
        <v>24</v>
      </c>
      <c r="E191" s="132" t="s">
        <v>42</v>
      </c>
      <c r="F191" s="11" t="s">
        <v>23</v>
      </c>
      <c r="G191" s="9" t="s">
        <v>82</v>
      </c>
      <c r="H191" s="11" t="s">
        <v>80</v>
      </c>
    </row>
    <row r="192" spans="3:11" x14ac:dyDescent="0.3">
      <c r="C192" s="58" t="s">
        <v>41</v>
      </c>
      <c r="D192" s="106">
        <f>F192*G192</f>
        <v>13281.997896000001</v>
      </c>
      <c r="E192" s="107">
        <f>D192/D196</f>
        <v>0.16158617385332466</v>
      </c>
      <c r="F192" s="11">
        <f>4017.64+8860</f>
        <v>12877.64</v>
      </c>
      <c r="G192" s="9">
        <v>1.0314000000000001</v>
      </c>
      <c r="H192" s="11">
        <f>F192*G192</f>
        <v>13281.997896000001</v>
      </c>
    </row>
    <row r="193" spans="3:8" x14ac:dyDescent="0.3">
      <c r="C193" s="59" t="s">
        <v>28</v>
      </c>
      <c r="D193" s="78">
        <f>H193</f>
        <v>9931.3031090000004</v>
      </c>
      <c r="E193" s="53">
        <f>D193/D196</f>
        <v>0.12082228015140907</v>
      </c>
      <c r="F193" s="96">
        <v>9859.33</v>
      </c>
      <c r="G193" s="9">
        <v>1.0073000000000001</v>
      </c>
      <c r="H193" s="11">
        <f t="shared" ref="H193:H194" si="18">F193*G193</f>
        <v>9931.3031090000004</v>
      </c>
    </row>
    <row r="194" spans="3:8" x14ac:dyDescent="0.3">
      <c r="C194" s="60" t="s">
        <v>30</v>
      </c>
      <c r="D194" s="56">
        <f>H194</f>
        <v>812.8</v>
      </c>
      <c r="E194" s="53">
        <f>D194/D196</f>
        <v>9.8883649234378923E-3</v>
      </c>
      <c r="F194" s="11">
        <v>800</v>
      </c>
      <c r="G194" s="9">
        <v>1.016</v>
      </c>
      <c r="H194" s="11">
        <f t="shared" si="18"/>
        <v>812.8</v>
      </c>
    </row>
    <row r="195" spans="3:8" x14ac:dyDescent="0.3">
      <c r="C195" s="60" t="s">
        <v>59</v>
      </c>
      <c r="D195" s="53">
        <f>57999.9295598*(1+0.0355/12)</f>
        <v>58171.512684747751</v>
      </c>
      <c r="E195" s="53">
        <f>D195/D196</f>
        <v>0.70770318107182828</v>
      </c>
      <c r="F195" s="53">
        <f>57999.9295598*(1+0.0355/12)</f>
        <v>58171.512684747751</v>
      </c>
      <c r="G195" s="9">
        <v>1</v>
      </c>
      <c r="H195" s="53">
        <f>57999.9295598*(1+0.0355/12)</f>
        <v>58171.512684747751</v>
      </c>
    </row>
    <row r="196" spans="3:8" ht="24" thickBot="1" x14ac:dyDescent="0.35">
      <c r="C196" s="61" t="s">
        <v>60</v>
      </c>
      <c r="D196" s="57">
        <f>SUM(D192:D195)</f>
        <v>82197.613689747755</v>
      </c>
      <c r="E196" s="54">
        <f>D196/D196</f>
        <v>1</v>
      </c>
    </row>
    <row r="197" spans="3:8" ht="24" thickBot="1" x14ac:dyDescent="0.35"/>
    <row r="198" spans="3:8" x14ac:dyDescent="0.3">
      <c r="D198" s="172">
        <v>20170123</v>
      </c>
      <c r="E198" s="173"/>
    </row>
    <row r="199" spans="3:8" ht="24" thickBot="1" x14ac:dyDescent="0.35">
      <c r="D199" s="105" t="s">
        <v>24</v>
      </c>
      <c r="E199" s="132" t="s">
        <v>42</v>
      </c>
      <c r="F199" s="11" t="s">
        <v>23</v>
      </c>
      <c r="G199" s="9" t="s">
        <v>82</v>
      </c>
      <c r="H199" s="11" t="s">
        <v>80</v>
      </c>
    </row>
    <row r="200" spans="3:8" x14ac:dyDescent="0.3">
      <c r="C200" s="58" t="s">
        <v>41</v>
      </c>
      <c r="D200" s="106">
        <f>F200*G200</f>
        <v>13281.997896000001</v>
      </c>
      <c r="E200" s="107">
        <f>D200/D204</f>
        <v>0.16248663689006848</v>
      </c>
      <c r="F200" s="11">
        <f>4017.64+8860</f>
        <v>12877.64</v>
      </c>
      <c r="G200" s="9">
        <v>1.0314000000000001</v>
      </c>
      <c r="H200" s="11">
        <f>F200*G200</f>
        <v>13281.997896000001</v>
      </c>
    </row>
    <row r="201" spans="3:8" x14ac:dyDescent="0.3">
      <c r="C201" s="59" t="s">
        <v>28</v>
      </c>
      <c r="D201" s="78">
        <f>H201</f>
        <v>9931.3031090000004</v>
      </c>
      <c r="E201" s="53">
        <f>D201/D204</f>
        <v>0.1214955803150122</v>
      </c>
      <c r="F201" s="96">
        <v>9859.33</v>
      </c>
      <c r="G201" s="9">
        <v>1.0073000000000001</v>
      </c>
      <c r="H201" s="11">
        <f t="shared" ref="H201:H202" si="19">F201*G201</f>
        <v>9931.3031090000004</v>
      </c>
    </row>
    <row r="202" spans="3:8" x14ac:dyDescent="0.3">
      <c r="C202" s="60" t="s">
        <v>30</v>
      </c>
      <c r="D202" s="56">
        <f>H202</f>
        <v>812.8</v>
      </c>
      <c r="E202" s="53">
        <f>D202/D204</f>
        <v>9.9434693107443971E-3</v>
      </c>
      <c r="F202" s="11">
        <v>800</v>
      </c>
      <c r="G202" s="9">
        <v>1.016</v>
      </c>
      <c r="H202" s="11">
        <f t="shared" si="19"/>
        <v>812.8</v>
      </c>
    </row>
    <row r="203" spans="3:8" x14ac:dyDescent="0.3">
      <c r="C203" s="60" t="s">
        <v>59</v>
      </c>
      <c r="D203" s="53">
        <v>57715.992684747755</v>
      </c>
      <c r="E203" s="53">
        <f>D203/D204</f>
        <v>0.70607431348417493</v>
      </c>
      <c r="F203" s="53">
        <v>57715.992684747755</v>
      </c>
      <c r="G203" s="9">
        <v>1</v>
      </c>
      <c r="H203" s="53">
        <v>57715.992684747755</v>
      </c>
    </row>
    <row r="204" spans="3:8" ht="24" thickBot="1" x14ac:dyDescent="0.35">
      <c r="C204" s="61" t="s">
        <v>60</v>
      </c>
      <c r="D204" s="57">
        <f>SUM(D200:D203)</f>
        <v>81742.093689747751</v>
      </c>
      <c r="E204" s="54">
        <f>D204/D204</f>
        <v>1</v>
      </c>
    </row>
    <row r="205" spans="3:8" x14ac:dyDescent="0.3">
      <c r="D205" s="172">
        <v>20170123</v>
      </c>
      <c r="E205" s="173"/>
      <c r="F205" s="11" t="s">
        <v>216</v>
      </c>
    </row>
    <row r="206" spans="3:8" ht="24" thickBot="1" x14ac:dyDescent="0.35">
      <c r="D206" s="105" t="s">
        <v>24</v>
      </c>
      <c r="E206" s="132" t="s">
        <v>42</v>
      </c>
      <c r="F206" s="11" t="s">
        <v>23</v>
      </c>
      <c r="G206" s="9" t="s">
        <v>82</v>
      </c>
      <c r="H206" s="11" t="s">
        <v>80</v>
      </c>
    </row>
    <row r="207" spans="3:8" x14ac:dyDescent="0.3">
      <c r="C207" s="58" t="s">
        <v>41</v>
      </c>
      <c r="D207" s="106">
        <f>F207*G207</f>
        <v>13281.997896000001</v>
      </c>
      <c r="E207" s="107">
        <f>D207/D211</f>
        <v>0.15720779065181475</v>
      </c>
      <c r="F207" s="11">
        <f>4017.64+8860</f>
        <v>12877.64</v>
      </c>
      <c r="G207" s="9">
        <v>1.0314000000000001</v>
      </c>
      <c r="H207" s="11">
        <f>F207*G207</f>
        <v>13281.997896000001</v>
      </c>
    </row>
    <row r="208" spans="3:8" x14ac:dyDescent="0.3">
      <c r="C208" s="59" t="s">
        <v>28</v>
      </c>
      <c r="D208" s="78">
        <f>H208</f>
        <v>9931.3031090000004</v>
      </c>
      <c r="E208" s="53">
        <f>D208/D211</f>
        <v>0.11754844657290472</v>
      </c>
      <c r="F208" s="96">
        <v>9859.33</v>
      </c>
      <c r="G208" s="9">
        <v>1.0073000000000001</v>
      </c>
      <c r="H208" s="11">
        <f t="shared" ref="H208:H209" si="20">F208*G208</f>
        <v>9931.3031090000004</v>
      </c>
    </row>
    <row r="209" spans="3:8" x14ac:dyDescent="0.3">
      <c r="C209" s="60" t="s">
        <v>30</v>
      </c>
      <c r="D209" s="56">
        <f>H209</f>
        <v>812.8</v>
      </c>
      <c r="E209" s="53">
        <f>D209/D211</f>
        <v>9.6204270804979373E-3</v>
      </c>
      <c r="F209" s="11">
        <v>800</v>
      </c>
      <c r="G209" s="9">
        <v>1.016</v>
      </c>
      <c r="H209" s="11">
        <f t="shared" si="20"/>
        <v>812.8</v>
      </c>
    </row>
    <row r="210" spans="3:8" x14ac:dyDescent="0.3">
      <c r="C210" s="60" t="s">
        <v>59</v>
      </c>
      <c r="D210" s="53">
        <v>60460.792684747801</v>
      </c>
      <c r="E210" s="53">
        <f>D210/D211</f>
        <v>0.71562333569478265</v>
      </c>
      <c r="F210" s="53">
        <v>60460.792684747801</v>
      </c>
      <c r="G210" s="9">
        <v>1</v>
      </c>
      <c r="H210" s="53">
        <v>60460.792684747801</v>
      </c>
    </row>
    <row r="211" spans="3:8" ht="24" thickBot="1" x14ac:dyDescent="0.35">
      <c r="C211" s="61" t="s">
        <v>60</v>
      </c>
      <c r="D211" s="57">
        <f>SUM(D207:D210)</f>
        <v>84486.893689747798</v>
      </c>
      <c r="E211" s="54">
        <f>D211/D211</f>
        <v>1</v>
      </c>
    </row>
    <row r="212" spans="3:8" x14ac:dyDescent="0.3">
      <c r="D212" s="172">
        <v>20170308</v>
      </c>
      <c r="E212" s="173"/>
      <c r="F212" s="11" t="s">
        <v>216</v>
      </c>
    </row>
    <row r="213" spans="3:8" ht="24" thickBot="1" x14ac:dyDescent="0.35">
      <c r="D213" s="105" t="s">
        <v>24</v>
      </c>
      <c r="E213" s="135" t="s">
        <v>42</v>
      </c>
      <c r="F213" s="11" t="s">
        <v>23</v>
      </c>
      <c r="G213" s="9" t="s">
        <v>82</v>
      </c>
      <c r="H213" s="11" t="s">
        <v>80</v>
      </c>
    </row>
    <row r="214" spans="3:8" x14ac:dyDescent="0.3">
      <c r="C214" s="58" t="s">
        <v>41</v>
      </c>
      <c r="D214" s="106">
        <f>F214*G214</f>
        <v>13942.620827999999</v>
      </c>
      <c r="E214" s="107">
        <f>D214/D218</f>
        <v>0.16388762002078133</v>
      </c>
      <c r="F214" s="11">
        <f>4017.64+8860</f>
        <v>12877.64</v>
      </c>
      <c r="G214" s="9">
        <v>1.0827</v>
      </c>
      <c r="H214" s="11">
        <f>F214*G214</f>
        <v>13942.620827999999</v>
      </c>
    </row>
    <row r="215" spans="3:8" x14ac:dyDescent="0.3">
      <c r="C215" s="59" t="s">
        <v>28</v>
      </c>
      <c r="D215" s="78">
        <f>H215</f>
        <v>9718.3415810000006</v>
      </c>
      <c r="E215" s="53">
        <f>D215/D218</f>
        <v>0.11423360728999719</v>
      </c>
      <c r="F215" s="96">
        <v>9859.33</v>
      </c>
      <c r="G215" s="9">
        <v>0.98570000000000002</v>
      </c>
      <c r="H215" s="11">
        <f t="shared" ref="H215:H216" si="21">F215*G215</f>
        <v>9718.3415810000006</v>
      </c>
    </row>
    <row r="216" spans="3:8" x14ac:dyDescent="0.3">
      <c r="C216" s="60" t="s">
        <v>30</v>
      </c>
      <c r="D216" s="56">
        <f>H216</f>
        <v>777.6</v>
      </c>
      <c r="E216" s="53">
        <f>D216/D218</f>
        <v>9.1402480853694755E-3</v>
      </c>
      <c r="F216" s="11">
        <v>800</v>
      </c>
      <c r="G216" s="9">
        <v>0.97199999999999998</v>
      </c>
      <c r="H216" s="11">
        <f t="shared" si="21"/>
        <v>777.6</v>
      </c>
    </row>
    <row r="217" spans="3:8" x14ac:dyDescent="0.3">
      <c r="C217" s="60" t="s">
        <v>59</v>
      </c>
      <c r="D217" s="53">
        <v>60635.714868515177</v>
      </c>
      <c r="E217" s="53">
        <f>D217/D218</f>
        <v>0.7127385246038519</v>
      </c>
      <c r="F217" s="53">
        <v>60635.714868515177</v>
      </c>
      <c r="G217" s="9">
        <v>1</v>
      </c>
      <c r="H217" s="53">
        <v>60635.714868515177</v>
      </c>
    </row>
    <row r="218" spans="3:8" ht="24" thickBot="1" x14ac:dyDescent="0.35">
      <c r="C218" s="61" t="s">
        <v>60</v>
      </c>
      <c r="D218" s="57">
        <f>SUM(D214:D217)</f>
        <v>85074.277277515183</v>
      </c>
      <c r="E218" s="54">
        <f>D218/D218</f>
        <v>1</v>
      </c>
    </row>
    <row r="219" spans="3:8" x14ac:dyDescent="0.3">
      <c r="D219" s="172">
        <v>20170316</v>
      </c>
      <c r="E219" s="173"/>
      <c r="F219" s="11" t="s">
        <v>216</v>
      </c>
    </row>
    <row r="220" spans="3:8" ht="24" thickBot="1" x14ac:dyDescent="0.35">
      <c r="D220" s="105" t="s">
        <v>24</v>
      </c>
      <c r="E220" s="136" t="s">
        <v>42</v>
      </c>
      <c r="F220" s="11" t="s">
        <v>23</v>
      </c>
      <c r="G220" s="9" t="s">
        <v>82</v>
      </c>
      <c r="H220" s="11" t="s">
        <v>80</v>
      </c>
    </row>
    <row r="221" spans="3:8" x14ac:dyDescent="0.3">
      <c r="C221" s="58" t="s">
        <v>41</v>
      </c>
      <c r="D221" s="106">
        <f>F221*G221</f>
        <v>14286.453815999999</v>
      </c>
      <c r="E221" s="107">
        <f>D221/D225</f>
        <v>0.16718705650711418</v>
      </c>
      <c r="F221" s="11">
        <f>4017.64+8860</f>
        <v>12877.64</v>
      </c>
      <c r="G221" s="9">
        <v>1.1093999999999999</v>
      </c>
      <c r="H221" s="11">
        <f>F221*G221</f>
        <v>14286.453815999999</v>
      </c>
    </row>
    <row r="222" spans="3:8" x14ac:dyDescent="0.3">
      <c r="C222" s="59" t="s">
        <v>28</v>
      </c>
      <c r="D222" s="78">
        <f>H222</f>
        <v>9737.0743080000011</v>
      </c>
      <c r="E222" s="53">
        <f>D222/D225</f>
        <v>0.11394799671856974</v>
      </c>
      <c r="F222" s="96">
        <v>9859.33</v>
      </c>
      <c r="G222" s="9">
        <v>0.98760000000000003</v>
      </c>
      <c r="H222" s="11">
        <f t="shared" ref="H222:H223" si="22">F222*G222</f>
        <v>9737.0743080000011</v>
      </c>
    </row>
    <row r="223" spans="3:8" x14ac:dyDescent="0.3">
      <c r="C223" s="60" t="s">
        <v>30</v>
      </c>
      <c r="D223" s="56">
        <f>H223</f>
        <v>752.8</v>
      </c>
      <c r="E223" s="53">
        <f>D223/D225</f>
        <v>8.8096330803660618E-3</v>
      </c>
      <c r="F223" s="11">
        <v>800</v>
      </c>
      <c r="G223" s="9">
        <v>0.94099999999999995</v>
      </c>
      <c r="H223" s="11">
        <f t="shared" si="22"/>
        <v>752.8</v>
      </c>
    </row>
    <row r="224" spans="3:8" x14ac:dyDescent="0.3">
      <c r="C224" s="60" t="s">
        <v>59</v>
      </c>
      <c r="D224" s="56">
        <v>60675.584927606826</v>
      </c>
      <c r="E224" s="53">
        <f>D224/D225</f>
        <v>0.71005531369395003</v>
      </c>
      <c r="F224" s="11">
        <v>60675.584927606826</v>
      </c>
      <c r="G224" s="9">
        <v>1</v>
      </c>
      <c r="H224" s="11">
        <v>60675.584927606826</v>
      </c>
    </row>
    <row r="225" spans="3:8" ht="24" thickBot="1" x14ac:dyDescent="0.35">
      <c r="C225" s="61" t="s">
        <v>60</v>
      </c>
      <c r="D225" s="57">
        <f>SUM(D221:D224)</f>
        <v>85451.913051606825</v>
      </c>
      <c r="E225" s="54">
        <f>D225/D225</f>
        <v>1</v>
      </c>
    </row>
    <row r="226" spans="3:8" ht="24" thickBot="1" x14ac:dyDescent="0.35"/>
    <row r="227" spans="3:8" x14ac:dyDescent="0.3">
      <c r="D227" s="172">
        <v>20170417</v>
      </c>
      <c r="E227" s="173"/>
      <c r="F227" s="11" t="s">
        <v>216</v>
      </c>
    </row>
    <row r="228" spans="3:8" ht="24" thickBot="1" x14ac:dyDescent="0.35">
      <c r="D228" s="105" t="s">
        <v>24</v>
      </c>
      <c r="E228" s="137" t="s">
        <v>42</v>
      </c>
      <c r="F228" s="11" t="s">
        <v>23</v>
      </c>
      <c r="G228" s="9" t="s">
        <v>82</v>
      </c>
      <c r="H228" s="11" t="s">
        <v>80</v>
      </c>
    </row>
    <row r="229" spans="3:8" x14ac:dyDescent="0.3">
      <c r="C229" s="58" t="s">
        <v>41</v>
      </c>
      <c r="D229" s="106">
        <f>F229*G229</f>
        <v>3122.2393999999995</v>
      </c>
      <c r="E229" s="107">
        <f>D229/D233</f>
        <v>3.645128874974516E-2</v>
      </c>
      <c r="F229" s="11">
        <f>4017.64+8860-10000</f>
        <v>2877.6399999999994</v>
      </c>
      <c r="G229" s="9">
        <v>1.085</v>
      </c>
      <c r="H229" s="11">
        <f>F229*G229</f>
        <v>3122.2393999999995</v>
      </c>
    </row>
    <row r="230" spans="3:8" x14ac:dyDescent="0.3">
      <c r="C230" s="59" t="s">
        <v>28</v>
      </c>
      <c r="D230" s="78">
        <f>H230</f>
        <v>20922.066456000004</v>
      </c>
      <c r="E230" s="53">
        <f>D230/D233</f>
        <v>0.24425938819073695</v>
      </c>
      <c r="F230" s="96">
        <f>9859.33+(10000*1.085-16)/1.0232</f>
        <v>20447.680273651291</v>
      </c>
      <c r="G230" s="9">
        <v>1.0232000000000001</v>
      </c>
      <c r="H230" s="11">
        <f t="shared" ref="H230:H231" si="23">F230*G230</f>
        <v>20922.066456000004</v>
      </c>
    </row>
    <row r="231" spans="3:8" x14ac:dyDescent="0.3">
      <c r="C231" s="60" t="s">
        <v>30</v>
      </c>
      <c r="D231" s="56">
        <f>H231</f>
        <v>766.4</v>
      </c>
      <c r="E231" s="53">
        <f>D231/D233</f>
        <v>8.9475098218940851E-3</v>
      </c>
      <c r="F231" s="11">
        <v>800</v>
      </c>
      <c r="G231" s="9">
        <v>0.95799999999999996</v>
      </c>
      <c r="H231" s="11">
        <f t="shared" si="23"/>
        <v>766.4</v>
      </c>
    </row>
    <row r="232" spans="3:8" x14ac:dyDescent="0.3">
      <c r="C232" s="60" t="s">
        <v>59</v>
      </c>
      <c r="D232" s="11">
        <v>60844.411071020244</v>
      </c>
      <c r="E232" s="53">
        <f>D232/D233</f>
        <v>0.7103418132376238</v>
      </c>
      <c r="F232" s="11">
        <v>60844.411071020244</v>
      </c>
      <c r="G232" s="9">
        <v>1</v>
      </c>
      <c r="H232" s="11">
        <v>60844.411071020244</v>
      </c>
    </row>
    <row r="233" spans="3:8" ht="24" thickBot="1" x14ac:dyDescent="0.35">
      <c r="C233" s="61" t="s">
        <v>60</v>
      </c>
      <c r="D233" s="57">
        <f>SUM(D229:D232)</f>
        <v>85655.116927020252</v>
      </c>
      <c r="E233" s="54">
        <f>D233/D233</f>
        <v>1</v>
      </c>
    </row>
  </sheetData>
  <mergeCells count="27">
    <mergeCell ref="D227:E227"/>
    <mergeCell ref="D212:E212"/>
    <mergeCell ref="D190:E190"/>
    <mergeCell ref="D198:E198"/>
    <mergeCell ref="D205:E205"/>
    <mergeCell ref="D182:E182"/>
    <mergeCell ref="D175:E175"/>
    <mergeCell ref="D161:E161"/>
    <mergeCell ref="D168:E168"/>
    <mergeCell ref="D154:E154"/>
    <mergeCell ref="D146:E146"/>
    <mergeCell ref="D219:E219"/>
    <mergeCell ref="D56:E56"/>
    <mergeCell ref="D4:E4"/>
    <mergeCell ref="D15:E15"/>
    <mergeCell ref="D25:E25"/>
    <mergeCell ref="D35:E35"/>
    <mergeCell ref="D45:E45"/>
    <mergeCell ref="D84:E84"/>
    <mergeCell ref="D75:E75"/>
    <mergeCell ref="D66:E66"/>
    <mergeCell ref="D138:E138"/>
    <mergeCell ref="D129:E129"/>
    <mergeCell ref="D120:E120"/>
    <mergeCell ref="D102:E102"/>
    <mergeCell ref="D111:E111"/>
    <mergeCell ref="D93:E9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topLeftCell="A49" workbookViewId="0">
      <selection activeCell="I72" sqref="I72"/>
    </sheetView>
  </sheetViews>
  <sheetFormatPr baseColWidth="10" defaultRowHeight="15" x14ac:dyDescent="0.15"/>
  <cols>
    <col min="3" max="3" width="46.5" customWidth="1"/>
    <col min="4" max="4" width="10.83203125" style="7"/>
    <col min="5" max="5" width="20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31" t="s">
        <v>207</v>
      </c>
    </row>
    <row r="65" spans="2:11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  <row r="66" spans="2:11" x14ac:dyDescent="0.15">
      <c r="B66" s="89">
        <v>20170117</v>
      </c>
      <c r="C66" s="89" t="s">
        <v>38</v>
      </c>
      <c r="D66" s="94" t="s">
        <v>117</v>
      </c>
      <c r="E66">
        <v>58106.262763992971</v>
      </c>
      <c r="F66" s="89">
        <v>1</v>
      </c>
      <c r="G66" s="93">
        <v>0</v>
      </c>
      <c r="H66">
        <v>58106.262763992971</v>
      </c>
      <c r="I66" s="89">
        <f>57999.9295598*(1+0.0355/12)</f>
        <v>58171.512684747751</v>
      </c>
      <c r="J66" t="s">
        <v>206</v>
      </c>
      <c r="K66" t="s">
        <v>211</v>
      </c>
    </row>
    <row r="67" spans="2:11" x14ac:dyDescent="0.15">
      <c r="B67" s="89">
        <v>20170123</v>
      </c>
      <c r="C67" s="89" t="s">
        <v>38</v>
      </c>
      <c r="D67" s="94" t="s">
        <v>188</v>
      </c>
      <c r="E67">
        <v>58106.262763992971</v>
      </c>
      <c r="F67" s="89">
        <v>1</v>
      </c>
      <c r="G67" s="93">
        <v>0</v>
      </c>
      <c r="H67">
        <v>58106.262763992971</v>
      </c>
      <c r="I67" s="89">
        <f>I66-455.52</f>
        <v>57715.992684747755</v>
      </c>
      <c r="J67" t="s">
        <v>159</v>
      </c>
    </row>
    <row r="68" spans="2:11" x14ac:dyDescent="0.15">
      <c r="B68" s="89">
        <v>20170123</v>
      </c>
      <c r="C68" s="89" t="s">
        <v>38</v>
      </c>
      <c r="D68" s="94" t="s">
        <v>188</v>
      </c>
      <c r="E68" s="89">
        <f>57715.9926847478+2744.8</f>
        <v>60460.792684747801</v>
      </c>
      <c r="F68" s="89">
        <v>1</v>
      </c>
      <c r="G68" s="93">
        <v>0</v>
      </c>
      <c r="H68">
        <v>60460.792684747801</v>
      </c>
      <c r="I68">
        <v>60460.792684747801</v>
      </c>
    </row>
    <row r="69" spans="2:11" x14ac:dyDescent="0.15">
      <c r="B69" s="89">
        <v>20170308</v>
      </c>
      <c r="C69" s="89" t="s">
        <v>38</v>
      </c>
      <c r="D69" s="94" t="s">
        <v>175</v>
      </c>
      <c r="E69" s="89">
        <f>60460.7926847478*(1+0.03/365*8)</f>
        <v>60500.547726513112</v>
      </c>
      <c r="F69" s="89">
        <v>1</v>
      </c>
      <c r="G69" s="93">
        <v>0</v>
      </c>
      <c r="H69" s="89">
        <f>60460.7926847478*(1+0.024/365*44)</f>
        <v>60635.714868515177</v>
      </c>
      <c r="I69" s="89">
        <f>60460.7926847478*(1+0.024/365*44)</f>
        <v>60635.714868515177</v>
      </c>
    </row>
    <row r="70" spans="2:11" x14ac:dyDescent="0.15">
      <c r="B70" s="89">
        <v>20170316</v>
      </c>
      <c r="C70" s="89" t="s">
        <v>38</v>
      </c>
      <c r="D70" s="94" t="s">
        <v>111</v>
      </c>
      <c r="E70" s="89">
        <f>60635.7148685152*(1+0.03/365*8)</f>
        <v>60675.584927606826</v>
      </c>
      <c r="F70" s="89">
        <v>1</v>
      </c>
      <c r="G70" s="93">
        <v>0</v>
      </c>
      <c r="H70" s="89">
        <v>60675.584927606826</v>
      </c>
      <c r="I70" s="89">
        <v>60675.584927606826</v>
      </c>
    </row>
    <row r="71" spans="2:11" x14ac:dyDescent="0.15">
      <c r="B71" s="89">
        <v>20170317</v>
      </c>
      <c r="C71" s="89" t="s">
        <v>38</v>
      </c>
      <c r="D71" s="94" t="s">
        <v>111</v>
      </c>
      <c r="E71" s="89">
        <f>60675.5849276068*(1+(3+3.949)/365/2/100*32)</f>
        <v>60860.411071020244</v>
      </c>
      <c r="F71" s="89">
        <v>1</v>
      </c>
      <c r="G71" s="93">
        <v>0</v>
      </c>
      <c r="H71" s="89">
        <v>60860.411071020244</v>
      </c>
      <c r="I71" s="89">
        <v>60860.411071020244</v>
      </c>
    </row>
    <row r="72" spans="2:11" x14ac:dyDescent="0.15">
      <c r="B72" s="89">
        <v>20170317</v>
      </c>
      <c r="C72" s="89" t="s">
        <v>38</v>
      </c>
      <c r="D72" s="94" t="s">
        <v>111</v>
      </c>
      <c r="E72" s="89">
        <f>60675.5849276068*(1+(3+3.949)/365/2/100*32)-16</f>
        <v>60844.411071020244</v>
      </c>
      <c r="F72" s="89">
        <v>1</v>
      </c>
      <c r="G72" s="93">
        <v>0</v>
      </c>
      <c r="H72" s="89">
        <v>60844.411071020244</v>
      </c>
      <c r="I72" s="89">
        <v>60844.411071020244</v>
      </c>
      <c r="J72" t="s">
        <v>218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41">
        <v>20160708</v>
      </c>
      <c r="G4" s="141"/>
      <c r="H4" s="141">
        <v>20160712</v>
      </c>
      <c r="I4" s="141"/>
      <c r="J4" s="141">
        <v>20160808</v>
      </c>
      <c r="K4" s="141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41">
        <v>20160810</v>
      </c>
      <c r="F8" s="141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41">
        <v>201605</v>
      </c>
      <c r="D4" s="141"/>
      <c r="E4" s="141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45">
        <v>20160608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7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42">
        <v>20160708</v>
      </c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4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42">
        <v>20160808</v>
      </c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4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42">
        <v>20160825</v>
      </c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4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42">
        <v>20160906</v>
      </c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4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42">
        <v>20160921</v>
      </c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4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C44" sqref="C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opLeftCell="A2" workbookViewId="0">
      <selection activeCell="F29" sqref="F29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 t="shared" ref="F20:F26" si="48">C20/E20</f>
        <v>1.0037200450124233</v>
      </c>
      <c r="G20">
        <f t="shared" ref="G20" si="49">F20-F19</f>
        <v>3.7200450124232898E-3</v>
      </c>
      <c r="H20">
        <v>0</v>
      </c>
      <c r="I20">
        <v>0</v>
      </c>
      <c r="J20">
        <f t="shared" ref="J20" si="50">F20-H20</f>
        <v>1.0037200450124233</v>
      </c>
      <c r="K20">
        <f t="shared" ref="K20" si="51">J20*E20</f>
        <v>82046.17448300001</v>
      </c>
      <c r="L20">
        <f t="shared" ref="L20" si="52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 t="shared" si="48"/>
        <v>0.99531922518649163</v>
      </c>
      <c r="G21">
        <f t="shared" ref="G21" si="53">F21-F20</f>
        <v>-8.4008198259316602E-3</v>
      </c>
      <c r="H21">
        <v>0</v>
      </c>
      <c r="I21">
        <v>0</v>
      </c>
      <c r="J21">
        <f t="shared" ref="J21" si="54">F21-H21</f>
        <v>0.99531922518649163</v>
      </c>
      <c r="K21">
        <f t="shared" ref="K21" si="55">J21*E21</f>
        <v>81359.473910800007</v>
      </c>
      <c r="L21">
        <f t="shared" ref="L21" si="56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 t="shared" si="48"/>
        <v>0.99481587970211183</v>
      </c>
      <c r="G22">
        <f t="shared" ref="G22" si="57">F22-F21</f>
        <v>-5.0334548437980242E-4</v>
      </c>
      <c r="H22">
        <v>0</v>
      </c>
      <c r="I22">
        <v>0</v>
      </c>
      <c r="J22">
        <f t="shared" ref="J22" si="58">F22-H22</f>
        <v>0.99481587970211183</v>
      </c>
      <c r="K22">
        <f t="shared" ref="K22" si="59">J22*E22</f>
        <v>81318.329398800008</v>
      </c>
      <c r="L22">
        <f t="shared" ref="L22" si="60">(F22-F21)*E22</f>
        <v>-41.144512000001228</v>
      </c>
      <c r="M22">
        <v>724.78833305751402</v>
      </c>
    </row>
    <row r="23" spans="1:13" x14ac:dyDescent="0.15">
      <c r="B23">
        <v>20170117</v>
      </c>
      <c r="C23">
        <v>81818.070223747753</v>
      </c>
      <c r="D23">
        <f>C23-C22</f>
        <v>499.74082494774484</v>
      </c>
      <c r="E23">
        <v>81742.090227942492</v>
      </c>
      <c r="F23">
        <f t="shared" si="48"/>
        <v>1.0009295088441388</v>
      </c>
      <c r="G23">
        <f t="shared" ref="G23" si="61">F23-F22</f>
        <v>6.1136291420269551E-3</v>
      </c>
      <c r="H23">
        <v>0</v>
      </c>
      <c r="I23">
        <v>0</v>
      </c>
      <c r="J23">
        <f t="shared" ref="J23" si="62">F23-H23</f>
        <v>1.0009295088441388</v>
      </c>
      <c r="K23">
        <f t="shared" ref="K23" si="63">J23*E23</f>
        <v>81818.070223747753</v>
      </c>
      <c r="L23">
        <f t="shared" ref="L23" si="64">(F23-F22)*E23</f>
        <v>499.74082494774598</v>
      </c>
      <c r="M23">
        <v>724.78833305751402</v>
      </c>
    </row>
    <row r="24" spans="1:13" x14ac:dyDescent="0.15">
      <c r="B24">
        <v>20170122</v>
      </c>
      <c r="C24">
        <v>82197.613689747755</v>
      </c>
      <c r="D24">
        <f>C24-C23</f>
        <v>379.54346600000281</v>
      </c>
      <c r="E24">
        <v>81742.090227942492</v>
      </c>
      <c r="F24">
        <f t="shared" si="48"/>
        <v>1.0055726916272267</v>
      </c>
      <c r="G24">
        <f t="shared" ref="G24" si="65">F24-F23</f>
        <v>4.6431827830879513E-3</v>
      </c>
      <c r="H24">
        <v>0</v>
      </c>
      <c r="I24">
        <v>0</v>
      </c>
      <c r="J24">
        <f t="shared" ref="J24" si="66">F24-H24</f>
        <v>1.0055726916272267</v>
      </c>
      <c r="K24">
        <f t="shared" ref="K24" si="67">J24*E24</f>
        <v>82197.613689747755</v>
      </c>
      <c r="L24">
        <f t="shared" ref="L24" si="68">(F24-F23)*E24</f>
        <v>379.54346600000446</v>
      </c>
      <c r="M24">
        <v>724.78833305751402</v>
      </c>
    </row>
    <row r="25" spans="1:13" x14ac:dyDescent="0.15">
      <c r="A25" t="s">
        <v>159</v>
      </c>
      <c r="B25">
        <v>20170123</v>
      </c>
      <c r="C25">
        <v>82197.613689747755</v>
      </c>
      <c r="D25">
        <f>(F25-1)*E25</f>
        <v>455.52346180526729</v>
      </c>
      <c r="E25">
        <v>81742.090227942492</v>
      </c>
      <c r="F25">
        <f t="shared" si="48"/>
        <v>1.0055726916272267</v>
      </c>
      <c r="G25">
        <f>F25-1</f>
        <v>5.5726916272267335E-3</v>
      </c>
      <c r="H25">
        <v>0</v>
      </c>
      <c r="I25">
        <v>0</v>
      </c>
      <c r="J25">
        <v>1</v>
      </c>
      <c r="K25">
        <f t="shared" ref="K25" si="69">J25*E25</f>
        <v>81742.090227942492</v>
      </c>
      <c r="L25">
        <f t="shared" ref="L25" si="70">(F25-F24)*E25</f>
        <v>0</v>
      </c>
      <c r="M25">
        <f>M24+D25</f>
        <v>1180.3117948627814</v>
      </c>
    </row>
    <row r="26" spans="1:13" x14ac:dyDescent="0.15">
      <c r="A26" t="s">
        <v>217</v>
      </c>
      <c r="B26">
        <v>20170123</v>
      </c>
      <c r="C26">
        <v>84486.893689747798</v>
      </c>
      <c r="D26">
        <f>C26-K25</f>
        <v>2744.8034618053061</v>
      </c>
      <c r="E26">
        <v>84486.893689747798</v>
      </c>
      <c r="F26">
        <f t="shared" si="48"/>
        <v>1</v>
      </c>
      <c r="G26">
        <f>F26-1</f>
        <v>0</v>
      </c>
      <c r="H26">
        <v>0</v>
      </c>
      <c r="I26">
        <v>0</v>
      </c>
      <c r="J26">
        <v>1</v>
      </c>
      <c r="K26">
        <v>84486.893689747798</v>
      </c>
      <c r="L26">
        <f t="shared" ref="L26" si="71">(F26-F25)*E26</f>
        <v>-470.81940507525269</v>
      </c>
      <c r="M26">
        <v>1180.3117948627814</v>
      </c>
    </row>
    <row r="27" spans="1:13" x14ac:dyDescent="0.15">
      <c r="B27">
        <v>20170308</v>
      </c>
      <c r="C27">
        <v>85074.277277515183</v>
      </c>
      <c r="D27">
        <f>C27-K26</f>
        <v>587.3835877673846</v>
      </c>
      <c r="E27">
        <v>84486.893689747798</v>
      </c>
      <c r="F27">
        <f t="shared" ref="F27" si="72">C27/E27</f>
        <v>1.00695236340354</v>
      </c>
      <c r="G27">
        <f>F27-1</f>
        <v>6.9523634035399962E-3</v>
      </c>
      <c r="H27">
        <v>0</v>
      </c>
      <c r="I27">
        <v>0</v>
      </c>
      <c r="J27">
        <v>1</v>
      </c>
      <c r="K27">
        <v>85074.277277515183</v>
      </c>
      <c r="L27">
        <f t="shared" ref="L27" si="73">(F27-F26)*E27</f>
        <v>587.38358776737687</v>
      </c>
      <c r="M27">
        <v>1180.3117948627814</v>
      </c>
    </row>
    <row r="28" spans="1:13" x14ac:dyDescent="0.15">
      <c r="B28">
        <v>20170316</v>
      </c>
      <c r="C28">
        <v>85451.913051606825</v>
      </c>
      <c r="D28">
        <f>C28-K27</f>
        <v>377.63577409164282</v>
      </c>
      <c r="E28">
        <v>84486.893689747798</v>
      </c>
      <c r="F28">
        <f t="shared" ref="F28" si="74">C28/E28</f>
        <v>1.0114221190969899</v>
      </c>
      <c r="G28">
        <f>F28-1</f>
        <v>1.1422119096989869E-2</v>
      </c>
      <c r="H28">
        <v>0</v>
      </c>
      <c r="I28">
        <v>0</v>
      </c>
      <c r="J28">
        <v>1</v>
      </c>
      <c r="K28">
        <v>85451.913051606825</v>
      </c>
      <c r="L28">
        <f>(F28-F27)*E28</f>
        <v>377.63577409164435</v>
      </c>
      <c r="M28">
        <v>1180.3117948627814</v>
      </c>
    </row>
    <row r="29" spans="1:13" x14ac:dyDescent="0.15">
      <c r="B29">
        <v>20170417</v>
      </c>
      <c r="C29">
        <v>85655.116927020252</v>
      </c>
      <c r="D29">
        <f>C29-K28</f>
        <v>203.20387541342643</v>
      </c>
      <c r="E29">
        <v>84486.893689747798</v>
      </c>
      <c r="F29">
        <f t="shared" ref="F29" si="75">C29/E29</f>
        <v>1.0138272717371097</v>
      </c>
      <c r="G29">
        <f>F29-1</f>
        <v>1.3827271737109736E-2</v>
      </c>
      <c r="H29">
        <v>0</v>
      </c>
      <c r="I29">
        <v>0</v>
      </c>
      <c r="J29">
        <v>1</v>
      </c>
      <c r="K29">
        <v>85655.116927020252</v>
      </c>
      <c r="L29">
        <f>(F29-F28)*E29</f>
        <v>203.2038754134235</v>
      </c>
      <c r="M29">
        <v>1180.3117948627814</v>
      </c>
    </row>
    <row r="31" spans="1:13" x14ac:dyDescent="0.15">
      <c r="E31">
        <f>E26-E25</f>
        <v>2744.8034618053061</v>
      </c>
    </row>
    <row r="32" spans="1:13" ht="23" x14ac:dyDescent="0.3">
      <c r="D32" s="64">
        <v>42243.189713341802</v>
      </c>
      <c r="E32">
        <f>E28-D32</f>
        <v>42243.703976405995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topLeftCell="A15" workbookViewId="0">
      <selection activeCell="D35" sqref="D35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50" t="s">
        <v>157</v>
      </c>
      <c r="K3" s="150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48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49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 t="shared" ref="H21:H26" si="6"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 t="shared" si="6"/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 t="shared" si="6"/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7">H24-H23</f>
        <v>0</v>
      </c>
      <c r="G24" s="64">
        <v>39498.387146740664</v>
      </c>
      <c r="H24" s="64">
        <f t="shared" si="6"/>
        <v>39313.50409101</v>
      </c>
    </row>
    <row r="25" spans="2:11" ht="23" x14ac:dyDescent="0.3">
      <c r="B25" s="48">
        <v>20170117</v>
      </c>
      <c r="C25" s="64" t="s">
        <v>202</v>
      </c>
      <c r="D25" s="64">
        <v>39498.387146740664</v>
      </c>
      <c r="E25" s="64">
        <v>1.0001312674415415</v>
      </c>
      <c r="F25" s="64">
        <f t="shared" ref="F25" si="8">H25-H24</f>
        <v>190.06790795642883</v>
      </c>
      <c r="G25" s="64">
        <v>39498.387146740664</v>
      </c>
      <c r="H25" s="64">
        <f t="shared" si="6"/>
        <v>39503.571998966429</v>
      </c>
    </row>
    <row r="26" spans="2:11" ht="23" x14ac:dyDescent="0.3">
      <c r="B26" s="48">
        <v>20170123</v>
      </c>
      <c r="C26" s="64" t="s">
        <v>202</v>
      </c>
      <c r="D26" s="64">
        <v>39498.387146740664</v>
      </c>
      <c r="E26" s="64">
        <v>1</v>
      </c>
      <c r="F26" s="64">
        <f t="shared" ref="F26" si="9">H26-H25</f>
        <v>-5.1848522257641889</v>
      </c>
      <c r="G26" s="64">
        <v>39498.387146740664</v>
      </c>
      <c r="H26" s="64">
        <f t="shared" si="6"/>
        <v>39498.387146740664</v>
      </c>
    </row>
    <row r="27" spans="2:11" ht="23" x14ac:dyDescent="0.3">
      <c r="B27" s="48">
        <v>20170316</v>
      </c>
      <c r="C27" s="64" t="s">
        <v>202</v>
      </c>
      <c r="D27" s="64">
        <v>42243.703976405995</v>
      </c>
      <c r="E27" s="64">
        <v>1.0114221190969899</v>
      </c>
      <c r="F27" s="64">
        <f t="shared" ref="F27" si="10">H27-H26</f>
        <v>3227.8294475818257</v>
      </c>
      <c r="G27" s="64">
        <v>42243.703976405995</v>
      </c>
      <c r="H27" s="64">
        <f t="shared" ref="H27" si="11">E27*G27</f>
        <v>42726.21659432249</v>
      </c>
    </row>
    <row r="33" spans="3:3" x14ac:dyDescent="0.15">
      <c r="C33" s="110">
        <f>D27+'216资产报告'!D26</f>
        <v>84486.893689747798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abSelected="1" topLeftCell="A3" workbookViewId="0">
      <pane ySplit="2" topLeftCell="A27" activePane="bottomLeft" state="frozen"/>
      <selection activeCell="A3" sqref="A3"/>
      <selection pane="bottomLeft" activeCell="H44" sqref="H44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22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48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49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>E18*D18</f>
        <v>84.963968800295589</v>
      </c>
      <c r="G18" s="64">
        <f t="shared" ref="G18:G19" si="26">D18</f>
        <v>42243.189713341802</v>
      </c>
      <c r="H18" s="64">
        <f t="shared" ref="H18:H19" si="27">E18*D18</f>
        <v>84.963968800295589</v>
      </c>
      <c r="I18" s="64">
        <f t="shared" ref="I18" si="28">H18-40000+560.38</f>
        <v>-39354.656031199709</v>
      </c>
      <c r="J18" s="64">
        <f t="shared" ref="J18:J19" si="29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ref="F19" si="30">E19*D19-H18</f>
        <v>42158.225744541509</v>
      </c>
      <c r="G19" s="64">
        <f t="shared" si="26"/>
        <v>42243.189713341802</v>
      </c>
      <c r="H19" s="64">
        <f t="shared" si="27"/>
        <v>42243.189713341802</v>
      </c>
      <c r="I19" s="64">
        <f>H19-40000+645.34</f>
        <v>2888.5297133418026</v>
      </c>
      <c r="J19" s="64">
        <f t="shared" si="29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  <row r="22" spans="2:12" s="110" customFormat="1" ht="23" x14ac:dyDescent="0.3">
      <c r="B22" s="48">
        <v>20170117</v>
      </c>
      <c r="C22" s="64" t="s">
        <v>183</v>
      </c>
      <c r="D22" s="64">
        <v>42243.189713341802</v>
      </c>
      <c r="E22" s="41">
        <v>1.0009295088441388</v>
      </c>
      <c r="F22" s="64">
        <f t="shared" ref="F22" si="39">E22*D22-H21</f>
        <v>258.25919568365498</v>
      </c>
      <c r="G22" s="64">
        <f t="shared" ref="G22" si="40">D22</f>
        <v>42243.189713341802</v>
      </c>
      <c r="H22" s="64">
        <f t="shared" ref="H22" si="41">E22*D22</f>
        <v>42282.455131784984</v>
      </c>
      <c r="I22" s="64">
        <f>H22-40000+645.34</f>
        <v>2927.7951317849838</v>
      </c>
      <c r="J22" s="64">
        <f t="shared" ref="J22" si="42">I22/40000</f>
        <v>7.3194878294624593E-2</v>
      </c>
      <c r="K22" s="64">
        <v>645.34396880029556</v>
      </c>
      <c r="L22" s="64">
        <v>1.6133599220007389E-2</v>
      </c>
    </row>
    <row r="23" spans="2:12" s="110" customFormat="1" ht="23" x14ac:dyDescent="0.3">
      <c r="B23" s="48">
        <v>20170122</v>
      </c>
      <c r="C23" s="64" t="s">
        <v>183</v>
      </c>
      <c r="D23" s="64">
        <v>42243.189713341802</v>
      </c>
      <c r="E23" s="41">
        <v>1.0055726916272267</v>
      </c>
      <c r="F23" s="64">
        <f t="shared" ref="F23" si="43">E23*D23-H22</f>
        <v>196.14285117970576</v>
      </c>
      <c r="G23" s="64">
        <f t="shared" ref="G23" si="44">D23</f>
        <v>42243.189713341802</v>
      </c>
      <c r="H23" s="64">
        <f t="shared" ref="H23" si="45">E23*D23</f>
        <v>42478.597982964689</v>
      </c>
      <c r="I23" s="64">
        <f>H23-40000+645.34</f>
        <v>3123.9379829646896</v>
      </c>
      <c r="J23" s="64">
        <f t="shared" ref="J23" si="46">I23/40000</f>
        <v>7.809844957411724E-2</v>
      </c>
      <c r="K23" s="64">
        <v>645.34396880029556</v>
      </c>
      <c r="L23" s="64">
        <v>1.6133599220007389E-2</v>
      </c>
    </row>
    <row r="24" spans="2:12" s="110" customFormat="1" ht="23" x14ac:dyDescent="0.3">
      <c r="B24" s="48">
        <v>20170123</v>
      </c>
      <c r="C24" s="64" t="s">
        <v>183</v>
      </c>
      <c r="D24" s="64">
        <v>42243.189713341802</v>
      </c>
      <c r="E24" s="41">
        <v>1</v>
      </c>
      <c r="F24" s="64">
        <f t="shared" ref="F24" si="47">E24*D24-H23</f>
        <v>-235.40826962288702</v>
      </c>
      <c r="G24" s="64">
        <f t="shared" ref="G24" si="48">D24</f>
        <v>42243.189713341802</v>
      </c>
      <c r="H24" s="64">
        <f t="shared" ref="H24" si="49">E24*D24</f>
        <v>42243.189713341802</v>
      </c>
      <c r="I24" s="64">
        <f>H24-40000+645.34-F24</f>
        <v>3123.9379829646896</v>
      </c>
      <c r="J24" s="64">
        <f>I24/40000</f>
        <v>7.809844957411724E-2</v>
      </c>
      <c r="K24" s="64">
        <f>K23-F24</f>
        <v>880.75223842318258</v>
      </c>
      <c r="L24" s="64">
        <f>K24/40000</f>
        <v>2.2018805960579563E-2</v>
      </c>
    </row>
    <row r="25" spans="2:12" s="110" customFormat="1" ht="23" x14ac:dyDescent="0.3">
      <c r="B25" s="48">
        <v>20170308</v>
      </c>
      <c r="C25" s="64" t="s">
        <v>183</v>
      </c>
      <c r="D25" s="64">
        <v>42243.189713341802</v>
      </c>
      <c r="E25" s="41">
        <v>1.00695236340354</v>
      </c>
      <c r="F25" s="64">
        <f t="shared" ref="F25" si="50">E25*D25-H24</f>
        <v>293.69000621183659</v>
      </c>
      <c r="G25" s="64">
        <f t="shared" ref="G25" si="51">D25</f>
        <v>42243.189713341802</v>
      </c>
      <c r="H25" s="64">
        <f t="shared" ref="H25" si="52">E25*D25</f>
        <v>42536.879719553639</v>
      </c>
      <c r="I25" s="64">
        <f>H25-40000+880.75</f>
        <v>3417.629719553639</v>
      </c>
      <c r="J25" s="64">
        <f>I25/40000</f>
        <v>8.5440742988840981E-2</v>
      </c>
      <c r="K25" s="64">
        <v>880.75223842318258</v>
      </c>
      <c r="L25" s="64">
        <f>K25/40000</f>
        <v>2.2018805960579563E-2</v>
      </c>
    </row>
    <row r="26" spans="2:12" s="110" customFormat="1" ht="23" x14ac:dyDescent="0.3">
      <c r="B26" s="48">
        <v>20170316</v>
      </c>
      <c r="C26" s="64" t="s">
        <v>183</v>
      </c>
      <c r="D26" s="64">
        <v>42243.189713341802</v>
      </c>
      <c r="E26" s="41">
        <v>1.0114221190969899</v>
      </c>
      <c r="F26" s="64">
        <f t="shared" ref="F26" si="53">E26*D26-H25</f>
        <v>188.81673773068906</v>
      </c>
      <c r="G26" s="64">
        <f t="shared" ref="G26" si="54">D26</f>
        <v>42243.189713341802</v>
      </c>
      <c r="H26" s="64">
        <f t="shared" ref="H26" si="55">E26*D26</f>
        <v>42725.696457284328</v>
      </c>
      <c r="I26" s="64">
        <f>H26-40000+880.75</f>
        <v>3606.4464572843281</v>
      </c>
      <c r="J26" s="64">
        <f>I26/40000</f>
        <v>9.01611614321082E-2</v>
      </c>
      <c r="K26" s="64">
        <v>880.75223842318258</v>
      </c>
      <c r="L26" s="64">
        <f>K26/40000</f>
        <v>2.2018805960579563E-2</v>
      </c>
    </row>
    <row r="27" spans="2:12" s="110" customFormat="1" ht="23" x14ac:dyDescent="0.3">
      <c r="B27" s="48">
        <v>20170417</v>
      </c>
      <c r="C27" s="64" t="s">
        <v>183</v>
      </c>
      <c r="D27" s="64">
        <v>42243.189713341802</v>
      </c>
      <c r="E27" s="41">
        <v>1.0138272717371097</v>
      </c>
      <c r="F27" s="64">
        <f t="shared" ref="F27" si="56">E27*D27-H26</f>
        <v>101.60131926612667</v>
      </c>
      <c r="G27" s="64">
        <f t="shared" ref="G27" si="57">D27</f>
        <v>42243.189713341802</v>
      </c>
      <c r="H27" s="64">
        <f t="shared" ref="H27" si="58">E27*D27</f>
        <v>42827.297776550455</v>
      </c>
      <c r="I27" s="64">
        <f>H27-40000+880.75</f>
        <v>3708.0477765504547</v>
      </c>
      <c r="J27" s="64">
        <f>I27/40000</f>
        <v>9.2701194413761373E-2</v>
      </c>
      <c r="K27" s="64">
        <v>880.75223842318258</v>
      </c>
      <c r="L27" s="64">
        <f>K27/40000</f>
        <v>2.2018805960579563E-2</v>
      </c>
    </row>
    <row r="28" spans="2:12" s="110" customFormat="1" x14ac:dyDescent="0.15"/>
    <row r="29" spans="2:12" s="110" customFormat="1" x14ac:dyDescent="0.15"/>
    <row r="30" spans="2:12" s="110" customFormat="1" x14ac:dyDescent="0.15"/>
    <row r="31" spans="2:12" s="110" customFormat="1" x14ac:dyDescent="0.15"/>
    <row r="32" spans="2:12" s="110" customFormat="1" x14ac:dyDescent="0.15"/>
    <row r="33" s="110" customFormat="1" x14ac:dyDescent="0.15"/>
    <row r="34" s="110" customFormat="1" x14ac:dyDescent="0.15"/>
    <row r="35" s="110" customFormat="1" x14ac:dyDescent="0.15"/>
    <row r="36" s="110" customFormat="1" x14ac:dyDescent="0.15"/>
    <row r="37" s="110" customFormat="1" x14ac:dyDescent="0.15"/>
    <row r="38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11" sqref="D11"/>
    </sheetView>
  </sheetViews>
  <sheetFormatPr baseColWidth="10" defaultRowHeight="23" x14ac:dyDescent="0.3"/>
  <cols>
    <col min="1" max="2" width="10.83203125" style="133"/>
    <col min="3" max="4" width="13.83203125" style="133" bestFit="1" customWidth="1"/>
    <col min="5" max="16384" width="10.83203125" style="133"/>
  </cols>
  <sheetData>
    <row r="2" spans="2:5" x14ac:dyDescent="0.3">
      <c r="B2" s="134"/>
      <c r="C2" s="134" t="s">
        <v>214</v>
      </c>
      <c r="D2" s="134">
        <v>216</v>
      </c>
      <c r="E2" s="133" t="s">
        <v>215</v>
      </c>
    </row>
    <row r="3" spans="2:5" x14ac:dyDescent="0.3">
      <c r="B3" s="134" t="s">
        <v>153</v>
      </c>
      <c r="C3" s="134">
        <v>20170123</v>
      </c>
      <c r="D3" s="134">
        <v>20170123</v>
      </c>
    </row>
    <row r="4" spans="2:5" x14ac:dyDescent="0.3">
      <c r="B4" s="134" t="s">
        <v>212</v>
      </c>
      <c r="C4" s="134">
        <v>5.5726916272267335E-3</v>
      </c>
      <c r="D4" s="134">
        <v>5.5726916272267335E-3</v>
      </c>
    </row>
    <row r="5" spans="2:5" x14ac:dyDescent="0.3">
      <c r="B5" s="134" t="s">
        <v>213</v>
      </c>
      <c r="C5" s="134">
        <v>39498.387146740664</v>
      </c>
      <c r="D5" s="134">
        <v>42243.189713341802</v>
      </c>
      <c r="E5" s="133">
        <f>C5+D5</f>
        <v>81741.576860082467</v>
      </c>
    </row>
    <row r="6" spans="2:5" x14ac:dyDescent="0.3">
      <c r="B6" s="134" t="s">
        <v>60</v>
      </c>
      <c r="C6" s="134">
        <f>C4*C5</f>
        <v>220.11233134160173</v>
      </c>
      <c r="D6" s="134">
        <f>D4*D5</f>
        <v>235.40826962289034</v>
      </c>
      <c r="E6" s="133">
        <f>C6+D6</f>
        <v>455.52060096449208</v>
      </c>
    </row>
    <row r="8" spans="2:5" x14ac:dyDescent="0.3">
      <c r="C8" s="133">
        <f>D5-C5</f>
        <v>2744.8025666011381</v>
      </c>
    </row>
    <row r="10" spans="2:5" x14ac:dyDescent="0.3">
      <c r="D10" s="133">
        <f>D5*2</f>
        <v>84486.379426683605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分红记录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  <vt:lpstr>投资记录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2017-04-17T15:06:38Z</dcterms:modified>
</cp:coreProperties>
</file>