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500" tabRatio="500" firstSheet="2" activeTab="2"/>
  </bookViews>
  <sheets>
    <sheet name="工作表1" sheetId="1" state="hidden" r:id="rId1"/>
    <sheet name="余额宝" sheetId="7" state="hidden" r:id="rId2"/>
    <sheet name="投资者权益表" sheetId="6" r:id="rId3"/>
    <sheet name="易H股ETF联接（110031）" sheetId="2" state="hidden" r:id="rId4"/>
    <sheet name="打包资产统计" sheetId="3" state="hidden" r:id="rId5"/>
    <sheet name="资产结构" sheetId="8" r:id="rId6"/>
    <sheet name="Operation" sheetId="9" state="hidden" r:id="rId7"/>
    <sheet name="余额宝损益表" sheetId="11" r:id="rId8"/>
    <sheet name="策略" sheetId="10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4" i="6" l="1"/>
  <c r="L37" i="6"/>
  <c r="K37" i="6"/>
  <c r="K38" i="6"/>
  <c r="C27" i="11"/>
  <c r="I21" i="11"/>
  <c r="H21" i="11"/>
  <c r="F52" i="8"/>
  <c r="D52" i="8"/>
  <c r="D53" i="8"/>
  <c r="C46" i="6"/>
  <c r="C18" i="11"/>
  <c r="H20" i="11"/>
  <c r="I20" i="11"/>
  <c r="D47" i="8"/>
  <c r="F48" i="8"/>
  <c r="H48" i="8"/>
  <c r="D48" i="8"/>
  <c r="H49" i="8"/>
  <c r="D49" i="8"/>
  <c r="H50" i="8"/>
  <c r="D50" i="8"/>
  <c r="H51" i="8"/>
  <c r="D51" i="8"/>
  <c r="H52" i="8"/>
  <c r="E53" i="8"/>
  <c r="E52" i="8"/>
  <c r="E51" i="8"/>
  <c r="E50" i="8"/>
  <c r="E49" i="8"/>
  <c r="E48" i="8"/>
  <c r="H47" i="8"/>
  <c r="E47" i="8"/>
  <c r="C4" i="11"/>
  <c r="D37" i="8"/>
  <c r="I37" i="8"/>
  <c r="H39" i="8"/>
  <c r="D39" i="8"/>
  <c r="H41" i="8"/>
  <c r="D41" i="8"/>
  <c r="H40" i="8"/>
  <c r="D40" i="8"/>
  <c r="H7" i="11"/>
  <c r="H6" i="11"/>
  <c r="I6" i="11"/>
  <c r="I7" i="11"/>
  <c r="I8" i="11"/>
  <c r="I9" i="11"/>
  <c r="I10" i="11"/>
  <c r="C13" i="11"/>
  <c r="F42" i="8"/>
  <c r="H9" i="11"/>
  <c r="G9" i="11"/>
  <c r="H10" i="11"/>
  <c r="H8" i="11"/>
  <c r="H42" i="8"/>
  <c r="D42" i="8"/>
  <c r="E10" i="7"/>
  <c r="F38" i="8"/>
  <c r="I39" i="8"/>
  <c r="H38" i="8"/>
  <c r="I38" i="8"/>
  <c r="D38" i="8"/>
  <c r="I41" i="8"/>
  <c r="D43" i="8"/>
  <c r="C39" i="6"/>
  <c r="C37" i="6"/>
  <c r="D27" i="8"/>
  <c r="D32" i="8"/>
  <c r="D33" i="8"/>
  <c r="C31" i="6"/>
  <c r="D6" i="8"/>
  <c r="D7" i="8"/>
  <c r="D8" i="8"/>
  <c r="D9" i="8"/>
  <c r="D10" i="8"/>
  <c r="C22" i="6"/>
  <c r="C20" i="6"/>
  <c r="J20" i="6"/>
  <c r="J22" i="6"/>
  <c r="K20" i="6"/>
  <c r="D29" i="6"/>
  <c r="C29" i="6"/>
  <c r="J29" i="6"/>
  <c r="E37" i="6"/>
  <c r="G37" i="6"/>
  <c r="H37" i="6"/>
  <c r="J37" i="6"/>
  <c r="O37" i="6"/>
  <c r="C38" i="6"/>
  <c r="J38" i="6"/>
  <c r="O38" i="6"/>
  <c r="H39" i="6"/>
  <c r="J39" i="6"/>
  <c r="L39" i="6"/>
  <c r="O39" i="6"/>
  <c r="I40" i="8"/>
  <c r="H37" i="8"/>
  <c r="N39" i="6"/>
  <c r="M37" i="6"/>
  <c r="M38" i="6"/>
  <c r="N38" i="6"/>
  <c r="M20" i="6"/>
  <c r="N20" i="6"/>
  <c r="N37" i="6"/>
  <c r="D17" i="8"/>
  <c r="G18" i="2"/>
  <c r="D18" i="2"/>
  <c r="G22" i="2"/>
  <c r="D22" i="2"/>
  <c r="C21" i="6"/>
  <c r="J21" i="6"/>
  <c r="K21" i="6"/>
  <c r="D30" i="6"/>
  <c r="C30" i="6"/>
  <c r="J30" i="6"/>
  <c r="E38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J31" i="6"/>
  <c r="K31" i="6"/>
  <c r="K30" i="6"/>
  <c r="K29" i="6"/>
  <c r="H31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L30" i="6"/>
  <c r="G6" i="7"/>
  <c r="F6" i="7"/>
  <c r="H6" i="7"/>
  <c r="N31" i="6"/>
  <c r="M29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M21" i="6"/>
  <c r="M22" i="6"/>
  <c r="L21" i="6"/>
  <c r="L22" i="6"/>
  <c r="L20" i="6"/>
  <c r="K22" i="6"/>
  <c r="H22" i="6"/>
  <c r="E20" i="6"/>
  <c r="G20" i="6"/>
  <c r="E21" i="6"/>
  <c r="G21" i="6"/>
  <c r="G22" i="6"/>
  <c r="F14" i="6"/>
  <c r="F15" i="6"/>
  <c r="F13" i="6"/>
  <c r="F21" i="6"/>
  <c r="E22" i="6"/>
  <c r="F22" i="6"/>
  <c r="F20" i="6"/>
  <c r="N22" i="6"/>
  <c r="N21" i="6"/>
  <c r="D20" i="6"/>
  <c r="D21" i="6"/>
  <c r="J13" i="6"/>
  <c r="M25" i="6"/>
  <c r="L14" i="6"/>
  <c r="M14" i="6"/>
  <c r="M24" i="6"/>
  <c r="H15" i="6"/>
  <c r="L15" i="6"/>
  <c r="J14" i="6"/>
  <c r="D12" i="8"/>
  <c r="E12" i="8"/>
  <c r="E11" i="8"/>
  <c r="E10" i="8"/>
  <c r="E9" i="8"/>
  <c r="E8" i="8"/>
  <c r="E7" i="8"/>
  <c r="E6" i="8"/>
  <c r="E15" i="6"/>
  <c r="C14" i="6"/>
  <c r="D14" i="6"/>
  <c r="E14" i="6"/>
  <c r="C13" i="6"/>
  <c r="D13" i="6"/>
  <c r="E13" i="6"/>
  <c r="D8" i="6"/>
  <c r="J15" i="6"/>
  <c r="M15" i="6"/>
  <c r="L13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K14" i="6"/>
  <c r="G14" i="6"/>
  <c r="K13" i="6"/>
  <c r="G13" i="6"/>
  <c r="C44" i="6"/>
  <c r="E44" i="6"/>
  <c r="G44" i="6"/>
  <c r="H44" i="6"/>
  <c r="L46" i="6"/>
  <c r="H46" i="6"/>
  <c r="J46" i="6"/>
  <c r="O46" i="6"/>
  <c r="N46" i="6"/>
  <c r="K46" i="6"/>
  <c r="C45" i="6"/>
  <c r="E45" i="6"/>
  <c r="E46" i="6"/>
  <c r="F46" i="6"/>
  <c r="J44" i="6"/>
  <c r="O44" i="6"/>
  <c r="M44" i="6"/>
  <c r="N44" i="6"/>
  <c r="K44" i="6"/>
  <c r="F44" i="6"/>
  <c r="F45" i="6"/>
  <c r="J45" i="6"/>
  <c r="K45" i="6"/>
  <c r="M45" i="6"/>
  <c r="N45" i="6"/>
  <c r="O45" i="6"/>
  <c r="G45" i="6"/>
  <c r="G46" i="6"/>
  <c r="M46" i="6"/>
</calcChain>
</file>

<file path=xl/sharedStrings.xml><?xml version="1.0" encoding="utf-8"?>
<sst xmlns="http://schemas.openxmlformats.org/spreadsheetml/2006/main" count="295" uniqueCount="113">
  <si>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</si>
  <si>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</si>
  <si>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</si>
  <si>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</si>
  <si>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</si>
  <si>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</si>
  <si>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</si>
  <si>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</si>
  <si>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</si>
  <si>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</si>
  <si>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</si>
  <si>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</si>
  <si>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</si>
  <si>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</si>
  <si>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</si>
  <si>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</si>
  <si>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</si>
  <si>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</si>
  <si>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</si>
  <si>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</si>
  <si>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</si>
  <si>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</si>
  <si>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</si>
  <si>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</si>
  <si>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</si>
  <si>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</si>
  <si>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</si>
  <si>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</si>
  <si>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</si>
  <si>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</si>
  <si>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</si>
  <si>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</si>
  <si>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</si>
  <si>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</si>
  <si>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</si>
  <si>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</si>
  <si>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</si>
  <si>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</si>
  <si>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</si>
  <si>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</si>
  <si>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</si>
  <si>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</si>
  <si>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</si>
  <si>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</si>
  <si>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</si>
  <si>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</si>
  <si>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</si>
  <si>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</si>
  <si>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</si>
  <si>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</si>
  <si>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</si>
  <si>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</si>
  <si>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</si>
  <si>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</si>
  <si>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</si>
  <si>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</si>
  <si>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</si>
  <si>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</si>
  <si>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</si>
  <si>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</si>
  <si>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</si>
  <si>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</si>
  <si>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</si>
  <si>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</si>
  <si>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</si>
  <si>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</si>
  <si>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</si>
  <si>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</si>
  <si>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</si>
  <si>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</si>
  <si>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</si>
  <si>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</si>
  <si>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</si>
  <si>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</si>
  <si>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</si>
  <si>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</si>
  <si>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</si>
  <si>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</si>
  <si>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</si>
  <si>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</si>
  <si>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</si>
  <si>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</si>
  <si>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</si>
  <si>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</si>
  <si>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</si>
  <si>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</si>
  <si>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</si>
  <si>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</si>
  <si>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</si>
  <si>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</si>
  <si>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</si>
  <si>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</si>
  <si>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</si>
  <si>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</si>
  <si>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</si>
  <si>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</si>
  <si>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9月基值</t>
    <rPh sb="1" eb="2">
      <t>yue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</si>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</sst>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</numFmts>
  <fonts count="9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01" t="s">
        <v>0</v>
      </c>
      <c r="C17" s="101" t="s">
        <v>1</v>
      </c>
      <c r="D17" s="101">
        <v>7000</v>
      </c>
      <c r="E17" s="102">
        <v>7013.3</v>
      </c>
      <c r="F17" s="4"/>
      <c r="G17" s="100">
        <v>7058.1</v>
      </c>
      <c r="H17" s="100"/>
      <c r="I17" s="100"/>
    </row>
    <row r="18" spans="2:9" ht="18" x14ac:dyDescent="0.2">
      <c r="B18" s="101"/>
      <c r="C18" s="101"/>
      <c r="D18" s="101"/>
      <c r="E18" s="102"/>
      <c r="F18" s="4"/>
      <c r="G18" s="100"/>
      <c r="H18" s="100"/>
      <c r="I18" s="100"/>
    </row>
    <row r="19" spans="2:9" ht="18" x14ac:dyDescent="0.2">
      <c r="B19" s="101" t="s">
        <v>2</v>
      </c>
      <c r="C19" s="101" t="s">
        <v>3</v>
      </c>
      <c r="D19" s="101">
        <v>10000</v>
      </c>
      <c r="E19" s="102">
        <v>10623.79</v>
      </c>
      <c r="F19" s="4"/>
      <c r="G19" s="100"/>
      <c r="H19" s="100"/>
      <c r="I19" s="100"/>
    </row>
    <row r="20" spans="2:9" ht="18" x14ac:dyDescent="0.2">
      <c r="B20" s="101"/>
      <c r="C20" s="101"/>
      <c r="D20" s="101"/>
      <c r="E20" s="102"/>
      <c r="F20" s="4"/>
      <c r="G20" s="100"/>
      <c r="H20" s="100"/>
      <c r="I20" s="100"/>
    </row>
    <row r="21" spans="2:9" ht="18" x14ac:dyDescent="0.2">
      <c r="B21" s="101" t="s">
        <v>4</v>
      </c>
      <c r="C21" s="101" t="s">
        <v>3</v>
      </c>
      <c r="D21" s="101">
        <v>10000</v>
      </c>
      <c r="E21" s="102">
        <v>10065.91</v>
      </c>
      <c r="F21" s="4"/>
      <c r="G21" s="100"/>
      <c r="H21" s="100"/>
      <c r="I21" s="100"/>
    </row>
    <row r="22" spans="2:9" ht="18" x14ac:dyDescent="0.2">
      <c r="B22" s="101"/>
      <c r="C22" s="101"/>
      <c r="D22" s="101"/>
      <c r="E22" s="102"/>
      <c r="F22" s="4"/>
      <c r="G22" s="100"/>
      <c r="H22" s="100"/>
      <c r="I22" s="100"/>
    </row>
    <row r="23" spans="2:9" ht="18" x14ac:dyDescent="0.2">
      <c r="B23" s="101" t="s">
        <v>5</v>
      </c>
      <c r="C23" s="101" t="s">
        <v>1</v>
      </c>
      <c r="D23" s="101">
        <v>10000</v>
      </c>
      <c r="E23" s="102">
        <v>10809.31</v>
      </c>
      <c r="F23" s="4"/>
      <c r="G23" s="100"/>
      <c r="H23" s="100"/>
      <c r="I23" s="100"/>
    </row>
    <row r="24" spans="2:9" ht="18" x14ac:dyDescent="0.2">
      <c r="B24" s="101"/>
      <c r="C24" s="101"/>
      <c r="D24" s="101"/>
      <c r="E24" s="102"/>
      <c r="F24" s="4"/>
      <c r="G24" s="100"/>
      <c r="H24" s="100"/>
      <c r="I24" s="100"/>
    </row>
    <row r="25" spans="2:9" ht="18" x14ac:dyDescent="0.2">
      <c r="B25" s="101" t="s">
        <v>6</v>
      </c>
      <c r="C25" s="101" t="s">
        <v>1</v>
      </c>
      <c r="D25" s="101">
        <v>1000</v>
      </c>
      <c r="E25" s="102">
        <v>1053.7</v>
      </c>
      <c r="F25" s="4"/>
      <c r="G25" s="100"/>
      <c r="H25" s="100"/>
      <c r="I25" s="100"/>
    </row>
    <row r="26" spans="2:9" ht="18" x14ac:dyDescent="0.2">
      <c r="B26" s="101"/>
      <c r="C26" s="101"/>
      <c r="D26" s="101"/>
      <c r="E26" s="102"/>
      <c r="F26" s="4"/>
      <c r="G26" s="100"/>
      <c r="H26" s="100"/>
      <c r="I26" s="100"/>
    </row>
    <row r="27" spans="2:9" ht="18" x14ac:dyDescent="0.2">
      <c r="B27" s="101" t="s">
        <v>7</v>
      </c>
      <c r="C27" s="101" t="s">
        <v>8</v>
      </c>
      <c r="D27" s="101">
        <v>22000</v>
      </c>
      <c r="E27" s="102">
        <v>21825.21</v>
      </c>
      <c r="F27" s="4"/>
      <c r="G27" s="100"/>
      <c r="H27" s="100"/>
      <c r="I27" s="100"/>
    </row>
    <row r="28" spans="2:9" ht="18" x14ac:dyDescent="0.2">
      <c r="B28" s="101"/>
      <c r="C28" s="101"/>
      <c r="D28" s="101"/>
      <c r="E28" s="102"/>
      <c r="F28" s="4"/>
      <c r="G28" s="100"/>
      <c r="H28" s="100"/>
      <c r="I28" s="100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H17:H18"/>
    <mergeCell ref="I17:I18"/>
    <mergeCell ref="B17:B18"/>
    <mergeCell ref="C17:C18"/>
    <mergeCell ref="D17:D18"/>
    <mergeCell ref="E17:E18"/>
    <mergeCell ref="G17:G18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27:I28"/>
    <mergeCell ref="B27:B28"/>
    <mergeCell ref="C27:C28"/>
    <mergeCell ref="D27:D28"/>
    <mergeCell ref="E27:E28"/>
    <mergeCell ref="G27:G28"/>
    <mergeCell ref="H27:H2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03">
        <v>20160708</v>
      </c>
      <c r="G4" s="103"/>
      <c r="H4" s="103">
        <v>20160712</v>
      </c>
      <c r="I4" s="103"/>
      <c r="J4" s="103">
        <v>20160808</v>
      </c>
      <c r="K4" s="103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03">
        <v>20160810</v>
      </c>
      <c r="F8" s="103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47"/>
  <sheetViews>
    <sheetView tabSelected="1" topLeftCell="A26" zoomScale="75" zoomScaleNormal="75" zoomScalePageLayoutView="75" workbookViewId="0">
      <selection activeCell="J54" sqref="J54"/>
    </sheetView>
  </sheetViews>
  <sheetFormatPr baseColWidth="10" defaultRowHeight="23" x14ac:dyDescent="0.3"/>
  <cols>
    <col min="1" max="1" width="10.83203125" style="9"/>
    <col min="2" max="2" width="10.83203125" style="10"/>
    <col min="3" max="3" width="16.6640625" style="9" bestFit="1" customWidth="1"/>
    <col min="4" max="4" width="16" style="9" bestFit="1" customWidth="1"/>
    <col min="5" max="5" width="24.1640625" style="9" customWidth="1"/>
    <col min="6" max="6" width="16" style="9" customWidth="1"/>
    <col min="7" max="9" width="15.6640625" style="9" customWidth="1"/>
    <col min="10" max="10" width="23" style="9" customWidth="1"/>
    <col min="11" max="11" width="26.16406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03">
        <v>201605</v>
      </c>
      <c r="D4" s="103"/>
      <c r="E4" s="103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07">
        <v>20160608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9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04">
        <v>20160708</v>
      </c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6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04">
        <v>20160808</v>
      </c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6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67">
        <f>J29/J31</f>
        <v>0.66509358314575606</v>
      </c>
      <c r="L29" s="66">
        <v>289.99299999999999</v>
      </c>
      <c r="M29" s="66">
        <f>C29+L29-40000</f>
        <v>1517.1153275836696</v>
      </c>
      <c r="N29" s="65">
        <f>M29/40000</f>
        <v>3.7927883189591741E-2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67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2243.1393000000135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04">
        <v>20160825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6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42300.346964542856</v>
      </c>
      <c r="D37" s="66">
        <v>0.66500000000000004</v>
      </c>
      <c r="E37" s="66">
        <f>C37-J29</f>
        <v>1140.3546369591859</v>
      </c>
      <c r="F37" s="66">
        <f>E37/C37</f>
        <v>2.6958517335922989E-2</v>
      </c>
      <c r="G37" s="66">
        <f>E37*0.2</f>
        <v>228.07092739183719</v>
      </c>
      <c r="H37" s="85">
        <f>ROUND(G37,2)</f>
        <v>228.07</v>
      </c>
      <c r="I37" s="66">
        <v>0</v>
      </c>
      <c r="J37" s="66">
        <f>C37-H37</f>
        <v>42072.276964542856</v>
      </c>
      <c r="K37" s="133">
        <f>J37/J39</f>
        <v>0.66379454602729471</v>
      </c>
      <c r="L37" s="66">
        <f>289.93+H37</f>
        <v>518</v>
      </c>
      <c r="M37" s="66">
        <f>J37+L37-40000</f>
        <v>2590.2769645428561</v>
      </c>
      <c r="N37" s="64">
        <f>M37/40000</f>
        <v>6.475692411357141E-2</v>
      </c>
      <c r="O37" s="19">
        <f t="shared" ref="O37:O38" si="10">J37+L37</f>
        <v>42590.276964542856</v>
      </c>
    </row>
    <row r="38" spans="2:16" x14ac:dyDescent="0.3">
      <c r="B38" s="40" t="s">
        <v>32</v>
      </c>
      <c r="C38" s="66">
        <f>C39*D38</f>
        <v>21309.197343040385</v>
      </c>
      <c r="D38" s="66">
        <v>0.33500000000000002</v>
      </c>
      <c r="E38" s="66">
        <f>C38-J30</f>
        <v>583.17337062404113</v>
      </c>
      <c r="F38" s="66">
        <f t="shared" ref="F38:F39" si="11">E38/C38</f>
        <v>2.7367214317647982E-2</v>
      </c>
      <c r="G38" s="66">
        <f>E38*0.2</f>
        <v>116.63467412480823</v>
      </c>
      <c r="H38" s="66">
        <v>0</v>
      </c>
      <c r="I38" s="66">
        <v>0</v>
      </c>
      <c r="J38" s="66">
        <f t="shared" ref="J38" si="12">C38-H38</f>
        <v>21309.197343040385</v>
      </c>
      <c r="K38" s="133">
        <f>J38/J39</f>
        <v>0.3362054539727054</v>
      </c>
      <c r="L38" s="66">
        <v>0</v>
      </c>
      <c r="M38" s="66">
        <f>C38-20000</f>
        <v>1309.197343040385</v>
      </c>
      <c r="N38" s="64">
        <f>M38/20000</f>
        <v>6.5459867152019249E-2</v>
      </c>
      <c r="O38" s="19">
        <f t="shared" si="10"/>
        <v>21309.197343040385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1723.528007583227</v>
      </c>
      <c r="F39" s="69">
        <f t="shared" si="11"/>
        <v>2.709543082480086E-2</v>
      </c>
      <c r="G39" s="69">
        <f>G37+G38</f>
        <v>344.7056015166454</v>
      </c>
      <c r="H39" s="69">
        <f>SUM(H37:H38)</f>
        <v>228.07</v>
      </c>
      <c r="I39" s="69">
        <v>0</v>
      </c>
      <c r="J39" s="69">
        <f>C39-H39</f>
        <v>63381.474307583238</v>
      </c>
      <c r="K39" s="70">
        <f>J39/J39</f>
        <v>1</v>
      </c>
      <c r="L39" s="69">
        <f>L37+L38</f>
        <v>518</v>
      </c>
      <c r="M39" s="69">
        <f>M37+M38</f>
        <v>3899.4743075832412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04">
        <v>20160908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6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42084.481887809801</v>
      </c>
      <c r="D44" s="133">
        <v>0.66379454602729471</v>
      </c>
      <c r="E44" s="66">
        <f>C44-J37</f>
        <v>12.204923266945116</v>
      </c>
      <c r="F44" s="66">
        <f>E44/C44</f>
        <v>2.9001006355457582E-4</v>
      </c>
      <c r="G44" s="66">
        <f>E44*0.2</f>
        <v>2.4409846533890232</v>
      </c>
      <c r="H44" s="85">
        <f>ROUND(G44,2)</f>
        <v>2.44</v>
      </c>
      <c r="I44" s="66">
        <v>0</v>
      </c>
      <c r="J44" s="66">
        <f>C44-H44</f>
        <v>42082.041887809799</v>
      </c>
      <c r="K44" s="67">
        <f>J44/J46</f>
        <v>0.66378160636356742</v>
      </c>
      <c r="L44" s="66">
        <f>518+H44</f>
        <v>520.44000000000005</v>
      </c>
      <c r="M44" s="66">
        <f>J44+L44-40000</f>
        <v>2602.4818878098013</v>
      </c>
      <c r="N44" s="64">
        <f>M44/40000</f>
        <v>6.5062047195245026E-2</v>
      </c>
      <c r="O44" s="19">
        <f t="shared" ref="O44:O45" si="13">J44+L44</f>
        <v>42602.481887809801</v>
      </c>
    </row>
    <row r="45" spans="2:16" x14ac:dyDescent="0.3">
      <c r="B45" s="40" t="s">
        <v>32</v>
      </c>
      <c r="C45" s="66">
        <f>C46*D45</f>
        <v>21315.379017463929</v>
      </c>
      <c r="D45" s="133">
        <v>0.3362054539727054</v>
      </c>
      <c r="E45" s="66">
        <f>C45-J38</f>
        <v>6.1816744235438819</v>
      </c>
      <c r="F45" s="66">
        <f t="shared" ref="F45:F46" si="14">E45/C45</f>
        <v>2.9001006355454281E-4</v>
      </c>
      <c r="G45" s="66">
        <f>E45*0.2</f>
        <v>1.2363348847087765</v>
      </c>
      <c r="H45" s="66">
        <v>0</v>
      </c>
      <c r="I45" s="66">
        <v>0</v>
      </c>
      <c r="J45" s="66">
        <f t="shared" ref="J45" si="15">C45-H45</f>
        <v>21315.379017463929</v>
      </c>
      <c r="K45" s="67">
        <f>J45/J46</f>
        <v>0.33621839363643274</v>
      </c>
      <c r="L45" s="66">
        <v>0</v>
      </c>
      <c r="M45" s="66">
        <f>C45-20000</f>
        <v>1315.3790174639289</v>
      </c>
      <c r="N45" s="64">
        <f>M45/20000</f>
        <v>6.5768950873196438E-2</v>
      </c>
      <c r="O45" s="19">
        <f t="shared" si="13"/>
        <v>21315.379017463929</v>
      </c>
    </row>
    <row r="46" spans="2:16" ht="24" thickBot="1" x14ac:dyDescent="0.35">
      <c r="B46" s="73" t="s">
        <v>43</v>
      </c>
      <c r="C46" s="68">
        <f>资产结构!D53</f>
        <v>63399.860905273723</v>
      </c>
      <c r="D46" s="68">
        <v>1</v>
      </c>
      <c r="E46" s="69">
        <f>SUM(E44:E45)</f>
        <v>18.386597690488998</v>
      </c>
      <c r="F46" s="69">
        <f t="shared" si="14"/>
        <v>2.9001006355456476E-4</v>
      </c>
      <c r="G46" s="69">
        <f>G44+G45</f>
        <v>3.6773195380977999</v>
      </c>
      <c r="H46" s="69">
        <f>SUM(H44:H45)</f>
        <v>2.44</v>
      </c>
      <c r="I46" s="69">
        <v>0</v>
      </c>
      <c r="J46" s="69">
        <f>C46-H46</f>
        <v>63397.420905273721</v>
      </c>
      <c r="K46" s="70">
        <f>J46/J46</f>
        <v>1</v>
      </c>
      <c r="L46" s="69">
        <f>L44+L45</f>
        <v>520.44000000000005</v>
      </c>
      <c r="M46" s="69">
        <f>M44+M45</f>
        <v>3917.8609052737302</v>
      </c>
      <c r="N46" s="87">
        <f>(J46+L46)/60000-1</f>
        <v>6.5297681754562076E-2</v>
      </c>
      <c r="O46" s="22">
        <f>J46+L46</f>
        <v>63917.860905273723</v>
      </c>
    </row>
    <row r="47" spans="2:16" x14ac:dyDescent="0.3">
      <c r="B47" s="97"/>
      <c r="K47" s="97"/>
      <c r="O47" s="98" t="s">
        <v>67</v>
      </c>
      <c r="P47" s="39">
        <v>60800</v>
      </c>
    </row>
  </sheetData>
  <mergeCells count="6"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13" t="s">
        <v>46</v>
      </c>
      <c r="D1" s="113"/>
      <c r="E1" s="113"/>
      <c r="F1" s="113"/>
    </row>
    <row r="3" spans="3:12" ht="24" thickBot="1" x14ac:dyDescent="0.35"/>
    <row r="4" spans="3:12" x14ac:dyDescent="0.3">
      <c r="C4" s="118" t="s">
        <v>25</v>
      </c>
      <c r="D4" s="105"/>
      <c r="E4" s="105"/>
      <c r="F4" s="106"/>
      <c r="G4" s="114"/>
      <c r="H4" s="114"/>
      <c r="I4" s="114"/>
      <c r="J4" s="114"/>
      <c r="K4" s="114"/>
      <c r="L4" s="114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15" t="s">
        <v>47</v>
      </c>
      <c r="D8" s="116"/>
      <c r="E8" s="116"/>
      <c r="F8" s="117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15" t="s">
        <v>68</v>
      </c>
      <c r="D12" s="116"/>
      <c r="E12" s="116"/>
      <c r="F12" s="117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15" t="s">
        <v>77</v>
      </c>
      <c r="D16" s="116"/>
      <c r="E16" s="116"/>
      <c r="F16" s="117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10" t="s">
        <v>69</v>
      </c>
      <c r="D20" s="111"/>
      <c r="E20" s="111"/>
      <c r="F20" s="111"/>
      <c r="G20" s="112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07" t="s">
        <v>27</v>
      </c>
      <c r="E4" s="108"/>
      <c r="F4" s="108"/>
      <c r="G4" s="108"/>
      <c r="H4" s="107" t="s">
        <v>48</v>
      </c>
      <c r="I4" s="108"/>
      <c r="J4" s="108"/>
      <c r="K4" s="108"/>
      <c r="L4" s="108"/>
      <c r="M4" s="109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23">
        <f>SUM(D6:D9)</f>
        <v>28756.7</v>
      </c>
      <c r="F6" s="28">
        <f>D6-C6</f>
        <v>13.300000000000182</v>
      </c>
      <c r="G6" s="121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23">
        <f>J6+J7+J8+J9</f>
        <v>-382.68999999999915</v>
      </c>
      <c r="L6" s="123">
        <f>SUM(H6:H9)</f>
        <v>28374.010000000002</v>
      </c>
      <c r="M6" s="119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23"/>
      <c r="F7" s="28">
        <f>D7-C7</f>
        <v>53.700000000000045</v>
      </c>
      <c r="G7" s="121"/>
      <c r="H7" s="25">
        <v>1078.76</v>
      </c>
      <c r="I7" s="24">
        <f>H7-C7</f>
        <v>78.759999999999991</v>
      </c>
      <c r="J7" s="28">
        <f>H7-D7</f>
        <v>25.059999999999945</v>
      </c>
      <c r="K7" s="123"/>
      <c r="L7" s="123"/>
      <c r="M7" s="119"/>
    </row>
    <row r="8" spans="2:13" x14ac:dyDescent="0.3">
      <c r="B8" s="10" t="s">
        <v>30</v>
      </c>
      <c r="C8" s="10">
        <v>10000</v>
      </c>
      <c r="D8" s="25">
        <v>10065.91</v>
      </c>
      <c r="E8" s="123"/>
      <c r="F8" s="28">
        <f>D8-C8</f>
        <v>65.909999999999854</v>
      </c>
      <c r="G8" s="121"/>
      <c r="H8" s="25">
        <v>9985.2000000000007</v>
      </c>
      <c r="I8" s="24">
        <f>H8-C8</f>
        <v>-14.799999999999272</v>
      </c>
      <c r="J8" s="28">
        <f>H8-D8</f>
        <v>-80.709999999999127</v>
      </c>
      <c r="K8" s="123"/>
      <c r="L8" s="123"/>
      <c r="M8" s="119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24"/>
      <c r="F9" s="31">
        <f>D9-C9</f>
        <v>623.79000000000087</v>
      </c>
      <c r="G9" s="122"/>
      <c r="H9" s="26">
        <v>10251.950000000001</v>
      </c>
      <c r="I9" s="32">
        <f>H9-C9</f>
        <v>251.95000000000073</v>
      </c>
      <c r="J9" s="31">
        <f>H9-D9</f>
        <v>-371.84000000000015</v>
      </c>
      <c r="K9" s="124"/>
      <c r="L9" s="124"/>
      <c r="M9" s="120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07" t="s">
        <v>63</v>
      </c>
      <c r="E13" s="108"/>
      <c r="F13" s="108"/>
      <c r="G13" s="108"/>
      <c r="H13" s="108"/>
      <c r="I13" s="109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25">
        <f>F15+F16+F17+F18</f>
        <v>-873.43000000000166</v>
      </c>
      <c r="H15" s="125">
        <f>SUM(D15:D18)</f>
        <v>27883.269999999997</v>
      </c>
      <c r="I15" s="128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26"/>
      <c r="H16" s="126"/>
      <c r="I16" s="129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26"/>
      <c r="H17" s="126"/>
      <c r="I17" s="129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27"/>
      <c r="H18" s="127"/>
      <c r="I18" s="130"/>
    </row>
  </sheetData>
  <mergeCells count="11">
    <mergeCell ref="D13:I13"/>
    <mergeCell ref="G15:G18"/>
    <mergeCell ref="H15:H18"/>
    <mergeCell ref="I15:I18"/>
    <mergeCell ref="L6:L9"/>
    <mergeCell ref="D4:G4"/>
    <mergeCell ref="M6:M9"/>
    <mergeCell ref="H4:M4"/>
    <mergeCell ref="G6:G9"/>
    <mergeCell ref="K6:K9"/>
    <mergeCell ref="E6:E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3"/>
  <sheetViews>
    <sheetView topLeftCell="A36" workbookViewId="0">
      <selection activeCell="C55" sqref="C55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31">
        <v>20160622</v>
      </c>
      <c r="E4" s="132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31">
        <v>20160713</v>
      </c>
      <c r="E15" s="132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31">
        <v>20160808</v>
      </c>
      <c r="E25" s="132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31">
        <v>20160825</v>
      </c>
      <c r="E35" s="132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31">
        <v>20160908</v>
      </c>
      <c r="E45" s="132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8749.25</v>
      </c>
      <c r="E47" s="53">
        <f>D47/D53</f>
        <v>0.13800109140731917</v>
      </c>
      <c r="F47" s="11">
        <v>8860</v>
      </c>
      <c r="G47" s="9">
        <v>0.98750000000000004</v>
      </c>
      <c r="H47" s="11">
        <f>F47*G47</f>
        <v>8749.25</v>
      </c>
    </row>
    <row r="48" spans="3:10" x14ac:dyDescent="0.3">
      <c r="C48" s="59" t="s">
        <v>28</v>
      </c>
      <c r="D48" s="78">
        <f>H48</f>
        <v>9981.3167790000007</v>
      </c>
      <c r="E48" s="53">
        <f>D48/D53</f>
        <v>0.15743436399510674</v>
      </c>
      <c r="F48" s="96">
        <f>9921.98-162.21</f>
        <v>9759.77</v>
      </c>
      <c r="G48" s="9">
        <v>1.0226999999999999</v>
      </c>
      <c r="H48" s="11">
        <f t="shared" ref="H48:H52" si="1">F48*G48</f>
        <v>9981.3167790000007</v>
      </c>
      <c r="J48" s="88"/>
    </row>
    <row r="49" spans="3:10" x14ac:dyDescent="0.3">
      <c r="C49" s="60" t="s">
        <v>29</v>
      </c>
      <c r="D49" s="56">
        <f>H49</f>
        <v>174.56796</v>
      </c>
      <c r="E49" s="53">
        <f>D49/D53</f>
        <v>2.7534438957338325E-3</v>
      </c>
      <c r="F49" s="11">
        <v>193.32</v>
      </c>
      <c r="G49" s="9">
        <v>0.90300000000000002</v>
      </c>
      <c r="H49" s="11">
        <f t="shared" si="1"/>
        <v>174.56796</v>
      </c>
    </row>
    <row r="50" spans="3:10" x14ac:dyDescent="0.3">
      <c r="C50" s="60" t="s">
        <v>30</v>
      </c>
      <c r="D50" s="56">
        <f>H50</f>
        <v>10584.7695</v>
      </c>
      <c r="E50" s="53">
        <f>D50/D53</f>
        <v>0.16695256659655444</v>
      </c>
      <c r="F50" s="11">
        <v>11530.25</v>
      </c>
      <c r="G50" s="9">
        <v>0.91800000000000004</v>
      </c>
      <c r="H50" s="11">
        <f t="shared" si="1"/>
        <v>10584.7695</v>
      </c>
    </row>
    <row r="51" spans="3:10" x14ac:dyDescent="0.3">
      <c r="C51" s="60" t="s">
        <v>31</v>
      </c>
      <c r="D51" s="56">
        <f>H51</f>
        <v>12055.72284</v>
      </c>
      <c r="E51" s="53">
        <f>D51/D53</f>
        <v>0.19015377428055497</v>
      </c>
      <c r="F51" s="11">
        <v>19351.080000000002</v>
      </c>
      <c r="G51" s="9">
        <v>0.623</v>
      </c>
      <c r="H51" s="11">
        <f t="shared" si="1"/>
        <v>12055.72284</v>
      </c>
    </row>
    <row r="52" spans="3:10" x14ac:dyDescent="0.3">
      <c r="C52" s="60" t="s">
        <v>59</v>
      </c>
      <c r="D52" s="11">
        <f>F52</f>
        <v>21854.233826273718</v>
      </c>
      <c r="E52" s="53">
        <f>D52/D53</f>
        <v>0.34470475982473081</v>
      </c>
      <c r="F52" s="11">
        <f>余额宝损益表!C27</f>
        <v>21854.233826273718</v>
      </c>
      <c r="G52" s="9">
        <v>1</v>
      </c>
      <c r="H52" s="11">
        <f t="shared" si="1"/>
        <v>21854.233826273718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63399.860905273723</v>
      </c>
      <c r="E53" s="54">
        <f>D53/D53</f>
        <v>1</v>
      </c>
    </row>
  </sheetData>
  <mergeCells count="5">
    <mergeCell ref="D4:E4"/>
    <mergeCell ref="D15:E15"/>
    <mergeCell ref="D25:E25"/>
    <mergeCell ref="D35:E35"/>
    <mergeCell ref="D45:E4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G5" sqref="G5"/>
    </sheetView>
  </sheetViews>
  <sheetFormatPr baseColWidth="10" defaultRowHeight="15" x14ac:dyDescent="0.15"/>
  <cols>
    <col min="2" max="2" width="35.83203125" customWidth="1"/>
    <col min="7" max="7" width="37.1640625" customWidth="1"/>
  </cols>
  <sheetData>
    <row r="2" spans="1:7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66</v>
      </c>
    </row>
    <row r="3" spans="1:7" ht="23" x14ac:dyDescent="0.3">
      <c r="A3">
        <v>20160722</v>
      </c>
      <c r="B3" s="58" t="s">
        <v>41</v>
      </c>
      <c r="C3" t="s">
        <v>70</v>
      </c>
      <c r="D3">
        <v>1000</v>
      </c>
      <c r="G3" t="s">
        <v>72</v>
      </c>
    </row>
    <row r="4" spans="1:7" ht="23" x14ac:dyDescent="0.3">
      <c r="A4">
        <v>20160816</v>
      </c>
      <c r="B4" s="60" t="s">
        <v>31</v>
      </c>
      <c r="C4" t="s">
        <v>91</v>
      </c>
      <c r="D4">
        <v>1000</v>
      </c>
    </row>
    <row r="5" spans="1:7" ht="23" x14ac:dyDescent="0.15">
      <c r="A5">
        <v>20160816</v>
      </c>
      <c r="B5" s="59" t="s">
        <v>28</v>
      </c>
      <c r="C5" t="s">
        <v>91</v>
      </c>
      <c r="D5">
        <v>3000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opLeftCell="A7" workbookViewId="0">
      <selection activeCell="C32" sqref="C32"/>
    </sheetView>
  </sheetViews>
  <sheetFormatPr baseColWidth="10" defaultRowHeight="15" x14ac:dyDescent="0.15"/>
  <cols>
    <col min="3" max="3" width="46.5" customWidth="1"/>
    <col min="4" max="4" width="10.83203125" style="7"/>
    <col min="7" max="7" width="7.5" style="92" bestFit="1" customWidth="1"/>
    <col min="8" max="8" width="13.33203125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96</v>
      </c>
      <c r="C4">
        <f>C3*(1+0.02/12/2)</f>
        <v>23908.653588583231</v>
      </c>
    </row>
    <row r="5" spans="2:9" x14ac:dyDescent="0.15">
      <c r="B5" s="89" t="s">
        <v>73</v>
      </c>
      <c r="C5" s="89" t="s">
        <v>98</v>
      </c>
      <c r="D5" s="94" t="s">
        <v>99</v>
      </c>
      <c r="E5" s="89" t="s">
        <v>23</v>
      </c>
      <c r="F5" s="89" t="s">
        <v>100</v>
      </c>
      <c r="G5" s="93" t="s">
        <v>101</v>
      </c>
      <c r="H5" s="89" t="s">
        <v>102</v>
      </c>
      <c r="I5" s="89" t="s">
        <v>103</v>
      </c>
    </row>
    <row r="6" spans="2:9" x14ac:dyDescent="0.15">
      <c r="B6" s="89">
        <v>20160808</v>
      </c>
      <c r="C6" s="89" t="s">
        <v>38</v>
      </c>
      <c r="D6" s="94" t="s">
        <v>106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105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104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97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97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111</v>
      </c>
      <c r="C13">
        <f>I10</f>
        <v>22063.917228583232</v>
      </c>
    </row>
    <row r="16" spans="2:9" x14ac:dyDescent="0.15">
      <c r="B16">
        <v>20160908</v>
      </c>
    </row>
    <row r="17" spans="2:9" x14ac:dyDescent="0.15">
      <c r="B17" t="s">
        <v>95</v>
      </c>
      <c r="C17">
        <v>22063.917228583232</v>
      </c>
    </row>
    <row r="18" spans="2:9" x14ac:dyDescent="0.15">
      <c r="B18" t="s">
        <v>96</v>
      </c>
      <c r="C18">
        <f>C17*(1+0.02/12/2)</f>
        <v>22082.303826273717</v>
      </c>
    </row>
    <row r="19" spans="2:9" x14ac:dyDescent="0.15">
      <c r="B19" s="89" t="s">
        <v>73</v>
      </c>
      <c r="C19" s="89" t="s">
        <v>98</v>
      </c>
      <c r="D19" s="94" t="s">
        <v>99</v>
      </c>
      <c r="E19" s="89" t="s">
        <v>23</v>
      </c>
      <c r="F19" s="89" t="s">
        <v>100</v>
      </c>
      <c r="G19" s="93" t="s">
        <v>101</v>
      </c>
      <c r="H19" s="89" t="s">
        <v>102</v>
      </c>
      <c r="I19" s="89" t="s">
        <v>103</v>
      </c>
    </row>
    <row r="20" spans="2:9" x14ac:dyDescent="0.15">
      <c r="B20" s="89">
        <v>20160825</v>
      </c>
      <c r="C20" s="89" t="s">
        <v>38</v>
      </c>
      <c r="D20" s="94" t="s">
        <v>106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9" x14ac:dyDescent="0.15">
      <c r="B21" s="89">
        <v>20160825</v>
      </c>
      <c r="C21" s="89" t="s">
        <v>38</v>
      </c>
      <c r="D21" s="94" t="s">
        <v>112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9" ht="23" x14ac:dyDescent="0.15">
      <c r="B22" s="89"/>
      <c r="C22" s="91"/>
      <c r="D22" s="94"/>
      <c r="E22" s="89"/>
      <c r="F22" s="89"/>
      <c r="G22" s="93"/>
      <c r="H22" s="89"/>
      <c r="I22" s="89"/>
    </row>
    <row r="23" spans="2:9" ht="23" x14ac:dyDescent="0.3">
      <c r="B23" s="89"/>
      <c r="C23" s="90"/>
      <c r="D23" s="94"/>
      <c r="E23" s="89"/>
      <c r="F23" s="89"/>
      <c r="G23" s="93"/>
      <c r="H23" s="89"/>
      <c r="I23" s="89"/>
    </row>
    <row r="24" spans="2:9" ht="23" x14ac:dyDescent="0.15">
      <c r="B24" s="89"/>
      <c r="C24" s="91"/>
      <c r="D24" s="94"/>
      <c r="E24" s="89"/>
      <c r="F24" s="89"/>
      <c r="G24" s="93"/>
      <c r="H24" s="89"/>
      <c r="I24" s="89"/>
    </row>
    <row r="27" spans="2:9" x14ac:dyDescent="0.15">
      <c r="B27" t="s">
        <v>111</v>
      </c>
      <c r="C27">
        <f>I21</f>
        <v>21854.233826273718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108</v>
      </c>
    </row>
    <row r="3" spans="1:3" x14ac:dyDescent="0.15">
      <c r="B3" t="s">
        <v>87</v>
      </c>
      <c r="C3" t="s">
        <v>109</v>
      </c>
    </row>
    <row r="4" spans="1:3" x14ac:dyDescent="0.15">
      <c r="B4" t="s">
        <v>107</v>
      </c>
      <c r="C4" t="s">
        <v>110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工作表1</vt:lpstr>
      <vt:lpstr>余额宝</vt:lpstr>
      <vt:lpstr>投资者权益表</vt:lpstr>
      <vt:lpstr>易H股ETF联接（110031）</vt:lpstr>
      <vt:lpstr>打包资产统计</vt:lpstr>
      <vt:lpstr>资产结构</vt:lpstr>
      <vt:lpstr>Operation</vt:lpstr>
      <vt:lpstr>余额宝损益表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2016-08-25T09:47:02Z</dcterms:modified>
</cp:coreProperties>
</file>