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/>
  <mc:AlternateContent xmlns:mc="http://schemas.openxmlformats.org/markup-compatibility/2006">
    <mc:Choice Requires="x15">
      <x15ac:absPath xmlns:x15ac="http://schemas.microsoft.com/office/spreadsheetml/2010/11/ac" url="/Users/rand/Documents/git/tractionrec/"/>
    </mc:Choice>
  </mc:AlternateContent>
  <bookViews>
    <workbookView xWindow="0" yWindow="0" windowWidth="25600" windowHeight="16000" tabRatio="500" activeTab="2"/>
  </bookViews>
  <sheets>
    <sheet name="工作表1" sheetId="1" r:id="rId1"/>
    <sheet name="余额宝" sheetId="7" r:id="rId2"/>
    <sheet name="投资者权益表" sheetId="6" r:id="rId3"/>
    <sheet name="易H股ETF联接（110031）" sheetId="2" r:id="rId4"/>
    <sheet name="打包资产统计" sheetId="3" r:id="rId5"/>
    <sheet name="资产结构" sheetId="8" r:id="rId6"/>
    <sheet name="Operation" sheetId="9" r:id="rId7"/>
  </sheets>
  <calcPr calcId="150000" refMode="R1C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31" i="6" l="1"/>
  <c r="N31" i="6"/>
  <c r="N29" i="6"/>
  <c r="N30" i="6"/>
  <c r="M31" i="6"/>
  <c r="M30" i="6"/>
  <c r="M29" i="6"/>
  <c r="C32" i="6"/>
  <c r="G30" i="6"/>
  <c r="G29" i="6"/>
  <c r="E30" i="6"/>
  <c r="E29" i="6"/>
  <c r="C30" i="6"/>
  <c r="C29" i="6"/>
  <c r="D30" i="6"/>
  <c r="D29" i="6"/>
  <c r="C31" i="6"/>
  <c r="D22" i="8"/>
  <c r="I6" i="7"/>
  <c r="H6" i="7"/>
  <c r="D17" i="8"/>
  <c r="D23" i="8"/>
  <c r="E23" i="8"/>
  <c r="E22" i="8"/>
  <c r="E21" i="8"/>
  <c r="E20" i="8"/>
  <c r="E19" i="8"/>
  <c r="E18" i="8"/>
  <c r="E17" i="8"/>
  <c r="F18" i="2"/>
  <c r="E18" i="2"/>
  <c r="D18" i="2"/>
  <c r="D14" i="2"/>
  <c r="G31" i="6"/>
  <c r="E31" i="6"/>
  <c r="F31" i="6"/>
  <c r="L30" i="6"/>
  <c r="F30" i="6"/>
  <c r="L29" i="6"/>
  <c r="F29" i="6"/>
  <c r="M21" i="6"/>
  <c r="M22" i="6"/>
  <c r="M20" i="6"/>
  <c r="L21" i="6"/>
  <c r="L22" i="6"/>
  <c r="L20" i="6"/>
  <c r="K22" i="6"/>
  <c r="K21" i="6"/>
  <c r="K20" i="6"/>
  <c r="J21" i="6"/>
  <c r="J22" i="6"/>
  <c r="J20" i="6"/>
  <c r="H22" i="6"/>
  <c r="G6" i="7"/>
  <c r="F6" i="7"/>
  <c r="D6" i="8"/>
  <c r="D7" i="8"/>
  <c r="D9" i="8"/>
  <c r="D10" i="8"/>
  <c r="D8" i="8"/>
  <c r="C22" i="6"/>
  <c r="C20" i="6"/>
  <c r="E20" i="6"/>
  <c r="G20" i="6"/>
  <c r="C21" i="6"/>
  <c r="E21" i="6"/>
  <c r="G21" i="6"/>
  <c r="G22" i="6"/>
  <c r="F14" i="6"/>
  <c r="F15" i="6"/>
  <c r="F13" i="6"/>
  <c r="F21" i="6"/>
  <c r="E22" i="6"/>
  <c r="F22" i="6"/>
  <c r="F20" i="6"/>
  <c r="N22" i="6"/>
  <c r="N21" i="6"/>
  <c r="N20" i="6"/>
  <c r="D20" i="6"/>
  <c r="D21" i="6"/>
  <c r="J13" i="6"/>
  <c r="M25" i="6"/>
  <c r="L14" i="6"/>
  <c r="M14" i="6"/>
  <c r="M24" i="6"/>
  <c r="H15" i="6"/>
  <c r="L15" i="6"/>
  <c r="J14" i="6"/>
  <c r="D12" i="8"/>
  <c r="E12" i="8"/>
  <c r="E11" i="8"/>
  <c r="E10" i="8"/>
  <c r="E9" i="8"/>
  <c r="E8" i="8"/>
  <c r="E7" i="8"/>
  <c r="E6" i="8"/>
  <c r="E15" i="6"/>
  <c r="C14" i="6"/>
  <c r="D14" i="6"/>
  <c r="E14" i="6"/>
  <c r="C13" i="6"/>
  <c r="D13" i="6"/>
  <c r="E13" i="6"/>
  <c r="D8" i="6"/>
  <c r="J15" i="6"/>
  <c r="M15" i="6"/>
  <c r="L13" i="6"/>
  <c r="M13" i="6"/>
  <c r="F16" i="3"/>
  <c r="F17" i="3"/>
  <c r="F18" i="3"/>
  <c r="F15" i="3"/>
  <c r="E16" i="3"/>
  <c r="E17" i="3"/>
  <c r="E18" i="3"/>
  <c r="E15" i="3"/>
  <c r="I15" i="3"/>
  <c r="H15" i="3"/>
  <c r="G15" i="3"/>
  <c r="I6" i="3"/>
  <c r="I7" i="3"/>
  <c r="I8" i="3"/>
  <c r="I9" i="3"/>
  <c r="M6" i="3"/>
  <c r="L6" i="3"/>
  <c r="C10" i="3"/>
  <c r="E6" i="3"/>
  <c r="J6" i="3"/>
  <c r="J7" i="3"/>
  <c r="J8" i="3"/>
  <c r="J9" i="3"/>
  <c r="K6" i="3"/>
  <c r="F6" i="3"/>
  <c r="F7" i="3"/>
  <c r="F8" i="3"/>
  <c r="F9" i="3"/>
  <c r="G6" i="3"/>
  <c r="E6" i="2"/>
  <c r="F14" i="2"/>
  <c r="D10" i="2"/>
  <c r="E14" i="2"/>
  <c r="F10" i="2"/>
  <c r="E10" i="2"/>
  <c r="I15" i="6"/>
  <c r="G15" i="6"/>
  <c r="K14" i="6"/>
  <c r="G14" i="6"/>
  <c r="K13" i="6"/>
  <c r="G13" i="6"/>
</calcChain>
</file>

<file path=xl/sharedStrings.xml><?xml version="1.0" encoding="utf-8"?>
<sst xmlns="http://schemas.openxmlformats.org/spreadsheetml/2006/main" count="151" uniqueCount="70">
  <si>
    <t>黄金基金</t>
  </si>
  <si>
    <t>易方达</t>
  </si>
  <si>
    <t>华宝油气</t>
  </si>
  <si>
    <t>一卡通</t>
  </si>
  <si>
    <t>华安石油</t>
  </si>
  <si>
    <t>H股ETF</t>
  </si>
  <si>
    <t>国防军工</t>
  </si>
  <si>
    <t>余额宝</t>
  </si>
  <si>
    <t>支付宝</t>
  </si>
  <si>
    <t>资产</t>
  </si>
  <si>
    <t>来源</t>
  </si>
  <si>
    <t>估值（分红前）</t>
  </si>
  <si>
    <t>Rand份数</t>
  </si>
  <si>
    <t>216份数</t>
  </si>
  <si>
    <t>rand分红策略</t>
  </si>
  <si>
    <t>再投资</t>
  </si>
  <si>
    <t>216分红</t>
  </si>
  <si>
    <t>216分红策略</t>
  </si>
  <si>
    <t>现金</t>
  </si>
  <si>
    <t>分红包</t>
    <rPh sb="0" eb="1">
      <t>fen'hong</t>
    </rPh>
    <rPh sb="2" eb="3">
      <t>bao</t>
    </rPh>
    <phoneticPr fontId="2" type="noConversion"/>
  </si>
  <si>
    <t>rand分红</t>
    <rPh sb="4" eb="5">
      <t>fen'hong</t>
    </rPh>
    <phoneticPr fontId="2" type="noConversion"/>
  </si>
  <si>
    <t>分红后估值</t>
    <rPh sb="0" eb="1">
      <t>fen'hong'hou</t>
    </rPh>
    <rPh sb="3" eb="4">
      <t>gu'zhi</t>
    </rPh>
    <phoneticPr fontId="2" type="noConversion"/>
  </si>
  <si>
    <t>每份净值</t>
    <rPh sb="0" eb="1">
      <t>mei'fen</t>
    </rPh>
    <rPh sb="2" eb="3">
      <t>jing'zhi</t>
    </rPh>
    <phoneticPr fontId="2" type="noConversion"/>
  </si>
  <si>
    <t>份数</t>
    <rPh sb="0" eb="1">
      <t>fen'shu</t>
    </rPh>
    <phoneticPr fontId="2" type="noConversion"/>
  </si>
  <si>
    <t>估值</t>
    <rPh sb="0" eb="1">
      <t>gu'zhi</t>
    </rPh>
    <phoneticPr fontId="2" type="noConversion"/>
  </si>
  <si>
    <t>起始估值</t>
    <rPh sb="0" eb="1">
      <t>qi'shi</t>
    </rPh>
    <rPh sb="2" eb="3">
      <t>gu'zhi</t>
    </rPh>
    <phoneticPr fontId="2" type="noConversion"/>
  </si>
  <si>
    <t>盈亏</t>
    <rPh sb="0" eb="1">
      <t>ying'kui</t>
    </rPh>
    <phoneticPr fontId="2" type="noConversion"/>
  </si>
  <si>
    <t>20160608估值</t>
    <rPh sb="8" eb="9">
      <t>gu'zhi</t>
    </rPh>
    <phoneticPr fontId="2" type="noConversion"/>
  </si>
  <si>
    <t>易黄金ETF联接（000307）</t>
  </si>
  <si>
    <t>易国防军工（001475）</t>
  </si>
  <si>
    <t>华安石油</t>
    <rPh sb="0" eb="1">
      <t>hua'an'shi'you</t>
    </rPh>
    <phoneticPr fontId="2" type="noConversion"/>
  </si>
  <si>
    <t>华宝油气</t>
    <rPh sb="0" eb="1">
      <t>hua'bao'you'qi</t>
    </rPh>
    <phoneticPr fontId="2" type="noConversion"/>
  </si>
  <si>
    <t>Rand</t>
    <phoneticPr fontId="2" type="noConversion"/>
  </si>
  <si>
    <t>期初资产</t>
    <rPh sb="0" eb="1">
      <t>qi'chu</t>
    </rPh>
    <rPh sb="2" eb="3">
      <t>zi'chan</t>
    </rPh>
    <phoneticPr fontId="2" type="noConversion"/>
  </si>
  <si>
    <t>投资行为</t>
    <rPh sb="0" eb="1">
      <t>tou'zi</t>
    </rPh>
    <rPh sb="2" eb="3">
      <t>xing'wei</t>
    </rPh>
    <phoneticPr fontId="2" type="noConversion"/>
  </si>
  <si>
    <t>期末资产</t>
    <rPh sb="0" eb="1">
      <t>qi'mo</t>
    </rPh>
    <rPh sb="2" eb="3">
      <t>zi'chan</t>
    </rPh>
    <phoneticPr fontId="2" type="noConversion"/>
  </si>
  <si>
    <t>红利权益</t>
    <rPh sb="0" eb="1">
      <t>hong'li</t>
    </rPh>
    <rPh sb="2" eb="3">
      <t>quan'yi</t>
    </rPh>
    <phoneticPr fontId="2" type="noConversion"/>
  </si>
  <si>
    <t>总</t>
    <rPh sb="0" eb="1">
      <t>zong'zi'chan</t>
    </rPh>
    <phoneticPr fontId="2" type="noConversion"/>
  </si>
  <si>
    <t>余额宝</t>
    <rPh sb="0" eb="1">
      <t>yu'e'bao</t>
    </rPh>
    <phoneticPr fontId="2" type="noConversion"/>
  </si>
  <si>
    <t>20160612估值</t>
    <rPh sb="8" eb="9">
      <t>gu'zhi</t>
    </rPh>
    <phoneticPr fontId="2" type="noConversion"/>
  </si>
  <si>
    <t>总额</t>
    <rPh sb="0" eb="1">
      <t>zong'e</t>
    </rPh>
    <phoneticPr fontId="2" type="noConversion"/>
  </si>
  <si>
    <t>易H股ETF联接（110031）</t>
  </si>
  <si>
    <t>占比</t>
    <rPh sb="0" eb="1">
      <t>zhan'bi</t>
    </rPh>
    <phoneticPr fontId="2" type="noConversion"/>
  </si>
  <si>
    <t>总</t>
    <rPh sb="0" eb="1">
      <t>zong</t>
    </rPh>
    <phoneticPr fontId="2" type="noConversion"/>
  </si>
  <si>
    <t>当月盈亏</t>
    <rPh sb="0" eb="1">
      <t>dang'yue</t>
    </rPh>
    <rPh sb="2" eb="3">
      <t>ying'kui</t>
    </rPh>
    <phoneticPr fontId="2" type="noConversion"/>
  </si>
  <si>
    <t>总盈亏</t>
    <rPh sb="0" eb="1">
      <t>zong'ying'kui</t>
    </rPh>
    <phoneticPr fontId="2" type="noConversion"/>
  </si>
  <si>
    <t>易H股ETF联接（110031）</t>
    <phoneticPr fontId="2" type="noConversion"/>
  </si>
  <si>
    <t>易H股ETF联接（110031）估值 20160608</t>
    <phoneticPr fontId="2" type="noConversion"/>
  </si>
  <si>
    <t>20160621估值</t>
    <rPh sb="8" eb="9">
      <t>gu'zhi</t>
    </rPh>
    <phoneticPr fontId="2" type="noConversion"/>
  </si>
  <si>
    <t>总盈亏</t>
    <rPh sb="0" eb="1">
      <t>zong</t>
    </rPh>
    <rPh sb="1" eb="2">
      <t>ying'kui</t>
    </rPh>
    <phoneticPr fontId="2" type="noConversion"/>
  </si>
  <si>
    <t>总估值</t>
    <rPh sb="0" eb="1">
      <t>zong'gu'zhi</t>
    </rPh>
    <phoneticPr fontId="2" type="noConversion"/>
  </si>
  <si>
    <t>合计估值</t>
    <rPh sb="0" eb="1">
      <t>he'ji</t>
    </rPh>
    <rPh sb="2" eb="3">
      <t>gu'zhi</t>
    </rPh>
    <phoneticPr fontId="2" type="noConversion"/>
  </si>
  <si>
    <t>合计总盈亏</t>
    <rPh sb="0" eb="1">
      <t>he'ji</t>
    </rPh>
    <rPh sb="2" eb="3">
      <t>zong</t>
    </rPh>
    <rPh sb="3" eb="4">
      <t>ying'kui</t>
    </rPh>
    <phoneticPr fontId="2" type="noConversion"/>
  </si>
  <si>
    <t>合计当月盈亏</t>
    <rPh sb="0" eb="1">
      <t>he'ji</t>
    </rPh>
    <rPh sb="2" eb="3">
      <t>dang'yue</t>
    </rPh>
    <rPh sb="4" eb="5">
      <t>ying'k</t>
    </rPh>
    <phoneticPr fontId="2" type="noConversion"/>
  </si>
  <si>
    <t>累计现金分红</t>
    <rPh sb="0" eb="1">
      <t>lei'ji</t>
    </rPh>
    <rPh sb="2" eb="3">
      <t>xian'jin</t>
    </rPh>
    <rPh sb="4" eb="5">
      <t>fen'hong</t>
    </rPh>
    <phoneticPr fontId="2" type="noConversion"/>
  </si>
  <si>
    <t>现金分红</t>
    <rPh sb="0" eb="1">
      <t>xian'jin</t>
    </rPh>
    <rPh sb="2" eb="3">
      <t>fen'hong</t>
    </rPh>
    <phoneticPr fontId="2" type="noConversion"/>
  </si>
  <si>
    <t>累计收益</t>
    <rPh sb="0" eb="1">
      <t>lei'ji</t>
    </rPh>
    <rPh sb="2" eb="3">
      <t>shou'yi</t>
    </rPh>
    <phoneticPr fontId="2" type="noConversion"/>
  </si>
  <si>
    <t>当日资产</t>
    <rPh sb="0" eb="1">
      <t>dang'ri</t>
    </rPh>
    <rPh sb="2" eb="3">
      <t>zi'chan</t>
    </rPh>
    <phoneticPr fontId="2" type="noConversion"/>
  </si>
  <si>
    <t>分红后资产</t>
    <rPh sb="0" eb="1">
      <t>fen'hong</t>
    </rPh>
    <rPh sb="2" eb="3">
      <t>hou</t>
    </rPh>
    <rPh sb="3" eb="4">
      <t>zi'chan</t>
    </rPh>
    <phoneticPr fontId="2" type="noConversion"/>
  </si>
  <si>
    <t>余额宝</t>
    <rPh sb="0" eb="1">
      <t>yu</t>
    </rPh>
    <rPh sb="1" eb="2">
      <t>e</t>
    </rPh>
    <rPh sb="2" eb="3">
      <t>bao</t>
    </rPh>
    <phoneticPr fontId="2" type="noConversion"/>
  </si>
  <si>
    <t>合计</t>
    <rPh sb="0" eb="1">
      <t>he'ji</t>
    </rPh>
    <phoneticPr fontId="2" type="noConversion"/>
  </si>
  <si>
    <t>累计收益率</t>
    <rPh sb="0" eb="1">
      <t>lei'ji</t>
    </rPh>
    <rPh sb="2" eb="3">
      <t>shou'yi'lv</t>
    </rPh>
    <phoneticPr fontId="2" type="noConversion"/>
  </si>
  <si>
    <t>当月收益率</t>
    <rPh sb="0" eb="1">
      <t>dang'yue</t>
    </rPh>
    <rPh sb="2" eb="3">
      <t>shou'yi'lv</t>
    </rPh>
    <phoneticPr fontId="2" type="noConversion"/>
  </si>
  <si>
    <t>20160628估值</t>
    <rPh sb="8" eb="9">
      <t>gu'zhi</t>
    </rPh>
    <phoneticPr fontId="2" type="noConversion"/>
  </si>
  <si>
    <t>Object</t>
    <phoneticPr fontId="2" type="noConversion"/>
  </si>
  <si>
    <t>Action</t>
    <phoneticPr fontId="2" type="noConversion"/>
  </si>
  <si>
    <t>comments</t>
    <phoneticPr fontId="2" type="noConversion"/>
  </si>
  <si>
    <t>4%基线</t>
    <rPh sb="2" eb="3">
      <t>ji'xian</t>
    </rPh>
    <phoneticPr fontId="2" type="noConversion"/>
  </si>
  <si>
    <t>易H股ETF联接（110031）估值 20160708</t>
    <phoneticPr fontId="2" type="noConversion"/>
  </si>
  <si>
    <t>易H股ETF联接（110031）估值 20160810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</si>
</sst>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0;[Red]0.00"/>
    <numFmt numFmtId="177" formatCode="0.00_ "/>
    <numFmt numFmtId="178" formatCode="0.000_ "/>
    <numFmt numFmtId="179" formatCode="#,##0.000_ ;[Red]\-#,##0.000\ "/>
  </numFmts>
  <fonts count="9" x14ac:knownFonts="1">
    <font>
      <sz val="12"/>
      <color theme="1"/>
      <name val="宋体"/>
      <family val="2"/>
      <charset val="134"/>
      <scheme val="minor"/>
    </font>
    <font>
      <sz val="14"/>
      <color theme="1"/>
      <name val="Helvetica Neue"/>
    </font>
    <font>
      <sz val="9"/>
      <name val="宋体"/>
      <family val="2"/>
      <charset val="134"/>
      <scheme val="minor"/>
    </font>
    <font>
      <sz val="12"/>
      <color rgb="FF333333"/>
      <name val="Microsoft YaHei"/>
      <charset val="136"/>
    </font>
    <font>
      <sz val="14"/>
      <color theme="1"/>
      <name val="ヒラギノ角ゴ Pro W3"/>
      <charset val="128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4"/>
      <color rgb="FFFF0000"/>
      <name val="ヒラギノ角ゴ Pro W3"/>
      <charset val="128"/>
    </font>
    <font>
      <b/>
      <sz val="14"/>
      <color theme="1"/>
      <name val="ヒラギノ角ゴ Pro W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</borders>
  <cellStyleXfs count="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09">
    <xf numFmtId="0" fontId="0" fillId="0" borderId="0" xfId="0"/>
    <xf numFmtId="0" fontId="1" fillId="0" borderId="0" xfId="0" applyFont="1"/>
    <xf numFmtId="0" fontId="3" fillId="0" borderId="0" xfId="0" applyFont="1"/>
    <xf numFmtId="0" fontId="1" fillId="0" borderId="0" xfId="0" applyFont="1" applyAlignment="1">
      <alignment horizontal="center"/>
    </xf>
    <xf numFmtId="176" fontId="1" fillId="0" borderId="0" xfId="0" applyNumberFormat="1" applyFont="1" applyAlignment="1">
      <alignment horizontal="right"/>
    </xf>
    <xf numFmtId="177" fontId="0" fillId="0" borderId="0" xfId="0" applyNumberFormat="1" applyAlignment="1">
      <alignment horizontal="right"/>
    </xf>
    <xf numFmtId="176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179" fontId="4" fillId="0" borderId="0" xfId="0" applyNumberFormat="1" applyFont="1"/>
    <xf numFmtId="179" fontId="4" fillId="0" borderId="0" xfId="0" applyNumberFormat="1" applyFont="1" applyAlignment="1"/>
    <xf numFmtId="0" fontId="4" fillId="0" borderId="1" xfId="0" applyFont="1" applyBorder="1"/>
    <xf numFmtId="179" fontId="4" fillId="0" borderId="1" xfId="0" applyNumberFormat="1" applyFont="1" applyBorder="1"/>
    <xf numFmtId="179" fontId="4" fillId="0" borderId="5" xfId="0" applyNumberFormat="1" applyFont="1" applyBorder="1"/>
    <xf numFmtId="179" fontId="4" fillId="0" borderId="6" xfId="0" applyNumberFormat="1" applyFont="1" applyBorder="1"/>
    <xf numFmtId="179" fontId="4" fillId="0" borderId="7" xfId="0" applyNumberFormat="1" applyFont="1" applyBorder="1" applyAlignment="1">
      <alignment horizontal="right"/>
    </xf>
    <xf numFmtId="179" fontId="4" fillId="0" borderId="8" xfId="0" applyNumberFormat="1" applyFont="1" applyBorder="1"/>
    <xf numFmtId="179" fontId="4" fillId="0" borderId="9" xfId="0" applyNumberFormat="1" applyFont="1" applyBorder="1"/>
    <xf numFmtId="179" fontId="4" fillId="0" borderId="8" xfId="0" applyNumberFormat="1" applyFont="1" applyBorder="1" applyAlignment="1">
      <alignment horizontal="right"/>
    </xf>
    <xf numFmtId="0" fontId="4" fillId="0" borderId="1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8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179" fontId="4" fillId="0" borderId="8" xfId="0" applyNumberFormat="1" applyFont="1" applyBorder="1" applyAlignment="1">
      <alignment horizontal="center"/>
    </xf>
    <xf numFmtId="179" fontId="7" fillId="0" borderId="0" xfId="0" applyNumberFormat="1" applyFont="1"/>
    <xf numFmtId="0" fontId="4" fillId="2" borderId="0" xfId="0" applyFont="1" applyFill="1"/>
    <xf numFmtId="0" fontId="4" fillId="2" borderId="5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178" fontId="4" fillId="2" borderId="7" xfId="0" applyNumberFormat="1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0" fontId="4" fillId="2" borderId="10" xfId="0" applyFont="1" applyFill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0" fontId="4" fillId="0" borderId="11" xfId="0" applyFont="1" applyBorder="1" applyAlignment="1">
      <alignment horizontal="left" vertical="center"/>
    </xf>
    <xf numFmtId="0" fontId="4" fillId="0" borderId="23" xfId="0" applyFont="1" applyBorder="1" applyAlignment="1">
      <alignment horizontal="left"/>
    </xf>
    <xf numFmtId="0" fontId="4" fillId="0" borderId="24" xfId="0" applyFont="1" applyBorder="1" applyAlignment="1">
      <alignment horizontal="left" vertical="center" wrapText="1"/>
    </xf>
    <xf numFmtId="0" fontId="4" fillId="0" borderId="24" xfId="0" applyFont="1" applyBorder="1" applyAlignment="1">
      <alignment horizontal="left"/>
    </xf>
    <xf numFmtId="0" fontId="4" fillId="0" borderId="25" xfId="0" applyFont="1" applyBorder="1" applyAlignment="1">
      <alignment horizontal="left"/>
    </xf>
    <xf numFmtId="0" fontId="4" fillId="0" borderId="0" xfId="0" applyFont="1" applyAlignment="1">
      <alignment horizontal="right" vertical="center" wrapText="1"/>
    </xf>
    <xf numFmtId="0" fontId="4" fillId="0" borderId="0" xfId="0" applyFont="1" applyAlignment="1">
      <alignment horizontal="right"/>
    </xf>
    <xf numFmtId="0" fontId="4" fillId="2" borderId="1" xfId="0" applyFont="1" applyFill="1" applyBorder="1"/>
    <xf numFmtId="0" fontId="4" fillId="2" borderId="6" xfId="0" applyFont="1" applyFill="1" applyBorder="1"/>
    <xf numFmtId="179" fontId="4" fillId="2" borderId="1" xfId="0" applyNumberFormat="1" applyFont="1" applyFill="1" applyBorder="1"/>
    <xf numFmtId="179" fontId="4" fillId="2" borderId="1" xfId="0" applyNumberFormat="1" applyFont="1" applyFill="1" applyBorder="1" applyAlignment="1">
      <alignment horizontal="center"/>
    </xf>
    <xf numFmtId="179" fontId="4" fillId="2" borderId="8" xfId="0" applyNumberFormat="1" applyFont="1" applyFill="1" applyBorder="1" applyAlignment="1">
      <alignment horizontal="right"/>
    </xf>
    <xf numFmtId="179" fontId="4" fillId="2" borderId="8" xfId="0" applyNumberFormat="1" applyFont="1" applyFill="1" applyBorder="1"/>
    <xf numFmtId="179" fontId="4" fillId="2" borderId="8" xfId="0" applyNumberFormat="1" applyFont="1" applyFill="1" applyBorder="1" applyAlignment="1">
      <alignment horizontal="center"/>
    </xf>
    <xf numFmtId="179" fontId="8" fillId="0" borderId="1" xfId="0" applyNumberFormat="1" applyFont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4" fillId="2" borderId="9" xfId="0" applyFont="1" applyFill="1" applyBorder="1"/>
    <xf numFmtId="0" fontId="4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vertical="center"/>
    </xf>
    <xf numFmtId="176" fontId="1" fillId="0" borderId="0" xfId="0" applyNumberFormat="1" applyFont="1" applyAlignment="1">
      <alignment horizontal="right" vertical="center"/>
    </xf>
    <xf numFmtId="0" fontId="4" fillId="0" borderId="0" xfId="0" applyFont="1" applyAlignment="1">
      <alignment horizontal="center"/>
    </xf>
    <xf numFmtId="0" fontId="4" fillId="2" borderId="12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4" fillId="2" borderId="14" xfId="0" applyFont="1" applyFill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4" fillId="0" borderId="18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4" fontId="4" fillId="0" borderId="10" xfId="0" applyNumberFormat="1" applyFont="1" applyBorder="1" applyAlignment="1">
      <alignment horizontal="left" vertical="center"/>
    </xf>
  </cellXfs>
  <cellStyles count="7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已访问的超链接" xfId="2" builtinId="9" hidden="1"/>
    <cellStyle name="已访问的超链接" xfId="4" builtinId="9" hidden="1"/>
    <cellStyle name="已访问的超链接" xfId="6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J44"/>
  <sheetViews>
    <sheetView topLeftCell="A3" workbookViewId="0">
      <selection activeCell="F29" sqref="F29"/>
    </sheetView>
  </sheetViews>
  <sheetFormatPr baseColWidth="10" defaultRowHeight="15" x14ac:dyDescent="0.15"/>
  <cols>
    <col min="2" max="2" width="17.83203125" bestFit="1" customWidth="1"/>
    <col min="4" max="4" width="12.1640625" bestFit="1" customWidth="1"/>
    <col min="5" max="5" width="15" style="6" bestFit="1" customWidth="1"/>
    <col min="6" max="6" width="15" style="6" customWidth="1"/>
  </cols>
  <sheetData>
    <row r="7" spans="2:10" s="7" customFormat="1" ht="18" x14ac:dyDescent="0.2">
      <c r="B7" s="3" t="s">
        <v>9</v>
      </c>
      <c r="C7" s="3" t="s">
        <v>10</v>
      </c>
      <c r="D7" s="3">
        <v>20160512</v>
      </c>
      <c r="E7" s="8">
        <v>20160609</v>
      </c>
      <c r="F7" s="3"/>
      <c r="G7" s="3">
        <v>2016</v>
      </c>
      <c r="H7" s="3"/>
      <c r="I7" s="3"/>
      <c r="J7" s="3"/>
    </row>
    <row r="8" spans="2:10" ht="15" customHeight="1" x14ac:dyDescent="0.2">
      <c r="B8" s="1" t="s">
        <v>11</v>
      </c>
      <c r="C8" s="1"/>
      <c r="D8" s="1">
        <v>60000</v>
      </c>
      <c r="E8" s="4">
        <v>61605.25</v>
      </c>
      <c r="F8" s="4"/>
      <c r="G8" s="1"/>
      <c r="H8" s="1"/>
      <c r="I8" s="1"/>
      <c r="J8" s="1"/>
    </row>
    <row r="9" spans="2:10" ht="15" customHeight="1" x14ac:dyDescent="0.2">
      <c r="B9" s="1" t="s">
        <v>19</v>
      </c>
      <c r="C9" s="1"/>
      <c r="D9" s="1"/>
      <c r="E9" s="4">
        <v>321.05</v>
      </c>
      <c r="F9" s="4"/>
      <c r="G9" s="1"/>
      <c r="H9" s="1"/>
      <c r="I9" s="1"/>
      <c r="J9" s="1"/>
    </row>
    <row r="10" spans="2:10" ht="15" customHeight="1" x14ac:dyDescent="0.2">
      <c r="B10" s="1" t="s">
        <v>21</v>
      </c>
      <c r="C10" s="1"/>
      <c r="D10" s="1"/>
      <c r="E10" s="4">
        <v>61391.22</v>
      </c>
      <c r="F10" s="4"/>
      <c r="G10" s="1"/>
      <c r="H10" s="1"/>
      <c r="I10" s="1"/>
      <c r="J10" s="1"/>
    </row>
    <row r="11" spans="2:10" ht="15" customHeight="1" x14ac:dyDescent="0.2">
      <c r="B11" s="1" t="s">
        <v>12</v>
      </c>
      <c r="C11" s="1"/>
      <c r="D11" s="1">
        <v>20000</v>
      </c>
      <c r="E11" s="4">
        <v>20535.07</v>
      </c>
      <c r="F11" s="4"/>
      <c r="G11" s="1"/>
      <c r="H11" s="1"/>
      <c r="I11" s="1"/>
      <c r="J11" s="1"/>
    </row>
    <row r="12" spans="2:10" ht="18" x14ac:dyDescent="0.2">
      <c r="B12" s="1" t="s">
        <v>13</v>
      </c>
      <c r="C12" s="1"/>
      <c r="D12" s="1">
        <v>40000</v>
      </c>
      <c r="E12" s="4">
        <v>40856.129999999997</v>
      </c>
      <c r="F12" s="4"/>
      <c r="G12" s="1"/>
      <c r="H12" s="1"/>
      <c r="I12" s="1"/>
    </row>
    <row r="13" spans="2:10" ht="15" customHeight="1" x14ac:dyDescent="0.2">
      <c r="B13" s="1" t="s">
        <v>20</v>
      </c>
      <c r="C13" s="1"/>
      <c r="D13" s="1"/>
      <c r="E13" s="4">
        <v>107</v>
      </c>
      <c r="F13" s="4"/>
      <c r="G13" s="1"/>
      <c r="H13" s="1"/>
      <c r="I13" s="1"/>
    </row>
    <row r="14" spans="2:10" ht="15" customHeight="1" x14ac:dyDescent="0.2">
      <c r="B14" s="1" t="s">
        <v>14</v>
      </c>
      <c r="C14" s="1"/>
      <c r="D14" s="1"/>
      <c r="E14" s="4" t="s">
        <v>15</v>
      </c>
      <c r="F14" s="4"/>
      <c r="G14" s="1"/>
      <c r="H14" s="1"/>
      <c r="I14" s="1"/>
    </row>
    <row r="15" spans="2:10" ht="18" x14ac:dyDescent="0.2">
      <c r="B15" s="1" t="s">
        <v>16</v>
      </c>
      <c r="C15" s="1"/>
      <c r="D15" s="1"/>
      <c r="E15" s="4">
        <v>214.03</v>
      </c>
      <c r="F15" s="4"/>
      <c r="G15" s="1"/>
      <c r="H15" s="1"/>
      <c r="I15" s="1"/>
    </row>
    <row r="16" spans="2:10" ht="18" x14ac:dyDescent="0.2">
      <c r="B16" s="1" t="s">
        <v>17</v>
      </c>
      <c r="C16" s="1"/>
      <c r="D16" s="1"/>
      <c r="E16" s="4" t="s">
        <v>18</v>
      </c>
      <c r="F16" s="4"/>
      <c r="G16" s="1"/>
      <c r="H16" s="1"/>
      <c r="I16" s="1"/>
    </row>
    <row r="17" spans="2:9" ht="18" x14ac:dyDescent="0.2">
      <c r="B17" s="79" t="s">
        <v>0</v>
      </c>
      <c r="C17" s="79" t="s">
        <v>1</v>
      </c>
      <c r="D17" s="79">
        <v>7000</v>
      </c>
      <c r="E17" s="80">
        <v>7013.3</v>
      </c>
      <c r="F17" s="4"/>
      <c r="G17" s="78">
        <v>7058.1</v>
      </c>
      <c r="H17" s="78"/>
      <c r="I17" s="78"/>
    </row>
    <row r="18" spans="2:9" ht="18" x14ac:dyDescent="0.2">
      <c r="B18" s="79"/>
      <c r="C18" s="79"/>
      <c r="D18" s="79"/>
      <c r="E18" s="80"/>
      <c r="F18" s="4"/>
      <c r="G18" s="78"/>
      <c r="H18" s="78"/>
      <c r="I18" s="78"/>
    </row>
    <row r="19" spans="2:9" ht="18" x14ac:dyDescent="0.2">
      <c r="B19" s="79" t="s">
        <v>2</v>
      </c>
      <c r="C19" s="79" t="s">
        <v>3</v>
      </c>
      <c r="D19" s="79">
        <v>10000</v>
      </c>
      <c r="E19" s="80">
        <v>10623.79</v>
      </c>
      <c r="F19" s="4"/>
      <c r="G19" s="78"/>
      <c r="H19" s="78"/>
      <c r="I19" s="78"/>
    </row>
    <row r="20" spans="2:9" ht="18" x14ac:dyDescent="0.2">
      <c r="B20" s="79"/>
      <c r="C20" s="79"/>
      <c r="D20" s="79"/>
      <c r="E20" s="80"/>
      <c r="F20" s="4"/>
      <c r="G20" s="78"/>
      <c r="H20" s="78"/>
      <c r="I20" s="78"/>
    </row>
    <row r="21" spans="2:9" ht="18" x14ac:dyDescent="0.2">
      <c r="B21" s="79" t="s">
        <v>4</v>
      </c>
      <c r="C21" s="79" t="s">
        <v>3</v>
      </c>
      <c r="D21" s="79">
        <v>10000</v>
      </c>
      <c r="E21" s="80">
        <v>10065.91</v>
      </c>
      <c r="F21" s="4"/>
      <c r="G21" s="78"/>
      <c r="H21" s="78"/>
      <c r="I21" s="78"/>
    </row>
    <row r="22" spans="2:9" ht="18" x14ac:dyDescent="0.2">
      <c r="B22" s="79"/>
      <c r="C22" s="79"/>
      <c r="D22" s="79"/>
      <c r="E22" s="80"/>
      <c r="F22" s="4"/>
      <c r="G22" s="78"/>
      <c r="H22" s="78"/>
      <c r="I22" s="78"/>
    </row>
    <row r="23" spans="2:9" ht="18" x14ac:dyDescent="0.2">
      <c r="B23" s="79" t="s">
        <v>5</v>
      </c>
      <c r="C23" s="79" t="s">
        <v>1</v>
      </c>
      <c r="D23" s="79">
        <v>10000</v>
      </c>
      <c r="E23" s="80">
        <v>10809.31</v>
      </c>
      <c r="F23" s="4"/>
      <c r="G23" s="78"/>
      <c r="H23" s="78"/>
      <c r="I23" s="78"/>
    </row>
    <row r="24" spans="2:9" ht="18" x14ac:dyDescent="0.2">
      <c r="B24" s="79"/>
      <c r="C24" s="79"/>
      <c r="D24" s="79"/>
      <c r="E24" s="80"/>
      <c r="F24" s="4"/>
      <c r="G24" s="78"/>
      <c r="H24" s="78"/>
      <c r="I24" s="78"/>
    </row>
    <row r="25" spans="2:9" ht="18" x14ac:dyDescent="0.2">
      <c r="B25" s="79" t="s">
        <v>6</v>
      </c>
      <c r="C25" s="79" t="s">
        <v>1</v>
      </c>
      <c r="D25" s="79">
        <v>1000</v>
      </c>
      <c r="E25" s="80">
        <v>1053.7</v>
      </c>
      <c r="F25" s="4"/>
      <c r="G25" s="78"/>
      <c r="H25" s="78"/>
      <c r="I25" s="78"/>
    </row>
    <row r="26" spans="2:9" ht="18" x14ac:dyDescent="0.2">
      <c r="B26" s="79"/>
      <c r="C26" s="79"/>
      <c r="D26" s="79"/>
      <c r="E26" s="80"/>
      <c r="F26" s="4"/>
      <c r="G26" s="78"/>
      <c r="H26" s="78"/>
      <c r="I26" s="78"/>
    </row>
    <row r="27" spans="2:9" ht="18" x14ac:dyDescent="0.2">
      <c r="B27" s="79" t="s">
        <v>7</v>
      </c>
      <c r="C27" s="79" t="s">
        <v>8</v>
      </c>
      <c r="D27" s="79">
        <v>22000</v>
      </c>
      <c r="E27" s="80">
        <v>21825.21</v>
      </c>
      <c r="F27" s="4"/>
      <c r="G27" s="78"/>
      <c r="H27" s="78"/>
      <c r="I27" s="78"/>
    </row>
    <row r="28" spans="2:9" ht="18" x14ac:dyDescent="0.2">
      <c r="B28" s="79"/>
      <c r="C28" s="79"/>
      <c r="D28" s="79"/>
      <c r="E28" s="80"/>
      <c r="F28" s="4"/>
      <c r="G28" s="78"/>
      <c r="H28" s="78"/>
      <c r="I28" s="78"/>
    </row>
    <row r="29" spans="2:9" x14ac:dyDescent="0.15">
      <c r="E29" s="5"/>
      <c r="F29" s="5"/>
    </row>
    <row r="32" spans="2:9" ht="18" x14ac:dyDescent="0.2">
      <c r="B32" s="1"/>
    </row>
    <row r="34" spans="2:2" ht="18" x14ac:dyDescent="0.2">
      <c r="B34" s="1"/>
    </row>
    <row r="36" spans="2:2" ht="18" x14ac:dyDescent="0.2">
      <c r="B36" s="1"/>
    </row>
    <row r="37" spans="2:2" ht="18" x14ac:dyDescent="0.25">
      <c r="B37" s="2"/>
    </row>
    <row r="38" spans="2:2" ht="18" x14ac:dyDescent="0.25">
      <c r="B38" s="2"/>
    </row>
    <row r="39" spans="2:2" ht="18" x14ac:dyDescent="0.25">
      <c r="B39" s="2"/>
    </row>
    <row r="41" spans="2:2" ht="18" x14ac:dyDescent="0.2">
      <c r="B41" s="1"/>
    </row>
    <row r="42" spans="2:2" ht="18" x14ac:dyDescent="0.2">
      <c r="B42" s="1"/>
    </row>
    <row r="43" spans="2:2" ht="18" x14ac:dyDescent="0.2">
      <c r="B43" s="1"/>
    </row>
    <row r="44" spans="2:2" ht="18" x14ac:dyDescent="0.2">
      <c r="B44" s="1"/>
    </row>
  </sheetData>
  <mergeCells count="42">
    <mergeCell ref="I27:I28"/>
    <mergeCell ref="B27:B28"/>
    <mergeCell ref="C27:C28"/>
    <mergeCell ref="D27:D28"/>
    <mergeCell ref="E27:E28"/>
    <mergeCell ref="G27:G28"/>
    <mergeCell ref="H27:H28"/>
    <mergeCell ref="I23:I24"/>
    <mergeCell ref="B25:B26"/>
    <mergeCell ref="C25:C26"/>
    <mergeCell ref="D25:D26"/>
    <mergeCell ref="E25:E26"/>
    <mergeCell ref="G25:G26"/>
    <mergeCell ref="H25:H26"/>
    <mergeCell ref="I25:I26"/>
    <mergeCell ref="B23:B24"/>
    <mergeCell ref="C23:C24"/>
    <mergeCell ref="D23:D24"/>
    <mergeCell ref="E23:E24"/>
    <mergeCell ref="G23:G24"/>
    <mergeCell ref="H23:H24"/>
    <mergeCell ref="I19:I20"/>
    <mergeCell ref="B21:B22"/>
    <mergeCell ref="C21:C22"/>
    <mergeCell ref="D21:D22"/>
    <mergeCell ref="E21:E22"/>
    <mergeCell ref="G21:G22"/>
    <mergeCell ref="H21:H22"/>
    <mergeCell ref="I21:I22"/>
    <mergeCell ref="B19:B20"/>
    <mergeCell ref="C19:C20"/>
    <mergeCell ref="D19:D20"/>
    <mergeCell ref="E19:E20"/>
    <mergeCell ref="G19:G20"/>
    <mergeCell ref="H19:H20"/>
    <mergeCell ref="H17:H18"/>
    <mergeCell ref="I17:I18"/>
    <mergeCell ref="B17:B18"/>
    <mergeCell ref="C17:C18"/>
    <mergeCell ref="D17:D18"/>
    <mergeCell ref="E17:E18"/>
    <mergeCell ref="G17:G18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I13"/>
  <sheetViews>
    <sheetView workbookViewId="0">
      <selection activeCell="H1" sqref="H1:H1048576"/>
    </sheetView>
  </sheetViews>
  <sheetFormatPr baseColWidth="10" defaultRowHeight="23" x14ac:dyDescent="0.3"/>
  <cols>
    <col min="1" max="4" width="10.83203125" style="9"/>
    <col min="5" max="5" width="20.83203125" style="9" customWidth="1"/>
    <col min="6" max="6" width="18.33203125" style="9" bestFit="1" customWidth="1"/>
    <col min="7" max="7" width="21.1640625" style="9" customWidth="1"/>
    <col min="8" max="8" width="17.83203125" style="75" customWidth="1"/>
    <col min="9" max="9" width="22.83203125" style="75" customWidth="1"/>
    <col min="10" max="16384" width="10.83203125" style="9"/>
  </cols>
  <sheetData>
    <row r="4" spans="3:9" x14ac:dyDescent="0.3">
      <c r="E4" s="9" t="s">
        <v>39</v>
      </c>
      <c r="F4" s="81">
        <v>20160708</v>
      </c>
      <c r="G4" s="81"/>
      <c r="H4" s="81">
        <v>20160712</v>
      </c>
      <c r="I4" s="81"/>
    </row>
    <row r="5" spans="3:9" x14ac:dyDescent="0.3">
      <c r="E5" s="9" t="s">
        <v>24</v>
      </c>
      <c r="F5" s="9" t="s">
        <v>40</v>
      </c>
      <c r="G5" s="9" t="s">
        <v>44</v>
      </c>
      <c r="H5" s="75" t="s">
        <v>40</v>
      </c>
      <c r="I5" s="75" t="s">
        <v>44</v>
      </c>
    </row>
    <row r="6" spans="3:9" x14ac:dyDescent="0.3">
      <c r="C6" s="9" t="s">
        <v>38</v>
      </c>
      <c r="E6" s="9">
        <v>21825.21</v>
      </c>
      <c r="F6" s="9">
        <f>E6+G6</f>
        <v>22864.674763287672</v>
      </c>
      <c r="G6" s="9">
        <f>1000+E6*0.022/365*30</f>
        <v>1039.4647632876713</v>
      </c>
      <c r="H6" s="75">
        <f>(F6-8.43)*(1+0.022/12)</f>
        <v>22898.147878687032</v>
      </c>
      <c r="I6" s="75">
        <f>H6-F6</f>
        <v>33.473115399359813</v>
      </c>
    </row>
    <row r="13" spans="3:9" x14ac:dyDescent="0.3">
      <c r="G13" s="9">
        <v>21864.674763287669</v>
      </c>
    </row>
  </sheetData>
  <mergeCells count="2">
    <mergeCell ref="F4:G4"/>
    <mergeCell ref="H4:I4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N32"/>
  <sheetViews>
    <sheetView tabSelected="1" topLeftCell="A10" zoomScale="75" zoomScaleNormal="75" zoomScalePageLayoutView="75" workbookViewId="0">
      <selection activeCell="O36" sqref="O36"/>
    </sheetView>
  </sheetViews>
  <sheetFormatPr baseColWidth="10" defaultRowHeight="23" x14ac:dyDescent="0.3"/>
  <cols>
    <col min="1" max="1" width="10.83203125" style="9"/>
    <col min="2" max="2" width="10.83203125" style="10"/>
    <col min="3" max="3" width="16.6640625" style="9" bestFit="1" customWidth="1"/>
    <col min="4" max="4" width="16" style="9" bestFit="1" customWidth="1"/>
    <col min="5" max="5" width="24.1640625" style="9" customWidth="1"/>
    <col min="6" max="6" width="16" style="9" customWidth="1"/>
    <col min="7" max="9" width="15.6640625" style="9" customWidth="1"/>
    <col min="10" max="10" width="23" style="9" customWidth="1"/>
    <col min="11" max="11" width="15.6640625" style="10" customWidth="1"/>
    <col min="12" max="12" width="16" style="9" customWidth="1"/>
    <col min="13" max="13" width="18.5" style="9" bestFit="1" customWidth="1"/>
    <col min="14" max="14" width="18.5" style="9" customWidth="1"/>
    <col min="15" max="15" width="18.5" style="9" bestFit="1" customWidth="1"/>
    <col min="16" max="16" width="14.33203125" style="9" bestFit="1" customWidth="1"/>
    <col min="17" max="17" width="18.5" style="9" bestFit="1" customWidth="1"/>
    <col min="18" max="18" width="13.1640625" style="9" bestFit="1" customWidth="1"/>
    <col min="19" max="19" width="16" style="9" bestFit="1" customWidth="1"/>
    <col min="20" max="16384" width="10.83203125" style="9"/>
  </cols>
  <sheetData>
    <row r="4" spans="2:14" x14ac:dyDescent="0.3">
      <c r="C4" s="81">
        <v>201605</v>
      </c>
      <c r="D4" s="81"/>
      <c r="E4" s="81"/>
      <c r="F4" s="10"/>
      <c r="K4" s="9"/>
    </row>
    <row r="5" spans="2:14" x14ac:dyDescent="0.3">
      <c r="C5" s="9" t="s">
        <v>33</v>
      </c>
      <c r="D5" s="9" t="s">
        <v>34</v>
      </c>
      <c r="E5" s="9" t="s">
        <v>35</v>
      </c>
      <c r="K5" s="9"/>
    </row>
    <row r="6" spans="2:14" x14ac:dyDescent="0.3">
      <c r="B6" s="10">
        <v>216</v>
      </c>
      <c r="C6" s="14">
        <v>0</v>
      </c>
      <c r="D6" s="38">
        <v>40000</v>
      </c>
      <c r="E6" s="14">
        <v>40000</v>
      </c>
      <c r="F6" s="14"/>
      <c r="K6" s="9"/>
    </row>
    <row r="7" spans="2:14" x14ac:dyDescent="0.3">
      <c r="B7" s="10" t="s">
        <v>32</v>
      </c>
      <c r="C7" s="14">
        <v>0</v>
      </c>
      <c r="D7" s="38">
        <v>20000</v>
      </c>
      <c r="E7" s="14">
        <v>20000</v>
      </c>
      <c r="F7" s="14"/>
      <c r="K7" s="9"/>
    </row>
    <row r="8" spans="2:14" x14ac:dyDescent="0.3">
      <c r="B8" s="10" t="s">
        <v>37</v>
      </c>
      <c r="C8" s="15">
        <v>0</v>
      </c>
      <c r="D8" s="38">
        <f>SUM(D6:D7)</f>
        <v>60000</v>
      </c>
      <c r="E8" s="15">
        <v>60000</v>
      </c>
      <c r="F8" s="15"/>
      <c r="K8" s="9"/>
    </row>
    <row r="9" spans="2:14" x14ac:dyDescent="0.3">
      <c r="M9" s="14"/>
      <c r="N9" s="14"/>
    </row>
    <row r="10" spans="2:14" ht="24" thickBot="1" x14ac:dyDescent="0.35"/>
    <row r="11" spans="2:14" x14ac:dyDescent="0.3">
      <c r="B11" s="34"/>
      <c r="C11" s="85">
        <v>20160608</v>
      </c>
      <c r="D11" s="86"/>
      <c r="E11" s="86"/>
      <c r="F11" s="86"/>
      <c r="G11" s="86"/>
      <c r="H11" s="86"/>
      <c r="I11" s="86"/>
      <c r="J11" s="86"/>
      <c r="K11" s="86"/>
      <c r="L11" s="86"/>
      <c r="M11" s="87"/>
    </row>
    <row r="12" spans="2:14" x14ac:dyDescent="0.3">
      <c r="B12" s="35"/>
      <c r="C12" s="25" t="s">
        <v>57</v>
      </c>
      <c r="D12" s="24" t="s">
        <v>42</v>
      </c>
      <c r="E12" s="24" t="s">
        <v>26</v>
      </c>
      <c r="F12" s="24" t="s">
        <v>62</v>
      </c>
      <c r="G12" s="24" t="s">
        <v>36</v>
      </c>
      <c r="H12" s="24" t="s">
        <v>55</v>
      </c>
      <c r="I12" s="24" t="s">
        <v>34</v>
      </c>
      <c r="J12" s="24" t="s">
        <v>58</v>
      </c>
      <c r="K12" s="24" t="s">
        <v>42</v>
      </c>
      <c r="L12" s="16" t="s">
        <v>54</v>
      </c>
      <c r="M12" s="27" t="s">
        <v>56</v>
      </c>
    </row>
    <row r="13" spans="2:14" x14ac:dyDescent="0.3">
      <c r="B13" s="35">
        <v>216</v>
      </c>
      <c r="C13" s="18">
        <f>C15/3*2</f>
        <v>41070.166666666664</v>
      </c>
      <c r="D13" s="17">
        <f>C13/C15</f>
        <v>0.66666666666666663</v>
      </c>
      <c r="E13" s="17">
        <f>C13-E6</f>
        <v>1070.1666666666642</v>
      </c>
      <c r="F13" s="66">
        <f>E13/C13</f>
        <v>2.6057032476939815E-2</v>
      </c>
      <c r="G13" s="17">
        <f>E13*0.2</f>
        <v>214.03333333333285</v>
      </c>
      <c r="H13" s="17">
        <v>214.03299999999999</v>
      </c>
      <c r="I13" s="17">
        <v>0</v>
      </c>
      <c r="J13" s="17">
        <f>C13-H13</f>
        <v>40856.133666666661</v>
      </c>
      <c r="K13" s="71">
        <f>J13/J15</f>
        <v>0.66550454060336783</v>
      </c>
      <c r="L13" s="17">
        <f>H13</f>
        <v>214.03299999999999</v>
      </c>
      <c r="M13" s="19">
        <f>J13+L13-D6</f>
        <v>1070.1666666666642</v>
      </c>
    </row>
    <row r="14" spans="2:14" x14ac:dyDescent="0.3">
      <c r="B14" s="35" t="s">
        <v>32</v>
      </c>
      <c r="C14" s="18">
        <f>C15/3</f>
        <v>20535.083333333332</v>
      </c>
      <c r="D14" s="17">
        <f>C14/C15</f>
        <v>0.33333333333333331</v>
      </c>
      <c r="E14" s="17">
        <f>C14-E7</f>
        <v>535.08333333333212</v>
      </c>
      <c r="F14" s="66">
        <f t="shared" ref="F14:F15" si="0">E14/C14</f>
        <v>2.6057032476939815E-2</v>
      </c>
      <c r="G14" s="17">
        <f t="shared" ref="G14:G15" si="1">E14*0.2</f>
        <v>107.01666666666642</v>
      </c>
      <c r="H14" s="17">
        <v>0</v>
      </c>
      <c r="I14" s="17">
        <v>0</v>
      </c>
      <c r="J14" s="17">
        <f>C14+I14</f>
        <v>20535.083333333332</v>
      </c>
      <c r="K14" s="71">
        <f>J14/J15</f>
        <v>0.33449545939663217</v>
      </c>
      <c r="L14" s="17">
        <f t="shared" ref="L14:L15" si="2">H14</f>
        <v>0</v>
      </c>
      <c r="M14" s="19">
        <f>C14-D7+L14</f>
        <v>535.08333333333212</v>
      </c>
    </row>
    <row r="15" spans="2:14" ht="24" thickBot="1" x14ac:dyDescent="0.35">
      <c r="B15" s="36" t="s">
        <v>43</v>
      </c>
      <c r="C15" s="20">
        <v>61605.25</v>
      </c>
      <c r="D15" s="23">
        <v>1</v>
      </c>
      <c r="E15" s="21">
        <f>C15-E8</f>
        <v>1605.25</v>
      </c>
      <c r="F15" s="69">
        <f t="shared" si="0"/>
        <v>2.605703247693987E-2</v>
      </c>
      <c r="G15" s="21">
        <f t="shared" si="1"/>
        <v>321.05</v>
      </c>
      <c r="H15" s="21">
        <f>SUM(H13:H14)</f>
        <v>214.03299999999999</v>
      </c>
      <c r="I15" s="21">
        <f>I13+I14</f>
        <v>0</v>
      </c>
      <c r="J15" s="21">
        <f>J13+J14</f>
        <v>61391.21699999999</v>
      </c>
      <c r="K15" s="37">
        <v>1</v>
      </c>
      <c r="L15" s="21">
        <f t="shared" si="2"/>
        <v>214.03299999999999</v>
      </c>
      <c r="M15" s="22">
        <f>J15+L15-D8</f>
        <v>1605.2499999999927</v>
      </c>
    </row>
    <row r="17" spans="2:14" s="39" customFormat="1" ht="24" thickBot="1" x14ac:dyDescent="0.35">
      <c r="B17" s="43"/>
      <c r="K17" s="43"/>
    </row>
    <row r="18" spans="2:14" s="39" customFormat="1" x14ac:dyDescent="0.3">
      <c r="B18" s="72"/>
      <c r="C18" s="82">
        <v>20160708</v>
      </c>
      <c r="D18" s="83"/>
      <c r="E18" s="83"/>
      <c r="F18" s="83"/>
      <c r="G18" s="83"/>
      <c r="H18" s="83"/>
      <c r="I18" s="83"/>
      <c r="J18" s="83"/>
      <c r="K18" s="83"/>
      <c r="L18" s="83"/>
      <c r="M18" s="83"/>
      <c r="N18" s="84"/>
    </row>
    <row r="19" spans="2:14" s="39" customFormat="1" x14ac:dyDescent="0.3">
      <c r="B19" s="40"/>
      <c r="C19" s="41" t="s">
        <v>57</v>
      </c>
      <c r="D19" s="41" t="s">
        <v>42</v>
      </c>
      <c r="E19" s="41" t="s">
        <v>44</v>
      </c>
      <c r="F19" s="41" t="s">
        <v>62</v>
      </c>
      <c r="G19" s="41" t="s">
        <v>36</v>
      </c>
      <c r="H19" s="41" t="s">
        <v>55</v>
      </c>
      <c r="I19" s="41" t="s">
        <v>34</v>
      </c>
      <c r="J19" s="41" t="s">
        <v>58</v>
      </c>
      <c r="K19" s="41" t="s">
        <v>42</v>
      </c>
      <c r="L19" s="64" t="s">
        <v>54</v>
      </c>
      <c r="M19" s="41" t="s">
        <v>56</v>
      </c>
      <c r="N19" s="65" t="s">
        <v>61</v>
      </c>
    </row>
    <row r="20" spans="2:14" s="39" customFormat="1" x14ac:dyDescent="0.3">
      <c r="B20" s="40">
        <v>216</v>
      </c>
      <c r="C20" s="66">
        <f>C22*D20</f>
        <v>40900.291432439146</v>
      </c>
      <c r="D20" s="66">
        <f>K13</f>
        <v>0.66550454060336783</v>
      </c>
      <c r="E20" s="66">
        <f>C20-J13</f>
        <v>44.157765772484709</v>
      </c>
      <c r="F20" s="66">
        <f>E20/C20</f>
        <v>1.0796442818855312E-3</v>
      </c>
      <c r="G20" s="66">
        <f>E20*0.2</f>
        <v>8.8315531544969428</v>
      </c>
      <c r="H20" s="66">
        <v>8.83</v>
      </c>
      <c r="I20" s="66">
        <v>0</v>
      </c>
      <c r="J20" s="66">
        <f>C20-H20</f>
        <v>40891.461432439144</v>
      </c>
      <c r="K20" s="67">
        <f>J20/J22</f>
        <v>0.66545647460657964</v>
      </c>
      <c r="L20" s="66">
        <f>L13+H20</f>
        <v>222.863</v>
      </c>
      <c r="M20" s="66">
        <f>J20+L20-D6</f>
        <v>1114.3244324391417</v>
      </c>
      <c r="N20" s="65">
        <f>M20/D6</f>
        <v>2.7858110810978543E-2</v>
      </c>
    </row>
    <row r="21" spans="2:14" s="39" customFormat="1" x14ac:dyDescent="0.3">
      <c r="B21" s="40" t="s">
        <v>32</v>
      </c>
      <c r="C21" s="66">
        <f>C22*D21</f>
        <v>20557.277880848524</v>
      </c>
      <c r="D21" s="66">
        <f>K14</f>
        <v>0.33449545939663217</v>
      </c>
      <c r="E21" s="66">
        <f>C21-J14</f>
        <v>22.194547515191516</v>
      </c>
      <c r="F21" s="66">
        <f t="shared" ref="F21:F22" si="3">E21/C21</f>
        <v>1.0796442818856041E-3</v>
      </c>
      <c r="G21" s="66">
        <f>E21*0.2</f>
        <v>4.4389095030383032</v>
      </c>
      <c r="H21" s="66">
        <v>0</v>
      </c>
      <c r="I21" s="66">
        <v>0</v>
      </c>
      <c r="J21" s="66">
        <f t="shared" ref="J21:J22" si="4">C21-H21</f>
        <v>20557.277880848524</v>
      </c>
      <c r="K21" s="67">
        <f>J21/J22</f>
        <v>0.33454352539342042</v>
      </c>
      <c r="L21" s="66">
        <f t="shared" ref="L21:L22" si="5">L14+H21</f>
        <v>0</v>
      </c>
      <c r="M21" s="66">
        <f t="shared" ref="M21:M22" si="6">J21+L21-D7</f>
        <v>557.27788084852364</v>
      </c>
      <c r="N21" s="65">
        <f>M21/D7</f>
        <v>2.7863894042426181E-2</v>
      </c>
    </row>
    <row r="22" spans="2:14" s="39" customFormat="1" ht="24" thickBot="1" x14ac:dyDescent="0.35">
      <c r="B22" s="73" t="s">
        <v>43</v>
      </c>
      <c r="C22" s="68">
        <f>资产结构!D6+资产结构!D7+资产结构!D8+资产结构!D9+资产结构!D10+资产结构!D11</f>
        <v>61457.56931328767</v>
      </c>
      <c r="D22" s="68">
        <v>1</v>
      </c>
      <c r="E22" s="69">
        <f>SUM(E20:E21)</f>
        <v>66.352313287676225</v>
      </c>
      <c r="F22" s="69">
        <f t="shared" si="3"/>
        <v>1.0796442818855555E-3</v>
      </c>
      <c r="G22" s="69">
        <f>G20+G21</f>
        <v>13.270462657535246</v>
      </c>
      <c r="H22" s="69">
        <f>H20+H21</f>
        <v>8.83</v>
      </c>
      <c r="I22" s="69">
        <v>0</v>
      </c>
      <c r="J22" s="66">
        <f t="shared" si="4"/>
        <v>61448.739313287668</v>
      </c>
      <c r="K22" s="70">
        <f>J22/J22</f>
        <v>1</v>
      </c>
      <c r="L22" s="66">
        <f t="shared" si="5"/>
        <v>222.863</v>
      </c>
      <c r="M22" s="66">
        <f t="shared" si="6"/>
        <v>1671.6023132876653</v>
      </c>
      <c r="N22" s="74">
        <f>M22/D8</f>
        <v>2.7860038554794422E-2</v>
      </c>
    </row>
    <row r="23" spans="2:14" s="39" customFormat="1" x14ac:dyDescent="0.3">
      <c r="B23" s="43" t="s">
        <v>67</v>
      </c>
      <c r="C23" s="39">
        <v>60400</v>
      </c>
      <c r="K23" s="43"/>
    </row>
    <row r="24" spans="2:14" x14ac:dyDescent="0.3">
      <c r="D24" s="14"/>
      <c r="M24" s="9">
        <f>M21/M20</f>
        <v>0.50010379798341098</v>
      </c>
    </row>
    <row r="25" spans="2:14" x14ac:dyDescent="0.3">
      <c r="M25" s="14">
        <f>M20+L20</f>
        <v>1337.1874324391417</v>
      </c>
    </row>
    <row r="26" spans="2:14" ht="24" thickBot="1" x14ac:dyDescent="0.35"/>
    <row r="27" spans="2:14" x14ac:dyDescent="0.3">
      <c r="B27" s="72"/>
      <c r="C27" s="82">
        <v>20160712</v>
      </c>
      <c r="D27" s="83"/>
      <c r="E27" s="83"/>
      <c r="F27" s="83"/>
      <c r="G27" s="83"/>
      <c r="H27" s="83"/>
      <c r="I27" s="83"/>
      <c r="J27" s="83"/>
      <c r="K27" s="83"/>
      <c r="L27" s="83"/>
      <c r="M27" s="83"/>
      <c r="N27" s="84"/>
    </row>
    <row r="28" spans="2:14" x14ac:dyDescent="0.3">
      <c r="B28" s="40"/>
      <c r="C28" s="41" t="s">
        <v>57</v>
      </c>
      <c r="D28" s="41" t="s">
        <v>42</v>
      </c>
      <c r="E28" s="41" t="s">
        <v>44</v>
      </c>
      <c r="F28" s="41" t="s">
        <v>62</v>
      </c>
      <c r="G28" s="41" t="s">
        <v>36</v>
      </c>
      <c r="H28" s="41" t="s">
        <v>55</v>
      </c>
      <c r="I28" s="41" t="s">
        <v>34</v>
      </c>
      <c r="J28" s="41" t="s">
        <v>58</v>
      </c>
      <c r="K28" s="41" t="s">
        <v>42</v>
      </c>
      <c r="L28" s="64" t="s">
        <v>54</v>
      </c>
      <c r="M28" s="41" t="s">
        <v>56</v>
      </c>
      <c r="N28" s="65" t="s">
        <v>61</v>
      </c>
    </row>
    <row r="29" spans="2:14" x14ac:dyDescent="0.3">
      <c r="B29" s="40">
        <v>216</v>
      </c>
      <c r="C29" s="66">
        <f>C31*D29</f>
        <v>41221.009873419083</v>
      </c>
      <c r="D29" s="66">
        <f>K20</f>
        <v>0.66545647460657964</v>
      </c>
      <c r="E29" s="66">
        <f>C29-J20</f>
        <v>329.54844097993919</v>
      </c>
      <c r="F29" s="66">
        <f>E29/C29</f>
        <v>7.9946716975618035E-3</v>
      </c>
      <c r="G29" s="66">
        <f>E29*0.2</f>
        <v>65.90968819598784</v>
      </c>
      <c r="H29" s="66"/>
      <c r="I29" s="66"/>
      <c r="J29" s="66"/>
      <c r="K29" s="67"/>
      <c r="L29" s="66">
        <f>L22+H29</f>
        <v>222.863</v>
      </c>
      <c r="M29" s="66">
        <f>C29+L29-40000</f>
        <v>1443.8728734190809</v>
      </c>
      <c r="N29" s="65">
        <f>M29/40000</f>
        <v>3.6096821835477022E-2</v>
      </c>
    </row>
    <row r="30" spans="2:14" x14ac:dyDescent="0.3">
      <c r="B30" s="40" t="s">
        <v>32</v>
      </c>
      <c r="C30" s="66">
        <f>C31*D30</f>
        <v>20722.951071267948</v>
      </c>
      <c r="D30" s="66">
        <f>K21</f>
        <v>0.33454352539342042</v>
      </c>
      <c r="E30" s="66">
        <f>C30-J21</f>
        <v>165.67319041942392</v>
      </c>
      <c r="F30" s="66">
        <f t="shared" ref="F30:F31" si="7">E30/C30</f>
        <v>7.9946716975618035E-3</v>
      </c>
      <c r="G30" s="66">
        <f>E30*0.2</f>
        <v>33.134638083884788</v>
      </c>
      <c r="H30" s="66"/>
      <c r="I30" s="66"/>
      <c r="J30" s="66"/>
      <c r="K30" s="67"/>
      <c r="L30" s="66">
        <f t="shared" ref="L30:L31" si="8">L23+H30</f>
        <v>0</v>
      </c>
      <c r="M30" s="66">
        <f>C30+L30-20000</f>
        <v>722.95107126794755</v>
      </c>
      <c r="N30" s="65">
        <f>M30/20000</f>
        <v>3.6147553563397376E-2</v>
      </c>
    </row>
    <row r="31" spans="2:14" ht="24" thickBot="1" x14ac:dyDescent="0.35">
      <c r="B31" s="73" t="s">
        <v>43</v>
      </c>
      <c r="C31" s="68">
        <f>资产结构!D23</f>
        <v>61943.960944687031</v>
      </c>
      <c r="D31" s="68">
        <v>1</v>
      </c>
      <c r="E31" s="69">
        <f>SUM(E29:E30)</f>
        <v>495.2216313993631</v>
      </c>
      <c r="F31" s="69">
        <f t="shared" si="7"/>
        <v>7.9946716975618035E-3</v>
      </c>
      <c r="G31" s="69">
        <f>G29+G30</f>
        <v>99.044326279872621</v>
      </c>
      <c r="H31" s="69"/>
      <c r="I31" s="69"/>
      <c r="J31" s="66"/>
      <c r="K31" s="70"/>
      <c r="L31" s="66">
        <f>L29+L30</f>
        <v>222.863</v>
      </c>
      <c r="M31" s="66">
        <f>M29+M30</f>
        <v>2166.8239446870284</v>
      </c>
      <c r="N31" s="74">
        <f>(C31+L31)/60000-1</f>
        <v>3.6113732411450439E-2</v>
      </c>
    </row>
    <row r="32" spans="2:14" x14ac:dyDescent="0.3">
      <c r="B32" s="76" t="s">
        <v>67</v>
      </c>
      <c r="C32" s="39">
        <f>60000*0.04/12*3+60000</f>
        <v>60600</v>
      </c>
    </row>
  </sheetData>
  <mergeCells count="4">
    <mergeCell ref="C18:N18"/>
    <mergeCell ref="C4:E4"/>
    <mergeCell ref="C11:M11"/>
    <mergeCell ref="C27:N27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L18"/>
  <sheetViews>
    <sheetView workbookViewId="0">
      <selection activeCell="D23" sqref="D23"/>
    </sheetView>
  </sheetViews>
  <sheetFormatPr baseColWidth="10" defaultRowHeight="23" x14ac:dyDescent="0.3"/>
  <cols>
    <col min="1" max="1" width="10.83203125" style="39"/>
    <col min="2" max="2" width="31.33203125" style="39" bestFit="1" customWidth="1"/>
    <col min="3" max="3" width="18.6640625" style="39" customWidth="1"/>
    <col min="4" max="4" width="38" style="39" customWidth="1"/>
    <col min="5" max="5" width="19.5" style="39" customWidth="1"/>
    <col min="6" max="6" width="17.6640625" style="39" customWidth="1"/>
    <col min="7" max="7" width="11" style="39" bestFit="1" customWidth="1"/>
    <col min="8" max="8" width="16.33203125" style="39" customWidth="1"/>
    <col min="9" max="11" width="11" style="39" bestFit="1" customWidth="1"/>
    <col min="12" max="12" width="19.5" style="39" customWidth="1"/>
    <col min="13" max="16384" width="10.83203125" style="39"/>
  </cols>
  <sheetData>
    <row r="1" spans="3:12" x14ac:dyDescent="0.3">
      <c r="C1" s="92" t="s">
        <v>46</v>
      </c>
      <c r="D1" s="92"/>
      <c r="E1" s="92"/>
      <c r="F1" s="92"/>
    </row>
    <row r="3" spans="3:12" ht="24" thickBot="1" x14ac:dyDescent="0.35"/>
    <row r="4" spans="3:12" x14ac:dyDescent="0.3">
      <c r="C4" s="91" t="s">
        <v>25</v>
      </c>
      <c r="D4" s="83"/>
      <c r="E4" s="83"/>
      <c r="F4" s="84"/>
      <c r="G4" s="93"/>
      <c r="H4" s="93"/>
      <c r="I4" s="93"/>
      <c r="J4" s="93"/>
      <c r="K4" s="93"/>
      <c r="L4" s="93"/>
    </row>
    <row r="5" spans="3:12" s="43" customFormat="1" x14ac:dyDescent="0.3">
      <c r="C5" s="40" t="s">
        <v>23</v>
      </c>
      <c r="D5" s="41" t="s">
        <v>22</v>
      </c>
      <c r="E5" s="41" t="s">
        <v>24</v>
      </c>
      <c r="F5" s="42" t="s">
        <v>26</v>
      </c>
    </row>
    <row r="6" spans="3:12" ht="24" thickBot="1" x14ac:dyDescent="0.35">
      <c r="C6" s="44">
        <v>11866.62</v>
      </c>
      <c r="D6" s="45">
        <v>0.8427</v>
      </c>
      <c r="E6" s="45">
        <f>C6*D6</f>
        <v>10000.000674000001</v>
      </c>
      <c r="F6" s="46">
        <v>0</v>
      </c>
    </row>
    <row r="7" spans="3:12" ht="24" thickBot="1" x14ac:dyDescent="0.35"/>
    <row r="8" spans="3:12" x14ac:dyDescent="0.3">
      <c r="C8" s="88" t="s">
        <v>47</v>
      </c>
      <c r="D8" s="89"/>
      <c r="E8" s="89"/>
      <c r="F8" s="90"/>
    </row>
    <row r="9" spans="3:12" x14ac:dyDescent="0.3">
      <c r="C9" s="47" t="s">
        <v>22</v>
      </c>
      <c r="D9" s="48" t="s">
        <v>24</v>
      </c>
      <c r="E9" s="48" t="s">
        <v>44</v>
      </c>
      <c r="F9" s="49" t="s">
        <v>45</v>
      </c>
    </row>
    <row r="10" spans="3:12" ht="24" thickBot="1" x14ac:dyDescent="0.35">
      <c r="C10" s="50">
        <v>0.8972</v>
      </c>
      <c r="D10" s="51">
        <f>C10*C6</f>
        <v>10646.731464</v>
      </c>
      <c r="E10" s="51">
        <f>D10-E6</f>
        <v>646.73078999999962</v>
      </c>
      <c r="F10" s="52">
        <f>D10-E6</f>
        <v>646.73078999999962</v>
      </c>
    </row>
    <row r="11" spans="3:12" ht="24" thickBot="1" x14ac:dyDescent="0.35"/>
    <row r="12" spans="3:12" x14ac:dyDescent="0.3">
      <c r="C12" s="88" t="s">
        <v>68</v>
      </c>
      <c r="D12" s="89"/>
      <c r="E12" s="89"/>
      <c r="F12" s="90"/>
    </row>
    <row r="13" spans="3:12" x14ac:dyDescent="0.3">
      <c r="C13" s="47" t="s">
        <v>22</v>
      </c>
      <c r="D13" s="48" t="s">
        <v>24</v>
      </c>
      <c r="E13" s="48" t="s">
        <v>44</v>
      </c>
      <c r="F13" s="49" t="s">
        <v>45</v>
      </c>
    </row>
    <row r="14" spans="3:12" ht="24" thickBot="1" x14ac:dyDescent="0.35">
      <c r="C14" s="50">
        <v>0.90249999999999997</v>
      </c>
      <c r="D14" s="51">
        <f>C14*C6</f>
        <v>10709.62455</v>
      </c>
      <c r="E14" s="51">
        <f>D14-D10</f>
        <v>62.893086000000039</v>
      </c>
      <c r="F14" s="52">
        <f>D14-E6</f>
        <v>709.62387599999965</v>
      </c>
    </row>
    <row r="15" spans="3:12" ht="24" thickBot="1" x14ac:dyDescent="0.35"/>
    <row r="16" spans="3:12" x14ac:dyDescent="0.3">
      <c r="C16" s="88" t="s">
        <v>69</v>
      </c>
      <c r="D16" s="89"/>
      <c r="E16" s="89"/>
      <c r="F16" s="90"/>
    </row>
    <row r="17" spans="3:6" x14ac:dyDescent="0.3">
      <c r="C17" s="47" t="s">
        <v>22</v>
      </c>
      <c r="D17" s="48" t="s">
        <v>24</v>
      </c>
      <c r="E17" s="48" t="s">
        <v>44</v>
      </c>
      <c r="F17" s="49" t="s">
        <v>45</v>
      </c>
    </row>
    <row r="18" spans="3:6" ht="24" thickBot="1" x14ac:dyDescent="0.35">
      <c r="C18" s="50">
        <v>0.93430000000000002</v>
      </c>
      <c r="D18" s="51">
        <f>C18*C6</f>
        <v>11086.983066000001</v>
      </c>
      <c r="E18" s="51">
        <f>D18-D14</f>
        <v>377.35851600000024</v>
      </c>
      <c r="F18" s="52">
        <f>D18-E6</f>
        <v>1086.9823919999999</v>
      </c>
    </row>
  </sheetData>
  <mergeCells count="7">
    <mergeCell ref="C16:F16"/>
    <mergeCell ref="C12:F12"/>
    <mergeCell ref="C4:F4"/>
    <mergeCell ref="C1:F1"/>
    <mergeCell ref="G4:I4"/>
    <mergeCell ref="J4:L4"/>
    <mergeCell ref="C8:F8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M18"/>
  <sheetViews>
    <sheetView topLeftCell="B6" workbookViewId="0">
      <selection activeCell="E24" sqref="E24"/>
    </sheetView>
  </sheetViews>
  <sheetFormatPr baseColWidth="10" defaultRowHeight="23" x14ac:dyDescent="0.3"/>
  <cols>
    <col min="1" max="1" width="10.83203125" style="10"/>
    <col min="2" max="2" width="43.1640625" style="10" customWidth="1"/>
    <col min="3" max="3" width="10.83203125" style="10"/>
    <col min="4" max="4" width="21.5" style="10" customWidth="1"/>
    <col min="5" max="5" width="12.33203125" style="10" bestFit="1" customWidth="1"/>
    <col min="6" max="6" width="10.83203125" style="10"/>
    <col min="7" max="7" width="14.83203125" style="10" customWidth="1"/>
    <col min="8" max="8" width="10.83203125" style="10"/>
    <col min="9" max="9" width="14.33203125" style="10" customWidth="1"/>
    <col min="10" max="10" width="11.6640625" style="10" customWidth="1"/>
    <col min="11" max="11" width="15.83203125" style="10" bestFit="1" customWidth="1"/>
    <col min="12" max="12" width="13.83203125" style="10" bestFit="1" customWidth="1"/>
    <col min="13" max="13" width="13.5" style="10" bestFit="1" customWidth="1"/>
    <col min="14" max="16384" width="10.83203125" style="10"/>
  </cols>
  <sheetData>
    <row r="3" spans="2:13" ht="24" thickBot="1" x14ac:dyDescent="0.35"/>
    <row r="4" spans="2:13" x14ac:dyDescent="0.3">
      <c r="D4" s="85" t="s">
        <v>27</v>
      </c>
      <c r="E4" s="86"/>
      <c r="F4" s="86"/>
      <c r="G4" s="86"/>
      <c r="H4" s="85" t="s">
        <v>48</v>
      </c>
      <c r="I4" s="86"/>
      <c r="J4" s="86"/>
      <c r="K4" s="86"/>
      <c r="L4" s="86"/>
      <c r="M4" s="87"/>
    </row>
    <row r="5" spans="2:13" x14ac:dyDescent="0.3">
      <c r="C5" s="10" t="s">
        <v>25</v>
      </c>
      <c r="D5" s="25" t="s">
        <v>24</v>
      </c>
      <c r="E5" s="24" t="s">
        <v>50</v>
      </c>
      <c r="F5" s="24" t="s">
        <v>26</v>
      </c>
      <c r="G5" s="33" t="s">
        <v>45</v>
      </c>
      <c r="H5" s="25" t="s">
        <v>24</v>
      </c>
      <c r="I5" s="24" t="s">
        <v>49</v>
      </c>
      <c r="J5" s="24" t="s">
        <v>44</v>
      </c>
      <c r="K5" s="24" t="s">
        <v>53</v>
      </c>
      <c r="L5" s="24" t="s">
        <v>51</v>
      </c>
      <c r="M5" s="27" t="s">
        <v>52</v>
      </c>
    </row>
    <row r="6" spans="2:13" s="13" customFormat="1" x14ac:dyDescent="0.15">
      <c r="B6" s="12" t="s">
        <v>28</v>
      </c>
      <c r="C6" s="13">
        <v>7000</v>
      </c>
      <c r="D6" s="29">
        <v>7013.3</v>
      </c>
      <c r="E6" s="100">
        <f>SUM(D6:D9)</f>
        <v>28756.7</v>
      </c>
      <c r="F6" s="28">
        <f>D6-C6</f>
        <v>13.300000000000182</v>
      </c>
      <c r="G6" s="104">
        <f>F6+F7+F8+F9</f>
        <v>756.70000000000095</v>
      </c>
      <c r="H6" s="29">
        <v>7058.1</v>
      </c>
      <c r="I6" s="28">
        <f>H6-C6</f>
        <v>58.100000000000364</v>
      </c>
      <c r="J6" s="28">
        <f>H6-D6</f>
        <v>44.800000000000182</v>
      </c>
      <c r="K6" s="100">
        <f>J6+J7+J8+J9</f>
        <v>-382.68999999999915</v>
      </c>
      <c r="L6" s="100">
        <f>SUM(H6:H9)</f>
        <v>28374.010000000002</v>
      </c>
      <c r="M6" s="102">
        <f>SUM(I6:I9)</f>
        <v>374.01000000000181</v>
      </c>
    </row>
    <row r="7" spans="2:13" x14ac:dyDescent="0.3">
      <c r="B7" s="10" t="s">
        <v>29</v>
      </c>
      <c r="C7" s="10">
        <v>1000</v>
      </c>
      <c r="D7" s="25">
        <v>1053.7</v>
      </c>
      <c r="E7" s="100"/>
      <c r="F7" s="28">
        <f>D7-C7</f>
        <v>53.700000000000045</v>
      </c>
      <c r="G7" s="104"/>
      <c r="H7" s="25">
        <v>1078.76</v>
      </c>
      <c r="I7" s="24">
        <f>H7-C7</f>
        <v>78.759999999999991</v>
      </c>
      <c r="J7" s="28">
        <f>H7-D7</f>
        <v>25.059999999999945</v>
      </c>
      <c r="K7" s="100"/>
      <c r="L7" s="100"/>
      <c r="M7" s="102"/>
    </row>
    <row r="8" spans="2:13" x14ac:dyDescent="0.3">
      <c r="B8" s="10" t="s">
        <v>30</v>
      </c>
      <c r="C8" s="10">
        <v>10000</v>
      </c>
      <c r="D8" s="25">
        <v>10065.91</v>
      </c>
      <c r="E8" s="100"/>
      <c r="F8" s="28">
        <f>D8-C8</f>
        <v>65.909999999999854</v>
      </c>
      <c r="G8" s="104"/>
      <c r="H8" s="25">
        <v>9985.2000000000007</v>
      </c>
      <c r="I8" s="24">
        <f>H8-C8</f>
        <v>-14.799999999999272</v>
      </c>
      <c r="J8" s="28">
        <f>H8-D8</f>
        <v>-80.709999999999127</v>
      </c>
      <c r="K8" s="100"/>
      <c r="L8" s="100"/>
      <c r="M8" s="102"/>
    </row>
    <row r="9" spans="2:13" ht="24" thickBot="1" x14ac:dyDescent="0.35">
      <c r="B9" s="10" t="s">
        <v>31</v>
      </c>
      <c r="C9" s="10">
        <v>10000</v>
      </c>
      <c r="D9" s="26">
        <v>10623.79</v>
      </c>
      <c r="E9" s="101"/>
      <c r="F9" s="31">
        <f>D9-C9</f>
        <v>623.79000000000087</v>
      </c>
      <c r="G9" s="105"/>
      <c r="H9" s="26">
        <v>10251.950000000001</v>
      </c>
      <c r="I9" s="32">
        <f>H9-C9</f>
        <v>251.95000000000073</v>
      </c>
      <c r="J9" s="31">
        <f>H9-D9</f>
        <v>-371.84000000000015</v>
      </c>
      <c r="K9" s="101"/>
      <c r="L9" s="101"/>
      <c r="M9" s="103"/>
    </row>
    <row r="10" spans="2:13" x14ac:dyDescent="0.3">
      <c r="C10" s="10">
        <f>SUM(C6:C9)</f>
        <v>28000</v>
      </c>
    </row>
    <row r="12" spans="2:13" ht="24" thickBot="1" x14ac:dyDescent="0.35"/>
    <row r="13" spans="2:13" x14ac:dyDescent="0.3">
      <c r="D13" s="85" t="s">
        <v>63</v>
      </c>
      <c r="E13" s="86"/>
      <c r="F13" s="86"/>
      <c r="G13" s="86"/>
      <c r="H13" s="86"/>
      <c r="I13" s="87"/>
    </row>
    <row r="14" spans="2:13" x14ac:dyDescent="0.3">
      <c r="D14" s="25" t="s">
        <v>24</v>
      </c>
      <c r="E14" s="24" t="s">
        <v>49</v>
      </c>
      <c r="F14" s="24" t="s">
        <v>44</v>
      </c>
      <c r="G14" s="24" t="s">
        <v>53</v>
      </c>
      <c r="H14" s="24" t="s">
        <v>51</v>
      </c>
      <c r="I14" s="27" t="s">
        <v>52</v>
      </c>
    </row>
    <row r="15" spans="2:13" x14ac:dyDescent="0.3">
      <c r="B15" s="62" t="s">
        <v>28</v>
      </c>
      <c r="D15" s="29">
        <v>7221.2</v>
      </c>
      <c r="E15" s="28">
        <f>D15-C6</f>
        <v>221.19999999999982</v>
      </c>
      <c r="F15" s="28">
        <f>D15-D6</f>
        <v>207.89999999999964</v>
      </c>
      <c r="G15" s="94">
        <f>F15+F16+F17+F18</f>
        <v>-873.43000000000166</v>
      </c>
      <c r="H15" s="94">
        <f>SUM(D15:D18)</f>
        <v>27883.269999999997</v>
      </c>
      <c r="I15" s="97">
        <f>SUM(E15:E18)</f>
        <v>-116.7300000000007</v>
      </c>
    </row>
    <row r="16" spans="2:13" x14ac:dyDescent="0.3">
      <c r="B16" s="63" t="s">
        <v>29</v>
      </c>
      <c r="D16" s="25">
        <v>184.43</v>
      </c>
      <c r="E16" s="28">
        <f>D16-C7</f>
        <v>-815.56999999999994</v>
      </c>
      <c r="F16" s="28">
        <f>D16-D7</f>
        <v>-869.27</v>
      </c>
      <c r="G16" s="95"/>
      <c r="H16" s="95"/>
      <c r="I16" s="98"/>
    </row>
    <row r="17" spans="2:9" x14ac:dyDescent="0.3">
      <c r="B17" s="63" t="s">
        <v>30</v>
      </c>
      <c r="D17" s="25">
        <v>10296.51</v>
      </c>
      <c r="E17" s="28">
        <f>D17-C8</f>
        <v>296.51000000000022</v>
      </c>
      <c r="F17" s="28">
        <f>D17-D8</f>
        <v>230.60000000000036</v>
      </c>
      <c r="G17" s="95"/>
      <c r="H17" s="95"/>
      <c r="I17" s="98"/>
    </row>
    <row r="18" spans="2:9" ht="24" thickBot="1" x14ac:dyDescent="0.35">
      <c r="B18" s="63" t="s">
        <v>31</v>
      </c>
      <c r="D18" s="26">
        <v>10181.129999999999</v>
      </c>
      <c r="E18" s="31">
        <f>D18-C9</f>
        <v>181.1299999999992</v>
      </c>
      <c r="F18" s="31">
        <f>D18-D9</f>
        <v>-442.66000000000167</v>
      </c>
      <c r="G18" s="96"/>
      <c r="H18" s="96"/>
      <c r="I18" s="99"/>
    </row>
  </sheetData>
  <mergeCells count="11">
    <mergeCell ref="D4:G4"/>
    <mergeCell ref="M6:M9"/>
    <mergeCell ref="H4:M4"/>
    <mergeCell ref="G6:G9"/>
    <mergeCell ref="K6:K9"/>
    <mergeCell ref="E6:E9"/>
    <mergeCell ref="D13:I13"/>
    <mergeCell ref="G15:G18"/>
    <mergeCell ref="H15:H18"/>
    <mergeCell ref="I15:I18"/>
    <mergeCell ref="L6:L9"/>
  </mergeCells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E23"/>
  <sheetViews>
    <sheetView topLeftCell="A3" workbookViewId="0">
      <selection activeCell="I16" sqref="I16"/>
    </sheetView>
  </sheetViews>
  <sheetFormatPr baseColWidth="10" defaultRowHeight="23" x14ac:dyDescent="0.3"/>
  <cols>
    <col min="1" max="1" width="10.83203125" style="9"/>
    <col min="2" max="2" width="14.83203125" style="9" customWidth="1"/>
    <col min="3" max="3" width="32.33203125" style="11" customWidth="1"/>
    <col min="4" max="4" width="21" style="9" customWidth="1"/>
    <col min="5" max="5" width="19.83203125" style="9" customWidth="1"/>
    <col min="6" max="16384" width="10.83203125" style="9"/>
  </cols>
  <sheetData>
    <row r="3" spans="3:5" ht="24" thickBot="1" x14ac:dyDescent="0.35"/>
    <row r="4" spans="3:5" x14ac:dyDescent="0.3">
      <c r="D4" s="106">
        <v>20160622</v>
      </c>
      <c r="E4" s="107"/>
    </row>
    <row r="5" spans="3:5" ht="24" thickBot="1" x14ac:dyDescent="0.35">
      <c r="D5" s="29" t="s">
        <v>24</v>
      </c>
      <c r="E5" s="30" t="s">
        <v>42</v>
      </c>
    </row>
    <row r="6" spans="3:5" x14ac:dyDescent="0.3">
      <c r="C6" s="58" t="s">
        <v>41</v>
      </c>
      <c r="D6" s="55">
        <f>'易H股ETF联接（110031）'!D14</f>
        <v>10709.62455</v>
      </c>
      <c r="E6" s="53">
        <f>D6/D12</f>
        <v>0.17426046408386811</v>
      </c>
    </row>
    <row r="7" spans="3:5" x14ac:dyDescent="0.3">
      <c r="C7" s="59" t="s">
        <v>28</v>
      </c>
      <c r="D7" s="56">
        <f>打包资产统计!D15</f>
        <v>7221.2</v>
      </c>
      <c r="E7" s="53">
        <f>D7/D12</f>
        <v>0.11749895221512954</v>
      </c>
    </row>
    <row r="8" spans="3:5" x14ac:dyDescent="0.3">
      <c r="C8" s="60" t="s">
        <v>29</v>
      </c>
      <c r="D8" s="56">
        <f>打包资产统计!D16</f>
        <v>184.43</v>
      </c>
      <c r="E8" s="53">
        <f>D8/D12</f>
        <v>3.0009322213809817E-3</v>
      </c>
    </row>
    <row r="9" spans="3:5" x14ac:dyDescent="0.3">
      <c r="C9" s="60" t="s">
        <v>30</v>
      </c>
      <c r="D9" s="56">
        <f>打包资产统计!D17</f>
        <v>10296.51</v>
      </c>
      <c r="E9" s="53">
        <f>D9/D12</f>
        <v>0.16753851665548711</v>
      </c>
    </row>
    <row r="10" spans="3:5" x14ac:dyDescent="0.3">
      <c r="C10" s="60" t="s">
        <v>31</v>
      </c>
      <c r="D10" s="56">
        <f>打包资产统计!D18</f>
        <v>10181.129999999999</v>
      </c>
      <c r="E10" s="53">
        <f>D10/D12</f>
        <v>0.16566112382512904</v>
      </c>
    </row>
    <row r="11" spans="3:5" x14ac:dyDescent="0.3">
      <c r="C11" s="60" t="s">
        <v>59</v>
      </c>
      <c r="D11" s="56">
        <v>22864.674763287672</v>
      </c>
      <c r="E11" s="53">
        <f>D11/D12</f>
        <v>0.37204001099900524</v>
      </c>
    </row>
    <row r="12" spans="3:5" ht="24" thickBot="1" x14ac:dyDescent="0.35">
      <c r="C12" s="61" t="s">
        <v>60</v>
      </c>
      <c r="D12" s="57">
        <f>SUM(D6:D11)</f>
        <v>61457.56931328767</v>
      </c>
      <c r="E12" s="54">
        <f>D12/D12</f>
        <v>1</v>
      </c>
    </row>
    <row r="14" spans="3:5" ht="24" thickBot="1" x14ac:dyDescent="0.35"/>
    <row r="15" spans="3:5" x14ac:dyDescent="0.3">
      <c r="D15" s="106">
        <v>20160713</v>
      </c>
      <c r="E15" s="107"/>
    </row>
    <row r="16" spans="3:5" ht="24" thickBot="1" x14ac:dyDescent="0.35">
      <c r="D16" s="29" t="s">
        <v>24</v>
      </c>
      <c r="E16" s="77" t="s">
        <v>42</v>
      </c>
    </row>
    <row r="17" spans="3:5" x14ac:dyDescent="0.3">
      <c r="C17" s="58" t="s">
        <v>41</v>
      </c>
      <c r="D17" s="55">
        <f>'易H股ETF联接（110031）'!D18</f>
        <v>11086.983066000001</v>
      </c>
      <c r="E17" s="53">
        <f>D17/D23</f>
        <v>0.17898408330555649</v>
      </c>
    </row>
    <row r="18" spans="3:5" x14ac:dyDescent="0.3">
      <c r="C18" s="59" t="s">
        <v>28</v>
      </c>
      <c r="D18" s="108">
        <v>7228.2</v>
      </c>
      <c r="E18" s="53">
        <f>D18/D23</f>
        <v>0.11668934129760339</v>
      </c>
    </row>
    <row r="19" spans="3:5" x14ac:dyDescent="0.3">
      <c r="C19" s="60" t="s">
        <v>29</v>
      </c>
      <c r="D19" s="56">
        <v>184.62</v>
      </c>
      <c r="E19" s="53">
        <f>D19/D23</f>
        <v>2.9804358194797514E-3</v>
      </c>
    </row>
    <row r="20" spans="3:5" x14ac:dyDescent="0.3">
      <c r="C20" s="60" t="s">
        <v>30</v>
      </c>
      <c r="D20" s="56">
        <v>10400.290000000001</v>
      </c>
      <c r="E20" s="53">
        <f>D20/D23</f>
        <v>0.16789836880607228</v>
      </c>
    </row>
    <row r="21" spans="3:5" x14ac:dyDescent="0.3">
      <c r="C21" s="60" t="s">
        <v>31</v>
      </c>
      <c r="D21" s="56">
        <v>10145.719999999999</v>
      </c>
      <c r="E21" s="53">
        <f>D21/D23</f>
        <v>0.16378868650423628</v>
      </c>
    </row>
    <row r="22" spans="3:5" x14ac:dyDescent="0.3">
      <c r="C22" s="60" t="s">
        <v>59</v>
      </c>
      <c r="D22" s="56">
        <f>余额宝!H6</f>
        <v>22898.147878687032</v>
      </c>
      <c r="E22" s="53">
        <f>D22/D23</f>
        <v>0.36965908426705185</v>
      </c>
    </row>
    <row r="23" spans="3:5" ht="24" thickBot="1" x14ac:dyDescent="0.35">
      <c r="C23" s="61" t="s">
        <v>60</v>
      </c>
      <c r="D23" s="57">
        <f>SUM(D17:D22)</f>
        <v>61943.960944687031</v>
      </c>
      <c r="E23" s="54">
        <f>D23/D23</f>
        <v>1</v>
      </c>
    </row>
  </sheetData>
  <mergeCells count="2">
    <mergeCell ref="D4:E4"/>
    <mergeCell ref="D15:E15"/>
  </mergeCells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3"/>
  <sheetViews>
    <sheetView workbookViewId="0">
      <selection activeCell="D3" sqref="D3"/>
    </sheetView>
  </sheetViews>
  <sheetFormatPr baseColWidth="10" defaultRowHeight="15" x14ac:dyDescent="0.15"/>
  <cols>
    <col min="2" max="2" width="27.33203125" bestFit="1" customWidth="1"/>
  </cols>
  <sheetData>
    <row r="2" spans="2:4" x14ac:dyDescent="0.15">
      <c r="B2" t="s">
        <v>64</v>
      </c>
      <c r="C2" t="s">
        <v>65</v>
      </c>
      <c r="D2" t="s">
        <v>66</v>
      </c>
    </row>
    <row r="3" spans="2:4" ht="23" x14ac:dyDescent="0.3">
      <c r="B3" s="60" t="s">
        <v>29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工作表1</vt:lpstr>
      <vt:lpstr>余额宝</vt:lpstr>
      <vt:lpstr>投资者权益表</vt:lpstr>
      <vt:lpstr>易H股ETF联接（110031）</vt:lpstr>
      <vt:lpstr>打包资产统计</vt:lpstr>
      <vt:lpstr>资产结构</vt:lpstr>
      <vt:lpstr>Operation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2016-06-08T12:08:10Z</dcterms:created>
  <dcterms:modified xsi:type="dcterms:W3CDTF">2016-07-13T04:44:07Z</dcterms:modified>
</cp:coreProperties>
</file>