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20" tabRatio="500" firstSheet="2" activeTab="7"/>
  </bookViews>
  <sheets>
    <sheet name="工作表1" sheetId="1" state="hidden" r:id="rId1"/>
    <sheet name="余额宝" sheetId="7" state="hidden" r:id="rId2"/>
    <sheet name="投资者权益表" sheetId="6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策略" sheetId="10" state="hidden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7" l="1"/>
  <c r="E11" i="17"/>
  <c r="H11" i="17"/>
  <c r="I11" i="17"/>
  <c r="J11" i="17"/>
  <c r="G11" i="17"/>
  <c r="F11" i="17"/>
  <c r="E13" i="16"/>
  <c r="D13" i="16"/>
  <c r="G13" i="16"/>
  <c r="H13" i="16"/>
  <c r="E10" i="12"/>
  <c r="K10" i="12"/>
  <c r="I10" i="12"/>
  <c r="J10" i="12"/>
  <c r="F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E10" i="17"/>
  <c r="L10" i="17"/>
  <c r="H10" i="17"/>
  <c r="I10" i="17"/>
  <c r="J10" i="17"/>
  <c r="G10" i="17"/>
  <c r="F10" i="17"/>
  <c r="E12" i="16"/>
  <c r="D12" i="16"/>
  <c r="G12" i="16"/>
  <c r="H12" i="16"/>
  <c r="E9" i="12"/>
  <c r="K9" i="12"/>
  <c r="I9" i="12"/>
  <c r="J9" i="12"/>
  <c r="F9" i="12"/>
  <c r="H8" i="17"/>
  <c r="F9" i="17"/>
  <c r="E7" i="17"/>
  <c r="D7" i="17"/>
  <c r="H7" i="17"/>
  <c r="F8" i="17"/>
  <c r="L9" i="17"/>
  <c r="H9" i="17"/>
  <c r="I9" i="17"/>
  <c r="J9" i="17"/>
  <c r="G9" i="17"/>
  <c r="K8" i="12"/>
  <c r="J8" i="12"/>
  <c r="F8" i="12"/>
  <c r="E8" i="12"/>
  <c r="G11" i="16"/>
  <c r="D11" i="16"/>
  <c r="G10" i="16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I8" i="12"/>
  <c r="H52" i="11"/>
  <c r="H10" i="16"/>
  <c r="D10" i="16"/>
  <c r="E50" i="11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G9" i="16"/>
  <c r="F7" i="12"/>
  <c r="E7" i="12"/>
  <c r="K7" i="12"/>
  <c r="I7" i="12"/>
  <c r="J7" i="12"/>
  <c r="H14" i="16"/>
  <c r="O7" i="17"/>
  <c r="G7" i="17"/>
  <c r="E8" i="16"/>
  <c r="D8" i="16"/>
  <c r="H8" i="16"/>
  <c r="G8" i="16"/>
  <c r="K8" i="16"/>
  <c r="K6" i="12"/>
  <c r="E6" i="12"/>
  <c r="I6" i="12"/>
  <c r="J6" i="12"/>
  <c r="F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F72" i="8"/>
  <c r="I46" i="11"/>
  <c r="H46" i="11"/>
  <c r="I45" i="11"/>
  <c r="H15" i="18"/>
  <c r="M5" i="12"/>
  <c r="N5" i="12"/>
  <c r="O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K5" i="12"/>
  <c r="E5" i="12"/>
  <c r="I5" i="12"/>
  <c r="J5" i="12"/>
  <c r="E4" i="12"/>
  <c r="F5" i="12"/>
  <c r="I7" i="18"/>
  <c r="I6" i="18"/>
  <c r="H8" i="18"/>
  <c r="H6" i="18"/>
  <c r="F8" i="18"/>
  <c r="G8" i="18"/>
  <c r="D7" i="18"/>
  <c r="E3" i="12"/>
  <c r="C43" i="11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F4" i="12"/>
  <c r="G4" i="12"/>
  <c r="F6" i="16"/>
  <c r="I4" i="12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43" i="8"/>
  <c r="C39" i="6"/>
  <c r="C37" i="6"/>
  <c r="C31" i="6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H4" i="12"/>
  <c r="J4" i="12"/>
  <c r="I3" i="12"/>
  <c r="E7" i="14"/>
  <c r="I7" i="14"/>
  <c r="I6" i="14"/>
  <c r="D58" i="8"/>
  <c r="F59" i="8"/>
  <c r="H59" i="8"/>
  <c r="D59" i="8"/>
  <c r="H60" i="8"/>
  <c r="D60" i="8"/>
  <c r="H61" i="8"/>
  <c r="D61" i="8"/>
  <c r="D47" i="8"/>
  <c r="F48" i="8"/>
  <c r="H48" i="8"/>
  <c r="D48" i="8"/>
  <c r="H49" i="8"/>
  <c r="D49" i="8"/>
  <c r="H50" i="8"/>
  <c r="D50" i="8"/>
  <c r="H51" i="8"/>
  <c r="D51" i="8"/>
  <c r="D37" i="8"/>
  <c r="F38" i="8"/>
  <c r="H38" i="8"/>
  <c r="D38" i="8"/>
  <c r="H39" i="8"/>
  <c r="D39" i="8"/>
  <c r="H40" i="8"/>
  <c r="D40" i="8"/>
  <c r="H41" i="8"/>
  <c r="D41" i="8"/>
  <c r="D27" i="8"/>
  <c r="D32" i="8"/>
  <c r="D33" i="8"/>
  <c r="D6" i="8"/>
  <c r="D7" i="8"/>
  <c r="D8" i="8"/>
  <c r="D9" i="8"/>
  <c r="D10" i="8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<sst xmlns="http://schemas.openxmlformats.org/spreadsheetml/2006/main" count="570" uniqueCount="181">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</sst>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21" t="s">
        <v>0</v>
      </c>
      <c r="C17" s="121" t="s">
        <v>1</v>
      </c>
      <c r="D17" s="121">
        <v>7000</v>
      </c>
      <c r="E17" s="122">
        <v>7013.3</v>
      </c>
      <c r="F17" s="4"/>
      <c r="G17" s="120">
        <v>7058.1</v>
      </c>
      <c r="H17" s="120"/>
      <c r="I17" s="120"/>
    </row>
    <row r="18" spans="2:9" ht="18" x14ac:dyDescent="0.2">
      <c r="B18" s="121"/>
      <c r="C18" s="121"/>
      <c r="D18" s="121"/>
      <c r="E18" s="122"/>
      <c r="F18" s="4"/>
      <c r="G18" s="120"/>
      <c r="H18" s="120"/>
      <c r="I18" s="120"/>
    </row>
    <row r="19" spans="2:9" ht="18" x14ac:dyDescent="0.2">
      <c r="B19" s="121" t="s">
        <v>2</v>
      </c>
      <c r="C19" s="121" t="s">
        <v>3</v>
      </c>
      <c r="D19" s="121">
        <v>10000</v>
      </c>
      <c r="E19" s="122">
        <v>10623.79</v>
      </c>
      <c r="F19" s="4"/>
      <c r="G19" s="120"/>
      <c r="H19" s="120"/>
      <c r="I19" s="120"/>
    </row>
    <row r="20" spans="2:9" ht="18" x14ac:dyDescent="0.2">
      <c r="B20" s="121"/>
      <c r="C20" s="121"/>
      <c r="D20" s="121"/>
      <c r="E20" s="122"/>
      <c r="F20" s="4"/>
      <c r="G20" s="120"/>
      <c r="H20" s="120"/>
      <c r="I20" s="120"/>
    </row>
    <row r="21" spans="2:9" ht="18" x14ac:dyDescent="0.2">
      <c r="B21" s="121" t="s">
        <v>4</v>
      </c>
      <c r="C21" s="121" t="s">
        <v>3</v>
      </c>
      <c r="D21" s="121">
        <v>10000</v>
      </c>
      <c r="E21" s="122">
        <v>10065.91</v>
      </c>
      <c r="F21" s="4"/>
      <c r="G21" s="120"/>
      <c r="H21" s="120"/>
      <c r="I21" s="120"/>
    </row>
    <row r="22" spans="2:9" ht="18" x14ac:dyDescent="0.2">
      <c r="B22" s="121"/>
      <c r="C22" s="121"/>
      <c r="D22" s="121"/>
      <c r="E22" s="122"/>
      <c r="F22" s="4"/>
      <c r="G22" s="120"/>
      <c r="H22" s="120"/>
      <c r="I22" s="120"/>
    </row>
    <row r="23" spans="2:9" ht="18" x14ac:dyDescent="0.2">
      <c r="B23" s="121" t="s">
        <v>5</v>
      </c>
      <c r="C23" s="121" t="s">
        <v>1</v>
      </c>
      <c r="D23" s="121">
        <v>10000</v>
      </c>
      <c r="E23" s="122">
        <v>10809.31</v>
      </c>
      <c r="F23" s="4"/>
      <c r="G23" s="120"/>
      <c r="H23" s="120"/>
      <c r="I23" s="120"/>
    </row>
    <row r="24" spans="2:9" ht="18" x14ac:dyDescent="0.2">
      <c r="B24" s="121"/>
      <c r="C24" s="121"/>
      <c r="D24" s="121"/>
      <c r="E24" s="122"/>
      <c r="F24" s="4"/>
      <c r="G24" s="120"/>
      <c r="H24" s="120"/>
      <c r="I24" s="120"/>
    </row>
    <row r="25" spans="2:9" ht="18" x14ac:dyDescent="0.2">
      <c r="B25" s="121" t="s">
        <v>6</v>
      </c>
      <c r="C25" s="121" t="s">
        <v>1</v>
      </c>
      <c r="D25" s="121">
        <v>1000</v>
      </c>
      <c r="E25" s="122">
        <v>1053.7</v>
      </c>
      <c r="F25" s="4"/>
      <c r="G25" s="120"/>
      <c r="H25" s="120"/>
      <c r="I25" s="120"/>
    </row>
    <row r="26" spans="2:9" ht="18" x14ac:dyDescent="0.2">
      <c r="B26" s="121"/>
      <c r="C26" s="121"/>
      <c r="D26" s="121"/>
      <c r="E26" s="122"/>
      <c r="F26" s="4"/>
      <c r="G26" s="120"/>
      <c r="H26" s="120"/>
      <c r="I26" s="120"/>
    </row>
    <row r="27" spans="2:9" ht="18" x14ac:dyDescent="0.2">
      <c r="B27" s="121" t="s">
        <v>7</v>
      </c>
      <c r="C27" s="121" t="s">
        <v>8</v>
      </c>
      <c r="D27" s="121">
        <v>22000</v>
      </c>
      <c r="E27" s="122">
        <v>21825.21</v>
      </c>
      <c r="F27" s="4"/>
      <c r="G27" s="120"/>
      <c r="H27" s="120"/>
      <c r="I27" s="120"/>
    </row>
    <row r="28" spans="2:9" ht="18" x14ac:dyDescent="0.2">
      <c r="B28" s="121"/>
      <c r="C28" s="121"/>
      <c r="D28" s="121"/>
      <c r="E28" s="122"/>
      <c r="F28" s="4"/>
      <c r="G28" s="120"/>
      <c r="H28" s="120"/>
      <c r="I28" s="120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36" t="s">
        <v>46</v>
      </c>
      <c r="D1" s="136"/>
      <c r="E1" s="136"/>
      <c r="F1" s="136"/>
    </row>
    <row r="3" spans="3:12" ht="24" thickBot="1" x14ac:dyDescent="0.35"/>
    <row r="4" spans="3:12" x14ac:dyDescent="0.3">
      <c r="C4" s="141" t="s">
        <v>25</v>
      </c>
      <c r="D4" s="125"/>
      <c r="E4" s="125"/>
      <c r="F4" s="126"/>
      <c r="G4" s="137"/>
      <c r="H4" s="137"/>
      <c r="I4" s="137"/>
      <c r="J4" s="137"/>
      <c r="K4" s="137"/>
      <c r="L4" s="137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38" t="s">
        <v>47</v>
      </c>
      <c r="D8" s="139"/>
      <c r="E8" s="139"/>
      <c r="F8" s="140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38" t="s">
        <v>68</v>
      </c>
      <c r="D12" s="139"/>
      <c r="E12" s="139"/>
      <c r="F12" s="140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38" t="s">
        <v>77</v>
      </c>
      <c r="D16" s="139"/>
      <c r="E16" s="139"/>
      <c r="F16" s="140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33" t="s">
        <v>69</v>
      </c>
      <c r="D20" s="134"/>
      <c r="E20" s="134"/>
      <c r="F20" s="134"/>
      <c r="G20" s="135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27" t="s">
        <v>27</v>
      </c>
      <c r="E4" s="128"/>
      <c r="F4" s="128"/>
      <c r="G4" s="128"/>
      <c r="H4" s="127" t="s">
        <v>48</v>
      </c>
      <c r="I4" s="128"/>
      <c r="J4" s="128"/>
      <c r="K4" s="128"/>
      <c r="L4" s="128"/>
      <c r="M4" s="129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46">
        <f>SUM(D6:D9)</f>
        <v>28756.7</v>
      </c>
      <c r="F6" s="28">
        <f>D6-C6</f>
        <v>13.300000000000182</v>
      </c>
      <c r="G6" s="144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46">
        <f>J6+J7+J8+J9</f>
        <v>-382.68999999999915</v>
      </c>
      <c r="L6" s="146">
        <f>SUM(H6:H9)</f>
        <v>28374.010000000002</v>
      </c>
      <c r="M6" s="142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46"/>
      <c r="F7" s="28">
        <f>D7-C7</f>
        <v>53.700000000000045</v>
      </c>
      <c r="G7" s="144"/>
      <c r="H7" s="25">
        <v>1078.76</v>
      </c>
      <c r="I7" s="24">
        <f>H7-C7</f>
        <v>78.759999999999991</v>
      </c>
      <c r="J7" s="28">
        <f>H7-D7</f>
        <v>25.059999999999945</v>
      </c>
      <c r="K7" s="146"/>
      <c r="L7" s="146"/>
      <c r="M7" s="142"/>
    </row>
    <row r="8" spans="2:13" x14ac:dyDescent="0.3">
      <c r="B8" s="10" t="s">
        <v>30</v>
      </c>
      <c r="C8" s="10">
        <v>10000</v>
      </c>
      <c r="D8" s="25">
        <v>10065.91</v>
      </c>
      <c r="E8" s="146"/>
      <c r="F8" s="28">
        <f>D8-C8</f>
        <v>65.909999999999854</v>
      </c>
      <c r="G8" s="144"/>
      <c r="H8" s="25">
        <v>9985.2000000000007</v>
      </c>
      <c r="I8" s="24">
        <f>H8-C8</f>
        <v>-14.799999999999272</v>
      </c>
      <c r="J8" s="28">
        <f>H8-D8</f>
        <v>-80.709999999999127</v>
      </c>
      <c r="K8" s="146"/>
      <c r="L8" s="146"/>
      <c r="M8" s="142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47"/>
      <c r="F9" s="31">
        <f>D9-C9</f>
        <v>623.79000000000087</v>
      </c>
      <c r="G9" s="145"/>
      <c r="H9" s="26">
        <v>10251.950000000001</v>
      </c>
      <c r="I9" s="32">
        <f>H9-C9</f>
        <v>251.95000000000073</v>
      </c>
      <c r="J9" s="31">
        <f>H9-D9</f>
        <v>-371.84000000000015</v>
      </c>
      <c r="K9" s="147"/>
      <c r="L9" s="147"/>
      <c r="M9" s="143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27" t="s">
        <v>63</v>
      </c>
      <c r="E13" s="128"/>
      <c r="F13" s="128"/>
      <c r="G13" s="128"/>
      <c r="H13" s="128"/>
      <c r="I13" s="129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48">
        <f>F15+F16+F17+F18</f>
        <v>-873.43000000000166</v>
      </c>
      <c r="H15" s="148">
        <f>SUM(D15:D18)</f>
        <v>27883.269999999997</v>
      </c>
      <c r="I15" s="151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49"/>
      <c r="H16" s="149"/>
      <c r="I16" s="152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49"/>
      <c r="H17" s="149"/>
      <c r="I17" s="152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50"/>
      <c r="H18" s="150"/>
      <c r="I18" s="153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91"/>
  <sheetViews>
    <sheetView topLeftCell="A77" workbookViewId="0">
      <selection activeCell="D91" sqref="D91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54">
        <v>20160622</v>
      </c>
      <c r="E4" s="155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54">
        <v>20160713</v>
      </c>
      <c r="E15" s="155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54">
        <v>20160808</v>
      </c>
      <c r="E25" s="155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54">
        <v>20160825</v>
      </c>
      <c r="E35" s="155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54">
        <v>20160906</v>
      </c>
      <c r="E45" s="155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54">
        <v>20160921</v>
      </c>
      <c r="E56" s="155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54">
        <v>20161017</v>
      </c>
      <c r="E66" s="155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54">
        <v>20161020</v>
      </c>
      <c r="E75" s="155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54">
        <v>201610207</v>
      </c>
      <c r="E84" s="155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</sheetData>
  <mergeCells count="9">
    <mergeCell ref="D84:E84"/>
    <mergeCell ref="D75:E75"/>
    <mergeCell ref="D66:E66"/>
    <mergeCell ref="D56:E56"/>
    <mergeCell ref="D4:E4"/>
    <mergeCell ref="D15:E15"/>
    <mergeCell ref="D25:E25"/>
    <mergeCell ref="D35:E35"/>
    <mergeCell ref="D45:E4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E12" sqref="E12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3" x14ac:dyDescent="0.3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opLeftCell="A33" workbookViewId="0">
      <selection activeCell="I52" sqref="I52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0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0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0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0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178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23">
        <v>20160708</v>
      </c>
      <c r="G4" s="123"/>
      <c r="H4" s="123">
        <v>20160712</v>
      </c>
      <c r="I4" s="123"/>
      <c r="J4" s="123">
        <v>20160808</v>
      </c>
      <c r="K4" s="123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23">
        <v>20160810</v>
      </c>
      <c r="F8" s="123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D60" sqref="D60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23">
        <v>201605</v>
      </c>
      <c r="D4" s="123"/>
      <c r="E4" s="123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27">
        <v>20160608</v>
      </c>
      <c r="D11" s="128"/>
      <c r="E11" s="128"/>
      <c r="F11" s="128"/>
      <c r="G11" s="128"/>
      <c r="H11" s="128"/>
      <c r="I11" s="128"/>
      <c r="J11" s="128"/>
      <c r="K11" s="128"/>
      <c r="L11" s="128"/>
      <c r="M11" s="129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24">
        <v>20160708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24">
        <v>20160808</v>
      </c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6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24">
        <v>20160825</v>
      </c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6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24">
        <v>20160906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24">
        <v>20160921</v>
      </c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3"/>
  <sheetViews>
    <sheetView topLeftCell="A15" workbookViewId="0">
      <selection activeCell="C33" sqref="C33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净值!E5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净值!E12</f>
        <v>0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0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-1</v>
      </c>
    </row>
    <row r="21" spans="1:9" ht="23" x14ac:dyDescent="0.3">
      <c r="B21" s="40" t="s">
        <v>32</v>
      </c>
      <c r="C21" s="64">
        <v>23408.289291309895</v>
      </c>
      <c r="D21" s="66">
        <f>C21*C18</f>
        <v>0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-1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0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-1</v>
      </c>
    </row>
    <row r="24" spans="1:9" x14ac:dyDescent="0.15">
      <c r="A24">
        <v>201611018</v>
      </c>
      <c r="B24" t="s">
        <v>82</v>
      </c>
      <c r="C24">
        <f>净值!E18</f>
        <v>0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0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-1</v>
      </c>
    </row>
    <row r="27" spans="1:9" ht="23" x14ac:dyDescent="0.3">
      <c r="B27" s="40" t="s">
        <v>32</v>
      </c>
      <c r="C27" s="64">
        <v>24408.383808517923</v>
      </c>
      <c r="D27" s="66">
        <f>C27*C24</f>
        <v>0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-1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0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-1</v>
      </c>
    </row>
    <row r="29" spans="1:9" x14ac:dyDescent="0.15">
      <c r="A29">
        <v>201611019</v>
      </c>
      <c r="B29" t="s">
        <v>82</v>
      </c>
      <c r="C29">
        <f>净值!E23</f>
        <v>0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0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-1</v>
      </c>
    </row>
    <row r="32" spans="1:9" ht="23" x14ac:dyDescent="0.3">
      <c r="B32" s="40" t="s">
        <v>32</v>
      </c>
      <c r="C32" s="64">
        <v>29408.856394558064</v>
      </c>
      <c r="D32" s="66">
        <f>C32*C29</f>
        <v>0</v>
      </c>
      <c r="E32" s="100">
        <f>C32/C33</f>
        <v>0.41043986867132387</v>
      </c>
      <c r="F32">
        <v>0</v>
      </c>
      <c r="G32">
        <v>22000</v>
      </c>
      <c r="H32">
        <v>0</v>
      </c>
      <c r="I32">
        <f>D32/22000-1</f>
        <v>-1</v>
      </c>
    </row>
    <row r="33" spans="2:9" ht="24" thickBot="1" x14ac:dyDescent="0.35">
      <c r="B33" s="73" t="s">
        <v>43</v>
      </c>
      <c r="C33" s="115">
        <f>C31+C32</f>
        <v>71652.046107899863</v>
      </c>
      <c r="D33" s="68">
        <f>D31+D32</f>
        <v>0</v>
      </c>
      <c r="E33" s="70">
        <v>1</v>
      </c>
      <c r="F33">
        <f>F31+F32</f>
        <v>560.38</v>
      </c>
      <c r="G33">
        <f>G31+G32</f>
        <v>62000</v>
      </c>
      <c r="H33">
        <f>F33/G33</f>
        <v>9.038387096774193E-3</v>
      </c>
      <c r="I33">
        <f>D33/62000-1</f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"/>
  <sheetViews>
    <sheetView workbookViewId="0">
      <selection activeCell="E10" sqref="E10"/>
    </sheetView>
  </sheetViews>
  <sheetFormatPr baseColWidth="10" defaultRowHeight="15" x14ac:dyDescent="0.15"/>
  <cols>
    <col min="3" max="3" width="14.83203125" customWidth="1"/>
    <col min="4" max="5" width="12.5" bestFit="1" customWidth="1"/>
    <col min="6" max="6" width="13.5" bestFit="1" customWidth="1"/>
    <col min="7" max="8" width="17.33203125" customWidth="1"/>
    <col min="9" max="10" width="21.5" customWidth="1"/>
    <col min="11" max="15" width="13.5" customWidth="1"/>
  </cols>
  <sheetData>
    <row r="2" spans="2:16" x14ac:dyDescent="0.15">
      <c r="C2" t="s">
        <v>141</v>
      </c>
      <c r="D2" t="s">
        <v>124</v>
      </c>
      <c r="E2" t="s">
        <v>22</v>
      </c>
      <c r="F2" t="s">
        <v>127</v>
      </c>
      <c r="G2" t="s">
        <v>136</v>
      </c>
      <c r="H2" t="s">
        <v>142</v>
      </c>
      <c r="I2" t="s">
        <v>129</v>
      </c>
      <c r="J2" t="s">
        <v>140</v>
      </c>
      <c r="K2" t="s">
        <v>172</v>
      </c>
      <c r="L2" t="s">
        <v>165</v>
      </c>
      <c r="M2" t="s">
        <v>173</v>
      </c>
      <c r="N2" t="s">
        <v>170</v>
      </c>
      <c r="O2" t="s">
        <v>171</v>
      </c>
    </row>
    <row r="3" spans="2:16" x14ac:dyDescent="0.15">
      <c r="B3">
        <v>20160908</v>
      </c>
      <c r="C3">
        <v>63640.00915127372</v>
      </c>
      <c r="D3">
        <v>63650.693169999999</v>
      </c>
      <c r="E3">
        <f>ROUND(C3/D3,12)</f>
        <v>0.99983214607399995</v>
      </c>
      <c r="F3">
        <v>0</v>
      </c>
      <c r="H3">
        <v>0</v>
      </c>
      <c r="I3">
        <f>E3</f>
        <v>0.99983214607399995</v>
      </c>
      <c r="J3">
        <v>63640.009151273698</v>
      </c>
    </row>
    <row r="4" spans="2:16" x14ac:dyDescent="0.15">
      <c r="B4">
        <v>20160921</v>
      </c>
      <c r="C4">
        <v>63650.693169999999</v>
      </c>
      <c r="D4">
        <v>63650.693169999999</v>
      </c>
      <c r="E4">
        <f>ROUND(C4/D4,12)</f>
        <v>1</v>
      </c>
      <c r="F4">
        <f>E4-E3</f>
        <v>1.6785392600005E-4</v>
      </c>
      <c r="G4">
        <f>F4*0.2</f>
        <v>3.3570785200010005E-5</v>
      </c>
      <c r="H4">
        <f>G4*D4</f>
        <v>2.1368037482418138</v>
      </c>
      <c r="I4">
        <f t="shared" ref="I4:I9" si="0">E4-G4</f>
        <v>0.99996642921479995</v>
      </c>
      <c r="J4">
        <f t="shared" ref="J4:J9" si="1">I4*D4</f>
        <v>63648.556366251752</v>
      </c>
      <c r="L4">
        <v>580.38</v>
      </c>
    </row>
    <row r="5" spans="2:16" x14ac:dyDescent="0.15">
      <c r="B5">
        <v>20160926</v>
      </c>
      <c r="C5">
        <v>64511.548098794519</v>
      </c>
      <c r="D5">
        <v>65651.479004651701</v>
      </c>
      <c r="E5">
        <f>C5/D5</f>
        <v>0.98263663023073078</v>
      </c>
      <c r="F5">
        <f>E5-E4</f>
        <v>-1.7363369769269221E-2</v>
      </c>
      <c r="G5">
        <v>0</v>
      </c>
      <c r="H5">
        <v>0</v>
      </c>
      <c r="I5">
        <f t="shared" si="0"/>
        <v>0.98263663023073078</v>
      </c>
      <c r="J5">
        <f t="shared" si="1"/>
        <v>64511.548098794519</v>
      </c>
      <c r="K5">
        <f>J5-J4-2000</f>
        <v>-1137.0082674572332</v>
      </c>
      <c r="L5">
        <v>560.38</v>
      </c>
      <c r="M5">
        <f>L5/62000</f>
        <v>9.038387096774193E-3</v>
      </c>
      <c r="N5">
        <f>C5-62000+L5</f>
        <v>3071.9280987945194</v>
      </c>
      <c r="O5">
        <f>N5/62000</f>
        <v>4.9547227399911603E-2</v>
      </c>
      <c r="P5" t="s">
        <v>169</v>
      </c>
    </row>
    <row r="6" spans="2:16" x14ac:dyDescent="0.15">
      <c r="B6">
        <v>20161010</v>
      </c>
      <c r="C6">
        <v>65378.841719794524</v>
      </c>
      <c r="D6">
        <v>65651.479004651701</v>
      </c>
      <c r="E6">
        <f>C6/D6</f>
        <v>0.99584720269839067</v>
      </c>
      <c r="F6">
        <f>E6-E5</f>
        <v>1.3210572467659887E-2</v>
      </c>
      <c r="G6">
        <v>0</v>
      </c>
      <c r="H6">
        <v>0</v>
      </c>
      <c r="I6">
        <f t="shared" si="0"/>
        <v>0.99584720269839067</v>
      </c>
      <c r="J6">
        <f t="shared" si="1"/>
        <v>65378.841719794524</v>
      </c>
      <c r="K6">
        <f>(E6-E5)*D6</f>
        <v>867.29362100000287</v>
      </c>
    </row>
    <row r="7" spans="2:16" x14ac:dyDescent="0.15">
      <c r="B7">
        <v>20161017</v>
      </c>
      <c r="C7">
        <v>65645.274396595487</v>
      </c>
      <c r="D7">
        <v>65651.479004651701</v>
      </c>
      <c r="E7">
        <f>C7/D7</f>
        <v>0.99990549172463006</v>
      </c>
      <c r="F7">
        <f>E7-I4</f>
        <v>-6.0937490169887809E-5</v>
      </c>
      <c r="G7">
        <v>0</v>
      </c>
      <c r="H7">
        <v>0</v>
      </c>
      <c r="I7">
        <f t="shared" si="0"/>
        <v>0.99990549172463006</v>
      </c>
      <c r="J7">
        <f t="shared" si="1"/>
        <v>65645.274396595487</v>
      </c>
      <c r="K7">
        <f>(E7-E6)*D7</f>
        <v>266.43267680096386</v>
      </c>
    </row>
    <row r="8" spans="2:16" x14ac:dyDescent="0.15">
      <c r="B8">
        <v>20161019</v>
      </c>
      <c r="C8">
        <v>71387.021902600318</v>
      </c>
      <c r="D8">
        <v>71652.046107899863</v>
      </c>
      <c r="E8">
        <f>C8/D8</f>
        <v>0.99630123325577546</v>
      </c>
      <c r="F8">
        <f>E8-E7</f>
        <v>-3.6042584688545931E-3</v>
      </c>
      <c r="G8">
        <v>0</v>
      </c>
      <c r="H8">
        <v>0</v>
      </c>
      <c r="I8">
        <f t="shared" si="0"/>
        <v>0.99630123325577546</v>
      </c>
      <c r="J8">
        <f t="shared" si="1"/>
        <v>71387.021902600318</v>
      </c>
      <c r="K8">
        <f>(E8-E7)*D8</f>
        <v>-258.25249399515786</v>
      </c>
    </row>
    <row r="9" spans="2:16" x14ac:dyDescent="0.15">
      <c r="B9">
        <v>20161020</v>
      </c>
      <c r="C9">
        <v>71629.138475080254</v>
      </c>
      <c r="D9">
        <v>71652.046107899863</v>
      </c>
      <c r="E9">
        <f>C9/D9</f>
        <v>0.99968029338917808</v>
      </c>
      <c r="F9">
        <f>E9-E8</f>
        <v>3.3790601334026116E-3</v>
      </c>
      <c r="G9">
        <v>0</v>
      </c>
      <c r="H9">
        <v>0</v>
      </c>
      <c r="I9">
        <f t="shared" si="0"/>
        <v>0.99968029338917808</v>
      </c>
      <c r="J9">
        <f t="shared" si="1"/>
        <v>71629.138475080254</v>
      </c>
      <c r="K9">
        <f>(E9-E8)*D9</f>
        <v>242.1165724799302</v>
      </c>
    </row>
    <row r="10" spans="2:16" x14ac:dyDescent="0.15">
      <c r="B10">
        <v>20161027</v>
      </c>
      <c r="C10">
        <v>71725.913268959863</v>
      </c>
      <c r="D10">
        <v>71652.046107899863</v>
      </c>
      <c r="E10">
        <f>C10/D10</f>
        <v>1.0010309148876051</v>
      </c>
      <c r="F10">
        <f>E10-E9</f>
        <v>1.3506214984270182E-3</v>
      </c>
      <c r="G10">
        <v>0</v>
      </c>
      <c r="H10">
        <v>0</v>
      </c>
      <c r="I10">
        <f t="shared" ref="I10" si="2">E10-G10</f>
        <v>1.0010309148876051</v>
      </c>
      <c r="J10">
        <f t="shared" ref="J10" si="3">I10*D10</f>
        <v>71725.913268959863</v>
      </c>
      <c r="K10">
        <f>(E10-E9)*D10</f>
        <v>96.774793879613512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净值!I4</f>
        <v>0.99996642921479995</v>
      </c>
    </row>
    <row r="4" spans="1:11" x14ac:dyDescent="0.15">
      <c r="B4" t="s">
        <v>136</v>
      </c>
      <c r="C4">
        <f>净值!G4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"/>
  <sheetViews>
    <sheetView workbookViewId="0">
      <selection activeCell="E13" sqref="E13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32" t="s">
        <v>157</v>
      </c>
      <c r="K3" s="132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30">
        <v>20160921</v>
      </c>
      <c r="C5" s="64" t="s">
        <v>150</v>
      </c>
      <c r="D5" s="64">
        <v>21407.503456658196</v>
      </c>
      <c r="E5" s="41">
        <f>净值!I4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31"/>
      <c r="C6" s="64" t="s">
        <v>147</v>
      </c>
      <c r="D6" s="64">
        <f>F6/E6</f>
        <v>0.71869082722733013</v>
      </c>
      <c r="E6" s="41">
        <f>净值!I4</f>
        <v>0.99996642921479995</v>
      </c>
      <c r="F6" s="64">
        <f>D5*净值!G4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净值!E6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>E11*G11</f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净值!E9</f>
        <v>0.99968029338917808</v>
      </c>
      <c r="F12" s="64">
        <v>5000</v>
      </c>
      <c r="G12" s="64">
        <f>G11+D12</f>
        <v>34409.328980598206</v>
      </c>
      <c r="H12" s="64">
        <f>E12*G12</f>
        <v>34398.328090649164</v>
      </c>
    </row>
    <row r="13" spans="2:11" ht="23" x14ac:dyDescent="0.3">
      <c r="B13" s="48">
        <v>20161027</v>
      </c>
      <c r="C13" s="64" t="s">
        <v>150</v>
      </c>
      <c r="D13" s="64">
        <f>5000/E12</f>
        <v>5001.5990442791363</v>
      </c>
      <c r="E13" s="41">
        <f>净值!E10</f>
        <v>1.0010309148876051</v>
      </c>
      <c r="F13" s="64">
        <v>5000</v>
      </c>
      <c r="G13" s="64">
        <f>G12+D13</f>
        <v>39410.928024877343</v>
      </c>
      <c r="H13" s="64">
        <f>E13*G13</f>
        <v>39451.557337312523</v>
      </c>
    </row>
    <row r="14" spans="2:11" x14ac:dyDescent="0.15">
      <c r="H14" s="110">
        <f>H8-22000</f>
        <v>1311.0794107056536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9"/>
  <sheetViews>
    <sheetView tabSelected="1" workbookViewId="0">
      <selection activeCell="F21" sqref="F21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12.5" bestFit="1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12.6640625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30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31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净值!E6</f>
        <v>0.99584720269839067</v>
      </c>
      <c r="F7" s="64">
        <v>0</v>
      </c>
      <c r="G7" s="64">
        <f t="shared" si="0"/>
        <v>42243.189713341802</v>
      </c>
      <c r="H7" s="64">
        <f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>E8*D8-H7</f>
        <v>171.43507324700477</v>
      </c>
      <c r="G8" s="64">
        <f t="shared" si="0"/>
        <v>42243.189713341802</v>
      </c>
      <c r="H8" s="64">
        <f>E8*D8</f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>E9*D9-H8</f>
        <v>-152.25537427574454</v>
      </c>
      <c r="G9" s="64">
        <f t="shared" si="0"/>
        <v>42243.189713341802</v>
      </c>
      <c r="H9" s="64">
        <f>E9*D9</f>
        <v>42086.942008060127</v>
      </c>
      <c r="I9" s="64">
        <f>H9-40000+560.38</f>
        <v>2647.3220080601268</v>
      </c>
      <c r="J9" s="64">
        <f>I9/40000</f>
        <v>6.6183050201503169E-2</v>
      </c>
      <c r="K9" s="64">
        <v>560.38</v>
      </c>
      <c r="L9" s="64">
        <f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净值!E9</f>
        <v>0.99968029338917808</v>
      </c>
      <c r="F10" s="64">
        <f>E10*D10-H9</f>
        <v>142.74227826811693</v>
      </c>
      <c r="G10" s="64">
        <f t="shared" si="0"/>
        <v>42243.189713341802</v>
      </c>
      <c r="H10" s="64">
        <f>E10*D10</f>
        <v>42229.684286328244</v>
      </c>
      <c r="I10" s="64">
        <f>H10-40000+560.38</f>
        <v>2790.0642863282437</v>
      </c>
      <c r="J10" s="64">
        <f>I10/40000</f>
        <v>6.9751607158206094E-2</v>
      </c>
      <c r="K10" s="64">
        <v>560.38</v>
      </c>
      <c r="L10" s="64">
        <f>560.38/40000</f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净值!E10</f>
        <v>1.0010309148876051</v>
      </c>
      <c r="F11" s="64">
        <f>E11*D11-H10</f>
        <v>57.054560188968026</v>
      </c>
      <c r="G11" s="64">
        <f t="shared" ref="G11" si="1">D11</f>
        <v>42243.189713341802</v>
      </c>
      <c r="H11" s="64">
        <f>E11*D11</f>
        <v>42286.738846517212</v>
      </c>
      <c r="I11" s="64">
        <f>H11-40000+560.38</f>
        <v>2847.1188465172118</v>
      </c>
      <c r="J11" s="64">
        <f>I11/40000</f>
        <v>7.1177971162930287E-2</v>
      </c>
      <c r="K11" s="64">
        <v>560.38</v>
      </c>
      <c r="L11" s="64">
        <f>560.38/40000</f>
        <v>1.4009499999999999E-2</v>
      </c>
    </row>
    <row r="12" spans="2:15" s="110" customFormat="1" x14ac:dyDescent="0.15"/>
    <row r="13" spans="2:15" s="110" customFormat="1" x14ac:dyDescent="0.15"/>
    <row r="14" spans="2:15" s="110" customFormat="1" x14ac:dyDescent="0.15"/>
    <row r="15" spans="2:15" s="110" customFormat="1" x14ac:dyDescent="0.15"/>
    <row r="16" spans="2:15" s="110" customFormat="1" x14ac:dyDescent="0.15"/>
    <row r="17" s="110" customFormat="1" x14ac:dyDescent="0.15"/>
    <row r="18" s="110" customFormat="1" x14ac:dyDescent="0.15"/>
    <row r="19" s="110" customFormat="1" x14ac:dyDescent="0.15"/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2016-10-27T06:29:45Z</dcterms:modified>
</cp:coreProperties>
</file>