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rand/Documents/git/tractionrec/"/>
    </mc:Choice>
  </mc:AlternateContent>
  <bookViews>
    <workbookView xWindow="0" yWindow="460" windowWidth="25600" windowHeight="14480" tabRatio="500" firstSheet="3" activeTab="4"/>
  </bookViews>
  <sheets>
    <sheet name="工作表1" sheetId="1" state="hidden" r:id="rId1"/>
    <sheet name="余额宝" sheetId="7" state="hidden" r:id="rId2"/>
    <sheet name="投资者权益表" sheetId="6" state="hidden" r:id="rId3"/>
    <sheet name="投资者份数权益表" sheetId="18" r:id="rId4"/>
    <sheet name="净值" sheetId="12" r:id="rId5"/>
    <sheet name="216" sheetId="13" state="hidden" r:id="rId6"/>
    <sheet name="rand资产报告" sheetId="16" r:id="rId7"/>
    <sheet name="216资产报告" sheetId="17" r:id="rId8"/>
    <sheet name="分红选择" sheetId="15" state="hidden" r:id="rId9"/>
    <sheet name="易H股ETF联接（110031）" sheetId="2" state="hidden" r:id="rId10"/>
    <sheet name="打包资产统计" sheetId="3" state="hidden" r:id="rId11"/>
    <sheet name="资产结构" sheetId="8" r:id="rId12"/>
    <sheet name="用户资产" sheetId="14" state="hidden" r:id="rId13"/>
    <sheet name="Operation" sheetId="9" r:id="rId14"/>
    <sheet name="余额宝损益表" sheetId="11" r:id="rId15"/>
    <sheet name="待确认" sheetId="19" r:id="rId16"/>
    <sheet name="策略" sheetId="10" state="hidden" r:id="rId17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3" i="11" l="1"/>
  <c r="E63" i="11"/>
  <c r="J130" i="8"/>
  <c r="K179" i="8"/>
  <c r="J181" i="8"/>
  <c r="H28" i="12"/>
  <c r="F20" i="12"/>
  <c r="D20" i="12"/>
  <c r="L20" i="12"/>
  <c r="J20" i="12"/>
  <c r="K20" i="12"/>
  <c r="G20" i="12"/>
  <c r="F170" i="8"/>
  <c r="D170" i="8"/>
  <c r="H171" i="8"/>
  <c r="D171" i="8"/>
  <c r="H172" i="8"/>
  <c r="D172" i="8"/>
  <c r="D174" i="8"/>
  <c r="E174" i="8"/>
  <c r="E173" i="8"/>
  <c r="E172" i="8"/>
  <c r="I171" i="8"/>
  <c r="E171" i="8"/>
  <c r="H170" i="8"/>
  <c r="E170" i="8"/>
  <c r="I164" i="8"/>
  <c r="F163" i="8"/>
  <c r="D163" i="8"/>
  <c r="F164" i="8"/>
  <c r="H164" i="8"/>
  <c r="D164" i="8"/>
  <c r="F165" i="8"/>
  <c r="H165" i="8"/>
  <c r="D165" i="8"/>
  <c r="D167" i="8"/>
  <c r="E167" i="8"/>
  <c r="E166" i="8"/>
  <c r="E165" i="8"/>
  <c r="E164" i="8"/>
  <c r="H163" i="8"/>
  <c r="E163" i="8"/>
  <c r="H22" i="16"/>
  <c r="H21" i="16"/>
  <c r="F22" i="16"/>
  <c r="I19" i="17"/>
  <c r="L18" i="17"/>
  <c r="K18" i="17"/>
  <c r="H19" i="17"/>
  <c r="J19" i="17"/>
  <c r="G19" i="17"/>
  <c r="F19" i="17"/>
  <c r="I61" i="11"/>
  <c r="H18" i="17"/>
  <c r="I18" i="17"/>
  <c r="J18" i="17"/>
  <c r="G18" i="17"/>
  <c r="F18" i="17"/>
  <c r="N5" i="12"/>
  <c r="M19" i="12"/>
  <c r="D19" i="12"/>
  <c r="L19" i="12"/>
  <c r="J19" i="12"/>
  <c r="K19" i="12"/>
  <c r="G19" i="12"/>
  <c r="L17" i="17"/>
  <c r="H17" i="17"/>
  <c r="I17" i="17"/>
  <c r="J17" i="17"/>
  <c r="G17" i="17"/>
  <c r="F17" i="17"/>
  <c r="G20" i="16"/>
  <c r="H20" i="16"/>
  <c r="F21" i="16"/>
  <c r="F18" i="12"/>
  <c r="L18" i="12"/>
  <c r="J18" i="12"/>
  <c r="K18" i="12"/>
  <c r="G18" i="12"/>
  <c r="D18" i="12"/>
  <c r="F156" i="8"/>
  <c r="D156" i="8"/>
  <c r="F157" i="8"/>
  <c r="H157" i="8"/>
  <c r="D157" i="8"/>
  <c r="F158" i="8"/>
  <c r="H158" i="8"/>
  <c r="D158" i="8"/>
  <c r="D160" i="8"/>
  <c r="E160" i="8"/>
  <c r="E159" i="8"/>
  <c r="E158" i="8"/>
  <c r="E157" i="8"/>
  <c r="H156" i="8"/>
  <c r="E156" i="8"/>
  <c r="C13" i="12"/>
  <c r="F12" i="12"/>
  <c r="E13" i="12"/>
  <c r="F13" i="12"/>
  <c r="E14" i="12"/>
  <c r="F14" i="12"/>
  <c r="E15" i="12"/>
  <c r="F15" i="12"/>
  <c r="E16" i="12"/>
  <c r="F16" i="12"/>
  <c r="E17" i="12"/>
  <c r="F17" i="12"/>
  <c r="L17" i="12"/>
  <c r="J17" i="12"/>
  <c r="K17" i="12"/>
  <c r="G17" i="12"/>
  <c r="D17" i="12"/>
  <c r="F148" i="8"/>
  <c r="D148" i="8"/>
  <c r="F149" i="8"/>
  <c r="H149" i="8"/>
  <c r="D149" i="8"/>
  <c r="F150" i="8"/>
  <c r="H150" i="8"/>
  <c r="D150" i="8"/>
  <c r="D153" i="8"/>
  <c r="E153" i="8"/>
  <c r="E152" i="8"/>
  <c r="E150" i="8"/>
  <c r="E149" i="8"/>
  <c r="H148" i="8"/>
  <c r="E148" i="8"/>
  <c r="J20" i="16"/>
  <c r="H19" i="16"/>
  <c r="F20" i="16"/>
  <c r="H18" i="16"/>
  <c r="F19" i="16"/>
  <c r="L16" i="17"/>
  <c r="H16" i="17"/>
  <c r="I16" i="17"/>
  <c r="J16" i="17"/>
  <c r="G16" i="17"/>
  <c r="F16" i="17"/>
  <c r="L16" i="12"/>
  <c r="J16" i="12"/>
  <c r="K16" i="12"/>
  <c r="G16" i="12"/>
  <c r="D16" i="12"/>
  <c r="F140" i="8"/>
  <c r="D140" i="8"/>
  <c r="F141" i="8"/>
  <c r="H141" i="8"/>
  <c r="D141" i="8"/>
  <c r="F142" i="8"/>
  <c r="H142" i="8"/>
  <c r="D142" i="8"/>
  <c r="D145" i="8"/>
  <c r="E145" i="8"/>
  <c r="E144" i="8"/>
  <c r="E142" i="8"/>
  <c r="E141" i="8"/>
  <c r="H140" i="8"/>
  <c r="E140" i="8"/>
  <c r="I55" i="11"/>
  <c r="I56" i="11"/>
  <c r="I57" i="11"/>
  <c r="I58" i="11"/>
  <c r="I59" i="11"/>
  <c r="E59" i="11"/>
  <c r="E50" i="11"/>
  <c r="H17" i="16"/>
  <c r="F18" i="16"/>
  <c r="L15" i="17"/>
  <c r="H15" i="17"/>
  <c r="I15" i="17"/>
  <c r="J15" i="17"/>
  <c r="G15" i="17"/>
  <c r="F15" i="17"/>
  <c r="L15" i="12"/>
  <c r="J15" i="12"/>
  <c r="K15" i="12"/>
  <c r="G15" i="12"/>
  <c r="D15" i="12"/>
  <c r="D14" i="12"/>
  <c r="G14" i="12"/>
  <c r="J14" i="12"/>
  <c r="K14" i="12"/>
  <c r="L14" i="12"/>
  <c r="F133" i="8"/>
  <c r="F132" i="8"/>
  <c r="H132" i="8"/>
  <c r="D132" i="8"/>
  <c r="F131" i="8"/>
  <c r="D131" i="8"/>
  <c r="H133" i="8"/>
  <c r="D133" i="8"/>
  <c r="D136" i="8"/>
  <c r="E135" i="8"/>
  <c r="D14" i="9"/>
  <c r="D13" i="9"/>
  <c r="E136" i="8"/>
  <c r="E133" i="8"/>
  <c r="E132" i="8"/>
  <c r="H131" i="8"/>
  <c r="E131" i="8"/>
  <c r="F15" i="16"/>
  <c r="L14" i="17"/>
  <c r="H14" i="17"/>
  <c r="I14" i="17"/>
  <c r="J14" i="17"/>
  <c r="G14" i="17"/>
  <c r="E13" i="17"/>
  <c r="H13" i="17"/>
  <c r="F14" i="17"/>
  <c r="J17" i="16"/>
  <c r="L13" i="12"/>
  <c r="J13" i="12"/>
  <c r="K13" i="12"/>
  <c r="G13" i="12"/>
  <c r="D13" i="12"/>
  <c r="H54" i="11"/>
  <c r="F123" i="8"/>
  <c r="D122" i="8"/>
  <c r="H123" i="8"/>
  <c r="D123" i="8"/>
  <c r="H124" i="8"/>
  <c r="D124" i="8"/>
  <c r="H125" i="8"/>
  <c r="D125" i="8"/>
  <c r="D127" i="8"/>
  <c r="E127" i="8"/>
  <c r="E126" i="8"/>
  <c r="E125" i="8"/>
  <c r="E124" i="8"/>
  <c r="E123" i="8"/>
  <c r="H122" i="8"/>
  <c r="E122" i="8"/>
  <c r="D113" i="8"/>
  <c r="F114" i="8"/>
  <c r="H114" i="8"/>
  <c r="D114" i="8"/>
  <c r="H115" i="8"/>
  <c r="D115" i="8"/>
  <c r="H116" i="8"/>
  <c r="D116" i="8"/>
  <c r="D118" i="8"/>
  <c r="E118" i="8"/>
  <c r="E117" i="8"/>
  <c r="E116" i="8"/>
  <c r="E115" i="8"/>
  <c r="E114" i="8"/>
  <c r="H113" i="8"/>
  <c r="E113" i="8"/>
  <c r="J16" i="16"/>
  <c r="H16" i="16"/>
  <c r="J15" i="16"/>
  <c r="G15" i="16"/>
  <c r="H15" i="16"/>
  <c r="D37" i="18"/>
  <c r="D38" i="18"/>
  <c r="D39" i="18"/>
  <c r="I39" i="18"/>
  <c r="F39" i="18"/>
  <c r="G39" i="18"/>
  <c r="H39" i="18"/>
  <c r="C39" i="18"/>
  <c r="I38" i="18"/>
  <c r="E38" i="18"/>
  <c r="I37" i="18"/>
  <c r="H37" i="18"/>
  <c r="E37" i="18"/>
  <c r="F10" i="12"/>
  <c r="E13" i="16"/>
  <c r="L13" i="17"/>
  <c r="I13" i="17"/>
  <c r="J13" i="17"/>
  <c r="G13" i="17"/>
  <c r="F11" i="12"/>
  <c r="E12" i="17"/>
  <c r="H12" i="17"/>
  <c r="F13" i="17"/>
  <c r="L12" i="12"/>
  <c r="J12" i="12"/>
  <c r="K12" i="12"/>
  <c r="G12" i="12"/>
  <c r="D12" i="12"/>
  <c r="H53" i="11"/>
  <c r="D104" i="8"/>
  <c r="F105" i="8"/>
  <c r="H105" i="8"/>
  <c r="D105" i="8"/>
  <c r="H106" i="8"/>
  <c r="D106" i="8"/>
  <c r="H107" i="8"/>
  <c r="D107" i="8"/>
  <c r="D109" i="8"/>
  <c r="E109" i="8"/>
  <c r="E108" i="8"/>
  <c r="E107" i="8"/>
  <c r="E106" i="8"/>
  <c r="E105" i="8"/>
  <c r="H104" i="8"/>
  <c r="E104" i="8"/>
  <c r="G9" i="16"/>
  <c r="D10" i="16"/>
  <c r="G10" i="16"/>
  <c r="D11" i="16"/>
  <c r="G11" i="16"/>
  <c r="H14" i="16"/>
  <c r="L12" i="17"/>
  <c r="I12" i="17"/>
  <c r="J12" i="17"/>
  <c r="G12" i="17"/>
  <c r="E11" i="17"/>
  <c r="H11" i="17"/>
  <c r="F12" i="17"/>
  <c r="D5" i="12"/>
  <c r="D6" i="12"/>
  <c r="D7" i="12"/>
  <c r="D8" i="12"/>
  <c r="D9" i="12"/>
  <c r="D10" i="12"/>
  <c r="D11" i="12"/>
  <c r="D4" i="12"/>
  <c r="L11" i="12"/>
  <c r="J11" i="12"/>
  <c r="K11" i="12"/>
  <c r="G11" i="12"/>
  <c r="D95" i="8"/>
  <c r="F96" i="8"/>
  <c r="H96" i="8"/>
  <c r="D96" i="8"/>
  <c r="H97" i="8"/>
  <c r="D97" i="8"/>
  <c r="H98" i="8"/>
  <c r="D98" i="8"/>
  <c r="D100" i="8"/>
  <c r="E100" i="8"/>
  <c r="E99" i="8"/>
  <c r="E98" i="8"/>
  <c r="E97" i="8"/>
  <c r="E96" i="8"/>
  <c r="H95" i="8"/>
  <c r="E95" i="8"/>
  <c r="L11" i="17"/>
  <c r="I11" i="17"/>
  <c r="J11" i="17"/>
  <c r="G11" i="17"/>
  <c r="F9" i="12"/>
  <c r="E10" i="17"/>
  <c r="H10" i="17"/>
  <c r="F11" i="17"/>
  <c r="E12" i="16"/>
  <c r="H13" i="16"/>
  <c r="L10" i="12"/>
  <c r="J10" i="12"/>
  <c r="K10" i="12"/>
  <c r="G10" i="12"/>
  <c r="D86" i="8"/>
  <c r="F87" i="8"/>
  <c r="H87" i="8"/>
  <c r="D87" i="8"/>
  <c r="H88" i="8"/>
  <c r="D88" i="8"/>
  <c r="H89" i="8"/>
  <c r="D89" i="8"/>
  <c r="D91" i="8"/>
  <c r="E91" i="8"/>
  <c r="E90" i="8"/>
  <c r="E89" i="8"/>
  <c r="E88" i="8"/>
  <c r="E87" i="8"/>
  <c r="H86" i="8"/>
  <c r="E86" i="8"/>
  <c r="L10" i="17"/>
  <c r="I10" i="17"/>
  <c r="J10" i="17"/>
  <c r="G10" i="17"/>
  <c r="H9" i="17"/>
  <c r="F10" i="17"/>
  <c r="D12" i="16"/>
  <c r="H12" i="16"/>
  <c r="F8" i="12"/>
  <c r="L9" i="12"/>
  <c r="J9" i="12"/>
  <c r="K9" i="12"/>
  <c r="G9" i="12"/>
  <c r="H8" i="17"/>
  <c r="F9" i="17"/>
  <c r="F6" i="12"/>
  <c r="E7" i="17"/>
  <c r="D7" i="17"/>
  <c r="H7" i="17"/>
  <c r="F8" i="17"/>
  <c r="L9" i="17"/>
  <c r="I9" i="17"/>
  <c r="J9" i="17"/>
  <c r="G9" i="17"/>
  <c r="F7" i="12"/>
  <c r="L8" i="12"/>
  <c r="J8" i="12"/>
  <c r="K8" i="12"/>
  <c r="G8" i="12"/>
  <c r="H11" i="16"/>
  <c r="C29" i="18"/>
  <c r="D31" i="18"/>
  <c r="D32" i="18"/>
  <c r="D33" i="18"/>
  <c r="I33" i="18"/>
  <c r="F33" i="18"/>
  <c r="G33" i="18"/>
  <c r="H33" i="18"/>
  <c r="C33" i="18"/>
  <c r="I32" i="18"/>
  <c r="E32" i="18"/>
  <c r="I31" i="18"/>
  <c r="H31" i="18"/>
  <c r="E31" i="18"/>
  <c r="H52" i="11"/>
  <c r="H10" i="16"/>
  <c r="C24" i="18"/>
  <c r="D26" i="18"/>
  <c r="D27" i="18"/>
  <c r="D28" i="18"/>
  <c r="I28" i="18"/>
  <c r="F28" i="18"/>
  <c r="G28" i="18"/>
  <c r="H28" i="18"/>
  <c r="C28" i="18"/>
  <c r="I27" i="18"/>
  <c r="E27" i="18"/>
  <c r="I26" i="18"/>
  <c r="H26" i="18"/>
  <c r="E26" i="18"/>
  <c r="I50" i="11"/>
  <c r="H51" i="11"/>
  <c r="H50" i="11"/>
  <c r="D77" i="8"/>
  <c r="F78" i="8"/>
  <c r="H78" i="8"/>
  <c r="D78" i="8"/>
  <c r="H79" i="8"/>
  <c r="D79" i="8"/>
  <c r="H80" i="8"/>
  <c r="D80" i="8"/>
  <c r="D82" i="8"/>
  <c r="E82" i="8"/>
  <c r="E81" i="8"/>
  <c r="E80" i="8"/>
  <c r="E79" i="8"/>
  <c r="E78" i="8"/>
  <c r="H77" i="8"/>
  <c r="E77" i="8"/>
  <c r="G8" i="17"/>
  <c r="H9" i="16"/>
  <c r="F4" i="12"/>
  <c r="F3" i="12"/>
  <c r="G4" i="12"/>
  <c r="H4" i="12"/>
  <c r="J4" i="12"/>
  <c r="G7" i="12"/>
  <c r="L7" i="12"/>
  <c r="J7" i="12"/>
  <c r="K7" i="12"/>
  <c r="E8" i="16"/>
  <c r="D8" i="16"/>
  <c r="H8" i="16"/>
  <c r="O7" i="17"/>
  <c r="G7" i="17"/>
  <c r="G8" i="16"/>
  <c r="K8" i="16"/>
  <c r="F5" i="12"/>
  <c r="L6" i="12"/>
  <c r="J6" i="12"/>
  <c r="K6" i="12"/>
  <c r="G6" i="12"/>
  <c r="E21" i="18"/>
  <c r="E20" i="18"/>
  <c r="C18" i="18"/>
  <c r="D20" i="18"/>
  <c r="D21" i="18"/>
  <c r="D22" i="18"/>
  <c r="I22" i="18"/>
  <c r="F22" i="18"/>
  <c r="G22" i="18"/>
  <c r="H22" i="18"/>
  <c r="C22" i="18"/>
  <c r="I21" i="18"/>
  <c r="I20" i="18"/>
  <c r="H20" i="18"/>
  <c r="F71" i="8"/>
  <c r="H8" i="9"/>
  <c r="C43" i="11"/>
  <c r="I45" i="11"/>
  <c r="I46" i="11"/>
  <c r="F72" i="8"/>
  <c r="H46" i="11"/>
  <c r="H15" i="18"/>
  <c r="O5" i="12"/>
  <c r="P5" i="12"/>
  <c r="C11" i="18"/>
  <c r="D13" i="18"/>
  <c r="D14" i="18"/>
  <c r="D15" i="18"/>
  <c r="I15" i="18"/>
  <c r="F15" i="18"/>
  <c r="G15" i="18"/>
  <c r="C15" i="18"/>
  <c r="I14" i="18"/>
  <c r="I13" i="18"/>
  <c r="H13" i="18"/>
  <c r="D6" i="18"/>
  <c r="D8" i="18"/>
  <c r="C8" i="18"/>
  <c r="I8" i="18"/>
  <c r="J5" i="12"/>
  <c r="K5" i="12"/>
  <c r="K4" i="12"/>
  <c r="L5" i="12"/>
  <c r="G5" i="12"/>
  <c r="I7" i="18"/>
  <c r="I6" i="18"/>
  <c r="H8" i="18"/>
  <c r="H6" i="18"/>
  <c r="F8" i="18"/>
  <c r="G8" i="18"/>
  <c r="D7" i="18"/>
  <c r="H72" i="8"/>
  <c r="D72" i="8"/>
  <c r="D68" i="8"/>
  <c r="F69" i="8"/>
  <c r="H69" i="8"/>
  <c r="D69" i="8"/>
  <c r="H70" i="8"/>
  <c r="D70" i="8"/>
  <c r="H71" i="8"/>
  <c r="D71" i="8"/>
  <c r="D73" i="8"/>
  <c r="E73" i="8"/>
  <c r="E72" i="8"/>
  <c r="E71" i="8"/>
  <c r="E70" i="8"/>
  <c r="E69" i="8"/>
  <c r="H68" i="8"/>
  <c r="E68" i="8"/>
  <c r="H45" i="11"/>
  <c r="G6" i="17"/>
  <c r="H6" i="17"/>
  <c r="H5" i="17"/>
  <c r="F6" i="17"/>
  <c r="O6" i="17"/>
  <c r="G5" i="17"/>
  <c r="O5" i="17"/>
  <c r="F6" i="16"/>
  <c r="E6" i="16"/>
  <c r="D6" i="16"/>
  <c r="G5" i="16"/>
  <c r="G6" i="16"/>
  <c r="E7" i="16"/>
  <c r="D7" i="16"/>
  <c r="J7" i="16"/>
  <c r="E5" i="16"/>
  <c r="K5" i="16"/>
  <c r="H6" i="16"/>
  <c r="C4" i="13"/>
  <c r="D6" i="13"/>
  <c r="D7" i="13"/>
  <c r="D8" i="13"/>
  <c r="C8" i="13"/>
  <c r="H7" i="13"/>
  <c r="C3" i="13"/>
  <c r="I7" i="13"/>
  <c r="J7" i="13"/>
  <c r="K7" i="13"/>
  <c r="C31" i="11"/>
  <c r="I33" i="11"/>
  <c r="C37" i="11"/>
  <c r="D62" i="8"/>
  <c r="D58" i="8"/>
  <c r="F59" i="8"/>
  <c r="H59" i="8"/>
  <c r="D59" i="8"/>
  <c r="H60" i="8"/>
  <c r="D60" i="8"/>
  <c r="H61" i="8"/>
  <c r="D61" i="8"/>
  <c r="D63" i="8"/>
  <c r="C54" i="6"/>
  <c r="C52" i="6"/>
  <c r="C18" i="11"/>
  <c r="H20" i="11"/>
  <c r="I20" i="11"/>
  <c r="H21" i="11"/>
  <c r="I21" i="11"/>
  <c r="H22" i="11"/>
  <c r="I22" i="11"/>
  <c r="I23" i="11"/>
  <c r="C27" i="11"/>
  <c r="F52" i="8"/>
  <c r="D52" i="8"/>
  <c r="D47" i="8"/>
  <c r="F48" i="8"/>
  <c r="H48" i="8"/>
  <c r="D48" i="8"/>
  <c r="H49" i="8"/>
  <c r="D49" i="8"/>
  <c r="H50" i="8"/>
  <c r="D50" i="8"/>
  <c r="H51" i="8"/>
  <c r="D51" i="8"/>
  <c r="D53" i="8"/>
  <c r="C46" i="6"/>
  <c r="C44" i="6"/>
  <c r="C4" i="11"/>
  <c r="H6" i="11"/>
  <c r="I6" i="11"/>
  <c r="H7" i="11"/>
  <c r="I7" i="11"/>
  <c r="H8" i="11"/>
  <c r="I8" i="11"/>
  <c r="G9" i="11"/>
  <c r="H9" i="11"/>
  <c r="I9" i="11"/>
  <c r="H10" i="11"/>
  <c r="I10" i="11"/>
  <c r="C13" i="11"/>
  <c r="F42" i="8"/>
  <c r="H42" i="8"/>
  <c r="D42" i="8"/>
  <c r="D37" i="8"/>
  <c r="F38" i="8"/>
  <c r="H38" i="8"/>
  <c r="D38" i="8"/>
  <c r="H39" i="8"/>
  <c r="D39" i="8"/>
  <c r="H40" i="8"/>
  <c r="D40" i="8"/>
  <c r="H41" i="8"/>
  <c r="D41" i="8"/>
  <c r="D43" i="8"/>
  <c r="C39" i="6"/>
  <c r="C37" i="6"/>
  <c r="D27" i="8"/>
  <c r="D32" i="8"/>
  <c r="D33" i="8"/>
  <c r="C31" i="6"/>
  <c r="D6" i="8"/>
  <c r="D7" i="8"/>
  <c r="D8" i="8"/>
  <c r="D9" i="8"/>
  <c r="D10" i="8"/>
  <c r="C22" i="6"/>
  <c r="C13" i="6"/>
  <c r="J13" i="6"/>
  <c r="C14" i="6"/>
  <c r="J14" i="6"/>
  <c r="J15" i="6"/>
  <c r="K13" i="6"/>
  <c r="D20" i="6"/>
  <c r="C20" i="6"/>
  <c r="J20" i="6"/>
  <c r="H22" i="6"/>
  <c r="J22" i="6"/>
  <c r="K20" i="6"/>
  <c r="D29" i="6"/>
  <c r="C29" i="6"/>
  <c r="J29" i="6"/>
  <c r="E37" i="6"/>
  <c r="G37" i="6"/>
  <c r="H37" i="6"/>
  <c r="J37" i="6"/>
  <c r="E44" i="6"/>
  <c r="G44" i="6"/>
  <c r="H44" i="6"/>
  <c r="J44" i="6"/>
  <c r="E52" i="6"/>
  <c r="G52" i="6"/>
  <c r="H52" i="6"/>
  <c r="H54" i="6"/>
  <c r="J54" i="6"/>
  <c r="C53" i="6"/>
  <c r="J53" i="6"/>
  <c r="F6" i="13"/>
  <c r="K6" i="13"/>
  <c r="K8" i="13"/>
  <c r="F7" i="13"/>
  <c r="I4" i="12"/>
  <c r="J3" i="12"/>
  <c r="E7" i="14"/>
  <c r="I7" i="14"/>
  <c r="I6" i="14"/>
  <c r="J52" i="6"/>
  <c r="M53" i="6"/>
  <c r="L52" i="6"/>
  <c r="M52" i="6"/>
  <c r="L44" i="6"/>
  <c r="C45" i="6"/>
  <c r="J45" i="6"/>
  <c r="E53" i="6"/>
  <c r="L54" i="6"/>
  <c r="O54" i="6"/>
  <c r="N54" i="6"/>
  <c r="M54" i="6"/>
  <c r="K54" i="6"/>
  <c r="G53" i="6"/>
  <c r="G54" i="6"/>
  <c r="E54" i="6"/>
  <c r="F54" i="6"/>
  <c r="O53" i="6"/>
  <c r="N53" i="6"/>
  <c r="K53" i="6"/>
  <c r="F53" i="6"/>
  <c r="O52" i="6"/>
  <c r="N52" i="6"/>
  <c r="K52" i="6"/>
  <c r="F52" i="6"/>
  <c r="F62" i="8"/>
  <c r="H33" i="11"/>
  <c r="G7" i="9"/>
  <c r="E63" i="8"/>
  <c r="H62" i="8"/>
  <c r="E62" i="8"/>
  <c r="E61" i="8"/>
  <c r="E60" i="8"/>
  <c r="E59" i="8"/>
  <c r="H58" i="8"/>
  <c r="E58" i="8"/>
  <c r="H39" i="6"/>
  <c r="J39" i="6"/>
  <c r="K37" i="6"/>
  <c r="L37" i="6"/>
  <c r="M37" i="6"/>
  <c r="M29" i="6"/>
  <c r="C38" i="6"/>
  <c r="M38" i="6"/>
  <c r="J38" i="6"/>
  <c r="K38" i="6"/>
  <c r="H52" i="8"/>
  <c r="E53" i="8"/>
  <c r="E52" i="8"/>
  <c r="E51" i="8"/>
  <c r="E50" i="8"/>
  <c r="E49" i="8"/>
  <c r="E48" i="8"/>
  <c r="H47" i="8"/>
  <c r="E47" i="8"/>
  <c r="I37" i="8"/>
  <c r="E10" i="7"/>
  <c r="I39" i="8"/>
  <c r="I38" i="8"/>
  <c r="I41" i="8"/>
  <c r="O37" i="6"/>
  <c r="O38" i="6"/>
  <c r="L39" i="6"/>
  <c r="O39" i="6"/>
  <c r="I40" i="8"/>
  <c r="H37" i="8"/>
  <c r="N39" i="6"/>
  <c r="N38" i="6"/>
  <c r="L13" i="6"/>
  <c r="L20" i="6"/>
  <c r="M20" i="6"/>
  <c r="N20" i="6"/>
  <c r="N37" i="6"/>
  <c r="D17" i="8"/>
  <c r="G18" i="2"/>
  <c r="D18" i="2"/>
  <c r="G22" i="2"/>
  <c r="D22" i="2"/>
  <c r="K14" i="6"/>
  <c r="D21" i="6"/>
  <c r="C21" i="6"/>
  <c r="J21" i="6"/>
  <c r="K21" i="6"/>
  <c r="D30" i="6"/>
  <c r="C30" i="6"/>
  <c r="J30" i="6"/>
  <c r="E38" i="6"/>
  <c r="L30" i="6"/>
  <c r="L31" i="6"/>
  <c r="M39" i="6"/>
  <c r="K39" i="6"/>
  <c r="G38" i="6"/>
  <c r="G39" i="6"/>
  <c r="E39" i="6"/>
  <c r="F39" i="6"/>
  <c r="F38" i="6"/>
  <c r="F37" i="6"/>
  <c r="F10" i="7"/>
  <c r="E43" i="8"/>
  <c r="E42" i="8"/>
  <c r="E41" i="8"/>
  <c r="E40" i="8"/>
  <c r="E39" i="8"/>
  <c r="E38" i="8"/>
  <c r="E37" i="8"/>
  <c r="E22" i="2"/>
  <c r="H31" i="6"/>
  <c r="J31" i="6"/>
  <c r="K31" i="6"/>
  <c r="K30" i="6"/>
  <c r="K29" i="6"/>
  <c r="F28" i="8"/>
  <c r="E33" i="8"/>
  <c r="E32" i="8"/>
  <c r="E31" i="8"/>
  <c r="E30" i="8"/>
  <c r="E29" i="8"/>
  <c r="E28" i="8"/>
  <c r="E27" i="8"/>
  <c r="J6" i="7"/>
  <c r="K6" i="7"/>
  <c r="D22" i="8"/>
  <c r="D23" i="8"/>
  <c r="E22" i="8"/>
  <c r="G6" i="7"/>
  <c r="F6" i="7"/>
  <c r="H6" i="7"/>
  <c r="N31" i="6"/>
  <c r="N29" i="6"/>
  <c r="M30" i="6"/>
  <c r="N30" i="6"/>
  <c r="M31" i="6"/>
  <c r="C32" i="6"/>
  <c r="E30" i="6"/>
  <c r="G30" i="6"/>
  <c r="E29" i="6"/>
  <c r="G29" i="6"/>
  <c r="I6" i="7"/>
  <c r="E23" i="8"/>
  <c r="E21" i="8"/>
  <c r="E20" i="8"/>
  <c r="E19" i="8"/>
  <c r="E18" i="8"/>
  <c r="E17" i="8"/>
  <c r="F18" i="2"/>
  <c r="E18" i="2"/>
  <c r="D14" i="2"/>
  <c r="G31" i="6"/>
  <c r="E31" i="6"/>
  <c r="F31" i="6"/>
  <c r="F30" i="6"/>
  <c r="F29" i="6"/>
  <c r="L14" i="6"/>
  <c r="L21" i="6"/>
  <c r="M21" i="6"/>
  <c r="H15" i="6"/>
  <c r="L15" i="6"/>
  <c r="L22" i="6"/>
  <c r="D8" i="6"/>
  <c r="M22" i="6"/>
  <c r="K22" i="6"/>
  <c r="E20" i="6"/>
  <c r="G20" i="6"/>
  <c r="E21" i="6"/>
  <c r="G21" i="6"/>
  <c r="G22" i="6"/>
  <c r="E14" i="6"/>
  <c r="F14" i="6"/>
  <c r="E15" i="6"/>
  <c r="F15" i="6"/>
  <c r="E13" i="6"/>
  <c r="F13" i="6"/>
  <c r="F21" i="6"/>
  <c r="E22" i="6"/>
  <c r="F22" i="6"/>
  <c r="F20" i="6"/>
  <c r="N22" i="6"/>
  <c r="N21" i="6"/>
  <c r="M25" i="6"/>
  <c r="M14" i="6"/>
  <c r="M24" i="6"/>
  <c r="D12" i="8"/>
  <c r="E12" i="8"/>
  <c r="E11" i="8"/>
  <c r="E10" i="8"/>
  <c r="E9" i="8"/>
  <c r="E8" i="8"/>
  <c r="E7" i="8"/>
  <c r="E6" i="8"/>
  <c r="D14" i="6"/>
  <c r="D13" i="6"/>
  <c r="M15" i="6"/>
  <c r="M13" i="6"/>
  <c r="F16" i="3"/>
  <c r="F17" i="3"/>
  <c r="F18" i="3"/>
  <c r="F15" i="3"/>
  <c r="E16" i="3"/>
  <c r="E17" i="3"/>
  <c r="E18" i="3"/>
  <c r="E15" i="3"/>
  <c r="I15" i="3"/>
  <c r="H15" i="3"/>
  <c r="G15" i="3"/>
  <c r="I6" i="3"/>
  <c r="I7" i="3"/>
  <c r="I8" i="3"/>
  <c r="I9" i="3"/>
  <c r="M6" i="3"/>
  <c r="L6" i="3"/>
  <c r="C10" i="3"/>
  <c r="E6" i="3"/>
  <c r="J6" i="3"/>
  <c r="J7" i="3"/>
  <c r="J8" i="3"/>
  <c r="J9" i="3"/>
  <c r="K6" i="3"/>
  <c r="F6" i="3"/>
  <c r="F7" i="3"/>
  <c r="F8" i="3"/>
  <c r="F9" i="3"/>
  <c r="G6" i="3"/>
  <c r="E6" i="2"/>
  <c r="F14" i="2"/>
  <c r="D10" i="2"/>
  <c r="E14" i="2"/>
  <c r="F10" i="2"/>
  <c r="E10" i="2"/>
  <c r="I15" i="6"/>
  <c r="G15" i="6"/>
  <c r="G14" i="6"/>
  <c r="G13" i="6"/>
  <c r="L46" i="6"/>
  <c r="H46" i="6"/>
  <c r="J46" i="6"/>
  <c r="O46" i="6"/>
  <c r="N46" i="6"/>
  <c r="K46" i="6"/>
  <c r="O44" i="6"/>
  <c r="M44" i="6"/>
  <c r="N44" i="6"/>
  <c r="K44" i="6"/>
  <c r="F44" i="6"/>
  <c r="M45" i="6"/>
  <c r="M46" i="6"/>
  <c r="E45" i="6"/>
  <c r="G45" i="6"/>
  <c r="G46" i="6"/>
  <c r="E46" i="6"/>
  <c r="F46" i="6"/>
  <c r="O45" i="6"/>
  <c r="N45" i="6"/>
  <c r="K45" i="6"/>
  <c r="F45" i="6"/>
</calcChain>
</file>

<file path=xl/sharedStrings.xml><?xml version="1.0" encoding="utf-8"?>
<sst xmlns="http://schemas.openxmlformats.org/spreadsheetml/2006/main" count="779" uniqueCount="206">
  <si>
    <t>黄金基金</t>
  </si>
  <si>
    <t>易方达</t>
  </si>
  <si>
    <t>华宝油气</t>
  </si>
  <si>
    <t>一卡通</t>
  </si>
  <si>
    <t>华安石油</t>
  </si>
  <si>
    <t>H股ETF</t>
  </si>
  <si>
    <t>国防军工</t>
  </si>
  <si>
    <t>余额宝</t>
  </si>
  <si>
    <t>支付宝</t>
  </si>
  <si>
    <t>资产</t>
  </si>
  <si>
    <t>来源</t>
  </si>
  <si>
    <t>估值（分红前）</t>
  </si>
  <si>
    <t>Rand份数</t>
  </si>
  <si>
    <t>216份数</t>
  </si>
  <si>
    <t>rand分红策略</t>
  </si>
  <si>
    <t>再投资</t>
  </si>
  <si>
    <t>216分红</t>
  </si>
  <si>
    <t>216分红策略</t>
  </si>
  <si>
    <t>现金</t>
  </si>
  <si>
    <t>分红包</t>
    <rPh sb="0" eb="1">
      <t>fen'hong</t>
    </rPh>
    <rPh sb="2" eb="3">
      <t>bao</t>
    </rPh>
    <phoneticPr fontId="2" type="noConversion"/>
  </si>
  <si>
    <t>rand分红</t>
    <rPh sb="4" eb="5">
      <t>fen'hong</t>
    </rPh>
    <phoneticPr fontId="2" type="noConversion"/>
  </si>
  <si>
    <t>分红后估值</t>
    <rPh sb="0" eb="1">
      <t>fen'hong'hou</t>
    </rPh>
    <rPh sb="3" eb="4">
      <t>gu'zhi</t>
    </rPh>
    <phoneticPr fontId="2" type="noConversion"/>
  </si>
  <si>
    <t>每份净值</t>
    <rPh sb="0" eb="1">
      <t>mei'fen</t>
    </rPh>
    <rPh sb="2" eb="3">
      <t>jing'zhi</t>
    </rPh>
    <phoneticPr fontId="2" type="noConversion"/>
  </si>
  <si>
    <t>份数</t>
    <rPh sb="0" eb="1">
      <t>fen'shu</t>
    </rPh>
    <phoneticPr fontId="2" type="noConversion"/>
  </si>
  <si>
    <t>估值</t>
    <rPh sb="0" eb="1">
      <t>gu'zhi</t>
    </rPh>
    <phoneticPr fontId="2" type="noConversion"/>
  </si>
  <si>
    <t>起始估值</t>
    <rPh sb="0" eb="1">
      <t>qi'shi</t>
    </rPh>
    <rPh sb="2" eb="3">
      <t>gu'zhi</t>
    </rPh>
    <phoneticPr fontId="2" type="noConversion"/>
  </si>
  <si>
    <t>盈亏</t>
    <rPh sb="0" eb="1">
      <t>ying'kui</t>
    </rPh>
    <phoneticPr fontId="2" type="noConversion"/>
  </si>
  <si>
    <t>20160608估值</t>
    <rPh sb="8" eb="9">
      <t>gu'zhi</t>
    </rPh>
    <phoneticPr fontId="2" type="noConversion"/>
  </si>
  <si>
    <t>易黄金ETF联接（000307）</t>
  </si>
  <si>
    <t>易国防军工（001475）</t>
  </si>
  <si>
    <t>华安石油</t>
    <rPh sb="0" eb="1">
      <t>hua'an'shi'you</t>
    </rPh>
    <phoneticPr fontId="2" type="noConversion"/>
  </si>
  <si>
    <t>华宝油气</t>
    <rPh sb="0" eb="1">
      <t>hua'bao'you'qi</t>
    </rPh>
    <phoneticPr fontId="2" type="noConversion"/>
  </si>
  <si>
    <t>Rand</t>
    <phoneticPr fontId="2" type="noConversion"/>
  </si>
  <si>
    <t>期初资产</t>
    <rPh sb="0" eb="1">
      <t>qi'chu</t>
    </rPh>
    <rPh sb="2" eb="3">
      <t>zi'chan</t>
    </rPh>
    <phoneticPr fontId="2" type="noConversion"/>
  </si>
  <si>
    <t>投资行为</t>
    <rPh sb="0" eb="1">
      <t>tou'zi</t>
    </rPh>
    <rPh sb="2" eb="3">
      <t>xing'wei</t>
    </rPh>
    <phoneticPr fontId="2" type="noConversion"/>
  </si>
  <si>
    <t>期末资产</t>
    <rPh sb="0" eb="1">
      <t>qi'mo</t>
    </rPh>
    <rPh sb="2" eb="3">
      <t>zi'chan</t>
    </rPh>
    <phoneticPr fontId="2" type="noConversion"/>
  </si>
  <si>
    <t>红利权益</t>
    <rPh sb="0" eb="1">
      <t>hong'li</t>
    </rPh>
    <rPh sb="2" eb="3">
      <t>quan'yi</t>
    </rPh>
    <phoneticPr fontId="2" type="noConversion"/>
  </si>
  <si>
    <t>总</t>
    <rPh sb="0" eb="1">
      <t>zong'zi'chan</t>
    </rPh>
    <phoneticPr fontId="2" type="noConversion"/>
  </si>
  <si>
    <t>余额宝</t>
    <rPh sb="0" eb="1">
      <t>yu'e'bao</t>
    </rPh>
    <phoneticPr fontId="2" type="noConversion"/>
  </si>
  <si>
    <t>20160612估值</t>
    <rPh sb="8" eb="9">
      <t>gu'zhi</t>
    </rPh>
    <phoneticPr fontId="2" type="noConversion"/>
  </si>
  <si>
    <t>总额</t>
    <rPh sb="0" eb="1">
      <t>zong'e</t>
    </rPh>
    <phoneticPr fontId="2" type="noConversion"/>
  </si>
  <si>
    <t>易H股ETF联接（110031）</t>
  </si>
  <si>
    <t>占比</t>
    <rPh sb="0" eb="1">
      <t>zhan'bi</t>
    </rPh>
    <phoneticPr fontId="2" type="noConversion"/>
  </si>
  <si>
    <t>总</t>
    <rPh sb="0" eb="1">
      <t>zong</t>
    </rPh>
    <phoneticPr fontId="2" type="noConversion"/>
  </si>
  <si>
    <t>当月盈亏</t>
    <rPh sb="0" eb="1">
      <t>dang'yue</t>
    </rPh>
    <rPh sb="2" eb="3">
      <t>ying'kui</t>
    </rPh>
    <phoneticPr fontId="2" type="noConversion"/>
  </si>
  <si>
    <t>总盈亏</t>
    <rPh sb="0" eb="1">
      <t>zong'ying'kui</t>
    </rPh>
    <phoneticPr fontId="2" type="noConversion"/>
  </si>
  <si>
    <t>易H股ETF联接（110031）</t>
    <phoneticPr fontId="2" type="noConversion"/>
  </si>
  <si>
    <t>易H股ETF联接（110031）估值 20160608</t>
    <phoneticPr fontId="2" type="noConversion"/>
  </si>
  <si>
    <t>20160621估值</t>
    <rPh sb="8" eb="9">
      <t>gu'zhi</t>
    </rPh>
    <phoneticPr fontId="2" type="noConversion"/>
  </si>
  <si>
    <t>总盈亏</t>
    <rPh sb="0" eb="1">
      <t>zong</t>
    </rPh>
    <rPh sb="1" eb="2">
      <t>ying'kui</t>
    </rPh>
    <phoneticPr fontId="2" type="noConversion"/>
  </si>
  <si>
    <t>总估值</t>
    <rPh sb="0" eb="1">
      <t>zong'gu'zhi</t>
    </rPh>
    <phoneticPr fontId="2" type="noConversion"/>
  </si>
  <si>
    <t>合计估值</t>
    <rPh sb="0" eb="1">
      <t>he'ji</t>
    </rPh>
    <rPh sb="2" eb="3">
      <t>gu'zhi</t>
    </rPh>
    <phoneticPr fontId="2" type="noConversion"/>
  </si>
  <si>
    <t>合计总盈亏</t>
    <rPh sb="0" eb="1">
      <t>he'ji</t>
    </rPh>
    <rPh sb="2" eb="3">
      <t>zong</t>
    </rPh>
    <rPh sb="3" eb="4">
      <t>ying'kui</t>
    </rPh>
    <phoneticPr fontId="2" type="noConversion"/>
  </si>
  <si>
    <t>合计当月盈亏</t>
    <rPh sb="0" eb="1">
      <t>he'ji</t>
    </rPh>
    <rPh sb="2" eb="3">
      <t>dang'yue</t>
    </rPh>
    <rPh sb="4" eb="5">
      <t>ying'k</t>
    </rPh>
    <phoneticPr fontId="2" type="noConversion"/>
  </si>
  <si>
    <t>累计现金分红</t>
    <rPh sb="0" eb="1">
      <t>lei'ji</t>
    </rPh>
    <rPh sb="2" eb="3">
      <t>xian'jin</t>
    </rPh>
    <rPh sb="4" eb="5">
      <t>fen'hong</t>
    </rPh>
    <phoneticPr fontId="2" type="noConversion"/>
  </si>
  <si>
    <t>现金分红</t>
    <rPh sb="0" eb="1">
      <t>xian'jin</t>
    </rPh>
    <rPh sb="2" eb="3">
      <t>fen'hong</t>
    </rPh>
    <phoneticPr fontId="2" type="noConversion"/>
  </si>
  <si>
    <t>累计收益</t>
    <rPh sb="0" eb="1">
      <t>lei'ji</t>
    </rPh>
    <rPh sb="2" eb="3">
      <t>shou'yi</t>
    </rPh>
    <phoneticPr fontId="2" type="noConversion"/>
  </si>
  <si>
    <t>当日资产</t>
    <rPh sb="0" eb="1">
      <t>dang'ri</t>
    </rPh>
    <rPh sb="2" eb="3">
      <t>zi'chan</t>
    </rPh>
    <phoneticPr fontId="2" type="noConversion"/>
  </si>
  <si>
    <t>分红后资产</t>
    <rPh sb="0" eb="1">
      <t>fen'hong</t>
    </rPh>
    <rPh sb="2" eb="3">
      <t>hou</t>
    </rPh>
    <rPh sb="3" eb="4">
      <t>zi'chan</t>
    </rPh>
    <phoneticPr fontId="2" type="noConversion"/>
  </si>
  <si>
    <t>余额宝</t>
    <rPh sb="0" eb="1">
      <t>yu</t>
    </rPh>
    <rPh sb="1" eb="2">
      <t>e</t>
    </rPh>
    <rPh sb="2" eb="3">
      <t>bao</t>
    </rPh>
    <phoneticPr fontId="2" type="noConversion"/>
  </si>
  <si>
    <t>合计</t>
    <rPh sb="0" eb="1">
      <t>he'ji</t>
    </rPh>
    <phoneticPr fontId="2" type="noConversion"/>
  </si>
  <si>
    <t>累计收益率</t>
    <rPh sb="0" eb="1">
      <t>lei'ji</t>
    </rPh>
    <rPh sb="2" eb="3">
      <t>shou'yi'lv</t>
    </rPh>
    <phoneticPr fontId="2" type="noConversion"/>
  </si>
  <si>
    <t>当月收益率</t>
    <rPh sb="0" eb="1">
      <t>dang'yue</t>
    </rPh>
    <rPh sb="2" eb="3">
      <t>shou'yi'lv</t>
    </rPh>
    <phoneticPr fontId="2" type="noConversion"/>
  </si>
  <si>
    <t>20160628估值</t>
    <rPh sb="8" eb="9">
      <t>gu'zhi</t>
    </rPh>
    <phoneticPr fontId="2" type="noConversion"/>
  </si>
  <si>
    <t>Object</t>
    <phoneticPr fontId="2" type="noConversion"/>
  </si>
  <si>
    <t>Action</t>
    <phoneticPr fontId="2" type="noConversion"/>
  </si>
  <si>
    <t>comments</t>
    <phoneticPr fontId="2" type="noConversion"/>
  </si>
  <si>
    <t>4%基线</t>
    <rPh sb="2" eb="3">
      <t>ji'xian</t>
    </rPh>
    <phoneticPr fontId="2" type="noConversion"/>
  </si>
  <si>
    <t>易H股ETF联接（110031）估值 20160708</t>
    <phoneticPr fontId="2" type="noConversion"/>
  </si>
  <si>
    <t>易H股ETF联接（110031）估值 20160810</t>
    <phoneticPr fontId="2" type="noConversion"/>
  </si>
  <si>
    <t>赎回</t>
    <rPh sb="0" eb="1">
      <t>shu'hui</t>
    </rPh>
    <phoneticPr fontId="2" type="noConversion"/>
  </si>
  <si>
    <t>手续费</t>
    <rPh sb="0" eb="1">
      <t>shou'xu'f</t>
    </rPh>
    <phoneticPr fontId="2" type="noConversion"/>
  </si>
  <si>
    <t>H指数十字星。先把利润拿出来。11%了</t>
    <rPh sb="1" eb="2">
      <t>zhi'shu</t>
    </rPh>
    <rPh sb="3" eb="4">
      <t>shi'zi'xing</t>
    </rPh>
    <rPh sb="7" eb="8">
      <t>xian</t>
    </rPh>
    <rPh sb="8" eb="9">
      <t>ba</t>
    </rPh>
    <rPh sb="9" eb="10">
      <t>li'run</t>
    </rPh>
    <rPh sb="11" eb="12">
      <t>na'chu'lai</t>
    </rPh>
    <rPh sb="18" eb="19">
      <t>le</t>
    </rPh>
    <phoneticPr fontId="2" type="noConversion"/>
  </si>
  <si>
    <t>时间</t>
    <rPh sb="0" eb="1">
      <t>shi'jian</t>
    </rPh>
    <phoneticPr fontId="2" type="noConversion"/>
  </si>
  <si>
    <t>成交价格</t>
    <rPh sb="0" eb="1">
      <t>cheng'jiao</t>
    </rPh>
    <rPh sb="2" eb="3">
      <t>jia'ge</t>
    </rPh>
    <phoneticPr fontId="2" type="noConversion"/>
  </si>
  <si>
    <t>单价</t>
    <rPh sb="0" eb="1">
      <t>dan'jia</t>
    </rPh>
    <phoneticPr fontId="2" type="noConversion"/>
  </si>
  <si>
    <t>当月操作</t>
    <rPh sb="0" eb="1">
      <t>dang'yue</t>
    </rPh>
    <rPh sb="2" eb="3">
      <t>cao'zuo</t>
    </rPh>
    <phoneticPr fontId="2" type="noConversion"/>
  </si>
  <si>
    <t>易H股ETF联接（110031）估值 20160808</t>
    <phoneticPr fontId="2" type="noConversion"/>
  </si>
  <si>
    <t>-</t>
    <phoneticPr fontId="2" type="noConversion"/>
  </si>
  <si>
    <t>上月总额</t>
    <rPh sb="0" eb="1">
      <t>shang'yue</t>
    </rPh>
    <rPh sb="2" eb="3">
      <t>zong'e</t>
    </rPh>
    <phoneticPr fontId="2" type="noConversion"/>
  </si>
  <si>
    <t>市值</t>
    <rPh sb="0" eb="1">
      <t>shi'zhi</t>
    </rPh>
    <phoneticPr fontId="2" type="noConversion"/>
  </si>
  <si>
    <t>1.赎回1000份</t>
    <rPh sb="2" eb="3">
      <t>shu'hui</t>
    </rPh>
    <rPh sb="8" eb="9">
      <t>fen</t>
    </rPh>
    <phoneticPr fontId="2" type="noConversion"/>
  </si>
  <si>
    <t>净值</t>
    <rPh sb="0" eb="1">
      <t>jing'zhi</t>
    </rPh>
    <phoneticPr fontId="2" type="noConversion"/>
  </si>
  <si>
    <t>投资对象</t>
    <rPh sb="0" eb="1">
      <t>tou'zi</t>
    </rPh>
    <rPh sb="2" eb="3">
      <t>dui'xiang</t>
    </rPh>
    <phoneticPr fontId="2" type="noConversion"/>
  </si>
  <si>
    <t>基金</t>
    <rPh sb="0" eb="1">
      <t>ji'jin</t>
    </rPh>
    <phoneticPr fontId="2" type="noConversion"/>
  </si>
  <si>
    <t>战略投资</t>
    <rPh sb="0" eb="1">
      <t>zhan'lue</t>
    </rPh>
    <rPh sb="2" eb="3">
      <t>tou'zi</t>
    </rPh>
    <phoneticPr fontId="2" type="noConversion"/>
  </si>
  <si>
    <t>港股</t>
    <rPh sb="0" eb="1">
      <t>gang'gu</t>
    </rPh>
    <phoneticPr fontId="2" type="noConversion"/>
  </si>
  <si>
    <t>石油</t>
    <rPh sb="0" eb="1">
      <t>shi'you</t>
    </rPh>
    <phoneticPr fontId="2" type="noConversion"/>
  </si>
  <si>
    <t>Operation</t>
    <phoneticPr fontId="2" type="noConversion"/>
  </si>
  <si>
    <t>20160811申购1000元</t>
    <rPh sb="8" eb="9">
      <t>shen'qing</t>
    </rPh>
    <rPh sb="9" eb="10">
      <t>gou'mai</t>
    </rPh>
    <rPh sb="14" eb="15">
      <t>yuan</t>
    </rPh>
    <phoneticPr fontId="2" type="noConversion"/>
  </si>
  <si>
    <t>累计总值</t>
    <rPh sb="0" eb="1">
      <t>lei'ji</t>
    </rPh>
    <rPh sb="2" eb="3">
      <t>zong'zhi</t>
    </rPh>
    <phoneticPr fontId="2" type="noConversion"/>
  </si>
  <si>
    <t>购买</t>
    <rPh sb="0" eb="1">
      <t>gou'mai</t>
    </rPh>
    <phoneticPr fontId="2" type="noConversion"/>
  </si>
  <si>
    <t>金额</t>
    <rPh sb="0" eb="1">
      <t>jin'e</t>
    </rPh>
    <phoneticPr fontId="2" type="noConversion"/>
  </si>
  <si>
    <t>20160819 卖出2000 0.9996</t>
    <rPh sb="9" eb="10">
      <t>mai'chu</t>
    </rPh>
    <phoneticPr fontId="2" type="noConversion"/>
  </si>
  <si>
    <t>20160816 申购3000元@1.0267
20160823 卖出162.21 @1.0216</t>
    <rPh sb="9" eb="10">
      <t>shen'gou</t>
    </rPh>
    <rPh sb="15" eb="16">
      <t>yuan</t>
    </rPh>
    <rPh sb="33" eb="34">
      <t>mai'chu</t>
    </rPh>
    <phoneticPr fontId="2" type="noConversion"/>
  </si>
  <si>
    <t>起始</t>
    <rPh sb="0" eb="1">
      <t>qi'shi'zhi</t>
    </rPh>
    <phoneticPr fontId="2" type="noConversion"/>
  </si>
  <si>
    <t>SELL</t>
    <phoneticPr fontId="2" type="noConversion"/>
  </si>
  <si>
    <t>目标</t>
    <rPh sb="0" eb="1">
      <t>mu'biao</t>
    </rPh>
    <phoneticPr fontId="2" type="noConversion"/>
  </si>
  <si>
    <t>操作</t>
    <rPh sb="0" eb="1">
      <t>cao'zuo</t>
    </rPh>
    <phoneticPr fontId="2" type="noConversion"/>
  </si>
  <si>
    <t>成交净值</t>
    <rPh sb="0" eb="1">
      <t>cheng'jiao</t>
    </rPh>
    <rPh sb="2" eb="3">
      <t>jing'zhi</t>
    </rPh>
    <phoneticPr fontId="2" type="noConversion"/>
  </si>
  <si>
    <t>手续费</t>
    <rPh sb="0" eb="1">
      <t>shou'xu'fei</t>
    </rPh>
    <phoneticPr fontId="2" type="noConversion"/>
  </si>
  <si>
    <t>净额</t>
    <rPh sb="0" eb="1">
      <t>jin'ge</t>
    </rPh>
    <phoneticPr fontId="2" type="noConversion"/>
  </si>
  <si>
    <t>余额宝总额</t>
    <rPh sb="0" eb="1">
      <t>yu'e'b</t>
    </rPh>
    <rPh sb="3" eb="4">
      <t>zong</t>
    </rPh>
    <rPh sb="4" eb="5">
      <t>e</t>
    </rPh>
    <phoneticPr fontId="2" type="noConversion"/>
  </si>
  <si>
    <t>BUY</t>
    <phoneticPr fontId="2" type="noConversion"/>
  </si>
  <si>
    <t>BUY</t>
    <phoneticPr fontId="2" type="noConversion"/>
  </si>
  <si>
    <t>HOLD</t>
    <phoneticPr fontId="2" type="noConversion"/>
  </si>
  <si>
    <t>黄金</t>
    <rPh sb="0" eb="1">
      <t>huang'jin</t>
    </rPh>
    <phoneticPr fontId="2" type="noConversion"/>
  </si>
  <si>
    <t>谨慎做多</t>
    <rPh sb="0" eb="1">
      <t>jin'shen</t>
    </rPh>
    <rPh sb="2" eb="3">
      <t>zuo'duo</t>
    </rPh>
    <phoneticPr fontId="2" type="noConversion"/>
  </si>
  <si>
    <t>长期做多</t>
    <rPh sb="0" eb="1">
      <t>chang'qi</t>
    </rPh>
    <rPh sb="2" eb="3">
      <t>zuo'zuo</t>
    </rPh>
    <rPh sb="3" eb="4">
      <t>duo</t>
    </rPh>
    <phoneticPr fontId="2" type="noConversion"/>
  </si>
  <si>
    <t>超长期做多</t>
    <rPh sb="0" eb="1">
      <t>chao'chang'qi</t>
    </rPh>
    <rPh sb="3" eb="4">
      <t>zuo'duo</t>
    </rPh>
    <phoneticPr fontId="2" type="noConversion"/>
  </si>
  <si>
    <t>0825终值</t>
    <rPh sb="4" eb="5">
      <t>zhong'zhi</t>
    </rPh>
    <phoneticPr fontId="2" type="noConversion"/>
  </si>
  <si>
    <t>OUT</t>
    <phoneticPr fontId="2" type="noConversion"/>
  </si>
  <si>
    <t>500份</t>
    <rPh sb="3" eb="4">
      <t>fen</t>
    </rPh>
    <phoneticPr fontId="2" type="noConversion"/>
  </si>
  <si>
    <t>8月基值</t>
    <rPh sb="1" eb="2">
      <t>yue</t>
    </rPh>
    <phoneticPr fontId="2" type="noConversion"/>
  </si>
  <si>
    <t>8.25基值</t>
    <rPh sb="4" eb="5">
      <t>ji'zhi</t>
    </rPh>
    <phoneticPr fontId="2" type="noConversion"/>
  </si>
  <si>
    <t>华安赎回500份手续费</t>
    <rPh sb="0" eb="1">
      <t>hua'an</t>
    </rPh>
    <rPh sb="2" eb="3">
      <t>shu'hui</t>
    </rPh>
    <rPh sb="7" eb="8">
      <t>fen</t>
    </rPh>
    <rPh sb="8" eb="9">
      <t>shou'xu'f</t>
    </rPh>
    <phoneticPr fontId="2" type="noConversion"/>
  </si>
  <si>
    <t>资金在途。手续费从余额宝扣除</t>
    <rPh sb="0" eb="1">
      <t>zi'ji'n</t>
    </rPh>
    <rPh sb="2" eb="3">
      <t>zai'tu</t>
    </rPh>
    <rPh sb="5" eb="6">
      <t>shou'xu'f</t>
    </rPh>
    <rPh sb="8" eb="9">
      <t>cong</t>
    </rPh>
    <rPh sb="9" eb="10">
      <t>yu'e'bao</t>
    </rPh>
    <rPh sb="12" eb="13">
      <t>kou'chu</t>
    </rPh>
    <phoneticPr fontId="2" type="noConversion"/>
  </si>
  <si>
    <t>IN</t>
    <phoneticPr fontId="2" type="noConversion"/>
  </si>
  <si>
    <t>华安基金赎回</t>
    <rPh sb="0" eb="1">
      <t>hua'an</t>
    </rPh>
    <rPh sb="2" eb="3">
      <t>ji'jin</t>
    </rPh>
    <rPh sb="4" eb="5">
      <t>shu'hui</t>
    </rPh>
    <phoneticPr fontId="2" type="noConversion"/>
  </si>
  <si>
    <t>不看好A股，短期</t>
    <rPh sb="0" eb="1">
      <t>bu'kan'hao</t>
    </rPh>
    <rPh sb="4" eb="5">
      <t>gu</t>
    </rPh>
    <rPh sb="6" eb="7">
      <t>duan'qi</t>
    </rPh>
    <phoneticPr fontId="2" type="noConversion"/>
  </si>
  <si>
    <t>9.06基值</t>
    <rPh sb="4" eb="5">
      <t>ji'zhi</t>
    </rPh>
    <phoneticPr fontId="2" type="noConversion"/>
  </si>
  <si>
    <t>0906终值</t>
    <rPh sb="4" eb="5">
      <t>zhong'zhi</t>
    </rPh>
    <phoneticPr fontId="2" type="noConversion"/>
  </si>
  <si>
    <t>国防基金</t>
    <rPh sb="0" eb="1">
      <t>guo'fang'ji'jin</t>
    </rPh>
    <phoneticPr fontId="2" type="noConversion"/>
  </si>
  <si>
    <t>0921终值</t>
    <rPh sb="4" eb="5">
      <t>zhong'zhi</t>
    </rPh>
    <phoneticPr fontId="2" type="noConversion"/>
  </si>
  <si>
    <t>总份数</t>
    <rPh sb="0" eb="1">
      <t>zong'fen'shu</t>
    </rPh>
    <phoneticPr fontId="2" type="noConversion"/>
  </si>
  <si>
    <t>rand</t>
    <phoneticPr fontId="2" type="noConversion"/>
  </si>
  <si>
    <t>总资产</t>
    <rPh sb="0" eb="1">
      <t>zong'zi'chan</t>
    </rPh>
    <phoneticPr fontId="2" type="noConversion"/>
  </si>
  <si>
    <t>净值变化</t>
    <rPh sb="0" eb="1">
      <t>jing'zhi</t>
    </rPh>
    <rPh sb="2" eb="3">
      <t>bian'hua</t>
    </rPh>
    <phoneticPr fontId="2" type="noConversion"/>
  </si>
  <si>
    <t>用户</t>
    <rPh sb="0" eb="1">
      <t>yong'hu</t>
    </rPh>
    <phoneticPr fontId="2" type="noConversion"/>
  </si>
  <si>
    <t>分红后净值</t>
    <rPh sb="0" eb="1">
      <t>fen'hong'hou</t>
    </rPh>
    <rPh sb="3" eb="4">
      <t>jing'zhi</t>
    </rPh>
    <phoneticPr fontId="2" type="noConversion"/>
  </si>
  <si>
    <t>ACTION</t>
    <phoneticPr fontId="2" type="noConversion"/>
  </si>
  <si>
    <t>来源</t>
    <rPh sb="0" eb="1">
      <t>lai'yuan</t>
    </rPh>
    <phoneticPr fontId="2" type="noConversion"/>
  </si>
  <si>
    <t>原有</t>
    <rPh sb="0" eb="1">
      <t>yuan'you</t>
    </rPh>
    <phoneticPr fontId="2" type="noConversion"/>
  </si>
  <si>
    <t>红利在投资</t>
    <rPh sb="0" eb="1">
      <t>hong'li</t>
    </rPh>
    <rPh sb="2" eb="3">
      <t>zai'tou'zi</t>
    </rPh>
    <phoneticPr fontId="2" type="noConversion"/>
  </si>
  <si>
    <t>buy</t>
    <phoneticPr fontId="2" type="noConversion"/>
  </si>
  <si>
    <t>红利在投资</t>
    <rPh sb="0" eb="1">
      <t>hong'li'zai'tou'zi</t>
    </rPh>
    <phoneticPr fontId="2" type="noConversion"/>
  </si>
  <si>
    <t>每份红利</t>
    <rPh sb="0" eb="1">
      <t>mei'fen</t>
    </rPh>
    <rPh sb="2" eb="3">
      <t>hong'li</t>
    </rPh>
    <phoneticPr fontId="2" type="noConversion"/>
  </si>
  <si>
    <t>金额变动</t>
    <rPh sb="0" eb="1">
      <t>jin'e</t>
    </rPh>
    <rPh sb="2" eb="3">
      <t>bian'dong</t>
    </rPh>
    <phoneticPr fontId="2" type="noConversion"/>
  </si>
  <si>
    <t>红利选择</t>
    <rPh sb="0" eb="1">
      <t>hong'li</t>
    </rPh>
    <rPh sb="2" eb="3">
      <t>xuan'ze</t>
    </rPh>
    <phoneticPr fontId="2" type="noConversion"/>
  </si>
  <si>
    <t>红利金额</t>
    <rPh sb="0" eb="1">
      <t>hong'li</t>
    </rPh>
    <rPh sb="2" eb="3">
      <t>jin'e</t>
    </rPh>
    <phoneticPr fontId="2" type="noConversion"/>
  </si>
  <si>
    <t>分红后净资产</t>
    <rPh sb="0" eb="1">
      <t>fen'hong'hou</t>
    </rPh>
    <rPh sb="3" eb="4">
      <t>jing'zi'chan</t>
    </rPh>
    <phoneticPr fontId="2" type="noConversion"/>
  </si>
  <si>
    <t>分红前总资产</t>
    <rPh sb="0" eb="1">
      <t>fen'hong'qian</t>
    </rPh>
    <rPh sb="3" eb="4">
      <t>zong'zi'chan</t>
    </rPh>
    <phoneticPr fontId="2" type="noConversion"/>
  </si>
  <si>
    <t>分红总额</t>
    <rPh sb="0" eb="1">
      <t>fen'hong</t>
    </rPh>
    <rPh sb="2" eb="3">
      <t>zong'e</t>
    </rPh>
    <phoneticPr fontId="2" type="noConversion"/>
  </si>
  <si>
    <t>投资表</t>
    <rPh sb="0" eb="1">
      <t>tou'zi'biao</t>
    </rPh>
    <phoneticPr fontId="2" type="noConversion"/>
  </si>
  <si>
    <t>投资金额</t>
    <rPh sb="0" eb="1">
      <t>tou'zi</t>
    </rPh>
    <rPh sb="2" eb="3">
      <t>jin'e</t>
    </rPh>
    <phoneticPr fontId="2" type="noConversion"/>
  </si>
  <si>
    <t>折算份数</t>
    <rPh sb="0" eb="1">
      <t>zhe'suan</t>
    </rPh>
    <rPh sb="2" eb="3">
      <t>fen'shu</t>
    </rPh>
    <phoneticPr fontId="2" type="noConversion"/>
  </si>
  <si>
    <t>投资后份数</t>
    <rPh sb="0" eb="1">
      <t>tou'zi'hou</t>
    </rPh>
    <rPh sb="3" eb="4">
      <t>fen'shu</t>
    </rPh>
    <phoneticPr fontId="2" type="noConversion"/>
  </si>
  <si>
    <t>红利再投资</t>
    <rPh sb="0" eb="1">
      <t>hong'li</t>
    </rPh>
    <rPh sb="2" eb="3">
      <t>zai</t>
    </rPh>
    <rPh sb="3" eb="4">
      <t>tou'zi</t>
    </rPh>
    <phoneticPr fontId="2" type="noConversion"/>
  </si>
  <si>
    <t>rand</t>
    <phoneticPr fontId="2" type="noConversion"/>
  </si>
  <si>
    <t>红利再投资</t>
    <rPh sb="0" eb="1">
      <t>hong'li</t>
    </rPh>
    <rPh sb="2" eb="3">
      <t>zai'tou'zi</t>
    </rPh>
    <phoneticPr fontId="2" type="noConversion"/>
  </si>
  <si>
    <t>承前结余</t>
    <rPh sb="0" eb="1">
      <t>cheng'qian'jie'yu</t>
    </rPh>
    <phoneticPr fontId="2" type="noConversion"/>
  </si>
  <si>
    <t>金额变化</t>
    <rPh sb="0" eb="1">
      <t>jin'e</t>
    </rPh>
    <rPh sb="2" eb="3">
      <t>bian'hua</t>
    </rPh>
    <phoneticPr fontId="2" type="noConversion"/>
  </si>
  <si>
    <t>资产总额</t>
    <rPh sb="0" eb="1">
      <t>zi'chan</t>
    </rPh>
    <rPh sb="2" eb="3">
      <t>zong'e</t>
    </rPh>
    <phoneticPr fontId="2" type="noConversion"/>
  </si>
  <si>
    <t>日期</t>
    <rPh sb="0" eb="1">
      <t>ri'qi</t>
    </rPh>
    <phoneticPr fontId="2" type="noConversion"/>
  </si>
  <si>
    <t>项目</t>
    <rPh sb="0" eb="1">
      <t>xiang'mu</t>
    </rPh>
    <phoneticPr fontId="2" type="noConversion"/>
  </si>
  <si>
    <t>投资</t>
    <rPh sb="0" eb="1">
      <t>tou'zi</t>
    </rPh>
    <phoneticPr fontId="2" type="noConversion"/>
  </si>
  <si>
    <t>总份数</t>
    <rPh sb="0" eb="1">
      <t>zong</t>
    </rPh>
    <rPh sb="1" eb="2">
      <t>fen'shu</t>
    </rPh>
    <phoneticPr fontId="2" type="noConversion"/>
  </si>
  <si>
    <t>临时计算区</t>
    <rPh sb="0" eb="1">
      <t>lin'shi</t>
    </rPh>
    <rPh sb="2" eb="3">
      <t>ji'suan</t>
    </rPh>
    <rPh sb="4" eb="5">
      <t>qu</t>
    </rPh>
    <phoneticPr fontId="2" type="noConversion"/>
  </si>
  <si>
    <t>资产</t>
    <rPh sb="0" eb="1">
      <t>zi'chan</t>
    </rPh>
    <phoneticPr fontId="2" type="noConversion"/>
  </si>
  <si>
    <t>分红</t>
    <rPh sb="0" eb="1">
      <t>fen'hong</t>
    </rPh>
    <phoneticPr fontId="2" type="noConversion"/>
  </si>
  <si>
    <t>0921起始值</t>
    <rPh sb="4" eb="5">
      <t>qi'shi</t>
    </rPh>
    <phoneticPr fontId="2" type="noConversion"/>
  </si>
  <si>
    <t>1010基值</t>
    <rPh sb="4" eb="5">
      <t>ji'zhi</t>
    </rPh>
    <phoneticPr fontId="2" type="noConversion"/>
  </si>
  <si>
    <t>IN</t>
    <phoneticPr fontId="2" type="noConversion"/>
  </si>
  <si>
    <t>rand投资2000</t>
    <rPh sb="4" eb="5">
      <t>tou'zi</t>
    </rPh>
    <phoneticPr fontId="2" type="noConversion"/>
  </si>
  <si>
    <t>成本净值</t>
    <rPh sb="0" eb="1">
      <t>cheng'ben</t>
    </rPh>
    <rPh sb="2" eb="3">
      <t>jing'zhi</t>
    </rPh>
    <phoneticPr fontId="2" type="noConversion"/>
  </si>
  <si>
    <t>累计分红</t>
    <rPh sb="0" eb="1">
      <t>lei'ji</t>
    </rPh>
    <rPh sb="2" eb="3">
      <t>fen'hong</t>
    </rPh>
    <phoneticPr fontId="2" type="noConversion"/>
  </si>
  <si>
    <t>累计成本</t>
    <rPh sb="0" eb="1">
      <t>lei'ji</t>
    </rPh>
    <rPh sb="2" eb="3">
      <t>cheng'ben</t>
    </rPh>
    <phoneticPr fontId="2" type="noConversion"/>
  </si>
  <si>
    <t>累计分红率</t>
    <rPh sb="0" eb="1">
      <t>lei'ji</t>
    </rPh>
    <rPh sb="2" eb="3">
      <t>fen'hong</t>
    </rPh>
    <rPh sb="4" eb="5">
      <t>lv</t>
    </rPh>
    <phoneticPr fontId="2" type="noConversion"/>
  </si>
  <si>
    <t>净值收益率</t>
    <rPh sb="0" eb="1">
      <t>jing'zhi</t>
    </rPh>
    <rPh sb="2" eb="3">
      <t>shou'yi'lv</t>
    </rPh>
    <phoneticPr fontId="2" type="noConversion"/>
  </si>
  <si>
    <t>一周结算</t>
    <rPh sb="0" eb="1">
      <t>yi'zhou</t>
    </rPh>
    <rPh sb="2" eb="3">
      <t>jie'suan</t>
    </rPh>
    <phoneticPr fontId="2" type="noConversion"/>
  </si>
  <si>
    <t>累计盈亏</t>
    <rPh sb="0" eb="1">
      <t>lei'ji</t>
    </rPh>
    <rPh sb="2" eb="3">
      <t>ying'kui</t>
    </rPh>
    <phoneticPr fontId="2" type="noConversion"/>
  </si>
  <si>
    <t>累计盈亏率</t>
    <rPh sb="0" eb="1">
      <t>lei'ji</t>
    </rPh>
    <rPh sb="2" eb="3">
      <t>ying'kui</t>
    </rPh>
    <rPh sb="4" eb="5">
      <t>lv</t>
    </rPh>
    <phoneticPr fontId="2" type="noConversion"/>
  </si>
  <si>
    <t>当期盈亏</t>
    <rPh sb="0" eb="1">
      <t>dang'qi</t>
    </rPh>
    <rPh sb="2" eb="3">
      <t>ying'kui</t>
    </rPh>
    <phoneticPr fontId="2" type="noConversion"/>
  </si>
  <si>
    <t>累计分红率</t>
    <rPh sb="0" eb="1">
      <t>lei'ji</t>
    </rPh>
    <rPh sb="2" eb="3">
      <t>fen'hong'lv</t>
    </rPh>
    <phoneticPr fontId="2" type="noConversion"/>
  </si>
  <si>
    <t>买入</t>
    <rPh sb="0" eb="1">
      <t>mai'ru</t>
    </rPh>
    <phoneticPr fontId="2" type="noConversion"/>
  </si>
  <si>
    <t>OUT</t>
    <phoneticPr fontId="2" type="noConversion"/>
  </si>
  <si>
    <t>利息</t>
    <rPh sb="0" eb="1">
      <t>li'xi</t>
    </rPh>
    <phoneticPr fontId="2" type="noConversion"/>
  </si>
  <si>
    <t>IN</t>
    <phoneticPr fontId="2" type="noConversion"/>
  </si>
  <si>
    <t>rand认购1000</t>
    <rPh sb="4" eb="5">
      <t>ren'gou</t>
    </rPh>
    <phoneticPr fontId="2" type="noConversion"/>
  </si>
  <si>
    <t>累计收益</t>
    <rPh sb="0" eb="1">
      <t>lei'ji'shou'yi</t>
    </rPh>
    <phoneticPr fontId="2" type="noConversion"/>
  </si>
  <si>
    <t>分红率</t>
    <rPh sb="0" eb="1">
      <t>fen'hong'lv</t>
    </rPh>
    <phoneticPr fontId="2" type="noConversion"/>
  </si>
  <si>
    <t>总资产变化</t>
    <rPh sb="0" eb="1">
      <t>zong'zhi'chan</t>
    </rPh>
    <rPh sb="3" eb="4">
      <t>bian'hua</t>
    </rPh>
    <phoneticPr fontId="2" type="noConversion"/>
  </si>
  <si>
    <t>rand认购5000</t>
    <rPh sb="4" eb="5">
      <t>ren'gou</t>
    </rPh>
    <phoneticPr fontId="2" type="noConversion"/>
  </si>
  <si>
    <t>统计</t>
    <rPh sb="0" eb="1">
      <t>tong'ji</t>
    </rPh>
    <phoneticPr fontId="2" type="noConversion"/>
  </si>
  <si>
    <t>买入4000，等待成交</t>
    <rPh sb="0" eb="1">
      <t>mai'ru</t>
    </rPh>
    <rPh sb="7" eb="8">
      <t>deng'dai</t>
    </rPh>
    <rPh sb="9" eb="10">
      <t>cheng'jiao</t>
    </rPh>
    <phoneticPr fontId="2" type="noConversion"/>
  </si>
  <si>
    <t>购买港股基金4000</t>
    <rPh sb="0" eb="1">
      <t>gou'mai</t>
    </rPh>
    <rPh sb="2" eb="3">
      <t>gang'gu</t>
    </rPh>
    <rPh sb="4" eb="5">
      <t>ji'jin</t>
    </rPh>
    <phoneticPr fontId="2" type="noConversion"/>
  </si>
  <si>
    <t>IN</t>
    <phoneticPr fontId="2" type="noConversion"/>
  </si>
  <si>
    <t>华宝油气，全部赎回</t>
    <rPh sb="0" eb="1">
      <t>hua'bao</t>
    </rPh>
    <rPh sb="2" eb="3">
      <t>you'qi</t>
    </rPh>
    <rPh sb="5" eb="6">
      <t>quan'bu'shu'hui</t>
    </rPh>
    <phoneticPr fontId="2" type="noConversion"/>
  </si>
  <si>
    <t>OUT</t>
    <phoneticPr fontId="2" type="noConversion"/>
  </si>
  <si>
    <t>购买ETF黄金</t>
    <rPh sb="0" eb="1">
      <t>gou'mai</t>
    </rPh>
    <rPh sb="5" eb="6">
      <t>huang'jin</t>
    </rPh>
    <phoneticPr fontId="2" type="noConversion"/>
  </si>
  <si>
    <t>OK</t>
    <phoneticPr fontId="2" type="noConversion"/>
  </si>
  <si>
    <t>OK</t>
    <phoneticPr fontId="2" type="noConversion"/>
  </si>
  <si>
    <t>华安石油，赎回 一半</t>
    <rPh sb="0" eb="1">
      <t>hua'an'shi'you</t>
    </rPh>
    <rPh sb="5" eb="6">
      <t>shu'hui</t>
    </rPh>
    <rPh sb="8" eb="9">
      <t>yi'ban</t>
    </rPh>
    <phoneticPr fontId="2" type="noConversion"/>
  </si>
  <si>
    <t>IN</t>
    <phoneticPr fontId="2" type="noConversion"/>
  </si>
  <si>
    <t>目标：12月16日</t>
    <rPh sb="0" eb="1">
      <t>mu'biao</t>
    </rPh>
    <rPh sb="5" eb="6">
      <t>yue</t>
    </rPh>
    <rPh sb="8" eb="9">
      <t>ri</t>
    </rPh>
    <phoneticPr fontId="2" type="noConversion"/>
  </si>
  <si>
    <t>申购港股基金</t>
    <rPh sb="0" eb="1">
      <t>shen'gou</t>
    </rPh>
    <rPh sb="2" eb="3">
      <t>gang'gu</t>
    </rPh>
    <rPh sb="4" eb="5">
      <t>ji'jin</t>
    </rPh>
    <phoneticPr fontId="2" type="noConversion"/>
  </si>
  <si>
    <t>发起时间</t>
    <rPh sb="0" eb="1">
      <t>fa'qi'shi'jian</t>
    </rPh>
    <phoneticPr fontId="2" type="noConversion"/>
  </si>
  <si>
    <t>确认时间</t>
    <rPh sb="0" eb="1">
      <t>que'ren</t>
    </rPh>
    <rPh sb="2" eb="3">
      <t>shi'jian</t>
    </rPh>
    <phoneticPr fontId="2" type="noConversion"/>
  </si>
  <si>
    <t>净值：</t>
    <rPh sb="0" eb="1">
      <t>jing'zhi</t>
    </rPh>
    <phoneticPr fontId="2" type="noConversion"/>
  </si>
  <si>
    <t>认购前</t>
    <phoneticPr fontId="2" type="noConversion"/>
  </si>
  <si>
    <t>认购后</t>
    <rPh sb="0" eb="1">
      <t>ren'gou'hou</t>
    </rPh>
    <phoneticPr fontId="2" type="noConversion"/>
  </si>
  <si>
    <t>OUT</t>
    <phoneticPr fontId="2" type="noConversion"/>
  </si>
  <si>
    <t>分红后统计</t>
    <rPh sb="0" eb="1">
      <t>fen'hong</t>
    </rPh>
    <rPh sb="2" eb="3">
      <t>hou</t>
    </rPh>
    <rPh sb="3" eb="4">
      <t>tong'ji</t>
    </rPh>
    <phoneticPr fontId="2" type="noConversion"/>
  </si>
  <si>
    <t>分红后</t>
    <rPh sb="0" eb="1">
      <t>fen'hong</t>
    </rPh>
    <rPh sb="2" eb="3">
      <t>hou</t>
    </rPh>
    <phoneticPr fontId="2" type="noConversion"/>
  </si>
  <si>
    <t>纠错。黄金未买入</t>
    <rPh sb="0" eb="1">
      <t>jiu'cuo</t>
    </rPh>
    <phoneticPr fontId="2" type="noConversion"/>
  </si>
  <si>
    <t>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</si>
</sst>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0.00;[Red]0.00"/>
    <numFmt numFmtId="177" formatCode="0.00_ "/>
    <numFmt numFmtId="178" formatCode="0.000_ "/>
    <numFmt numFmtId="179" formatCode="#,##0.000_ ;[Red]\-#,##0.000\ "/>
    <numFmt numFmtId="180" formatCode="#,##0.000000_ ;[Red]\-#,##0.000000\ "/>
    <numFmt numFmtId="181" formatCode="#,##0.00000_ ;[Red]\-#,##0.00000\ "/>
    <numFmt numFmtId="183" formatCode="#,##0.0_ "/>
  </numFmts>
  <fonts count="10" x14ac:knownFonts="1">
    <font>
      <sz val="12"/>
      <color theme="1"/>
      <name val="宋体"/>
      <family val="2"/>
      <charset val="134"/>
      <scheme val="minor"/>
    </font>
    <font>
      <sz val="14"/>
      <color theme="1"/>
      <name val="Helvetica Neue"/>
    </font>
    <font>
      <sz val="9"/>
      <name val="宋体"/>
      <family val="2"/>
      <charset val="134"/>
      <scheme val="minor"/>
    </font>
    <font>
      <sz val="12"/>
      <color rgb="FF333333"/>
      <name val="Microsoft YaHei"/>
      <charset val="136"/>
    </font>
    <font>
      <sz val="14"/>
      <color theme="1"/>
      <name val="ヒラギノ角ゴ Pro W3"/>
      <charset val="128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4"/>
      <color rgb="FFFF0000"/>
      <name val="ヒラギノ角ゴ Pro W3"/>
      <charset val="128"/>
    </font>
    <font>
      <b/>
      <sz val="14"/>
      <color theme="1"/>
      <name val="ヒラギノ角ゴ Pro W3"/>
      <charset val="128"/>
    </font>
    <font>
      <sz val="14"/>
      <color theme="1"/>
      <name val="Abadi MT Condensed Extra Bold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5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176" fontId="1" fillId="0" borderId="0" xfId="0" applyNumberFormat="1" applyFont="1" applyAlignment="1">
      <alignment horizontal="right"/>
    </xf>
    <xf numFmtId="177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9" fontId="4" fillId="0" borderId="0" xfId="0" applyNumberFormat="1" applyFont="1"/>
    <xf numFmtId="179" fontId="4" fillId="0" borderId="0" xfId="0" applyNumberFormat="1" applyFont="1" applyAlignment="1"/>
    <xf numFmtId="0" fontId="4" fillId="0" borderId="1" xfId="0" applyFont="1" applyBorder="1"/>
    <xf numFmtId="179" fontId="4" fillId="0" borderId="1" xfId="0" applyNumberFormat="1" applyFont="1" applyBorder="1"/>
    <xf numFmtId="179" fontId="4" fillId="0" borderId="5" xfId="0" applyNumberFormat="1" applyFont="1" applyBorder="1"/>
    <xf numFmtId="179" fontId="4" fillId="0" borderId="6" xfId="0" applyNumberFormat="1" applyFont="1" applyBorder="1"/>
    <xf numFmtId="179" fontId="4" fillId="0" borderId="7" xfId="0" applyNumberFormat="1" applyFont="1" applyBorder="1" applyAlignment="1">
      <alignment horizontal="right"/>
    </xf>
    <xf numFmtId="179" fontId="4" fillId="0" borderId="8" xfId="0" applyNumberFormat="1" applyFont="1" applyBorder="1"/>
    <xf numFmtId="179" fontId="4" fillId="0" borderId="9" xfId="0" applyNumberFormat="1" applyFont="1" applyBorder="1"/>
    <xf numFmtId="179" fontId="4" fillId="0" borderId="8" xfId="0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79" fontId="4" fillId="0" borderId="8" xfId="0" applyNumberFormat="1" applyFont="1" applyBorder="1" applyAlignment="1">
      <alignment horizontal="center"/>
    </xf>
    <xf numFmtId="179" fontId="7" fillId="0" borderId="0" xfId="0" applyNumberFormat="1" applyFont="1"/>
    <xf numFmtId="0" fontId="4" fillId="2" borderId="0" xfId="0" applyFont="1" applyFill="1"/>
    <xf numFmtId="0" fontId="4" fillId="2" borderId="5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78" fontId="4" fillId="2" borderId="7" xfId="0" applyNumberFormat="1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23" xfId="0" applyFont="1" applyBorder="1" applyAlignment="1">
      <alignment horizontal="left"/>
    </xf>
    <xf numFmtId="0" fontId="4" fillId="0" borderId="24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2" borderId="6" xfId="0" applyFont="1" applyFill="1" applyBorder="1"/>
    <xf numFmtId="179" fontId="4" fillId="2" borderId="1" xfId="0" applyNumberFormat="1" applyFont="1" applyFill="1" applyBorder="1"/>
    <xf numFmtId="179" fontId="4" fillId="2" borderId="1" xfId="0" applyNumberFormat="1" applyFont="1" applyFill="1" applyBorder="1" applyAlignment="1">
      <alignment horizontal="center"/>
    </xf>
    <xf numFmtId="179" fontId="4" fillId="2" borderId="8" xfId="0" applyNumberFormat="1" applyFont="1" applyFill="1" applyBorder="1" applyAlignment="1">
      <alignment horizontal="right"/>
    </xf>
    <xf numFmtId="179" fontId="4" fillId="2" borderId="8" xfId="0" applyNumberFormat="1" applyFont="1" applyFill="1" applyBorder="1"/>
    <xf numFmtId="179" fontId="4" fillId="2" borderId="8" xfId="0" applyNumberFormat="1" applyFont="1" applyFill="1" applyBorder="1" applyAlignment="1">
      <alignment horizontal="center"/>
    </xf>
    <xf numFmtId="179" fontId="8" fillId="0" borderId="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4" fontId="4" fillId="0" borderId="10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79" fontId="7" fillId="2" borderId="1" xfId="0" applyNumberFormat="1" applyFont="1" applyFill="1" applyBorder="1"/>
    <xf numFmtId="0" fontId="4" fillId="0" borderId="6" xfId="0" applyFont="1" applyBorder="1"/>
    <xf numFmtId="0" fontId="4" fillId="2" borderId="8" xfId="0" applyFont="1" applyFill="1" applyBorder="1"/>
    <xf numFmtId="0" fontId="4" fillId="0" borderId="0" xfId="0" applyFont="1" applyAlignment="1">
      <alignment wrapText="1"/>
    </xf>
    <xf numFmtId="0" fontId="0" fillId="0" borderId="1" xfId="0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left"/>
    </xf>
    <xf numFmtId="4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6" xfId="0" applyFont="1" applyBorder="1" applyAlignment="1">
      <alignment horizontal="center" vertical="center"/>
    </xf>
    <xf numFmtId="180" fontId="4" fillId="2" borderId="1" xfId="0" applyNumberFormat="1" applyFont="1" applyFill="1" applyBorder="1" applyAlignment="1">
      <alignment horizontal="center"/>
    </xf>
    <xf numFmtId="181" fontId="4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2" borderId="33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4" fillId="0" borderId="26" xfId="0" applyFont="1" applyBorder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4" fontId="0" fillId="0" borderId="0" xfId="0" applyNumberFormat="1"/>
    <xf numFmtId="0" fontId="4" fillId="0" borderId="26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4" fillId="2" borderId="3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83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J44"/>
  <sheetViews>
    <sheetView topLeftCell="A3" workbookViewId="0">
      <selection activeCell="F29" sqref="F29"/>
    </sheetView>
  </sheetViews>
  <sheetFormatPr baseColWidth="10" defaultRowHeight="15" x14ac:dyDescent="0.15"/>
  <cols>
    <col min="2" max="2" width="17.83203125" bestFit="1" customWidth="1"/>
    <col min="4" max="4" width="12.1640625" bestFit="1" customWidth="1"/>
    <col min="5" max="5" width="15" style="6" bestFit="1" customWidth="1"/>
    <col min="6" max="6" width="15" style="6" customWidth="1"/>
  </cols>
  <sheetData>
    <row r="7" spans="2:10" s="7" customFormat="1" ht="18" x14ac:dyDescent="0.2">
      <c r="B7" s="3" t="s">
        <v>9</v>
      </c>
      <c r="C7" s="3" t="s">
        <v>10</v>
      </c>
      <c r="D7" s="3">
        <v>20160512</v>
      </c>
      <c r="E7" s="8">
        <v>20160609</v>
      </c>
      <c r="F7" s="3"/>
      <c r="G7" s="3">
        <v>2016</v>
      </c>
      <c r="H7" s="3"/>
      <c r="I7" s="3"/>
      <c r="J7" s="3"/>
    </row>
    <row r="8" spans="2:10" ht="15" customHeight="1" x14ac:dyDescent="0.2">
      <c r="B8" s="1" t="s">
        <v>11</v>
      </c>
      <c r="C8" s="1"/>
      <c r="D8" s="1">
        <v>60000</v>
      </c>
      <c r="E8" s="4">
        <v>61605.25</v>
      </c>
      <c r="F8" s="4"/>
      <c r="G8" s="1"/>
      <c r="H8" s="1"/>
      <c r="I8" s="1"/>
      <c r="J8" s="1"/>
    </row>
    <row r="9" spans="2:10" ht="15" customHeight="1" x14ac:dyDescent="0.2">
      <c r="B9" s="1" t="s">
        <v>19</v>
      </c>
      <c r="C9" s="1"/>
      <c r="D9" s="1"/>
      <c r="E9" s="4">
        <v>321.05</v>
      </c>
      <c r="F9" s="4"/>
      <c r="G9" s="1"/>
      <c r="H9" s="1"/>
      <c r="I9" s="1"/>
      <c r="J9" s="1"/>
    </row>
    <row r="10" spans="2:10" ht="15" customHeight="1" x14ac:dyDescent="0.2">
      <c r="B10" s="1" t="s">
        <v>21</v>
      </c>
      <c r="C10" s="1"/>
      <c r="D10" s="1"/>
      <c r="E10" s="4">
        <v>61391.22</v>
      </c>
      <c r="F10" s="4"/>
      <c r="G10" s="1"/>
      <c r="H10" s="1"/>
      <c r="I10" s="1"/>
      <c r="J10" s="1"/>
    </row>
    <row r="11" spans="2:10" ht="15" customHeight="1" x14ac:dyDescent="0.2">
      <c r="B11" s="1" t="s">
        <v>12</v>
      </c>
      <c r="C11" s="1"/>
      <c r="D11" s="1">
        <v>20000</v>
      </c>
      <c r="E11" s="4">
        <v>20535.07</v>
      </c>
      <c r="F11" s="4"/>
      <c r="G11" s="1"/>
      <c r="H11" s="1"/>
      <c r="I11" s="1"/>
      <c r="J11" s="1"/>
    </row>
    <row r="12" spans="2:10" ht="18" x14ac:dyDescent="0.2">
      <c r="B12" s="1" t="s">
        <v>13</v>
      </c>
      <c r="C12" s="1"/>
      <c r="D12" s="1">
        <v>40000</v>
      </c>
      <c r="E12" s="4">
        <v>40856.129999999997</v>
      </c>
      <c r="F12" s="4"/>
      <c r="G12" s="1"/>
      <c r="H12" s="1"/>
      <c r="I12" s="1"/>
    </row>
    <row r="13" spans="2:10" ht="15" customHeight="1" x14ac:dyDescent="0.2">
      <c r="B13" s="1" t="s">
        <v>20</v>
      </c>
      <c r="C13" s="1"/>
      <c r="D13" s="1"/>
      <c r="E13" s="4">
        <v>107</v>
      </c>
      <c r="F13" s="4"/>
      <c r="G13" s="1"/>
      <c r="H13" s="1"/>
      <c r="I13" s="1"/>
    </row>
    <row r="14" spans="2:10" ht="15" customHeight="1" x14ac:dyDescent="0.2">
      <c r="B14" s="1" t="s">
        <v>14</v>
      </c>
      <c r="C14" s="1"/>
      <c r="D14" s="1"/>
      <c r="E14" s="4" t="s">
        <v>15</v>
      </c>
      <c r="F14" s="4"/>
      <c r="G14" s="1"/>
      <c r="H14" s="1"/>
      <c r="I14" s="1"/>
    </row>
    <row r="15" spans="2:10" ht="18" x14ac:dyDescent="0.2">
      <c r="B15" s="1" t="s">
        <v>16</v>
      </c>
      <c r="C15" s="1"/>
      <c r="D15" s="1"/>
      <c r="E15" s="4">
        <v>214.03</v>
      </c>
      <c r="F15" s="4"/>
      <c r="G15" s="1"/>
      <c r="H15" s="1"/>
      <c r="I15" s="1"/>
    </row>
    <row r="16" spans="2:10" ht="18" x14ac:dyDescent="0.2">
      <c r="B16" s="1" t="s">
        <v>17</v>
      </c>
      <c r="C16" s="1"/>
      <c r="D16" s="1"/>
      <c r="E16" s="4" t="s">
        <v>18</v>
      </c>
      <c r="F16" s="4"/>
      <c r="G16" s="1"/>
      <c r="H16" s="1"/>
      <c r="I16" s="1"/>
    </row>
    <row r="17" spans="2:9" ht="18" x14ac:dyDescent="0.2">
      <c r="B17" s="129" t="s">
        <v>0</v>
      </c>
      <c r="C17" s="129" t="s">
        <v>1</v>
      </c>
      <c r="D17" s="129">
        <v>7000</v>
      </c>
      <c r="E17" s="130">
        <v>7013.3</v>
      </c>
      <c r="F17" s="4"/>
      <c r="G17" s="128">
        <v>7058.1</v>
      </c>
      <c r="H17" s="128"/>
      <c r="I17" s="128"/>
    </row>
    <row r="18" spans="2:9" ht="18" x14ac:dyDescent="0.2">
      <c r="B18" s="129"/>
      <c r="C18" s="129"/>
      <c r="D18" s="129"/>
      <c r="E18" s="130"/>
      <c r="F18" s="4"/>
      <c r="G18" s="128"/>
      <c r="H18" s="128"/>
      <c r="I18" s="128"/>
    </row>
    <row r="19" spans="2:9" ht="18" x14ac:dyDescent="0.2">
      <c r="B19" s="129" t="s">
        <v>2</v>
      </c>
      <c r="C19" s="129" t="s">
        <v>3</v>
      </c>
      <c r="D19" s="129">
        <v>10000</v>
      </c>
      <c r="E19" s="130">
        <v>10623.79</v>
      </c>
      <c r="F19" s="4"/>
      <c r="G19" s="128"/>
      <c r="H19" s="128"/>
      <c r="I19" s="128"/>
    </row>
    <row r="20" spans="2:9" ht="18" x14ac:dyDescent="0.2">
      <c r="B20" s="129"/>
      <c r="C20" s="129"/>
      <c r="D20" s="129"/>
      <c r="E20" s="130"/>
      <c r="F20" s="4"/>
      <c r="G20" s="128"/>
      <c r="H20" s="128"/>
      <c r="I20" s="128"/>
    </row>
    <row r="21" spans="2:9" ht="18" x14ac:dyDescent="0.2">
      <c r="B21" s="129" t="s">
        <v>4</v>
      </c>
      <c r="C21" s="129" t="s">
        <v>3</v>
      </c>
      <c r="D21" s="129">
        <v>10000</v>
      </c>
      <c r="E21" s="130">
        <v>10065.91</v>
      </c>
      <c r="F21" s="4"/>
      <c r="G21" s="128"/>
      <c r="H21" s="128"/>
      <c r="I21" s="128"/>
    </row>
    <row r="22" spans="2:9" ht="18" x14ac:dyDescent="0.2">
      <c r="B22" s="129"/>
      <c r="C22" s="129"/>
      <c r="D22" s="129"/>
      <c r="E22" s="130"/>
      <c r="F22" s="4"/>
      <c r="G22" s="128"/>
      <c r="H22" s="128"/>
      <c r="I22" s="128"/>
    </row>
    <row r="23" spans="2:9" ht="18" x14ac:dyDescent="0.2">
      <c r="B23" s="129" t="s">
        <v>5</v>
      </c>
      <c r="C23" s="129" t="s">
        <v>1</v>
      </c>
      <c r="D23" s="129">
        <v>10000</v>
      </c>
      <c r="E23" s="130">
        <v>10809.31</v>
      </c>
      <c r="F23" s="4"/>
      <c r="G23" s="128"/>
      <c r="H23" s="128"/>
      <c r="I23" s="128"/>
    </row>
    <row r="24" spans="2:9" ht="18" x14ac:dyDescent="0.2">
      <c r="B24" s="129"/>
      <c r="C24" s="129"/>
      <c r="D24" s="129"/>
      <c r="E24" s="130"/>
      <c r="F24" s="4"/>
      <c r="G24" s="128"/>
      <c r="H24" s="128"/>
      <c r="I24" s="128"/>
    </row>
    <row r="25" spans="2:9" ht="18" x14ac:dyDescent="0.2">
      <c r="B25" s="129" t="s">
        <v>6</v>
      </c>
      <c r="C25" s="129" t="s">
        <v>1</v>
      </c>
      <c r="D25" s="129">
        <v>1000</v>
      </c>
      <c r="E25" s="130">
        <v>1053.7</v>
      </c>
      <c r="F25" s="4"/>
      <c r="G25" s="128"/>
      <c r="H25" s="128"/>
      <c r="I25" s="128"/>
    </row>
    <row r="26" spans="2:9" ht="18" x14ac:dyDescent="0.2">
      <c r="B26" s="129"/>
      <c r="C26" s="129"/>
      <c r="D26" s="129"/>
      <c r="E26" s="130"/>
      <c r="F26" s="4"/>
      <c r="G26" s="128"/>
      <c r="H26" s="128"/>
      <c r="I26" s="128"/>
    </row>
    <row r="27" spans="2:9" ht="18" x14ac:dyDescent="0.2">
      <c r="B27" s="129" t="s">
        <v>7</v>
      </c>
      <c r="C27" s="129" t="s">
        <v>8</v>
      </c>
      <c r="D27" s="129">
        <v>22000</v>
      </c>
      <c r="E27" s="130">
        <v>21825.21</v>
      </c>
      <c r="F27" s="4"/>
      <c r="G27" s="128"/>
      <c r="H27" s="128"/>
      <c r="I27" s="128"/>
    </row>
    <row r="28" spans="2:9" ht="18" x14ac:dyDescent="0.2">
      <c r="B28" s="129"/>
      <c r="C28" s="129"/>
      <c r="D28" s="129"/>
      <c r="E28" s="130"/>
      <c r="F28" s="4"/>
      <c r="G28" s="128"/>
      <c r="H28" s="128"/>
      <c r="I28" s="128"/>
    </row>
    <row r="29" spans="2:9" x14ac:dyDescent="0.15">
      <c r="E29" s="5"/>
      <c r="F29" s="5"/>
    </row>
    <row r="32" spans="2:9" ht="18" x14ac:dyDescent="0.2">
      <c r="B32" s="1"/>
    </row>
    <row r="34" spans="2:2" ht="18" x14ac:dyDescent="0.2">
      <c r="B34" s="1"/>
    </row>
    <row r="36" spans="2:2" ht="18" x14ac:dyDescent="0.2">
      <c r="B36" s="1"/>
    </row>
    <row r="37" spans="2:2" ht="18" x14ac:dyDescent="0.25">
      <c r="B37" s="2"/>
    </row>
    <row r="38" spans="2:2" ht="18" x14ac:dyDescent="0.25">
      <c r="B38" s="2"/>
    </row>
    <row r="39" spans="2:2" ht="18" x14ac:dyDescent="0.25">
      <c r="B39" s="2"/>
    </row>
    <row r="41" spans="2:2" ht="18" x14ac:dyDescent="0.2">
      <c r="B41" s="1"/>
    </row>
    <row r="42" spans="2:2" ht="18" x14ac:dyDescent="0.2">
      <c r="B42" s="1"/>
    </row>
    <row r="43" spans="2:2" ht="18" x14ac:dyDescent="0.2">
      <c r="B43" s="1"/>
    </row>
    <row r="44" spans="2:2" ht="18" x14ac:dyDescent="0.2">
      <c r="B44" s="1"/>
    </row>
  </sheetData>
  <mergeCells count="42">
    <mergeCell ref="H17:H18"/>
    <mergeCell ref="I17:I18"/>
    <mergeCell ref="B17:B18"/>
    <mergeCell ref="C17:C18"/>
    <mergeCell ref="D17:D18"/>
    <mergeCell ref="E17:E18"/>
    <mergeCell ref="G17:G18"/>
    <mergeCell ref="I19:I20"/>
    <mergeCell ref="B21:B22"/>
    <mergeCell ref="C21:C22"/>
    <mergeCell ref="D21:D22"/>
    <mergeCell ref="E21:E22"/>
    <mergeCell ref="G21:G22"/>
    <mergeCell ref="H21:H22"/>
    <mergeCell ref="I21:I22"/>
    <mergeCell ref="B19:B20"/>
    <mergeCell ref="C19:C20"/>
    <mergeCell ref="D19:D20"/>
    <mergeCell ref="E19:E20"/>
    <mergeCell ref="G19:G20"/>
    <mergeCell ref="H19:H20"/>
    <mergeCell ref="I23:I24"/>
    <mergeCell ref="B25:B26"/>
    <mergeCell ref="C25:C26"/>
    <mergeCell ref="D25:D26"/>
    <mergeCell ref="E25:E26"/>
    <mergeCell ref="G25:G26"/>
    <mergeCell ref="H25:H26"/>
    <mergeCell ref="I25:I26"/>
    <mergeCell ref="B23:B24"/>
    <mergeCell ref="C23:C24"/>
    <mergeCell ref="D23:D24"/>
    <mergeCell ref="E23:E24"/>
    <mergeCell ref="G23:G24"/>
    <mergeCell ref="H23:H24"/>
    <mergeCell ref="I27:I28"/>
    <mergeCell ref="B27:B28"/>
    <mergeCell ref="C27:C28"/>
    <mergeCell ref="D27:D28"/>
    <mergeCell ref="E27:E28"/>
    <mergeCell ref="G27:G28"/>
    <mergeCell ref="H27:H2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22"/>
  <sheetViews>
    <sheetView topLeftCell="A7" workbookViewId="0">
      <selection activeCell="C6" sqref="C6"/>
    </sheetView>
  </sheetViews>
  <sheetFormatPr baseColWidth="10" defaultRowHeight="23" x14ac:dyDescent="0.3"/>
  <cols>
    <col min="1" max="1" width="10.83203125" style="39"/>
    <col min="2" max="2" width="31.33203125" style="39" bestFit="1" customWidth="1"/>
    <col min="3" max="3" width="18.6640625" style="39" customWidth="1"/>
    <col min="4" max="4" width="38" style="39" customWidth="1"/>
    <col min="5" max="5" width="19.5" style="39" customWidth="1"/>
    <col min="6" max="6" width="17.6640625" style="39" customWidth="1"/>
    <col min="7" max="7" width="11" style="39" bestFit="1" customWidth="1"/>
    <col min="8" max="8" width="16.33203125" style="39" customWidth="1"/>
    <col min="9" max="11" width="11" style="39" bestFit="1" customWidth="1"/>
    <col min="12" max="12" width="19.5" style="39" customWidth="1"/>
    <col min="13" max="16384" width="10.83203125" style="39"/>
  </cols>
  <sheetData>
    <row r="1" spans="3:12" x14ac:dyDescent="0.3">
      <c r="C1" s="144" t="s">
        <v>46</v>
      </c>
      <c r="D1" s="144"/>
      <c r="E1" s="144"/>
      <c r="F1" s="144"/>
    </row>
    <row r="3" spans="3:12" ht="24" thickBot="1" x14ac:dyDescent="0.35"/>
    <row r="4" spans="3:12" x14ac:dyDescent="0.3">
      <c r="C4" s="149" t="s">
        <v>25</v>
      </c>
      <c r="D4" s="133"/>
      <c r="E4" s="133"/>
      <c r="F4" s="134"/>
      <c r="G4" s="145"/>
      <c r="H4" s="145"/>
      <c r="I4" s="145"/>
      <c r="J4" s="145"/>
      <c r="K4" s="145"/>
      <c r="L4" s="145"/>
    </row>
    <row r="5" spans="3:12" s="43" customFormat="1" x14ac:dyDescent="0.3">
      <c r="C5" s="40" t="s">
        <v>23</v>
      </c>
      <c r="D5" s="41" t="s">
        <v>22</v>
      </c>
      <c r="E5" s="41" t="s">
        <v>24</v>
      </c>
      <c r="F5" s="42" t="s">
        <v>26</v>
      </c>
    </row>
    <row r="6" spans="3:12" ht="24" thickBot="1" x14ac:dyDescent="0.35">
      <c r="C6" s="44">
        <v>11866.62</v>
      </c>
      <c r="D6" s="45">
        <v>0.8427</v>
      </c>
      <c r="E6" s="45">
        <f>C6*D6</f>
        <v>10000.000674000001</v>
      </c>
      <c r="F6" s="46">
        <v>0</v>
      </c>
    </row>
    <row r="7" spans="3:12" ht="24" thickBot="1" x14ac:dyDescent="0.35"/>
    <row r="8" spans="3:12" x14ac:dyDescent="0.3">
      <c r="C8" s="146" t="s">
        <v>47</v>
      </c>
      <c r="D8" s="147"/>
      <c r="E8" s="147"/>
      <c r="F8" s="148"/>
    </row>
    <row r="9" spans="3:12" x14ac:dyDescent="0.3">
      <c r="C9" s="47" t="s">
        <v>22</v>
      </c>
      <c r="D9" s="48" t="s">
        <v>24</v>
      </c>
      <c r="E9" s="48" t="s">
        <v>44</v>
      </c>
      <c r="F9" s="49" t="s">
        <v>45</v>
      </c>
    </row>
    <row r="10" spans="3:12" ht="24" thickBot="1" x14ac:dyDescent="0.35">
      <c r="C10" s="50">
        <v>0.8972</v>
      </c>
      <c r="D10" s="51">
        <f>C10*C6</f>
        <v>10646.731464</v>
      </c>
      <c r="E10" s="51">
        <f>D10-E6</f>
        <v>646.73078999999962</v>
      </c>
      <c r="F10" s="52">
        <f>D10-E6</f>
        <v>646.73078999999962</v>
      </c>
    </row>
    <row r="11" spans="3:12" ht="24" thickBot="1" x14ac:dyDescent="0.35"/>
    <row r="12" spans="3:12" x14ac:dyDescent="0.3">
      <c r="C12" s="146" t="s">
        <v>68</v>
      </c>
      <c r="D12" s="147"/>
      <c r="E12" s="147"/>
      <c r="F12" s="148"/>
    </row>
    <row r="13" spans="3:12" x14ac:dyDescent="0.3">
      <c r="C13" s="47" t="s">
        <v>22</v>
      </c>
      <c r="D13" s="48" t="s">
        <v>24</v>
      </c>
      <c r="E13" s="48" t="s">
        <v>44</v>
      </c>
      <c r="F13" s="49" t="s">
        <v>45</v>
      </c>
    </row>
    <row r="14" spans="3:12" ht="24" thickBot="1" x14ac:dyDescent="0.35">
      <c r="C14" s="50">
        <v>0.90249999999999997</v>
      </c>
      <c r="D14" s="51">
        <f>C14*C6</f>
        <v>10709.62455</v>
      </c>
      <c r="E14" s="51">
        <f>D14-D10</f>
        <v>62.893086000000039</v>
      </c>
      <c r="F14" s="52">
        <f>D14-E6</f>
        <v>709.62387599999965</v>
      </c>
    </row>
    <row r="15" spans="3:12" ht="24" thickBot="1" x14ac:dyDescent="0.35"/>
    <row r="16" spans="3:12" x14ac:dyDescent="0.3">
      <c r="C16" s="146" t="s">
        <v>77</v>
      </c>
      <c r="D16" s="147"/>
      <c r="E16" s="147"/>
      <c r="F16" s="148"/>
    </row>
    <row r="17" spans="3:7" x14ac:dyDescent="0.3">
      <c r="C17" s="47" t="s">
        <v>22</v>
      </c>
      <c r="D17" s="48" t="s">
        <v>24</v>
      </c>
      <c r="E17" s="48" t="s">
        <v>44</v>
      </c>
      <c r="F17" s="49" t="s">
        <v>45</v>
      </c>
      <c r="G17" s="39" t="s">
        <v>23</v>
      </c>
    </row>
    <row r="18" spans="3:7" ht="24" thickBot="1" x14ac:dyDescent="0.35">
      <c r="C18" s="50">
        <v>0.95250000000000001</v>
      </c>
      <c r="D18" s="51">
        <f>C18*G18</f>
        <v>9391.65</v>
      </c>
      <c r="E18" s="51">
        <f>D18-D14</f>
        <v>-1317.9745500000008</v>
      </c>
      <c r="F18" s="52">
        <f>D18-E6</f>
        <v>-608.35067400000116</v>
      </c>
      <c r="G18" s="39">
        <f>10860-1000</f>
        <v>9860</v>
      </c>
    </row>
    <row r="19" spans="3:7" ht="24" thickBot="1" x14ac:dyDescent="0.35"/>
    <row r="20" spans="3:7" x14ac:dyDescent="0.3">
      <c r="C20" s="141" t="s">
        <v>69</v>
      </c>
      <c r="D20" s="142"/>
      <c r="E20" s="142"/>
      <c r="F20" s="142"/>
      <c r="G20" s="143"/>
    </row>
    <row r="21" spans="3:7" x14ac:dyDescent="0.3">
      <c r="C21" s="47" t="s">
        <v>22</v>
      </c>
      <c r="D21" s="48" t="s">
        <v>24</v>
      </c>
      <c r="E21" s="48" t="s">
        <v>44</v>
      </c>
      <c r="F21" s="48" t="s">
        <v>45</v>
      </c>
      <c r="G21" s="42" t="s">
        <v>23</v>
      </c>
    </row>
    <row r="22" spans="3:7" ht="24" thickBot="1" x14ac:dyDescent="0.35">
      <c r="C22" s="50">
        <v>0.97099999999999997</v>
      </c>
      <c r="D22" s="51">
        <f>C22*G22</f>
        <v>9574.06</v>
      </c>
      <c r="E22" s="51">
        <f>D22-D18</f>
        <v>182.40999999999985</v>
      </c>
      <c r="F22" s="51" t="s">
        <v>78</v>
      </c>
      <c r="G22" s="46">
        <f>10860-1000</f>
        <v>9860</v>
      </c>
    </row>
  </sheetData>
  <mergeCells count="8">
    <mergeCell ref="C20:G20"/>
    <mergeCell ref="C1:F1"/>
    <mergeCell ref="G4:I4"/>
    <mergeCell ref="J4:L4"/>
    <mergeCell ref="C8:F8"/>
    <mergeCell ref="C16:F16"/>
    <mergeCell ref="C12:F12"/>
    <mergeCell ref="C4:F4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B20" workbookViewId="0">
      <selection activeCell="D17" sqref="D17"/>
    </sheetView>
  </sheetViews>
  <sheetFormatPr baseColWidth="10" defaultRowHeight="23" x14ac:dyDescent="0.3"/>
  <cols>
    <col min="1" max="1" width="10.83203125" style="10"/>
    <col min="2" max="2" width="43.1640625" style="10" customWidth="1"/>
    <col min="3" max="3" width="10.83203125" style="10"/>
    <col min="4" max="4" width="21.5" style="10" customWidth="1"/>
    <col min="5" max="5" width="12.33203125" style="10" bestFit="1" customWidth="1"/>
    <col min="6" max="6" width="10.83203125" style="10"/>
    <col min="7" max="7" width="14.83203125" style="10" customWidth="1"/>
    <col min="8" max="8" width="10.83203125" style="10"/>
    <col min="9" max="9" width="14.33203125" style="10" customWidth="1"/>
    <col min="10" max="10" width="11.6640625" style="10" customWidth="1"/>
    <col min="11" max="11" width="15.83203125" style="10" bestFit="1" customWidth="1"/>
    <col min="12" max="12" width="13.83203125" style="10" bestFit="1" customWidth="1"/>
    <col min="13" max="13" width="13.5" style="10" bestFit="1" customWidth="1"/>
    <col min="14" max="16384" width="10.83203125" style="10"/>
  </cols>
  <sheetData>
    <row r="3" spans="2:13" ht="24" thickBot="1" x14ac:dyDescent="0.35"/>
    <row r="4" spans="2:13" x14ac:dyDescent="0.3">
      <c r="D4" s="135" t="s">
        <v>27</v>
      </c>
      <c r="E4" s="136"/>
      <c r="F4" s="136"/>
      <c r="G4" s="136"/>
      <c r="H4" s="135" t="s">
        <v>48</v>
      </c>
      <c r="I4" s="136"/>
      <c r="J4" s="136"/>
      <c r="K4" s="136"/>
      <c r="L4" s="136"/>
      <c r="M4" s="137"/>
    </row>
    <row r="5" spans="2:13" x14ac:dyDescent="0.3">
      <c r="C5" s="10" t="s">
        <v>25</v>
      </c>
      <c r="D5" s="25" t="s">
        <v>24</v>
      </c>
      <c r="E5" s="24" t="s">
        <v>50</v>
      </c>
      <c r="F5" s="24" t="s">
        <v>26</v>
      </c>
      <c r="G5" s="33" t="s">
        <v>45</v>
      </c>
      <c r="H5" s="25" t="s">
        <v>24</v>
      </c>
      <c r="I5" s="24" t="s">
        <v>49</v>
      </c>
      <c r="J5" s="24" t="s">
        <v>44</v>
      </c>
      <c r="K5" s="24" t="s">
        <v>53</v>
      </c>
      <c r="L5" s="24" t="s">
        <v>51</v>
      </c>
      <c r="M5" s="27" t="s">
        <v>52</v>
      </c>
    </row>
    <row r="6" spans="2:13" s="13" customFormat="1" x14ac:dyDescent="0.15">
      <c r="B6" s="12" t="s">
        <v>28</v>
      </c>
      <c r="C6" s="13">
        <v>7000</v>
      </c>
      <c r="D6" s="29">
        <v>7013.3</v>
      </c>
      <c r="E6" s="154">
        <f>SUM(D6:D9)</f>
        <v>28756.7</v>
      </c>
      <c r="F6" s="28">
        <f>D6-C6</f>
        <v>13.300000000000182</v>
      </c>
      <c r="G6" s="152">
        <f>F6+F7+F8+F9</f>
        <v>756.70000000000095</v>
      </c>
      <c r="H6" s="29">
        <v>7058.1</v>
      </c>
      <c r="I6" s="28">
        <f>H6-C6</f>
        <v>58.100000000000364</v>
      </c>
      <c r="J6" s="28">
        <f>H6-D6</f>
        <v>44.800000000000182</v>
      </c>
      <c r="K6" s="154">
        <f>J6+J7+J8+J9</f>
        <v>-382.68999999999915</v>
      </c>
      <c r="L6" s="154">
        <f>SUM(H6:H9)</f>
        <v>28374.010000000002</v>
      </c>
      <c r="M6" s="150">
        <f>SUM(I6:I9)</f>
        <v>374.01000000000181</v>
      </c>
    </row>
    <row r="7" spans="2:13" x14ac:dyDescent="0.3">
      <c r="B7" s="10" t="s">
        <v>29</v>
      </c>
      <c r="C7" s="10">
        <v>1000</v>
      </c>
      <c r="D7" s="25">
        <v>1053.7</v>
      </c>
      <c r="E7" s="154"/>
      <c r="F7" s="28">
        <f>D7-C7</f>
        <v>53.700000000000045</v>
      </c>
      <c r="G7" s="152"/>
      <c r="H7" s="25">
        <v>1078.76</v>
      </c>
      <c r="I7" s="24">
        <f>H7-C7</f>
        <v>78.759999999999991</v>
      </c>
      <c r="J7" s="28">
        <f>H7-D7</f>
        <v>25.059999999999945</v>
      </c>
      <c r="K7" s="154"/>
      <c r="L7" s="154"/>
      <c r="M7" s="150"/>
    </row>
    <row r="8" spans="2:13" x14ac:dyDescent="0.3">
      <c r="B8" s="10" t="s">
        <v>30</v>
      </c>
      <c r="C8" s="10">
        <v>10000</v>
      </c>
      <c r="D8" s="25">
        <v>10065.91</v>
      </c>
      <c r="E8" s="154"/>
      <c r="F8" s="28">
        <f>D8-C8</f>
        <v>65.909999999999854</v>
      </c>
      <c r="G8" s="152"/>
      <c r="H8" s="25">
        <v>9985.2000000000007</v>
      </c>
      <c r="I8" s="24">
        <f>H8-C8</f>
        <v>-14.799999999999272</v>
      </c>
      <c r="J8" s="28">
        <f>H8-D8</f>
        <v>-80.709999999999127</v>
      </c>
      <c r="K8" s="154"/>
      <c r="L8" s="154"/>
      <c r="M8" s="150"/>
    </row>
    <row r="9" spans="2:13" ht="24" thickBot="1" x14ac:dyDescent="0.35">
      <c r="B9" s="10" t="s">
        <v>31</v>
      </c>
      <c r="C9" s="10">
        <v>10000</v>
      </c>
      <c r="D9" s="26">
        <v>10623.79</v>
      </c>
      <c r="E9" s="155"/>
      <c r="F9" s="31">
        <f>D9-C9</f>
        <v>623.79000000000087</v>
      </c>
      <c r="G9" s="153"/>
      <c r="H9" s="26">
        <v>10251.950000000001</v>
      </c>
      <c r="I9" s="32">
        <f>H9-C9</f>
        <v>251.95000000000073</v>
      </c>
      <c r="J9" s="31">
        <f>H9-D9</f>
        <v>-371.84000000000015</v>
      </c>
      <c r="K9" s="155"/>
      <c r="L9" s="155"/>
      <c r="M9" s="151"/>
    </row>
    <row r="10" spans="2:13" x14ac:dyDescent="0.3">
      <c r="C10" s="10">
        <f>SUM(C6:C9)</f>
        <v>28000</v>
      </c>
    </row>
    <row r="12" spans="2:13" ht="24" thickBot="1" x14ac:dyDescent="0.35"/>
    <row r="13" spans="2:13" x14ac:dyDescent="0.3">
      <c r="D13" s="135" t="s">
        <v>63</v>
      </c>
      <c r="E13" s="136"/>
      <c r="F13" s="136"/>
      <c r="G13" s="136"/>
      <c r="H13" s="136"/>
      <c r="I13" s="137"/>
    </row>
    <row r="14" spans="2:13" x14ac:dyDescent="0.3">
      <c r="D14" s="25" t="s">
        <v>24</v>
      </c>
      <c r="E14" s="24" t="s">
        <v>49</v>
      </c>
      <c r="F14" s="24" t="s">
        <v>44</v>
      </c>
      <c r="G14" s="24" t="s">
        <v>53</v>
      </c>
      <c r="H14" s="24" t="s">
        <v>51</v>
      </c>
      <c r="I14" s="27" t="s">
        <v>52</v>
      </c>
    </row>
    <row r="15" spans="2:13" x14ac:dyDescent="0.3">
      <c r="B15" s="62" t="s">
        <v>28</v>
      </c>
      <c r="D15" s="29">
        <v>7221.2</v>
      </c>
      <c r="E15" s="28">
        <f>D15-C6</f>
        <v>221.19999999999982</v>
      </c>
      <c r="F15" s="28">
        <f>D15-D6</f>
        <v>207.89999999999964</v>
      </c>
      <c r="G15" s="156">
        <f>F15+F16+F17+F18</f>
        <v>-873.43000000000166</v>
      </c>
      <c r="H15" s="156">
        <f>SUM(D15:D18)</f>
        <v>27883.269999999997</v>
      </c>
      <c r="I15" s="159">
        <f>SUM(E15:E18)</f>
        <v>-116.7300000000007</v>
      </c>
    </row>
    <row r="16" spans="2:13" x14ac:dyDescent="0.3">
      <c r="B16" s="63" t="s">
        <v>29</v>
      </c>
      <c r="D16" s="25">
        <v>184.43</v>
      </c>
      <c r="E16" s="28">
        <f>D16-C7</f>
        <v>-815.56999999999994</v>
      </c>
      <c r="F16" s="28">
        <f>D16-D7</f>
        <v>-869.27</v>
      </c>
      <c r="G16" s="157"/>
      <c r="H16" s="157"/>
      <c r="I16" s="160"/>
    </row>
    <row r="17" spans="2:9" x14ac:dyDescent="0.3">
      <c r="B17" s="63" t="s">
        <v>30</v>
      </c>
      <c r="D17" s="25">
        <v>10296.51</v>
      </c>
      <c r="E17" s="28">
        <f>D17-C8</f>
        <v>296.51000000000022</v>
      </c>
      <c r="F17" s="28">
        <f>D17-D8</f>
        <v>230.60000000000036</v>
      </c>
      <c r="G17" s="157"/>
      <c r="H17" s="157"/>
      <c r="I17" s="160"/>
    </row>
    <row r="18" spans="2:9" ht="24" thickBot="1" x14ac:dyDescent="0.35">
      <c r="B18" s="63" t="s">
        <v>31</v>
      </c>
      <c r="D18" s="26">
        <v>10181.129999999999</v>
      </c>
      <c r="E18" s="31">
        <f>D18-C9</f>
        <v>181.1299999999992</v>
      </c>
      <c r="F18" s="31">
        <f>D18-D9</f>
        <v>-442.66000000000167</v>
      </c>
      <c r="G18" s="158"/>
      <c r="H18" s="158"/>
      <c r="I18" s="161"/>
    </row>
  </sheetData>
  <mergeCells count="11">
    <mergeCell ref="D13:I13"/>
    <mergeCell ref="G15:G18"/>
    <mergeCell ref="H15:H18"/>
    <mergeCell ref="I15:I18"/>
    <mergeCell ref="L6:L9"/>
    <mergeCell ref="D4:G4"/>
    <mergeCell ref="M6:M9"/>
    <mergeCell ref="H4:M4"/>
    <mergeCell ref="G6:G9"/>
    <mergeCell ref="K6:K9"/>
    <mergeCell ref="E6:E9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81"/>
  <sheetViews>
    <sheetView topLeftCell="B161" workbookViewId="0">
      <selection activeCell="D174" sqref="D174"/>
    </sheetView>
  </sheetViews>
  <sheetFormatPr baseColWidth="10" defaultRowHeight="23" x14ac:dyDescent="0.3"/>
  <cols>
    <col min="1" max="1" width="10.83203125" style="9"/>
    <col min="2" max="2" width="14.83203125" style="9" customWidth="1"/>
    <col min="3" max="3" width="32.33203125" style="11" customWidth="1"/>
    <col min="4" max="4" width="21" style="9" customWidth="1"/>
    <col min="5" max="5" width="19.83203125" style="9" customWidth="1"/>
    <col min="6" max="6" width="18" style="11" customWidth="1"/>
    <col min="7" max="7" width="10.83203125" style="9"/>
    <col min="8" max="8" width="20.33203125" style="11" customWidth="1"/>
    <col min="9" max="9" width="17.5" style="9" customWidth="1"/>
    <col min="10" max="10" width="49.33203125" style="9" customWidth="1"/>
    <col min="11" max="16384" width="10.83203125" style="9"/>
  </cols>
  <sheetData>
    <row r="3" spans="3:5" ht="24" thickBot="1" x14ac:dyDescent="0.35"/>
    <row r="4" spans="3:5" x14ac:dyDescent="0.3">
      <c r="D4" s="162">
        <v>20160622</v>
      </c>
      <c r="E4" s="163"/>
    </row>
    <row r="5" spans="3:5" ht="24" thickBot="1" x14ac:dyDescent="0.35">
      <c r="D5" s="29" t="s">
        <v>24</v>
      </c>
      <c r="E5" s="30" t="s">
        <v>42</v>
      </c>
    </row>
    <row r="6" spans="3:5" x14ac:dyDescent="0.3">
      <c r="C6" s="58" t="s">
        <v>41</v>
      </c>
      <c r="D6" s="55">
        <f>'易H股ETF联接（110031）'!D14</f>
        <v>10709.62455</v>
      </c>
      <c r="E6" s="53">
        <f>D6/D12</f>
        <v>0.17426046408386811</v>
      </c>
    </row>
    <row r="7" spans="3:5" x14ac:dyDescent="0.3">
      <c r="C7" s="59" t="s">
        <v>28</v>
      </c>
      <c r="D7" s="56">
        <f>打包资产统计!D15</f>
        <v>7221.2</v>
      </c>
      <c r="E7" s="53">
        <f>D7/D12</f>
        <v>0.11749895221512954</v>
      </c>
    </row>
    <row r="8" spans="3:5" x14ac:dyDescent="0.3">
      <c r="C8" s="60" t="s">
        <v>29</v>
      </c>
      <c r="D8" s="56">
        <f>打包资产统计!D16</f>
        <v>184.43</v>
      </c>
      <c r="E8" s="53">
        <f>D8/D12</f>
        <v>3.0009322213809817E-3</v>
      </c>
    </row>
    <row r="9" spans="3:5" x14ac:dyDescent="0.3">
      <c r="C9" s="60" t="s">
        <v>30</v>
      </c>
      <c r="D9" s="56">
        <f>打包资产统计!D17</f>
        <v>10296.51</v>
      </c>
      <c r="E9" s="53">
        <f>D9/D12</f>
        <v>0.16753851665548711</v>
      </c>
    </row>
    <row r="10" spans="3:5" x14ac:dyDescent="0.3">
      <c r="C10" s="60" t="s">
        <v>31</v>
      </c>
      <c r="D10" s="56">
        <f>打包资产统计!D18</f>
        <v>10181.129999999999</v>
      </c>
      <c r="E10" s="53">
        <f>D10/D12</f>
        <v>0.16566112382512904</v>
      </c>
    </row>
    <row r="11" spans="3:5" x14ac:dyDescent="0.3">
      <c r="C11" s="60" t="s">
        <v>59</v>
      </c>
      <c r="D11" s="56">
        <v>22864.674763287672</v>
      </c>
      <c r="E11" s="53">
        <f>D11/D12</f>
        <v>0.37204001099900524</v>
      </c>
    </row>
    <row r="12" spans="3:5" ht="24" thickBot="1" x14ac:dyDescent="0.35">
      <c r="C12" s="61" t="s">
        <v>60</v>
      </c>
      <c r="D12" s="57">
        <f>SUM(D6:D11)</f>
        <v>61457.56931328767</v>
      </c>
      <c r="E12" s="54">
        <f>D12/D12</f>
        <v>1</v>
      </c>
    </row>
    <row r="14" spans="3:5" ht="24" thickBot="1" x14ac:dyDescent="0.35"/>
    <row r="15" spans="3:5" x14ac:dyDescent="0.3">
      <c r="D15" s="162">
        <v>20160713</v>
      </c>
      <c r="E15" s="163"/>
    </row>
    <row r="16" spans="3:5" ht="24" thickBot="1" x14ac:dyDescent="0.35">
      <c r="D16" s="29" t="s">
        <v>24</v>
      </c>
      <c r="E16" s="77" t="s">
        <v>42</v>
      </c>
    </row>
    <row r="17" spans="3:8" x14ac:dyDescent="0.3">
      <c r="C17" s="58" t="s">
        <v>41</v>
      </c>
      <c r="D17" s="55">
        <f>F17*G17</f>
        <v>10703.65</v>
      </c>
      <c r="E17" s="53">
        <f>D17/D23</f>
        <v>0.17281822165793587</v>
      </c>
      <c r="F17" s="11">
        <v>11860</v>
      </c>
      <c r="G17" s="9">
        <v>0.90249999999999997</v>
      </c>
    </row>
    <row r="18" spans="3:8" x14ac:dyDescent="0.3">
      <c r="C18" s="59" t="s">
        <v>28</v>
      </c>
      <c r="D18" s="78">
        <v>7157.5</v>
      </c>
      <c r="E18" s="53">
        <f>D18/D23</f>
        <v>0.11556304826079665</v>
      </c>
    </row>
    <row r="19" spans="3:8" x14ac:dyDescent="0.3">
      <c r="C19" s="60" t="s">
        <v>29</v>
      </c>
      <c r="D19" s="56">
        <v>181.33</v>
      </c>
      <c r="E19" s="53">
        <f>D19/D23</f>
        <v>2.9277048607936093E-3</v>
      </c>
    </row>
    <row r="20" spans="3:8" x14ac:dyDescent="0.3">
      <c r="C20" s="60" t="s">
        <v>30</v>
      </c>
      <c r="D20" s="56">
        <v>10619.36</v>
      </c>
      <c r="E20" s="53">
        <f>D20/D23</f>
        <v>0.17145729824362888</v>
      </c>
    </row>
    <row r="21" spans="3:8" x14ac:dyDescent="0.3">
      <c r="C21" s="60" t="s">
        <v>31</v>
      </c>
      <c r="D21" s="56">
        <v>10375.9</v>
      </c>
      <c r="E21" s="53">
        <f>D21/D23</f>
        <v>0.16752645930132029</v>
      </c>
    </row>
    <row r="22" spans="3:8" x14ac:dyDescent="0.3">
      <c r="C22" s="60" t="s">
        <v>59</v>
      </c>
      <c r="D22" s="56">
        <f>余额宝!H6</f>
        <v>22898.147878687032</v>
      </c>
      <c r="E22" s="53">
        <f>D22/D23</f>
        <v>0.3697072676755247</v>
      </c>
    </row>
    <row r="23" spans="3:8" ht="24" thickBot="1" x14ac:dyDescent="0.35">
      <c r="C23" s="61" t="s">
        <v>60</v>
      </c>
      <c r="D23" s="57">
        <f>SUM(D17:D22)</f>
        <v>61935.887878687034</v>
      </c>
      <c r="E23" s="54">
        <f>D23/D23</f>
        <v>1</v>
      </c>
    </row>
    <row r="24" spans="3:8" ht="24" thickBot="1" x14ac:dyDescent="0.35"/>
    <row r="25" spans="3:8" x14ac:dyDescent="0.3">
      <c r="D25" s="162">
        <v>20160808</v>
      </c>
      <c r="E25" s="163"/>
    </row>
    <row r="26" spans="3:8" ht="24" thickBot="1" x14ac:dyDescent="0.35">
      <c r="D26" s="29" t="s">
        <v>24</v>
      </c>
      <c r="E26" s="80" t="s">
        <v>42</v>
      </c>
      <c r="F26" s="11" t="s">
        <v>23</v>
      </c>
      <c r="G26" s="9" t="s">
        <v>75</v>
      </c>
      <c r="H26" s="11" t="s">
        <v>76</v>
      </c>
    </row>
    <row r="27" spans="3:8" x14ac:dyDescent="0.3">
      <c r="C27" s="58" t="s">
        <v>41</v>
      </c>
      <c r="D27" s="55">
        <f>F27*G27</f>
        <v>10344.15</v>
      </c>
      <c r="E27" s="53">
        <f>D27/D33</f>
        <v>0.16696730703409002</v>
      </c>
      <c r="F27" s="95">
        <v>10860</v>
      </c>
      <c r="G27" s="9">
        <v>0.95250000000000001</v>
      </c>
      <c r="H27" s="11" t="s">
        <v>81</v>
      </c>
    </row>
    <row r="28" spans="3:8" x14ac:dyDescent="0.3">
      <c r="C28" s="59" t="s">
        <v>28</v>
      </c>
      <c r="D28" s="78">
        <v>7261.8</v>
      </c>
      <c r="E28" s="53">
        <f>D28/D33</f>
        <v>0.11721438593022675</v>
      </c>
      <c r="F28" s="11">
        <f>D28/G28</f>
        <v>6999.9999999999991</v>
      </c>
      <c r="G28" s="9">
        <v>1.0374000000000001</v>
      </c>
    </row>
    <row r="29" spans="3:8" x14ac:dyDescent="0.3">
      <c r="C29" s="60" t="s">
        <v>29</v>
      </c>
      <c r="D29" s="56">
        <v>171.47</v>
      </c>
      <c r="E29" s="53">
        <f>D29/D33</f>
        <v>2.7677367533471011E-3</v>
      </c>
      <c r="F29" s="11">
        <v>193.32</v>
      </c>
      <c r="G29" s="9">
        <v>0.88700000000000001</v>
      </c>
    </row>
    <row r="30" spans="3:8" x14ac:dyDescent="0.3">
      <c r="C30" s="60" t="s">
        <v>30</v>
      </c>
      <c r="D30" s="56">
        <v>10123.56</v>
      </c>
      <c r="E30" s="53">
        <f>D30/D33</f>
        <v>0.16340671305018126</v>
      </c>
    </row>
    <row r="31" spans="3:8" x14ac:dyDescent="0.3">
      <c r="C31" s="60" t="s">
        <v>31</v>
      </c>
      <c r="D31" s="56">
        <v>10163.42</v>
      </c>
      <c r="E31" s="53">
        <f>D31/D33</f>
        <v>0.16405010248849941</v>
      </c>
    </row>
    <row r="32" spans="3:8" x14ac:dyDescent="0.3">
      <c r="C32" s="60" t="s">
        <v>59</v>
      </c>
      <c r="D32" s="56">
        <f>余额宝!J6</f>
        <v>23888.746300000003</v>
      </c>
      <c r="E32" s="53">
        <f>D32/D33</f>
        <v>0.38559375474365537</v>
      </c>
    </row>
    <row r="33" spans="3:10" ht="24" thickBot="1" x14ac:dyDescent="0.35">
      <c r="C33" s="61" t="s">
        <v>60</v>
      </c>
      <c r="D33" s="57">
        <f>SUM(D27:D32)</f>
        <v>61953.146300000008</v>
      </c>
      <c r="E33" s="54">
        <f>D33/D33</f>
        <v>1</v>
      </c>
    </row>
    <row r="34" spans="3:10" ht="24" thickBot="1" x14ac:dyDescent="0.35"/>
    <row r="35" spans="3:10" x14ac:dyDescent="0.3">
      <c r="D35" s="162">
        <v>20160825</v>
      </c>
      <c r="E35" s="163"/>
    </row>
    <row r="36" spans="3:10" ht="24" thickBot="1" x14ac:dyDescent="0.35">
      <c r="D36" s="29" t="s">
        <v>24</v>
      </c>
      <c r="E36" s="82" t="s">
        <v>42</v>
      </c>
      <c r="F36" s="11" t="s">
        <v>23</v>
      </c>
      <c r="G36" s="9" t="s">
        <v>82</v>
      </c>
      <c r="H36" s="11" t="s">
        <v>80</v>
      </c>
      <c r="I36" s="9" t="s">
        <v>56</v>
      </c>
      <c r="J36" s="9" t="s">
        <v>88</v>
      </c>
    </row>
    <row r="37" spans="3:10" x14ac:dyDescent="0.3">
      <c r="C37" s="58" t="s">
        <v>41</v>
      </c>
      <c r="D37" s="55">
        <f>F37*G37</f>
        <v>8749.25</v>
      </c>
      <c r="E37" s="53">
        <f>D37/D43</f>
        <v>0.13754618265606652</v>
      </c>
      <c r="F37" s="11">
        <v>8860</v>
      </c>
      <c r="G37" s="9">
        <v>0.98750000000000004</v>
      </c>
      <c r="H37" s="11">
        <f>F37*G37</f>
        <v>8749.25</v>
      </c>
      <c r="I37" s="9">
        <f>933+D37-10000+2000-9.656</f>
        <v>1672.5940000000001</v>
      </c>
      <c r="J37" s="9" t="s">
        <v>93</v>
      </c>
    </row>
    <row r="38" spans="3:10" ht="46" x14ac:dyDescent="0.3">
      <c r="C38" s="59" t="s">
        <v>28</v>
      </c>
      <c r="D38" s="78">
        <f>H38</f>
        <v>9981.3167790000007</v>
      </c>
      <c r="E38" s="53">
        <f>D38/D43</f>
        <v>0.15691539512899913</v>
      </c>
      <c r="F38" s="96">
        <f>9921.98-162.21</f>
        <v>9759.77</v>
      </c>
      <c r="G38" s="9">
        <v>1.0226999999999999</v>
      </c>
      <c r="H38" s="11">
        <f t="shared" ref="H38:H42" si="0">F38*G38</f>
        <v>9981.3167790000007</v>
      </c>
      <c r="I38" s="9">
        <f>H38-10000</f>
        <v>-18.683220999999321</v>
      </c>
      <c r="J38" s="88" t="s">
        <v>94</v>
      </c>
    </row>
    <row r="39" spans="3:10" x14ac:dyDescent="0.3">
      <c r="C39" s="60" t="s">
        <v>29</v>
      </c>
      <c r="D39" s="56">
        <f>H39</f>
        <v>174.56796</v>
      </c>
      <c r="E39" s="53">
        <f>D39/D43</f>
        <v>2.7443674042983012E-3</v>
      </c>
      <c r="F39" s="11">
        <v>193.32</v>
      </c>
      <c r="G39" s="9">
        <v>0.90300000000000002</v>
      </c>
      <c r="H39" s="11">
        <f t="shared" si="0"/>
        <v>174.56796</v>
      </c>
      <c r="I39" s="9">
        <f>-1000+944+H39-4.67</f>
        <v>113.89796</v>
      </c>
    </row>
    <row r="40" spans="3:10" x14ac:dyDescent="0.3">
      <c r="C40" s="60" t="s">
        <v>30</v>
      </c>
      <c r="D40" s="56">
        <f>H40</f>
        <v>10584.7695</v>
      </c>
      <c r="E40" s="53">
        <f>D40/D43</f>
        <v>0.16640222179265216</v>
      </c>
      <c r="F40" s="11">
        <v>11530.25</v>
      </c>
      <c r="G40" s="9">
        <v>0.91800000000000004</v>
      </c>
      <c r="H40" s="11">
        <f t="shared" si="0"/>
        <v>10584.7695</v>
      </c>
      <c r="I40" s="9">
        <f>H40-10000</f>
        <v>584.76950000000033</v>
      </c>
    </row>
    <row r="41" spans="3:10" x14ac:dyDescent="0.3">
      <c r="C41" s="60" t="s">
        <v>31</v>
      </c>
      <c r="D41" s="56">
        <f>H41</f>
        <v>12055.72284</v>
      </c>
      <c r="E41" s="53">
        <f>D41/D43</f>
        <v>0.18952694868720782</v>
      </c>
      <c r="F41" s="11">
        <v>19351.080000000002</v>
      </c>
      <c r="G41" s="9">
        <v>0.623</v>
      </c>
      <c r="H41" s="11">
        <f t="shared" si="0"/>
        <v>12055.72284</v>
      </c>
      <c r="I41" s="9">
        <f>F41*G41-11000</f>
        <v>1055.7228400000004</v>
      </c>
      <c r="J41" s="9" t="s">
        <v>89</v>
      </c>
    </row>
    <row r="42" spans="3:10" x14ac:dyDescent="0.3">
      <c r="C42" s="60" t="s">
        <v>59</v>
      </c>
      <c r="D42" s="11">
        <f>H42</f>
        <v>22063.917228583232</v>
      </c>
      <c r="E42" s="53">
        <f>D42/D43</f>
        <v>0.346864884330776</v>
      </c>
      <c r="F42" s="11">
        <f>余额宝损益表!C13</f>
        <v>22063.917228583232</v>
      </c>
      <c r="G42" s="9">
        <v>1</v>
      </c>
      <c r="H42" s="11">
        <f t="shared" si="0"/>
        <v>22063.917228583232</v>
      </c>
      <c r="J42" s="9">
        <v>-1000</v>
      </c>
    </row>
    <row r="43" spans="3:10" ht="24" thickBot="1" x14ac:dyDescent="0.35">
      <c r="C43" s="61" t="s">
        <v>60</v>
      </c>
      <c r="D43" s="57">
        <f>SUM(D37:D42)</f>
        <v>63609.544307583237</v>
      </c>
      <c r="E43" s="54">
        <f>D43/D43</f>
        <v>1</v>
      </c>
    </row>
    <row r="44" spans="3:10" ht="24" thickBot="1" x14ac:dyDescent="0.35"/>
    <row r="45" spans="3:10" x14ac:dyDescent="0.3">
      <c r="D45" s="162">
        <v>20160906</v>
      </c>
      <c r="E45" s="163"/>
    </row>
    <row r="46" spans="3:10" ht="24" thickBot="1" x14ac:dyDescent="0.35">
      <c r="D46" s="29" t="s">
        <v>24</v>
      </c>
      <c r="E46" s="99" t="s">
        <v>42</v>
      </c>
      <c r="F46" s="11" t="s">
        <v>23</v>
      </c>
      <c r="G46" s="9" t="s">
        <v>82</v>
      </c>
      <c r="H46" s="11" t="s">
        <v>80</v>
      </c>
      <c r="I46" s="9" t="s">
        <v>56</v>
      </c>
      <c r="J46" s="9" t="s">
        <v>88</v>
      </c>
    </row>
    <row r="47" spans="3:10" x14ac:dyDescent="0.3">
      <c r="C47" s="58" t="s">
        <v>41</v>
      </c>
      <c r="D47" s="55">
        <f>F47*G47</f>
        <v>9143.52</v>
      </c>
      <c r="E47" s="53">
        <f>D47/D53</f>
        <v>0.14358592510629198</v>
      </c>
      <c r="F47" s="11">
        <v>8860</v>
      </c>
      <c r="G47" s="9">
        <v>1.032</v>
      </c>
      <c r="H47" s="11">
        <f>F47*G47</f>
        <v>9143.52</v>
      </c>
    </row>
    <row r="48" spans="3:10" x14ac:dyDescent="0.3">
      <c r="C48" s="59" t="s">
        <v>28</v>
      </c>
      <c r="D48" s="78">
        <f>H48</f>
        <v>9979.3648250000006</v>
      </c>
      <c r="E48" s="53">
        <f>D48/D53</f>
        <v>0.15671167453790383</v>
      </c>
      <c r="F48" s="96">
        <f>9921.98-162.21</f>
        <v>9759.77</v>
      </c>
      <c r="G48" s="9">
        <v>1.0225</v>
      </c>
      <c r="H48" s="11">
        <f t="shared" ref="H48:H52" si="1">F48*G48</f>
        <v>9979.3648250000006</v>
      </c>
      <c r="J48" s="88"/>
    </row>
    <row r="49" spans="3:10" x14ac:dyDescent="0.3">
      <c r="C49" s="60" t="s">
        <v>29</v>
      </c>
      <c r="D49" s="56">
        <f>H49</f>
        <v>175.34124</v>
      </c>
      <c r="E49" s="53">
        <f>D49/D53</f>
        <v>2.7534837955934216E-3</v>
      </c>
      <c r="F49" s="11">
        <v>193.32</v>
      </c>
      <c r="G49" s="9">
        <v>0.90700000000000003</v>
      </c>
      <c r="H49" s="11">
        <f t="shared" si="1"/>
        <v>175.34124</v>
      </c>
    </row>
    <row r="50" spans="3:10" x14ac:dyDescent="0.3">
      <c r="C50" s="60" t="s">
        <v>30</v>
      </c>
      <c r="D50" s="56">
        <f>H50</f>
        <v>10037.5275</v>
      </c>
      <c r="E50" s="53">
        <f>D50/D53</f>
        <v>0.15762503629535957</v>
      </c>
      <c r="F50" s="11">
        <v>11030.25</v>
      </c>
      <c r="G50" s="9">
        <v>0.91</v>
      </c>
      <c r="H50" s="11">
        <f t="shared" si="1"/>
        <v>10037.5275</v>
      </c>
    </row>
    <row r="51" spans="3:10" x14ac:dyDescent="0.3">
      <c r="C51" s="60" t="s">
        <v>31</v>
      </c>
      <c r="D51" s="56">
        <f>H51</f>
        <v>12036.371760000002</v>
      </c>
      <c r="E51" s="53">
        <f>D51/D53</f>
        <v>0.18901403114805324</v>
      </c>
      <c r="F51" s="11">
        <v>19351.080000000002</v>
      </c>
      <c r="G51" s="9">
        <v>0.622</v>
      </c>
      <c r="H51" s="11">
        <f t="shared" si="1"/>
        <v>12036.371760000002</v>
      </c>
    </row>
    <row r="52" spans="3:10" x14ac:dyDescent="0.3">
      <c r="C52" s="60" t="s">
        <v>59</v>
      </c>
      <c r="D52" s="11">
        <f>F52</f>
        <v>22307.653826273716</v>
      </c>
      <c r="E52" s="53">
        <f>D52/D53</f>
        <v>0.35030984911679802</v>
      </c>
      <c r="F52" s="11">
        <f>余额宝损益表!C27</f>
        <v>22307.653826273716</v>
      </c>
      <c r="G52" s="9">
        <v>1</v>
      </c>
      <c r="H52" s="11">
        <f t="shared" si="1"/>
        <v>22307.653826273716</v>
      </c>
      <c r="J52" s="9">
        <v>-1000</v>
      </c>
    </row>
    <row r="53" spans="3:10" ht="24" thickBot="1" x14ac:dyDescent="0.35">
      <c r="C53" s="61" t="s">
        <v>60</v>
      </c>
      <c r="D53" s="57">
        <f>SUM(D47:D52)</f>
        <v>63679.779151273717</v>
      </c>
      <c r="E53" s="54">
        <f>D53/D53</f>
        <v>1</v>
      </c>
    </row>
    <row r="55" spans="3:10" ht="24" thickBot="1" x14ac:dyDescent="0.35"/>
    <row r="56" spans="3:10" x14ac:dyDescent="0.3">
      <c r="D56" s="162">
        <v>20160921</v>
      </c>
      <c r="E56" s="163"/>
    </row>
    <row r="57" spans="3:10" ht="24" thickBot="1" x14ac:dyDescent="0.35">
      <c r="D57" s="105" t="s">
        <v>24</v>
      </c>
      <c r="E57" s="104" t="s">
        <v>42</v>
      </c>
      <c r="F57" s="11" t="s">
        <v>23</v>
      </c>
      <c r="G57" s="9" t="s">
        <v>82</v>
      </c>
      <c r="H57" s="11" t="s">
        <v>80</v>
      </c>
      <c r="I57" s="9" t="s">
        <v>56</v>
      </c>
      <c r="J57" s="9" t="s">
        <v>88</v>
      </c>
    </row>
    <row r="58" spans="3:10" x14ac:dyDescent="0.3">
      <c r="C58" s="58" t="s">
        <v>41</v>
      </c>
      <c r="D58" s="106">
        <f>F58*G58</f>
        <v>9757.8724000000002</v>
      </c>
      <c r="E58" s="107">
        <f>D58/D63</f>
        <v>0.15330347422829174</v>
      </c>
      <c r="F58" s="11">
        <v>8860</v>
      </c>
      <c r="G58" s="9">
        <v>1.10134</v>
      </c>
      <c r="H58" s="11">
        <f>F58*G58</f>
        <v>9757.8724000000002</v>
      </c>
    </row>
    <row r="59" spans="3:10" x14ac:dyDescent="0.3">
      <c r="C59" s="59" t="s">
        <v>28</v>
      </c>
      <c r="D59" s="78">
        <f>H59</f>
        <v>9896.4067800000012</v>
      </c>
      <c r="E59" s="53">
        <f>D59/D63</f>
        <v>0.15547995296089565</v>
      </c>
      <c r="F59" s="96">
        <f>9921.98-162.21</f>
        <v>9759.77</v>
      </c>
      <c r="G59" s="9">
        <v>1.014</v>
      </c>
      <c r="H59" s="11">
        <f t="shared" ref="H59:H62" si="2">F59*G59</f>
        <v>9896.4067800000012</v>
      </c>
      <c r="J59" s="88"/>
    </row>
    <row r="60" spans="3:10" x14ac:dyDescent="0.3">
      <c r="C60" s="60" t="s">
        <v>30</v>
      </c>
      <c r="D60" s="56">
        <f>H60</f>
        <v>9827.9527500000004</v>
      </c>
      <c r="E60" s="53">
        <f>D60/D63</f>
        <v>0.15440448894643202</v>
      </c>
      <c r="F60" s="11">
        <v>11030.25</v>
      </c>
      <c r="G60" s="9">
        <v>0.89100000000000001</v>
      </c>
      <c r="H60" s="11">
        <f t="shared" si="2"/>
        <v>9827.9527500000004</v>
      </c>
    </row>
    <row r="61" spans="3:10" x14ac:dyDescent="0.3">
      <c r="C61" s="60" t="s">
        <v>31</v>
      </c>
      <c r="D61" s="56">
        <f>H61</f>
        <v>11668.70124</v>
      </c>
      <c r="E61" s="53">
        <f>D61/D63</f>
        <v>0.18332402459207972</v>
      </c>
      <c r="F61" s="11">
        <v>19351.080000000002</v>
      </c>
      <c r="G61" s="9">
        <v>0.60299999999999998</v>
      </c>
      <c r="H61" s="11">
        <f t="shared" si="2"/>
        <v>11668.70124</v>
      </c>
    </row>
    <row r="62" spans="3:10" x14ac:dyDescent="0.3">
      <c r="C62" s="60" t="s">
        <v>59</v>
      </c>
      <c r="D62" s="108">
        <f>余额宝损益表!C37</f>
        <v>22499.759999999998</v>
      </c>
      <c r="E62" s="53">
        <f>D62/D63</f>
        <v>0.35348805927230093</v>
      </c>
      <c r="F62" s="11">
        <f>D62</f>
        <v>22499.759999999998</v>
      </c>
      <c r="G62" s="9">
        <v>1</v>
      </c>
      <c r="H62" s="11">
        <f t="shared" si="2"/>
        <v>22499.759999999998</v>
      </c>
      <c r="J62" s="9">
        <v>-1000</v>
      </c>
    </row>
    <row r="63" spans="3:10" ht="24" thickBot="1" x14ac:dyDescent="0.35">
      <c r="C63" s="61" t="s">
        <v>60</v>
      </c>
      <c r="D63" s="57">
        <f>SUM(D58:D62)</f>
        <v>63650.693169999999</v>
      </c>
      <c r="E63" s="54">
        <f>D63/D63</f>
        <v>1</v>
      </c>
    </row>
    <row r="65" spans="3:10" ht="24" thickBot="1" x14ac:dyDescent="0.35"/>
    <row r="66" spans="3:10" x14ac:dyDescent="0.3">
      <c r="D66" s="162">
        <v>20161017</v>
      </c>
      <c r="E66" s="163"/>
    </row>
    <row r="67" spans="3:10" ht="24" thickBot="1" x14ac:dyDescent="0.35">
      <c r="D67" s="105" t="s">
        <v>24</v>
      </c>
      <c r="E67" s="109" t="s">
        <v>42</v>
      </c>
      <c r="F67" s="11" t="s">
        <v>23</v>
      </c>
      <c r="G67" s="9" t="s">
        <v>82</v>
      </c>
      <c r="H67" s="11" t="s">
        <v>80</v>
      </c>
      <c r="I67" s="9" t="s">
        <v>164</v>
      </c>
      <c r="J67" s="9" t="s">
        <v>88</v>
      </c>
    </row>
    <row r="68" spans="3:10" x14ac:dyDescent="0.3">
      <c r="C68" s="58" t="s">
        <v>41</v>
      </c>
      <c r="D68" s="106">
        <f>F68*G68</f>
        <v>8916.7039999999997</v>
      </c>
      <c r="E68" s="107">
        <f>D68/D73</f>
        <v>0.13583162050827591</v>
      </c>
      <c r="F68" s="11">
        <v>8860</v>
      </c>
      <c r="G68" s="9">
        <v>1.0064</v>
      </c>
      <c r="H68" s="11">
        <f>F68*G68</f>
        <v>8916.7039999999997</v>
      </c>
    </row>
    <row r="69" spans="3:10" x14ac:dyDescent="0.3">
      <c r="C69" s="59" t="s">
        <v>28</v>
      </c>
      <c r="D69" s="78">
        <f>H69</f>
        <v>9556.7667839999995</v>
      </c>
      <c r="E69" s="53">
        <f>D69/D73</f>
        <v>0.14558194587264359</v>
      </c>
      <c r="F69" s="96">
        <f>9921.98-162.21</f>
        <v>9759.77</v>
      </c>
      <c r="G69" s="9">
        <v>0.97919999999999996</v>
      </c>
      <c r="H69" s="11">
        <f t="shared" ref="H69:H72" si="3">F69*G69</f>
        <v>9556.7667839999995</v>
      </c>
      <c r="J69" s="88"/>
    </row>
    <row r="70" spans="3:10" x14ac:dyDescent="0.3">
      <c r="C70" s="60" t="s">
        <v>30</v>
      </c>
      <c r="D70" s="56">
        <f>H70</f>
        <v>10291.223250000001</v>
      </c>
      <c r="E70" s="53">
        <f>D70/D73</f>
        <v>0.15677020691277249</v>
      </c>
      <c r="F70" s="11">
        <v>11030.25</v>
      </c>
      <c r="G70" s="9">
        <v>0.93300000000000005</v>
      </c>
      <c r="H70" s="11">
        <f t="shared" si="3"/>
        <v>10291.223250000001</v>
      </c>
    </row>
    <row r="71" spans="3:10" x14ac:dyDescent="0.3">
      <c r="C71" s="60" t="s">
        <v>31</v>
      </c>
      <c r="D71" s="56">
        <f>H71</f>
        <v>13354.930227800964</v>
      </c>
      <c r="E71" s="53">
        <f>D71/D73</f>
        <v>0.20344084704585499</v>
      </c>
      <c r="F71" s="11">
        <f>19351.08+Operation!H8</f>
        <v>20932.492520064206</v>
      </c>
      <c r="G71" s="9">
        <v>0.63800000000000001</v>
      </c>
      <c r="H71" s="11">
        <f t="shared" si="3"/>
        <v>13354.930227800964</v>
      </c>
    </row>
    <row r="72" spans="3:10" x14ac:dyDescent="0.3">
      <c r="C72" s="60" t="s">
        <v>59</v>
      </c>
      <c r="D72" s="108">
        <f>H72</f>
        <v>23525.65013479452</v>
      </c>
      <c r="E72" s="53">
        <f>D72/D73</f>
        <v>0.35837537966045296</v>
      </c>
      <c r="F72" s="11">
        <f>余额宝损益表!I46</f>
        <v>23525.65013479452</v>
      </c>
      <c r="G72" s="9">
        <v>1</v>
      </c>
      <c r="H72" s="11">
        <f t="shared" si="3"/>
        <v>23525.65013479452</v>
      </c>
      <c r="J72" s="9">
        <v>-1000</v>
      </c>
    </row>
    <row r="73" spans="3:10" ht="24" thickBot="1" x14ac:dyDescent="0.35">
      <c r="C73" s="61" t="s">
        <v>60</v>
      </c>
      <c r="D73" s="57">
        <f>SUM(D68:D72)</f>
        <v>65645.274396595487</v>
      </c>
      <c r="E73" s="54">
        <f>D73/D73</f>
        <v>1</v>
      </c>
    </row>
    <row r="74" spans="3:10" ht="24" thickBot="1" x14ac:dyDescent="0.35"/>
    <row r="75" spans="3:10" x14ac:dyDescent="0.3">
      <c r="D75" s="162">
        <v>20161020</v>
      </c>
      <c r="E75" s="163"/>
    </row>
    <row r="76" spans="3:10" ht="24" thickBot="1" x14ac:dyDescent="0.35">
      <c r="D76" s="105" t="s">
        <v>24</v>
      </c>
      <c r="E76" s="117" t="s">
        <v>42</v>
      </c>
      <c r="F76" s="11" t="s">
        <v>23</v>
      </c>
      <c r="G76" s="9" t="s">
        <v>82</v>
      </c>
      <c r="H76" s="11" t="s">
        <v>80</v>
      </c>
      <c r="I76" s="9" t="s">
        <v>164</v>
      </c>
      <c r="J76" s="9" t="s">
        <v>88</v>
      </c>
    </row>
    <row r="77" spans="3:10" x14ac:dyDescent="0.3">
      <c r="C77" s="58" t="s">
        <v>41</v>
      </c>
      <c r="D77" s="106">
        <f>F77*G77</f>
        <v>9006.19</v>
      </c>
      <c r="E77" s="107">
        <f>D77/D82</f>
        <v>0.12573360774307302</v>
      </c>
      <c r="F77" s="11">
        <v>8860</v>
      </c>
      <c r="G77" s="9">
        <v>1.0165</v>
      </c>
      <c r="H77" s="11">
        <f>F77*G77</f>
        <v>9006.19</v>
      </c>
    </row>
    <row r="78" spans="3:10" x14ac:dyDescent="0.3">
      <c r="C78" s="59" t="s">
        <v>28</v>
      </c>
      <c r="D78" s="78">
        <f>H78</f>
        <v>9657.2924150000017</v>
      </c>
      <c r="E78" s="53">
        <f>D78/D82</f>
        <v>0.13482351764372777</v>
      </c>
      <c r="F78" s="96">
        <f>9921.98-162.21</f>
        <v>9759.77</v>
      </c>
      <c r="G78" s="9">
        <v>0.98950000000000005</v>
      </c>
      <c r="H78" s="11">
        <f t="shared" ref="H78:H80" si="4">F78*G78</f>
        <v>9657.2924150000017</v>
      </c>
      <c r="J78" s="88"/>
    </row>
    <row r="79" spans="3:10" x14ac:dyDescent="0.3">
      <c r="C79" s="60" t="s">
        <v>30</v>
      </c>
      <c r="D79" s="56">
        <f>H79</f>
        <v>10291.223250000001</v>
      </c>
      <c r="E79" s="53">
        <f>D79/D82</f>
        <v>0.14367369856863926</v>
      </c>
      <c r="F79" s="11">
        <v>11030.25</v>
      </c>
      <c r="G79" s="9">
        <v>0.93300000000000005</v>
      </c>
      <c r="H79" s="11">
        <f t="shared" si="4"/>
        <v>10291.223250000001</v>
      </c>
    </row>
    <row r="80" spans="3:10" x14ac:dyDescent="0.3">
      <c r="C80" s="60" t="s">
        <v>31</v>
      </c>
      <c r="D80" s="56">
        <f>H80</f>
        <v>13124.672810080257</v>
      </c>
      <c r="E80" s="53">
        <f>D80/D82</f>
        <v>0.18323091816393025</v>
      </c>
      <c r="F80" s="11">
        <v>20932.492520064206</v>
      </c>
      <c r="G80" s="9">
        <v>0.627</v>
      </c>
      <c r="H80" s="11">
        <f t="shared" si="4"/>
        <v>13124.672810080257</v>
      </c>
    </row>
    <row r="81" spans="3:10" x14ac:dyDescent="0.3">
      <c r="C81" s="60" t="s">
        <v>59</v>
      </c>
      <c r="D81" s="11">
        <v>29549.759999999998</v>
      </c>
      <c r="E81" s="53">
        <f>D81/D82</f>
        <v>0.41253825788062981</v>
      </c>
      <c r="F81" s="11">
        <v>29549.759999999998</v>
      </c>
      <c r="G81" s="9">
        <v>1</v>
      </c>
      <c r="H81" s="11">
        <v>29549.759999999998</v>
      </c>
      <c r="J81" s="9">
        <v>-1000</v>
      </c>
    </row>
    <row r="82" spans="3:10" ht="24" thickBot="1" x14ac:dyDescent="0.35">
      <c r="C82" s="61" t="s">
        <v>60</v>
      </c>
      <c r="D82" s="57">
        <f>SUM(D77:D81)</f>
        <v>71629.138475080254</v>
      </c>
      <c r="E82" s="54">
        <f>D82/D82</f>
        <v>1</v>
      </c>
    </row>
    <row r="83" spans="3:10" ht="24" thickBot="1" x14ac:dyDescent="0.35"/>
    <row r="84" spans="3:10" x14ac:dyDescent="0.3">
      <c r="D84" s="162">
        <v>201610207</v>
      </c>
      <c r="E84" s="163"/>
    </row>
    <row r="85" spans="3:10" ht="24" thickBot="1" x14ac:dyDescent="0.35">
      <c r="D85" s="105" t="s">
        <v>24</v>
      </c>
      <c r="E85" s="119" t="s">
        <v>42</v>
      </c>
      <c r="F85" s="11" t="s">
        <v>23</v>
      </c>
      <c r="G85" s="9" t="s">
        <v>82</v>
      </c>
      <c r="H85" s="11" t="s">
        <v>80</v>
      </c>
      <c r="I85" s="9" t="s">
        <v>164</v>
      </c>
      <c r="J85" s="9" t="s">
        <v>88</v>
      </c>
    </row>
    <row r="86" spans="3:10" x14ac:dyDescent="0.3">
      <c r="C86" s="58" t="s">
        <v>41</v>
      </c>
      <c r="D86" s="106">
        <f>F86*G86</f>
        <v>9066.4380000000001</v>
      </c>
      <c r="E86" s="107">
        <f>D86/D91</f>
        <v>0.1264039394800372</v>
      </c>
      <c r="F86" s="11">
        <v>8860</v>
      </c>
      <c r="G86" s="9">
        <v>1.0233000000000001</v>
      </c>
      <c r="H86" s="11">
        <f>F86*G86</f>
        <v>9066.4380000000001</v>
      </c>
    </row>
    <row r="87" spans="3:10" x14ac:dyDescent="0.3">
      <c r="C87" s="59" t="s">
        <v>28</v>
      </c>
      <c r="D87" s="78">
        <f>H87</f>
        <v>9742.2024139999994</v>
      </c>
      <c r="E87" s="53">
        <f>D87/D91</f>
        <v>0.13582542166411199</v>
      </c>
      <c r="F87" s="96">
        <f>9921.98-162.21</f>
        <v>9759.77</v>
      </c>
      <c r="G87" s="9">
        <v>0.99819999999999998</v>
      </c>
      <c r="H87" s="11">
        <f t="shared" ref="H87:H89" si="5">F87*G87</f>
        <v>9742.2024139999994</v>
      </c>
      <c r="J87" s="88"/>
    </row>
    <row r="88" spans="3:10" x14ac:dyDescent="0.3">
      <c r="C88" s="60" t="s">
        <v>30</v>
      </c>
      <c r="D88" s="56">
        <f>H88</f>
        <v>10368.434999999999</v>
      </c>
      <c r="E88" s="53">
        <f>D88/D91</f>
        <v>0.14455633295487152</v>
      </c>
      <c r="F88" s="11">
        <v>11030.25</v>
      </c>
      <c r="G88" s="9">
        <v>0.94</v>
      </c>
      <c r="H88" s="11">
        <f t="shared" si="5"/>
        <v>10368.434999999999</v>
      </c>
    </row>
    <row r="89" spans="3:10" x14ac:dyDescent="0.3">
      <c r="C89" s="60" t="s">
        <v>31</v>
      </c>
      <c r="D89" s="56">
        <f>H89</f>
        <v>12999.077854959873</v>
      </c>
      <c r="E89" s="53">
        <f>D89/D91</f>
        <v>0.18123265724363191</v>
      </c>
      <c r="F89" s="11">
        <v>20932.492520064206</v>
      </c>
      <c r="G89" s="9">
        <v>0.621</v>
      </c>
      <c r="H89" s="11">
        <f t="shared" si="5"/>
        <v>12999.077854959873</v>
      </c>
    </row>
    <row r="90" spans="3:10" x14ac:dyDescent="0.3">
      <c r="C90" s="60" t="s">
        <v>59</v>
      </c>
      <c r="D90" s="11">
        <v>29549.759999999998</v>
      </c>
      <c r="E90" s="53">
        <f>D90/D91</f>
        <v>0.41198164865734743</v>
      </c>
      <c r="F90" s="11">
        <v>29549.759999999998</v>
      </c>
      <c r="G90" s="9">
        <v>1</v>
      </c>
      <c r="H90" s="11">
        <v>29549.759999999998</v>
      </c>
      <c r="J90" s="9">
        <v>-1000</v>
      </c>
    </row>
    <row r="91" spans="3:10" ht="24" thickBot="1" x14ac:dyDescent="0.35">
      <c r="C91" s="61" t="s">
        <v>60</v>
      </c>
      <c r="D91" s="57">
        <f>SUM(D86:D90)</f>
        <v>71725.913268959863</v>
      </c>
      <c r="E91" s="54">
        <f>D91/D91</f>
        <v>1</v>
      </c>
    </row>
    <row r="92" spans="3:10" ht="24" thickBot="1" x14ac:dyDescent="0.35"/>
    <row r="93" spans="3:10" x14ac:dyDescent="0.3">
      <c r="D93" s="162">
        <v>20161031</v>
      </c>
      <c r="E93" s="163"/>
    </row>
    <row r="94" spans="3:10" ht="24" thickBot="1" x14ac:dyDescent="0.35">
      <c r="D94" s="105" t="s">
        <v>24</v>
      </c>
      <c r="E94" s="120" t="s">
        <v>42</v>
      </c>
      <c r="F94" s="11" t="s">
        <v>23</v>
      </c>
      <c r="G94" s="9" t="s">
        <v>82</v>
      </c>
      <c r="H94" s="11" t="s">
        <v>80</v>
      </c>
      <c r="I94" s="9" t="s">
        <v>164</v>
      </c>
      <c r="J94" s="9" t="s">
        <v>88</v>
      </c>
    </row>
    <row r="95" spans="3:10" x14ac:dyDescent="0.3">
      <c r="C95" s="58" t="s">
        <v>41</v>
      </c>
      <c r="D95" s="106">
        <f>F95*G95</f>
        <v>8939.74</v>
      </c>
      <c r="E95" s="107">
        <f>D95/D100</f>
        <v>0.12489000794794518</v>
      </c>
      <c r="F95" s="11">
        <v>8860</v>
      </c>
      <c r="G95" s="9">
        <v>1.0089999999999999</v>
      </c>
      <c r="H95" s="11">
        <f>F95*G95</f>
        <v>8939.74</v>
      </c>
    </row>
    <row r="96" spans="3:10" x14ac:dyDescent="0.3">
      <c r="C96" s="59" t="s">
        <v>28</v>
      </c>
      <c r="D96" s="78">
        <f>H96</f>
        <v>9747.0822990000015</v>
      </c>
      <c r="E96" s="53">
        <f>D96/D100</f>
        <v>0.13616874604757923</v>
      </c>
      <c r="F96" s="96">
        <f>9921.98-162.21</f>
        <v>9759.77</v>
      </c>
      <c r="G96" s="9">
        <v>0.99870000000000003</v>
      </c>
      <c r="H96" s="11">
        <f t="shared" ref="H96:H98" si="6">F96*G96</f>
        <v>9747.0822990000015</v>
      </c>
      <c r="J96" s="88"/>
    </row>
    <row r="97" spans="3:10" x14ac:dyDescent="0.3">
      <c r="C97" s="60" t="s">
        <v>30</v>
      </c>
      <c r="D97" s="56">
        <f>H97</f>
        <v>10324.314</v>
      </c>
      <c r="E97" s="53">
        <f>D97/D100</f>
        <v>0.1442327917273972</v>
      </c>
      <c r="F97" s="11">
        <v>11030.25</v>
      </c>
      <c r="G97" s="9">
        <v>0.93600000000000005</v>
      </c>
      <c r="H97" s="11">
        <f t="shared" si="6"/>
        <v>10324.314</v>
      </c>
    </row>
    <row r="98" spans="3:10" x14ac:dyDescent="0.3">
      <c r="C98" s="60" t="s">
        <v>31</v>
      </c>
      <c r="D98" s="56">
        <f>H98</f>
        <v>13020.010347479936</v>
      </c>
      <c r="E98" s="53">
        <f>D98/D100</f>
        <v>0.18189222458137461</v>
      </c>
      <c r="F98" s="11">
        <v>20932.492520064206</v>
      </c>
      <c r="G98" s="9">
        <v>0.622</v>
      </c>
      <c r="H98" s="11">
        <f t="shared" si="6"/>
        <v>13020.010347479936</v>
      </c>
    </row>
    <row r="99" spans="3:10" x14ac:dyDescent="0.3">
      <c r="C99" s="60" t="s">
        <v>59</v>
      </c>
      <c r="D99" s="11">
        <v>29549.759999999998</v>
      </c>
      <c r="E99" s="53">
        <f>D99/D100</f>
        <v>0.41281622969570397</v>
      </c>
      <c r="F99" s="11">
        <v>29549.759999999998</v>
      </c>
      <c r="G99" s="9">
        <v>1</v>
      </c>
      <c r="H99" s="11">
        <v>29549.759999999998</v>
      </c>
      <c r="J99" s="9">
        <v>-1000</v>
      </c>
    </row>
    <row r="100" spans="3:10" ht="24" thickBot="1" x14ac:dyDescent="0.35">
      <c r="C100" s="61" t="s">
        <v>60</v>
      </c>
      <c r="D100" s="57">
        <f>SUM(D95:D99)</f>
        <v>71580.906646479925</v>
      </c>
      <c r="E100" s="54">
        <f>D100/D100</f>
        <v>1</v>
      </c>
    </row>
    <row r="101" spans="3:10" ht="24" thickBot="1" x14ac:dyDescent="0.35"/>
    <row r="102" spans="3:10" x14ac:dyDescent="0.3">
      <c r="D102" s="162">
        <v>20161103</v>
      </c>
      <c r="E102" s="163"/>
    </row>
    <row r="103" spans="3:10" ht="24" thickBot="1" x14ac:dyDescent="0.35">
      <c r="D103" s="105" t="s">
        <v>24</v>
      </c>
      <c r="E103" s="121" t="s">
        <v>42</v>
      </c>
      <c r="F103" s="11" t="s">
        <v>23</v>
      </c>
      <c r="G103" s="9" t="s">
        <v>82</v>
      </c>
      <c r="H103" s="11" t="s">
        <v>80</v>
      </c>
      <c r="I103" s="9" t="s">
        <v>164</v>
      </c>
      <c r="J103" s="9" t="s">
        <v>88</v>
      </c>
    </row>
    <row r="104" spans="3:10" x14ac:dyDescent="0.3">
      <c r="C104" s="58" t="s">
        <v>41</v>
      </c>
      <c r="D104" s="106">
        <f>F104*G104</f>
        <v>8797.98</v>
      </c>
      <c r="E104" s="107">
        <f>D104/D109</f>
        <v>0.12402973139926786</v>
      </c>
      <c r="F104" s="11">
        <v>8860</v>
      </c>
      <c r="G104" s="9">
        <v>0.99299999999999999</v>
      </c>
      <c r="H104" s="11">
        <f>F104*G104</f>
        <v>8797.98</v>
      </c>
    </row>
    <row r="105" spans="3:10" x14ac:dyDescent="0.3">
      <c r="C105" s="59" t="s">
        <v>28</v>
      </c>
      <c r="D105" s="78">
        <f>H105</f>
        <v>9900.3106879999996</v>
      </c>
      <c r="E105" s="53">
        <f>D105/D109</f>
        <v>0.13956986437818009</v>
      </c>
      <c r="F105" s="96">
        <f>9921.98-162.21</f>
        <v>9759.77</v>
      </c>
      <c r="G105" s="9">
        <v>1.0144</v>
      </c>
      <c r="H105" s="11">
        <f t="shared" ref="H105:H107" si="7">F105*G105</f>
        <v>9900.3106879999996</v>
      </c>
      <c r="J105" s="88"/>
    </row>
    <row r="106" spans="3:10" x14ac:dyDescent="0.3">
      <c r="C106" s="60" t="s">
        <v>30</v>
      </c>
      <c r="D106" s="56">
        <f>H106</f>
        <v>10147.83</v>
      </c>
      <c r="E106" s="53">
        <f>D106/D109</f>
        <v>0.14305927374072597</v>
      </c>
      <c r="F106" s="11">
        <v>11030.25</v>
      </c>
      <c r="G106" s="9">
        <v>0.92</v>
      </c>
      <c r="H106" s="11">
        <f t="shared" si="7"/>
        <v>10147.83</v>
      </c>
    </row>
    <row r="107" spans="3:10" x14ac:dyDescent="0.3">
      <c r="C107" s="60" t="s">
        <v>31</v>
      </c>
      <c r="D107" s="56">
        <f>H107</f>
        <v>12538.563019518459</v>
      </c>
      <c r="E107" s="53">
        <f>D107/D109</f>
        <v>0.17676268909950549</v>
      </c>
      <c r="F107" s="11">
        <v>20932.492520064206</v>
      </c>
      <c r="G107" s="9">
        <v>0.59899999999999998</v>
      </c>
      <c r="H107" s="11">
        <f t="shared" si="7"/>
        <v>12538.563019518459</v>
      </c>
    </row>
    <row r="108" spans="3:10" x14ac:dyDescent="0.3">
      <c r="C108" s="60" t="s">
        <v>59</v>
      </c>
      <c r="D108" s="11">
        <v>29549.759999999998</v>
      </c>
      <c r="E108" s="53">
        <f>D108/D109</f>
        <v>0.41657844138232064</v>
      </c>
      <c r="F108" s="11">
        <v>29549</v>
      </c>
      <c r="G108" s="9">
        <v>1</v>
      </c>
      <c r="H108" s="11">
        <v>29549.759999999998</v>
      </c>
      <c r="J108" s="9">
        <v>-1000</v>
      </c>
    </row>
    <row r="109" spans="3:10" ht="24" thickBot="1" x14ac:dyDescent="0.35">
      <c r="C109" s="61" t="s">
        <v>60</v>
      </c>
      <c r="D109" s="57">
        <f>SUM(D104:D108)</f>
        <v>70934.443707518454</v>
      </c>
      <c r="E109" s="54">
        <f>D109/D109</f>
        <v>1</v>
      </c>
    </row>
    <row r="110" spans="3:10" ht="24" thickBot="1" x14ac:dyDescent="0.35"/>
    <row r="111" spans="3:10" x14ac:dyDescent="0.3">
      <c r="D111" s="162">
        <v>20161103</v>
      </c>
      <c r="E111" s="163"/>
    </row>
    <row r="112" spans="3:10" ht="24" thickBot="1" x14ac:dyDescent="0.35">
      <c r="D112" s="105" t="s">
        <v>24</v>
      </c>
      <c r="E112" s="121" t="s">
        <v>42</v>
      </c>
      <c r="F112" s="11" t="s">
        <v>23</v>
      </c>
      <c r="G112" s="9" t="s">
        <v>82</v>
      </c>
      <c r="H112" s="11" t="s">
        <v>80</v>
      </c>
      <c r="I112" s="9" t="s">
        <v>164</v>
      </c>
      <c r="J112" s="9" t="s">
        <v>88</v>
      </c>
    </row>
    <row r="113" spans="3:10" x14ac:dyDescent="0.3">
      <c r="C113" s="58" t="s">
        <v>41</v>
      </c>
      <c r="D113" s="106">
        <f>F113*G113</f>
        <v>8797.98</v>
      </c>
      <c r="E113" s="107">
        <f>D113/D118</f>
        <v>0.11586283602587175</v>
      </c>
      <c r="F113" s="11">
        <v>8860</v>
      </c>
      <c r="G113" s="9">
        <v>0.99299999999999999</v>
      </c>
      <c r="H113" s="11">
        <f>F113*G113</f>
        <v>8797.98</v>
      </c>
      <c r="J113" s="9" t="s">
        <v>184</v>
      </c>
    </row>
    <row r="114" spans="3:10" x14ac:dyDescent="0.3">
      <c r="C114" s="59" t="s">
        <v>28</v>
      </c>
      <c r="D114" s="78">
        <f>H114</f>
        <v>9900.3106879999996</v>
      </c>
      <c r="E114" s="53">
        <f>D114/D118</f>
        <v>0.13037970918880579</v>
      </c>
      <c r="F114" s="96">
        <f>9921.98-162.21</f>
        <v>9759.77</v>
      </c>
      <c r="G114" s="9">
        <v>1.0144</v>
      </c>
      <c r="H114" s="11">
        <f t="shared" ref="H114:H116" si="8">F114*G114</f>
        <v>9900.3106879999996</v>
      </c>
      <c r="J114" s="88"/>
    </row>
    <row r="115" spans="3:10" x14ac:dyDescent="0.3">
      <c r="C115" s="60" t="s">
        <v>30</v>
      </c>
      <c r="D115" s="56">
        <f>H115</f>
        <v>10147.83</v>
      </c>
      <c r="E115" s="53">
        <f>D115/D118</f>
        <v>0.13363935395493309</v>
      </c>
      <c r="F115" s="11">
        <v>11030.25</v>
      </c>
      <c r="G115" s="9">
        <v>0.92</v>
      </c>
      <c r="H115" s="11">
        <f t="shared" si="8"/>
        <v>10147.83</v>
      </c>
    </row>
    <row r="116" spans="3:10" x14ac:dyDescent="0.3">
      <c r="C116" s="60" t="s">
        <v>31</v>
      </c>
      <c r="D116" s="56">
        <f>H116</f>
        <v>12538.563019518459</v>
      </c>
      <c r="E116" s="53">
        <f>D116/D118</f>
        <v>0.16512352507399727</v>
      </c>
      <c r="F116" s="11">
        <v>20932.492520064206</v>
      </c>
      <c r="G116" s="9">
        <v>0.59899999999999998</v>
      </c>
      <c r="H116" s="11">
        <f t="shared" si="8"/>
        <v>12538.563019518459</v>
      </c>
    </row>
    <row r="117" spans="3:10" x14ac:dyDescent="0.3">
      <c r="C117" s="60" t="s">
        <v>59</v>
      </c>
      <c r="D117" s="11">
        <v>34549.760000000002</v>
      </c>
      <c r="E117" s="53">
        <f>D117/D118</f>
        <v>0.45499457575639218</v>
      </c>
      <c r="F117" s="11">
        <v>34549.760000000002</v>
      </c>
      <c r="G117" s="9">
        <v>1</v>
      </c>
      <c r="H117" s="11">
        <v>34549.760000000002</v>
      </c>
      <c r="J117" s="9">
        <v>-1000</v>
      </c>
    </row>
    <row r="118" spans="3:10" ht="24" thickBot="1" x14ac:dyDescent="0.35">
      <c r="C118" s="61" t="s">
        <v>60</v>
      </c>
      <c r="D118" s="57">
        <f>SUM(D113:D117)</f>
        <v>75934.443707518454</v>
      </c>
      <c r="E118" s="54">
        <f>D118/D118</f>
        <v>1</v>
      </c>
    </row>
    <row r="119" spans="3:10" ht="24" thickBot="1" x14ac:dyDescent="0.35"/>
    <row r="120" spans="3:10" x14ac:dyDescent="0.3">
      <c r="D120" s="162">
        <v>20161108</v>
      </c>
      <c r="E120" s="163"/>
    </row>
    <row r="121" spans="3:10" ht="24" thickBot="1" x14ac:dyDescent="0.35">
      <c r="D121" s="105" t="s">
        <v>24</v>
      </c>
      <c r="E121" s="122" t="s">
        <v>42</v>
      </c>
      <c r="F121" s="11" t="s">
        <v>23</v>
      </c>
      <c r="G121" s="9" t="s">
        <v>82</v>
      </c>
      <c r="H121" s="11" t="s">
        <v>80</v>
      </c>
      <c r="I121" s="9" t="s">
        <v>164</v>
      </c>
      <c r="J121" s="9" t="s">
        <v>88</v>
      </c>
    </row>
    <row r="122" spans="3:10" x14ac:dyDescent="0.3">
      <c r="C122" s="58" t="s">
        <v>41</v>
      </c>
      <c r="D122" s="106">
        <f>F122*G122</f>
        <v>8865.3159999999989</v>
      </c>
      <c r="E122" s="107">
        <f>D122/D127</f>
        <v>0.1172047636836698</v>
      </c>
      <c r="F122" s="11">
        <v>8860</v>
      </c>
      <c r="G122" s="9">
        <v>1.0005999999999999</v>
      </c>
      <c r="H122" s="11">
        <f>F122*G122</f>
        <v>8865.3159999999989</v>
      </c>
      <c r="J122" s="9" t="s">
        <v>184</v>
      </c>
    </row>
    <row r="123" spans="3:10" x14ac:dyDescent="0.3">
      <c r="C123" s="59" t="s">
        <v>28</v>
      </c>
      <c r="D123" s="78">
        <f>H123</f>
        <v>13919.706966000002</v>
      </c>
      <c r="E123" s="53">
        <f>D123/D127</f>
        <v>0.18402682605966475</v>
      </c>
      <c r="F123" s="96">
        <f>9921.98-162.21+3997.6</f>
        <v>13757.37</v>
      </c>
      <c r="G123" s="9">
        <v>1.0118</v>
      </c>
      <c r="H123" s="11">
        <f t="shared" ref="H123:H125" si="9">F123*G123</f>
        <v>13919.706966000002</v>
      </c>
      <c r="J123" s="88"/>
    </row>
    <row r="124" spans="3:10" x14ac:dyDescent="0.3">
      <c r="C124" s="60" t="s">
        <v>30</v>
      </c>
      <c r="D124" s="56">
        <f>H124</f>
        <v>9971.3459999999995</v>
      </c>
      <c r="E124" s="53">
        <f>D124/D127</f>
        <v>0.13182713978138019</v>
      </c>
      <c r="F124" s="11">
        <v>11030.25</v>
      </c>
      <c r="G124" s="9">
        <v>0.90400000000000003</v>
      </c>
      <c r="H124" s="11">
        <f t="shared" si="9"/>
        <v>9971.3459999999995</v>
      </c>
    </row>
    <row r="125" spans="3:10" x14ac:dyDescent="0.3">
      <c r="C125" s="60" t="s">
        <v>31</v>
      </c>
      <c r="D125" s="56">
        <f>H125</f>
        <v>12333.42459282183</v>
      </c>
      <c r="E125" s="53">
        <f>D125/D127</f>
        <v>0.1630552272261975</v>
      </c>
      <c r="F125" s="11">
        <v>20932.492520064206</v>
      </c>
      <c r="G125" s="9">
        <v>0.58919999999999995</v>
      </c>
      <c r="H125" s="11">
        <f t="shared" si="9"/>
        <v>12333.42459282183</v>
      </c>
    </row>
    <row r="126" spans="3:10" x14ac:dyDescent="0.3">
      <c r="C126" s="60" t="s">
        <v>59</v>
      </c>
      <c r="D126" s="11">
        <v>30549.759999999998</v>
      </c>
      <c r="E126" s="53">
        <f>D126/D127</f>
        <v>0.40388604324908767</v>
      </c>
      <c r="F126" s="11">
        <v>30549.759999999998</v>
      </c>
      <c r="G126" s="9">
        <v>1</v>
      </c>
      <c r="H126" s="11">
        <v>30549.759999999998</v>
      </c>
      <c r="J126" s="9">
        <v>-1000</v>
      </c>
    </row>
    <row r="127" spans="3:10" ht="24" thickBot="1" x14ac:dyDescent="0.35">
      <c r="C127" s="61" t="s">
        <v>60</v>
      </c>
      <c r="D127" s="57">
        <f>SUM(D122:D126)</f>
        <v>75639.553558821834</v>
      </c>
      <c r="E127" s="54">
        <f>D127/D127</f>
        <v>1</v>
      </c>
    </row>
    <row r="128" spans="3:10" ht="24" thickBot="1" x14ac:dyDescent="0.35"/>
    <row r="129" spans="3:10" x14ac:dyDescent="0.3">
      <c r="D129" s="162">
        <v>20161108</v>
      </c>
      <c r="E129" s="163"/>
    </row>
    <row r="130" spans="3:10" ht="24" thickBot="1" x14ac:dyDescent="0.35">
      <c r="D130" s="105" t="s">
        <v>24</v>
      </c>
      <c r="E130" s="123" t="s">
        <v>42</v>
      </c>
      <c r="F130" s="11" t="s">
        <v>23</v>
      </c>
      <c r="G130" s="9" t="s">
        <v>82</v>
      </c>
      <c r="H130" s="11" t="s">
        <v>80</v>
      </c>
      <c r="J130" s="9">
        <f>F124-F133</f>
        <v>4572.0200000000004</v>
      </c>
    </row>
    <row r="131" spans="3:10" x14ac:dyDescent="0.3">
      <c r="C131" s="58" t="s">
        <v>41</v>
      </c>
      <c r="D131" s="106">
        <f>F131*G131</f>
        <v>12850.596955999999</v>
      </c>
      <c r="E131" s="107">
        <f>D131/D136</f>
        <v>0.1692065440679402</v>
      </c>
      <c r="F131" s="11">
        <f>4017.64+8860</f>
        <v>12877.64</v>
      </c>
      <c r="G131" s="9">
        <v>0.99790000000000001</v>
      </c>
      <c r="H131" s="11">
        <f>F131*G131</f>
        <v>12850.596955999999</v>
      </c>
    </row>
    <row r="132" spans="3:10" x14ac:dyDescent="0.3">
      <c r="C132" s="59" t="s">
        <v>28</v>
      </c>
      <c r="D132" s="78">
        <f>H132</f>
        <v>13579.7914</v>
      </c>
      <c r="E132" s="53">
        <f>D132/D136</f>
        <v>0.17880800244728609</v>
      </c>
      <c r="F132" s="96">
        <f>9921.98-162.21+3997.6+99.56</f>
        <v>13856.93</v>
      </c>
      <c r="G132" s="9">
        <v>0.98</v>
      </c>
      <c r="H132" s="11">
        <f t="shared" ref="H132:H133" si="10">F132*G132</f>
        <v>13579.7914</v>
      </c>
    </row>
    <row r="133" spans="3:10" x14ac:dyDescent="0.3">
      <c r="C133" s="60" t="s">
        <v>30</v>
      </c>
      <c r="D133" s="56">
        <f>H133</f>
        <v>6090.110889999999</v>
      </c>
      <c r="E133" s="53">
        <f>D133/D136</f>
        <v>8.0189785752037668E-2</v>
      </c>
      <c r="F133" s="11">
        <f>11030.25-4572.02</f>
        <v>6458.23</v>
      </c>
      <c r="G133" s="9">
        <v>0.94299999999999995</v>
      </c>
      <c r="H133" s="11">
        <f t="shared" si="10"/>
        <v>6090.110889999999</v>
      </c>
    </row>
    <row r="134" spans="3:10" x14ac:dyDescent="0.3">
      <c r="C134" s="60" t="s">
        <v>31</v>
      </c>
      <c r="D134" s="56">
        <v>0</v>
      </c>
      <c r="E134" s="53">
        <v>0</v>
      </c>
      <c r="F134" s="11">
        <v>0</v>
      </c>
      <c r="G134" s="9">
        <v>0</v>
      </c>
      <c r="H134" s="11">
        <v>0</v>
      </c>
    </row>
    <row r="135" spans="3:10" x14ac:dyDescent="0.3">
      <c r="C135" s="60" t="s">
        <v>59</v>
      </c>
      <c r="D135" s="53">
        <v>43425.718004558585</v>
      </c>
      <c r="E135" s="53">
        <f>D135/D136</f>
        <v>0.57179566773273616</v>
      </c>
      <c r="F135" s="53">
        <v>43425.718004558585</v>
      </c>
      <c r="G135" s="9">
        <v>1</v>
      </c>
      <c r="H135" s="53">
        <v>43425.718004558585</v>
      </c>
    </row>
    <row r="136" spans="3:10" ht="24" thickBot="1" x14ac:dyDescent="0.35">
      <c r="C136" s="61" t="s">
        <v>60</v>
      </c>
      <c r="D136" s="57">
        <f>SUM(D131:D135)</f>
        <v>75946.217250558577</v>
      </c>
      <c r="E136" s="54">
        <f>D136/D136</f>
        <v>1</v>
      </c>
    </row>
    <row r="137" spans="3:10" ht="24" thickBot="1" x14ac:dyDescent="0.35"/>
    <row r="138" spans="3:10" x14ac:dyDescent="0.3">
      <c r="D138" s="162">
        <v>20161122</v>
      </c>
      <c r="E138" s="163"/>
      <c r="F138" s="11" t="s">
        <v>199</v>
      </c>
    </row>
    <row r="139" spans="3:10" ht="24" thickBot="1" x14ac:dyDescent="0.35">
      <c r="D139" s="105" t="s">
        <v>24</v>
      </c>
      <c r="E139" s="124" t="s">
        <v>42</v>
      </c>
      <c r="F139" s="11" t="s">
        <v>23</v>
      </c>
      <c r="G139" s="9" t="s">
        <v>82</v>
      </c>
      <c r="H139" s="11" t="s">
        <v>80</v>
      </c>
    </row>
    <row r="140" spans="3:10" x14ac:dyDescent="0.3">
      <c r="C140" s="58" t="s">
        <v>41</v>
      </c>
      <c r="D140" s="106">
        <f>F140*G140</f>
        <v>13050.200376000001</v>
      </c>
      <c r="E140" s="107">
        <f>D140/D145</f>
        <v>0.17146439758432711</v>
      </c>
      <c r="F140" s="11">
        <f>4017.64+8860</f>
        <v>12877.64</v>
      </c>
      <c r="G140" s="9">
        <v>1.0134000000000001</v>
      </c>
      <c r="H140" s="11">
        <f>F140*G140</f>
        <v>13050.200376000001</v>
      </c>
    </row>
    <row r="141" spans="3:10" x14ac:dyDescent="0.3">
      <c r="C141" s="59" t="s">
        <v>28</v>
      </c>
      <c r="D141" s="78">
        <f>H141</f>
        <v>13550.691847</v>
      </c>
      <c r="E141" s="53">
        <f>D141/D145</f>
        <v>0.17804027121833885</v>
      </c>
      <c r="F141" s="96">
        <f>9921.98-162.21+3997.6+99.56</f>
        <v>13856.93</v>
      </c>
      <c r="G141" s="9">
        <v>0.97789999999999999</v>
      </c>
      <c r="H141" s="11">
        <f t="shared" ref="H141:H142" si="11">F141*G141</f>
        <v>13550.691847</v>
      </c>
    </row>
    <row r="142" spans="3:10" x14ac:dyDescent="0.3">
      <c r="C142" s="60" t="s">
        <v>30</v>
      </c>
      <c r="D142" s="56">
        <f>H142</f>
        <v>6083.6526599999988</v>
      </c>
      <c r="E142" s="53">
        <f>D142/D145</f>
        <v>7.9932093638773488E-2</v>
      </c>
      <c r="F142" s="11">
        <f>11030.25-4572.02</f>
        <v>6458.23</v>
      </c>
      <c r="G142" s="9">
        <v>0.94199999999999995</v>
      </c>
      <c r="H142" s="11">
        <f t="shared" si="11"/>
        <v>6083.6526599999988</v>
      </c>
    </row>
    <row r="143" spans="3:10" x14ac:dyDescent="0.3">
      <c r="C143" s="60" t="s">
        <v>31</v>
      </c>
      <c r="D143" s="56">
        <v>0</v>
      </c>
      <c r="E143" s="53">
        <v>0</v>
      </c>
      <c r="F143" s="11">
        <v>0</v>
      </c>
      <c r="G143" s="9">
        <v>0</v>
      </c>
      <c r="H143" s="11">
        <v>0</v>
      </c>
    </row>
    <row r="144" spans="3:10" x14ac:dyDescent="0.3">
      <c r="C144" s="60" t="s">
        <v>59</v>
      </c>
      <c r="D144" s="53">
        <v>43425.718004558585</v>
      </c>
      <c r="E144" s="53">
        <f>D144/D145</f>
        <v>0.57056323755856064</v>
      </c>
      <c r="F144" s="53">
        <v>43425.718004558585</v>
      </c>
      <c r="G144" s="9">
        <v>1</v>
      </c>
      <c r="H144" s="53">
        <v>43425.718004558585</v>
      </c>
    </row>
    <row r="145" spans="3:8" ht="24" thickBot="1" x14ac:dyDescent="0.35">
      <c r="C145" s="61" t="s">
        <v>60</v>
      </c>
      <c r="D145" s="57">
        <f>SUM(D140:D144)</f>
        <v>76110.26288755858</v>
      </c>
      <c r="E145" s="54">
        <f>D145/D145</f>
        <v>1</v>
      </c>
    </row>
    <row r="146" spans="3:8" x14ac:dyDescent="0.3">
      <c r="D146" s="162">
        <v>20161122</v>
      </c>
      <c r="E146" s="163"/>
      <c r="F146" s="11" t="s">
        <v>200</v>
      </c>
    </row>
    <row r="147" spans="3:8" ht="24" thickBot="1" x14ac:dyDescent="0.35">
      <c r="D147" s="105" t="s">
        <v>24</v>
      </c>
      <c r="E147" s="124" t="s">
        <v>42</v>
      </c>
      <c r="F147" s="11" t="s">
        <v>23</v>
      </c>
      <c r="G147" s="9" t="s">
        <v>82</v>
      </c>
      <c r="H147" s="11" t="s">
        <v>80</v>
      </c>
    </row>
    <row r="148" spans="3:8" x14ac:dyDescent="0.3">
      <c r="C148" s="58" t="s">
        <v>41</v>
      </c>
      <c r="D148" s="106">
        <f>F148*G148</f>
        <v>13050.200376000001</v>
      </c>
      <c r="E148" s="107">
        <f>D148/D153</f>
        <v>0.16073895441199609</v>
      </c>
      <c r="F148" s="11">
        <f>4017.64+8860</f>
        <v>12877.64</v>
      </c>
      <c r="G148" s="9">
        <v>1.0134000000000001</v>
      </c>
      <c r="H148" s="11">
        <f>F148*G148</f>
        <v>13050.200376000001</v>
      </c>
    </row>
    <row r="149" spans="3:8" x14ac:dyDescent="0.3">
      <c r="C149" s="59" t="s">
        <v>28</v>
      </c>
      <c r="D149" s="78">
        <f>H149</f>
        <v>13550.691847</v>
      </c>
      <c r="E149" s="53">
        <f>D149/D153</f>
        <v>0.16690349391505313</v>
      </c>
      <c r="F149" s="96">
        <f>9921.98-162.21+3997.6+99.56</f>
        <v>13856.93</v>
      </c>
      <c r="G149" s="9">
        <v>0.97789999999999999</v>
      </c>
      <c r="H149" s="11">
        <f t="shared" ref="H149:H150" si="12">F149*G149</f>
        <v>13550.691847</v>
      </c>
    </row>
    <row r="150" spans="3:8" x14ac:dyDescent="0.3">
      <c r="C150" s="60" t="s">
        <v>30</v>
      </c>
      <c r="D150" s="56">
        <f>H150</f>
        <v>6083.6526599999988</v>
      </c>
      <c r="E150" s="53">
        <f>D150/D153</f>
        <v>7.4932180303723978E-2</v>
      </c>
      <c r="F150" s="11">
        <f>11030.25-4572.02</f>
        <v>6458.23</v>
      </c>
      <c r="G150" s="9">
        <v>0.94199999999999995</v>
      </c>
      <c r="H150" s="11">
        <f t="shared" si="12"/>
        <v>6083.6526599999988</v>
      </c>
    </row>
    <row r="151" spans="3:8" x14ac:dyDescent="0.3">
      <c r="C151" s="60" t="s">
        <v>31</v>
      </c>
      <c r="D151" s="56">
        <v>0</v>
      </c>
      <c r="E151" s="53">
        <v>0</v>
      </c>
      <c r="F151" s="11">
        <v>0</v>
      </c>
      <c r="G151" s="9">
        <v>0</v>
      </c>
      <c r="H151" s="11">
        <v>0</v>
      </c>
    </row>
    <row r="152" spans="3:8" x14ac:dyDescent="0.3">
      <c r="C152" s="60" t="s">
        <v>59</v>
      </c>
      <c r="D152" s="53">
        <v>48504.2399</v>
      </c>
      <c r="E152" s="53">
        <f>D152/D153</f>
        <v>0.59742537136922669</v>
      </c>
      <c r="F152" s="53">
        <v>48504.2399</v>
      </c>
      <c r="G152" s="9">
        <v>1</v>
      </c>
      <c r="H152" s="53">
        <v>48504.2399</v>
      </c>
    </row>
    <row r="153" spans="3:8" ht="24" thickBot="1" x14ac:dyDescent="0.35">
      <c r="C153" s="61" t="s">
        <v>60</v>
      </c>
      <c r="D153" s="57">
        <f>SUM(D148:D152)</f>
        <v>81188.78478300001</v>
      </c>
      <c r="E153" s="54">
        <f>D153/D153</f>
        <v>1</v>
      </c>
    </row>
    <row r="154" spans="3:8" x14ac:dyDescent="0.3">
      <c r="D154" s="162">
        <v>20161209</v>
      </c>
      <c r="E154" s="163"/>
      <c r="F154" s="11" t="s">
        <v>200</v>
      </c>
    </row>
    <row r="155" spans="3:8" ht="24" thickBot="1" x14ac:dyDescent="0.35">
      <c r="D155" s="105" t="s">
        <v>24</v>
      </c>
      <c r="E155" s="126" t="s">
        <v>42</v>
      </c>
      <c r="F155" s="11" t="s">
        <v>23</v>
      </c>
      <c r="G155" s="9" t="s">
        <v>82</v>
      </c>
      <c r="H155" s="11" t="s">
        <v>80</v>
      </c>
    </row>
    <row r="156" spans="3:8" x14ac:dyDescent="0.3">
      <c r="C156" s="58" t="s">
        <v>41</v>
      </c>
      <c r="D156" s="106">
        <f>F156*G156</f>
        <v>13542.126224000001</v>
      </c>
      <c r="E156" s="107">
        <f>D156/D160</f>
        <v>0.1653364075124574</v>
      </c>
      <c r="F156" s="11">
        <f>4017.64+8860</f>
        <v>12877.64</v>
      </c>
      <c r="G156" s="9">
        <v>1.0516000000000001</v>
      </c>
      <c r="H156" s="11">
        <f>F156*G156</f>
        <v>13542.126224000001</v>
      </c>
    </row>
    <row r="157" spans="3:8" x14ac:dyDescent="0.3">
      <c r="C157" s="59" t="s">
        <v>28</v>
      </c>
      <c r="D157" s="78">
        <f>H157</f>
        <v>13356.694826999999</v>
      </c>
      <c r="E157" s="53">
        <f>D157/D160</f>
        <v>0.16307246752896631</v>
      </c>
      <c r="F157" s="96">
        <f>9921.98-162.21+3997.6+99.56</f>
        <v>13856.93</v>
      </c>
      <c r="G157" s="9">
        <v>0.96389999999999998</v>
      </c>
      <c r="H157" s="11">
        <f t="shared" ref="H157:H158" si="13">F157*G157</f>
        <v>13356.694826999999</v>
      </c>
    </row>
    <row r="158" spans="3:8" x14ac:dyDescent="0.3">
      <c r="C158" s="60" t="s">
        <v>30</v>
      </c>
      <c r="D158" s="56">
        <f>H158</f>
        <v>6503.437609999999</v>
      </c>
      <c r="E158" s="53">
        <f>D158/D160</f>
        <v>7.9400752373226566E-2</v>
      </c>
      <c r="F158" s="11">
        <f>11030.25-4572.02</f>
        <v>6458.23</v>
      </c>
      <c r="G158" s="9">
        <v>1.0069999999999999</v>
      </c>
      <c r="H158" s="11">
        <f t="shared" si="13"/>
        <v>6503.437609999999</v>
      </c>
    </row>
    <row r="159" spans="3:8" x14ac:dyDescent="0.3">
      <c r="C159" s="60" t="s">
        <v>59</v>
      </c>
      <c r="D159" s="53">
        <v>48504.2399</v>
      </c>
      <c r="E159" s="53">
        <f>D159/D160</f>
        <v>0.59219037258534968</v>
      </c>
      <c r="F159" s="53">
        <v>48504.2399</v>
      </c>
      <c r="G159" s="9">
        <v>1</v>
      </c>
      <c r="H159" s="53">
        <v>48504.2399</v>
      </c>
    </row>
    <row r="160" spans="3:8" ht="24" thickBot="1" x14ac:dyDescent="0.35">
      <c r="C160" s="61" t="s">
        <v>60</v>
      </c>
      <c r="D160" s="57">
        <f>SUM(D156:D159)</f>
        <v>81906.498561</v>
      </c>
      <c r="E160" s="54">
        <f>D160/D160</f>
        <v>1</v>
      </c>
    </row>
    <row r="161" spans="3:9" x14ac:dyDescent="0.3">
      <c r="D161" s="162">
        <v>20161209</v>
      </c>
      <c r="E161" s="163"/>
      <c r="F161" s="11" t="s">
        <v>203</v>
      </c>
    </row>
    <row r="162" spans="3:9" ht="24" thickBot="1" x14ac:dyDescent="0.35">
      <c r="D162" s="105" t="s">
        <v>24</v>
      </c>
      <c r="E162" s="127" t="s">
        <v>42</v>
      </c>
      <c r="F162" s="11" t="s">
        <v>23</v>
      </c>
      <c r="G162" s="9" t="s">
        <v>82</v>
      </c>
      <c r="H162" s="11" t="s">
        <v>80</v>
      </c>
    </row>
    <row r="163" spans="3:9" x14ac:dyDescent="0.3">
      <c r="C163" s="58" t="s">
        <v>41</v>
      </c>
      <c r="D163" s="106">
        <f>F163*G163</f>
        <v>13542.126224000001</v>
      </c>
      <c r="E163" s="107">
        <f>D163/D167</f>
        <v>0.16566895295187126</v>
      </c>
      <c r="F163" s="11">
        <f>4017.64+8860</f>
        <v>12877.64</v>
      </c>
      <c r="G163" s="9">
        <v>1.0516000000000001</v>
      </c>
      <c r="H163" s="11">
        <f>F163*G163</f>
        <v>13542.126224000001</v>
      </c>
    </row>
    <row r="164" spans="3:9" x14ac:dyDescent="0.3">
      <c r="C164" s="59" t="s">
        <v>28</v>
      </c>
      <c r="D164" s="78">
        <f>H164</f>
        <v>13356.694826999999</v>
      </c>
      <c r="E164" s="53">
        <f>D164/D167</f>
        <v>0.16340045944669707</v>
      </c>
      <c r="F164" s="96">
        <f>9921.98-162.21+3997.6+99.56</f>
        <v>13856.93</v>
      </c>
      <c r="G164" s="9">
        <v>0.96389999999999998</v>
      </c>
      <c r="H164" s="11">
        <f t="shared" ref="H164:H165" si="14">F164*G164</f>
        <v>13356.694826999999</v>
      </c>
      <c r="I164" s="164">
        <f>F164-9859.33</f>
        <v>3997.6000000000004</v>
      </c>
    </row>
    <row r="165" spans="3:9" x14ac:dyDescent="0.3">
      <c r="C165" s="60" t="s">
        <v>30</v>
      </c>
      <c r="D165" s="56">
        <f>H165</f>
        <v>6503.437609999999</v>
      </c>
      <c r="E165" s="53">
        <f>D165/D167</f>
        <v>7.956045318253413E-2</v>
      </c>
      <c r="F165" s="11">
        <f>11030.25-4572.02</f>
        <v>6458.23</v>
      </c>
      <c r="G165" s="9">
        <v>1.0069999999999999</v>
      </c>
      <c r="H165" s="11">
        <f t="shared" si="14"/>
        <v>6503.437609999999</v>
      </c>
    </row>
    <row r="166" spans="3:9" x14ac:dyDescent="0.3">
      <c r="C166" s="60" t="s">
        <v>59</v>
      </c>
      <c r="D166" s="53">
        <v>48339.829899999997</v>
      </c>
      <c r="E166" s="53">
        <f>D166/D167</f>
        <v>0.59137013441889752</v>
      </c>
      <c r="F166" s="53">
        <v>48339.829899999997</v>
      </c>
      <c r="G166" s="9">
        <v>1</v>
      </c>
      <c r="H166" s="53">
        <v>48339.829899999997</v>
      </c>
    </row>
    <row r="167" spans="3:9" ht="24" thickBot="1" x14ac:dyDescent="0.35">
      <c r="C167" s="61" t="s">
        <v>60</v>
      </c>
      <c r="D167" s="57">
        <f>SUM(D163:D166)</f>
        <v>81742.088560999997</v>
      </c>
      <c r="E167" s="54">
        <f>D167/D167</f>
        <v>1</v>
      </c>
    </row>
    <row r="168" spans="3:9" x14ac:dyDescent="0.3">
      <c r="D168" s="162">
        <v>20161210</v>
      </c>
      <c r="E168" s="163"/>
      <c r="F168" s="11" t="s">
        <v>204</v>
      </c>
    </row>
    <row r="169" spans="3:9" ht="24" thickBot="1" x14ac:dyDescent="0.35">
      <c r="D169" s="105" t="s">
        <v>24</v>
      </c>
      <c r="E169" s="127" t="s">
        <v>42</v>
      </c>
      <c r="F169" s="11" t="s">
        <v>23</v>
      </c>
      <c r="G169" s="9" t="s">
        <v>82</v>
      </c>
      <c r="H169" s="11" t="s">
        <v>80</v>
      </c>
    </row>
    <row r="170" spans="3:9" x14ac:dyDescent="0.3">
      <c r="C170" s="58" t="s">
        <v>41</v>
      </c>
      <c r="D170" s="106">
        <f>F170*G170</f>
        <v>13542.126224000001</v>
      </c>
      <c r="E170" s="107">
        <f>D170/D174</f>
        <v>0.16505493777538569</v>
      </c>
      <c r="F170" s="11">
        <f>4017.64+8860</f>
        <v>12877.64</v>
      </c>
      <c r="G170" s="9">
        <v>1.0516000000000001</v>
      </c>
      <c r="H170" s="11">
        <f>F170*G170</f>
        <v>13542.126224000001</v>
      </c>
    </row>
    <row r="171" spans="3:9" x14ac:dyDescent="0.3">
      <c r="C171" s="59" t="s">
        <v>28</v>
      </c>
      <c r="D171" s="78">
        <f>H171</f>
        <v>9438.336609</v>
      </c>
      <c r="E171" s="53">
        <f>D171/D174</f>
        <v>0.11503688829459841</v>
      </c>
      <c r="F171" s="96">
        <v>9859.33</v>
      </c>
      <c r="G171" s="9">
        <v>0.95730000000000004</v>
      </c>
      <c r="H171" s="11">
        <f t="shared" ref="H171:H172" si="15">F171*G171</f>
        <v>9438.336609</v>
      </c>
      <c r="I171" s="164">
        <f>F171-9859.33</f>
        <v>0</v>
      </c>
    </row>
    <row r="172" spans="3:9" x14ac:dyDescent="0.3">
      <c r="C172" s="60" t="s">
        <v>30</v>
      </c>
      <c r="D172" s="56">
        <f>H172</f>
        <v>6072.4617499999995</v>
      </c>
      <c r="E172" s="53">
        <f>D172/D174</f>
        <v>7.4012734758988868E-2</v>
      </c>
      <c r="F172" s="11">
        <v>6030.25</v>
      </c>
      <c r="G172" s="9">
        <v>1.0069999999999999</v>
      </c>
      <c r="H172" s="11">
        <f t="shared" si="15"/>
        <v>6072.4617499999995</v>
      </c>
    </row>
    <row r="173" spans="3:9" x14ac:dyDescent="0.3">
      <c r="C173" s="60" t="s">
        <v>59</v>
      </c>
      <c r="D173" s="53">
        <v>52993.249899999995</v>
      </c>
      <c r="E173" s="53">
        <f>D173/D174</f>
        <v>0.6458954391710271</v>
      </c>
      <c r="F173" s="53">
        <v>52993.249899999995</v>
      </c>
      <c r="G173" s="53">
        <v>1</v>
      </c>
      <c r="H173" s="53">
        <v>52993.249899999995</v>
      </c>
    </row>
    <row r="174" spans="3:9" ht="24" thickBot="1" x14ac:dyDescent="0.35">
      <c r="C174" s="61" t="s">
        <v>60</v>
      </c>
      <c r="D174" s="57">
        <f>SUM(D170:D173)</f>
        <v>82046.174482999995</v>
      </c>
      <c r="E174" s="54">
        <f>D174/D174</f>
        <v>1</v>
      </c>
    </row>
    <row r="177" spans="10:11" x14ac:dyDescent="0.3">
      <c r="J177" s="9">
        <v>4572.0200000000004</v>
      </c>
    </row>
    <row r="179" spans="10:11" x14ac:dyDescent="0.3">
      <c r="J179" s="9">
        <v>6030.25</v>
      </c>
      <c r="K179" s="9">
        <f>J177+J179</f>
        <v>10602.27</v>
      </c>
    </row>
    <row r="180" spans="10:11" x14ac:dyDescent="0.3">
      <c r="J180" s="9">
        <v>1.0069999999999999</v>
      </c>
    </row>
    <row r="181" spans="10:11" x14ac:dyDescent="0.3">
      <c r="J181" s="9">
        <f>J179*J180</f>
        <v>6072.4617499999995</v>
      </c>
    </row>
  </sheetData>
  <mergeCells count="19">
    <mergeCell ref="D161:E161"/>
    <mergeCell ref="D168:E168"/>
    <mergeCell ref="D56:E56"/>
    <mergeCell ref="D4:E4"/>
    <mergeCell ref="D15:E15"/>
    <mergeCell ref="D25:E25"/>
    <mergeCell ref="D35:E35"/>
    <mergeCell ref="D45:E45"/>
    <mergeCell ref="D154:E154"/>
    <mergeCell ref="D93:E93"/>
    <mergeCell ref="D84:E84"/>
    <mergeCell ref="D75:E75"/>
    <mergeCell ref="D66:E66"/>
    <mergeCell ref="D138:E138"/>
    <mergeCell ref="D146:E146"/>
    <mergeCell ref="D129:E129"/>
    <mergeCell ref="D120:E120"/>
    <mergeCell ref="D102:E102"/>
    <mergeCell ref="D111:E111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7"/>
  <sheetViews>
    <sheetView workbookViewId="0">
      <selection activeCell="G1" sqref="G1:G1048576"/>
    </sheetView>
  </sheetViews>
  <sheetFormatPr baseColWidth="10" defaultRowHeight="15" x14ac:dyDescent="0.15"/>
  <cols>
    <col min="6" max="7" width="23.83203125" customWidth="1"/>
    <col min="8" max="8" width="25.1640625" customWidth="1"/>
    <col min="9" max="9" width="51.83203125" customWidth="1"/>
  </cols>
  <sheetData>
    <row r="4" spans="1:9" x14ac:dyDescent="0.15">
      <c r="B4" t="s">
        <v>128</v>
      </c>
      <c r="C4" t="s">
        <v>130</v>
      </c>
      <c r="D4" t="s">
        <v>131</v>
      </c>
      <c r="E4" t="s">
        <v>137</v>
      </c>
      <c r="F4" t="s">
        <v>23</v>
      </c>
      <c r="G4" t="s">
        <v>136</v>
      </c>
      <c r="H4" t="s">
        <v>22</v>
      </c>
      <c r="I4" t="s">
        <v>126</v>
      </c>
    </row>
    <row r="5" spans="1:9" x14ac:dyDescent="0.15">
      <c r="A5">
        <v>20160921</v>
      </c>
      <c r="B5">
        <v>216</v>
      </c>
      <c r="C5" t="s">
        <v>105</v>
      </c>
      <c r="D5" t="s">
        <v>132</v>
      </c>
      <c r="E5">
        <v>0</v>
      </c>
      <c r="F5">
        <v>42241.769713341804</v>
      </c>
      <c r="G5">
        <v>2.9109582199993157E-5</v>
      </c>
      <c r="H5">
        <v>0.99997089041779996</v>
      </c>
      <c r="I5">
        <v>42241.769713341804</v>
      </c>
    </row>
    <row r="6" spans="1:9" ht="23" x14ac:dyDescent="0.3">
      <c r="B6" t="s">
        <v>125</v>
      </c>
      <c r="C6" t="s">
        <v>105</v>
      </c>
      <c r="D6" t="s">
        <v>132</v>
      </c>
      <c r="E6">
        <v>0</v>
      </c>
      <c r="F6" s="66">
        <v>21407.503456658196</v>
      </c>
      <c r="G6">
        <v>2.9109582199993157E-5</v>
      </c>
      <c r="H6">
        <v>0.99997089041779996</v>
      </c>
      <c r="I6" s="66">
        <f>F6*H6</f>
        <v>21406.880293176626</v>
      </c>
    </row>
    <row r="7" spans="1:9" ht="23" x14ac:dyDescent="0.3">
      <c r="B7" t="s">
        <v>125</v>
      </c>
      <c r="C7" t="s">
        <v>134</v>
      </c>
      <c r="D7" t="s">
        <v>135</v>
      </c>
      <c r="E7">
        <f>F7*G7</f>
        <v>0.62316348156822943</v>
      </c>
      <c r="F7" s="66">
        <v>21407.503456658196</v>
      </c>
      <c r="G7">
        <v>2.9109582199993157E-5</v>
      </c>
      <c r="H7">
        <v>0.99997089041779996</v>
      </c>
      <c r="I7" s="66">
        <f>F7*H7</f>
        <v>21406.880293176626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3" sqref="E13"/>
    </sheetView>
  </sheetViews>
  <sheetFormatPr baseColWidth="10" defaultRowHeight="15" x14ac:dyDescent="0.15"/>
  <cols>
    <col min="2" max="2" width="35.83203125" customWidth="1"/>
    <col min="9" max="9" width="37.1640625" customWidth="1"/>
  </cols>
  <sheetData>
    <row r="2" spans="1:9" ht="16" thickBot="1" x14ac:dyDescent="0.2">
      <c r="A2" t="s">
        <v>73</v>
      </c>
      <c r="B2" t="s">
        <v>64</v>
      </c>
      <c r="C2" t="s">
        <v>65</v>
      </c>
      <c r="D2" t="s">
        <v>92</v>
      </c>
      <c r="E2" t="s">
        <v>74</v>
      </c>
      <c r="F2" t="s">
        <v>71</v>
      </c>
      <c r="G2" t="s">
        <v>60</v>
      </c>
      <c r="H2" t="s">
        <v>23</v>
      </c>
      <c r="I2" t="s">
        <v>66</v>
      </c>
    </row>
    <row r="3" spans="1:9" ht="23" x14ac:dyDescent="0.3">
      <c r="A3">
        <v>20160722</v>
      </c>
      <c r="B3" s="58" t="s">
        <v>41</v>
      </c>
      <c r="C3" t="s">
        <v>70</v>
      </c>
      <c r="D3">
        <v>1000</v>
      </c>
      <c r="I3" t="s">
        <v>72</v>
      </c>
    </row>
    <row r="4" spans="1:9" ht="23" x14ac:dyDescent="0.3">
      <c r="A4">
        <v>20160816</v>
      </c>
      <c r="B4" s="60" t="s">
        <v>31</v>
      </c>
      <c r="C4" t="s">
        <v>91</v>
      </c>
      <c r="D4">
        <v>1000</v>
      </c>
    </row>
    <row r="5" spans="1:9" ht="23" x14ac:dyDescent="0.15">
      <c r="A5">
        <v>20160816</v>
      </c>
      <c r="B5" s="59" t="s">
        <v>28</v>
      </c>
      <c r="C5" t="s">
        <v>91</v>
      </c>
      <c r="D5">
        <v>3000</v>
      </c>
    </row>
    <row r="6" spans="1:9" ht="23" x14ac:dyDescent="0.3">
      <c r="A6">
        <v>20160829</v>
      </c>
      <c r="B6" s="60" t="s">
        <v>30</v>
      </c>
      <c r="C6" t="s">
        <v>70</v>
      </c>
      <c r="D6" t="s">
        <v>112</v>
      </c>
      <c r="E6">
        <v>0.91600000000000004</v>
      </c>
      <c r="F6">
        <v>2.29</v>
      </c>
      <c r="I6" t="s">
        <v>116</v>
      </c>
    </row>
    <row r="7" spans="1:9" ht="23" x14ac:dyDescent="0.3">
      <c r="A7">
        <v>20160907</v>
      </c>
      <c r="B7" s="60" t="s">
        <v>29</v>
      </c>
      <c r="C7" t="s">
        <v>70</v>
      </c>
      <c r="D7" s="11">
        <v>193.32</v>
      </c>
      <c r="E7">
        <v>0.90600000000000003</v>
      </c>
      <c r="F7">
        <v>1.63</v>
      </c>
      <c r="G7">
        <f>ROUND(E7*D7-F7,2)</f>
        <v>173.52</v>
      </c>
      <c r="I7" t="s">
        <v>119</v>
      </c>
    </row>
    <row r="8" spans="1:9" ht="24" thickBot="1" x14ac:dyDescent="0.35">
      <c r="A8">
        <v>20160930</v>
      </c>
      <c r="B8" s="60" t="s">
        <v>31</v>
      </c>
      <c r="C8" t="s">
        <v>91</v>
      </c>
      <c r="D8">
        <v>1000</v>
      </c>
      <c r="E8">
        <v>0.623</v>
      </c>
      <c r="F8">
        <v>14.78</v>
      </c>
      <c r="H8">
        <f>(D8-F8)/E8</f>
        <v>1581.4125200642054</v>
      </c>
      <c r="I8" t="s">
        <v>174</v>
      </c>
    </row>
    <row r="9" spans="1:9" ht="24" thickBot="1" x14ac:dyDescent="0.35">
      <c r="A9">
        <v>161103</v>
      </c>
      <c r="B9" s="58" t="s">
        <v>41</v>
      </c>
      <c r="C9" t="s">
        <v>91</v>
      </c>
      <c r="D9">
        <v>5000</v>
      </c>
    </row>
    <row r="10" spans="1:9" ht="23" x14ac:dyDescent="0.3">
      <c r="A10">
        <v>161105</v>
      </c>
      <c r="B10" s="58" t="s">
        <v>41</v>
      </c>
      <c r="C10" t="s">
        <v>91</v>
      </c>
      <c r="D10">
        <v>900</v>
      </c>
    </row>
    <row r="11" spans="1:9" ht="24" thickBot="1" x14ac:dyDescent="0.2">
      <c r="A11">
        <v>20161108</v>
      </c>
      <c r="B11" s="59" t="s">
        <v>28</v>
      </c>
      <c r="C11" t="s">
        <v>91</v>
      </c>
      <c r="D11">
        <v>100</v>
      </c>
      <c r="E11">
        <v>1.0044</v>
      </c>
      <c r="H11">
        <v>99.56</v>
      </c>
      <c r="I11" t="s">
        <v>190</v>
      </c>
    </row>
    <row r="12" spans="1:9" ht="23" x14ac:dyDescent="0.3">
      <c r="A12">
        <v>161108</v>
      </c>
      <c r="B12" s="58" t="s">
        <v>41</v>
      </c>
      <c r="C12" t="s">
        <v>91</v>
      </c>
      <c r="D12">
        <v>4100</v>
      </c>
      <c r="E12">
        <v>1.0205</v>
      </c>
      <c r="H12" s="125">
        <v>4017.64</v>
      </c>
      <c r="I12" t="s">
        <v>191</v>
      </c>
    </row>
    <row r="13" spans="1:9" ht="23" x14ac:dyDescent="0.3">
      <c r="A13">
        <v>20161109</v>
      </c>
      <c r="B13" s="60" t="s">
        <v>31</v>
      </c>
      <c r="C13" t="s">
        <v>70</v>
      </c>
      <c r="D13">
        <f>E13*H13-F13</f>
        <v>12503.938004558588</v>
      </c>
      <c r="E13">
        <v>0.60099999999999998</v>
      </c>
      <c r="F13">
        <v>76.489999999999995</v>
      </c>
      <c r="H13" s="11">
        <v>20932.492520064206</v>
      </c>
    </row>
    <row r="14" spans="1:9" ht="23" x14ac:dyDescent="0.3">
      <c r="A14">
        <v>20161109</v>
      </c>
      <c r="B14" s="60" t="s">
        <v>30</v>
      </c>
      <c r="C14" t="s">
        <v>70</v>
      </c>
      <c r="D14">
        <f>E14*H14-F14</f>
        <v>4572.0200000000004</v>
      </c>
      <c r="E14">
        <v>0.91900000000000004</v>
      </c>
      <c r="F14">
        <v>22.98</v>
      </c>
      <c r="H14">
        <v>5000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63"/>
  <sheetViews>
    <sheetView topLeftCell="A40" workbookViewId="0">
      <selection activeCell="I63" sqref="I63"/>
    </sheetView>
  </sheetViews>
  <sheetFormatPr baseColWidth="10" defaultRowHeight="15" x14ac:dyDescent="0.15"/>
  <cols>
    <col min="3" max="3" width="46.5" customWidth="1"/>
    <col min="4" max="4" width="10.83203125" style="7"/>
    <col min="5" max="5" width="10.83203125" customWidth="1"/>
    <col min="7" max="7" width="7.5" style="92" bestFit="1" customWidth="1"/>
    <col min="8" max="8" width="13.33203125" customWidth="1"/>
    <col min="10" max="10" width="19" customWidth="1"/>
  </cols>
  <sheetData>
    <row r="2" spans="2:9" x14ac:dyDescent="0.15">
      <c r="B2">
        <v>201608</v>
      </c>
    </row>
    <row r="3" spans="2:9" x14ac:dyDescent="0.15">
      <c r="B3" t="s">
        <v>95</v>
      </c>
      <c r="C3">
        <v>23888.746299999901</v>
      </c>
    </row>
    <row r="4" spans="2:9" x14ac:dyDescent="0.15">
      <c r="B4" t="s">
        <v>113</v>
      </c>
      <c r="C4">
        <f>C3*(1+0.02/12/2)</f>
        <v>23908.653588583231</v>
      </c>
    </row>
    <row r="5" spans="2:9" x14ac:dyDescent="0.15">
      <c r="B5" s="89" t="s">
        <v>73</v>
      </c>
      <c r="C5" s="89" t="s">
        <v>97</v>
      </c>
      <c r="D5" s="94" t="s">
        <v>98</v>
      </c>
      <c r="E5" s="89" t="s">
        <v>23</v>
      </c>
      <c r="F5" s="89" t="s">
        <v>99</v>
      </c>
      <c r="G5" s="93" t="s">
        <v>100</v>
      </c>
      <c r="H5" s="89" t="s">
        <v>101</v>
      </c>
      <c r="I5" s="89" t="s">
        <v>102</v>
      </c>
    </row>
    <row r="6" spans="2:9" x14ac:dyDescent="0.15">
      <c r="B6" s="89">
        <v>20160808</v>
      </c>
      <c r="C6" s="89" t="s">
        <v>38</v>
      </c>
      <c r="D6" s="94" t="s">
        <v>105</v>
      </c>
      <c r="E6" s="89">
        <v>1</v>
      </c>
      <c r="F6" s="89">
        <v>1</v>
      </c>
      <c r="G6" s="93">
        <v>0</v>
      </c>
      <c r="H6" s="89">
        <f>C4</f>
        <v>23908.653588583231</v>
      </c>
      <c r="I6" s="89">
        <f>H6</f>
        <v>23908.653588583231</v>
      </c>
    </row>
    <row r="7" spans="2:9" ht="23" x14ac:dyDescent="0.3">
      <c r="B7" s="89">
        <v>20160811</v>
      </c>
      <c r="C7" s="90" t="s">
        <v>31</v>
      </c>
      <c r="D7" s="94" t="s">
        <v>104</v>
      </c>
      <c r="E7" s="89">
        <v>1644.77</v>
      </c>
      <c r="F7" s="89">
        <v>0.59899999999999998</v>
      </c>
      <c r="G7" s="93">
        <v>-14.78</v>
      </c>
      <c r="H7" s="89">
        <f>-(E7*F7-G7)</f>
        <v>-999.99722999999994</v>
      </c>
      <c r="I7" s="89">
        <f>I6+H7</f>
        <v>22908.65635858323</v>
      </c>
    </row>
    <row r="8" spans="2:9" ht="23" x14ac:dyDescent="0.15">
      <c r="B8" s="89">
        <v>20160816</v>
      </c>
      <c r="C8" s="91" t="s">
        <v>28</v>
      </c>
      <c r="D8" s="94" t="s">
        <v>103</v>
      </c>
      <c r="E8" s="89">
        <v>2921.98</v>
      </c>
      <c r="F8" s="89">
        <v>1.0266999999999999</v>
      </c>
      <c r="G8" s="93">
        <v>0</v>
      </c>
      <c r="H8" s="89">
        <f>-1*E8*F8</f>
        <v>-2999.996866</v>
      </c>
      <c r="I8" s="89">
        <f>I7+H8</f>
        <v>19908.659492583229</v>
      </c>
    </row>
    <row r="9" spans="2:9" ht="23" x14ac:dyDescent="0.3">
      <c r="B9" s="89">
        <v>20160819</v>
      </c>
      <c r="C9" s="90" t="s">
        <v>41</v>
      </c>
      <c r="D9" s="94" t="s">
        <v>96</v>
      </c>
      <c r="E9" s="89">
        <v>2000</v>
      </c>
      <c r="F9" s="89">
        <v>0.99960000000000004</v>
      </c>
      <c r="G9" s="93">
        <f>120.7/25000*2000*-1</f>
        <v>-9.6559999999999988</v>
      </c>
      <c r="H9" s="89">
        <f>E9*F9+G9</f>
        <v>1989.5440000000001</v>
      </c>
      <c r="I9" s="89">
        <f>I8+H9</f>
        <v>21898.20349258323</v>
      </c>
    </row>
    <row r="10" spans="2:9" ht="23" x14ac:dyDescent="0.15">
      <c r="B10" s="89">
        <v>20160816</v>
      </c>
      <c r="C10" s="91" t="s">
        <v>28</v>
      </c>
      <c r="D10" s="94" t="s">
        <v>96</v>
      </c>
      <c r="E10" s="89">
        <v>162.21</v>
      </c>
      <c r="F10" s="89">
        <v>1.0216000000000001</v>
      </c>
      <c r="G10" s="93">
        <v>0</v>
      </c>
      <c r="H10" s="89">
        <f>E10*F10</f>
        <v>165.71373600000001</v>
      </c>
      <c r="I10" s="89">
        <f>I9+H10</f>
        <v>22063.917228583232</v>
      </c>
    </row>
    <row r="13" spans="2:9" x14ac:dyDescent="0.15">
      <c r="B13" t="s">
        <v>110</v>
      </c>
      <c r="C13">
        <f>I10</f>
        <v>22063.917228583232</v>
      </c>
    </row>
    <row r="16" spans="2:9" x14ac:dyDescent="0.15">
      <c r="B16" t="s">
        <v>97</v>
      </c>
      <c r="C16">
        <v>20160906</v>
      </c>
    </row>
    <row r="17" spans="2:10" x14ac:dyDescent="0.15">
      <c r="B17" t="s">
        <v>95</v>
      </c>
      <c r="C17">
        <v>22063.917228583232</v>
      </c>
    </row>
    <row r="18" spans="2:10" x14ac:dyDescent="0.15">
      <c r="B18" t="s">
        <v>114</v>
      </c>
      <c r="C18">
        <f>C17*(1+0.02/12/2)</f>
        <v>22082.303826273717</v>
      </c>
    </row>
    <row r="19" spans="2:10" x14ac:dyDescent="0.15">
      <c r="B19" s="89" t="s">
        <v>73</v>
      </c>
      <c r="C19" s="89" t="s">
        <v>97</v>
      </c>
      <c r="D19" s="94" t="s">
        <v>98</v>
      </c>
      <c r="E19" s="89" t="s">
        <v>23</v>
      </c>
      <c r="F19" s="89" t="s">
        <v>99</v>
      </c>
      <c r="G19" s="93" t="s">
        <v>100</v>
      </c>
      <c r="H19" s="89" t="s">
        <v>101</v>
      </c>
      <c r="I19" s="89" t="s">
        <v>102</v>
      </c>
    </row>
    <row r="20" spans="2:10" x14ac:dyDescent="0.15">
      <c r="B20" s="89">
        <v>20160825</v>
      </c>
      <c r="C20" s="89" t="s">
        <v>38</v>
      </c>
      <c r="D20" s="94" t="s">
        <v>105</v>
      </c>
      <c r="E20" s="89">
        <v>1</v>
      </c>
      <c r="F20" s="89">
        <v>1</v>
      </c>
      <c r="G20" s="93">
        <v>0</v>
      </c>
      <c r="H20" s="89">
        <f>C18</f>
        <v>22082.303826273717</v>
      </c>
      <c r="I20" s="89">
        <f>H20</f>
        <v>22082.303826273717</v>
      </c>
    </row>
    <row r="21" spans="2:10" x14ac:dyDescent="0.15">
      <c r="B21" s="89">
        <v>20160825</v>
      </c>
      <c r="C21" s="89" t="s">
        <v>38</v>
      </c>
      <c r="D21" s="94" t="s">
        <v>111</v>
      </c>
      <c r="E21" s="89">
        <v>228.07</v>
      </c>
      <c r="F21" s="89">
        <v>1</v>
      </c>
      <c r="G21" s="93">
        <v>0</v>
      </c>
      <c r="H21" s="89">
        <f>-E21*F21</f>
        <v>-228.07</v>
      </c>
      <c r="I21" s="89">
        <f>I20+H21</f>
        <v>21854.233826273718</v>
      </c>
    </row>
    <row r="22" spans="2:10" x14ac:dyDescent="0.15">
      <c r="B22" s="89">
        <v>20160902</v>
      </c>
      <c r="C22" s="89" t="s">
        <v>38</v>
      </c>
      <c r="D22" s="94" t="s">
        <v>111</v>
      </c>
      <c r="E22" s="89">
        <v>2.29</v>
      </c>
      <c r="F22" s="89">
        <v>1</v>
      </c>
      <c r="G22" s="93">
        <v>0</v>
      </c>
      <c r="H22" s="89">
        <f>-E22*F22</f>
        <v>-2.29</v>
      </c>
      <c r="I22" s="89">
        <f>I21+H22</f>
        <v>21851.943826273717</v>
      </c>
      <c r="J22" t="s">
        <v>115</v>
      </c>
    </row>
    <row r="23" spans="2:10" x14ac:dyDescent="0.15">
      <c r="B23" s="89" t="s">
        <v>78</v>
      </c>
      <c r="C23" s="89" t="s">
        <v>38</v>
      </c>
      <c r="D23" s="94" t="s">
        <v>117</v>
      </c>
      <c r="E23" s="89">
        <v>455.71</v>
      </c>
      <c r="F23" s="89">
        <v>1</v>
      </c>
      <c r="G23" s="93">
        <v>0</v>
      </c>
      <c r="H23" s="89">
        <v>455.71</v>
      </c>
      <c r="I23" s="89">
        <f>I22+H23</f>
        <v>22307.653826273716</v>
      </c>
      <c r="J23" t="s">
        <v>118</v>
      </c>
    </row>
    <row r="24" spans="2:10" ht="23" x14ac:dyDescent="0.15">
      <c r="B24" s="89"/>
      <c r="C24" s="91"/>
      <c r="D24" s="94"/>
      <c r="E24" s="89"/>
      <c r="F24" s="89"/>
      <c r="G24" s="93"/>
      <c r="H24" s="89"/>
      <c r="I24" s="89"/>
    </row>
    <row r="27" spans="2:10" x14ac:dyDescent="0.15">
      <c r="B27" t="s">
        <v>121</v>
      </c>
      <c r="C27">
        <f>I23</f>
        <v>22307.653826273716</v>
      </c>
    </row>
    <row r="29" spans="2:10" x14ac:dyDescent="0.15">
      <c r="B29" t="s">
        <v>97</v>
      </c>
      <c r="C29">
        <v>20160921</v>
      </c>
    </row>
    <row r="30" spans="2:10" x14ac:dyDescent="0.15">
      <c r="B30" t="s">
        <v>95</v>
      </c>
      <c r="C30">
        <v>22307.653826273716</v>
      </c>
    </row>
    <row r="31" spans="2:10" x14ac:dyDescent="0.15">
      <c r="B31" t="s">
        <v>120</v>
      </c>
      <c r="C31">
        <f>C30*(1+0.02/12/2)</f>
        <v>22326.24353779561</v>
      </c>
    </row>
    <row r="32" spans="2:10" x14ac:dyDescent="0.15">
      <c r="B32" s="89" t="s">
        <v>73</v>
      </c>
      <c r="C32" s="89" t="s">
        <v>97</v>
      </c>
      <c r="D32" s="94" t="s">
        <v>98</v>
      </c>
      <c r="E32" s="89" t="s">
        <v>23</v>
      </c>
      <c r="F32" s="89" t="s">
        <v>99</v>
      </c>
      <c r="G32" s="93" t="s">
        <v>100</v>
      </c>
      <c r="H32" s="89" t="s">
        <v>101</v>
      </c>
      <c r="I32" s="89" t="s">
        <v>102</v>
      </c>
    </row>
    <row r="33" spans="2:10" x14ac:dyDescent="0.15">
      <c r="B33" s="89">
        <v>20160908</v>
      </c>
      <c r="C33" s="89" t="s">
        <v>38</v>
      </c>
      <c r="D33" s="94" t="s">
        <v>117</v>
      </c>
      <c r="E33" s="89">
        <v>173.52</v>
      </c>
      <c r="F33" s="89">
        <v>1</v>
      </c>
      <c r="G33" s="93">
        <v>0</v>
      </c>
      <c r="H33" s="89">
        <f>E33</f>
        <v>173.52</v>
      </c>
      <c r="I33" s="89">
        <f>C31+E33</f>
        <v>22499.76353779561</v>
      </c>
      <c r="J33" t="s">
        <v>122</v>
      </c>
    </row>
    <row r="34" spans="2:10" ht="23" x14ac:dyDescent="0.15">
      <c r="B34" s="89"/>
      <c r="C34" s="91"/>
      <c r="D34" s="94"/>
      <c r="E34" s="89"/>
      <c r="F34" s="89"/>
      <c r="G34" s="93"/>
      <c r="H34" s="89"/>
      <c r="I34" s="89"/>
    </row>
    <row r="37" spans="2:10" x14ac:dyDescent="0.15">
      <c r="B37" t="s">
        <v>123</v>
      </c>
      <c r="C37">
        <f>ROUND(I33,2)</f>
        <v>22499.759999999998</v>
      </c>
    </row>
    <row r="40" spans="2:10" x14ac:dyDescent="0.15">
      <c r="B40" t="s">
        <v>160</v>
      </c>
      <c r="C40">
        <v>22499.759999999998</v>
      </c>
    </row>
    <row r="41" spans="2:10" x14ac:dyDescent="0.15">
      <c r="B41" t="s">
        <v>97</v>
      </c>
      <c r="C41">
        <v>20161010</v>
      </c>
    </row>
    <row r="42" spans="2:10" x14ac:dyDescent="0.15">
      <c r="B42" t="s">
        <v>95</v>
      </c>
      <c r="C42">
        <v>22499.759999999998</v>
      </c>
    </row>
    <row r="43" spans="2:10" x14ac:dyDescent="0.15">
      <c r="B43" t="s">
        <v>161</v>
      </c>
      <c r="C43">
        <f>C42*(1+0.02/365*21)</f>
        <v>22525.65013479452</v>
      </c>
    </row>
    <row r="44" spans="2:10" x14ac:dyDescent="0.15">
      <c r="B44" s="89" t="s">
        <v>73</v>
      </c>
      <c r="C44" s="89" t="s">
        <v>97</v>
      </c>
      <c r="D44" s="94" t="s">
        <v>98</v>
      </c>
      <c r="E44" s="89" t="s">
        <v>23</v>
      </c>
      <c r="F44" s="89" t="s">
        <v>99</v>
      </c>
      <c r="G44" s="93" t="s">
        <v>100</v>
      </c>
      <c r="H44" s="89" t="s">
        <v>101</v>
      </c>
      <c r="I44" s="89" t="s">
        <v>102</v>
      </c>
    </row>
    <row r="45" spans="2:10" x14ac:dyDescent="0.15">
      <c r="B45" s="89">
        <v>20160921</v>
      </c>
      <c r="C45" s="89" t="s">
        <v>38</v>
      </c>
      <c r="D45" s="94" t="s">
        <v>162</v>
      </c>
      <c r="E45" s="89">
        <v>2000</v>
      </c>
      <c r="F45" s="89">
        <v>2000</v>
      </c>
      <c r="G45" s="93">
        <v>0</v>
      </c>
      <c r="H45" s="89">
        <f>E45</f>
        <v>2000</v>
      </c>
      <c r="I45" s="89">
        <f>C43+E45</f>
        <v>24525.65013479452</v>
      </c>
      <c r="J45" t="s">
        <v>163</v>
      </c>
    </row>
    <row r="46" spans="2:10" x14ac:dyDescent="0.15">
      <c r="B46" s="89">
        <v>20160930</v>
      </c>
      <c r="C46" s="89" t="s">
        <v>38</v>
      </c>
      <c r="D46" s="94" t="s">
        <v>175</v>
      </c>
      <c r="E46" s="89">
        <v>1000</v>
      </c>
      <c r="F46" s="89">
        <v>1</v>
      </c>
      <c r="G46" s="93">
        <v>0</v>
      </c>
      <c r="H46" s="89">
        <f>E46</f>
        <v>1000</v>
      </c>
      <c r="I46" s="89">
        <f>I45-E46</f>
        <v>23525.65013479452</v>
      </c>
      <c r="J46" t="s">
        <v>163</v>
      </c>
    </row>
    <row r="49" spans="2:11" x14ac:dyDescent="0.15">
      <c r="B49" s="89" t="s">
        <v>73</v>
      </c>
      <c r="C49" s="89" t="s">
        <v>97</v>
      </c>
      <c r="D49" s="94" t="s">
        <v>98</v>
      </c>
      <c r="E49" s="89" t="s">
        <v>23</v>
      </c>
      <c r="F49" s="89" t="s">
        <v>99</v>
      </c>
      <c r="G49" s="93" t="s">
        <v>100</v>
      </c>
      <c r="H49" s="89" t="s">
        <v>101</v>
      </c>
      <c r="I49" s="89" t="s">
        <v>102</v>
      </c>
    </row>
    <row r="50" spans="2:11" x14ac:dyDescent="0.15">
      <c r="B50" s="89">
        <v>20161010</v>
      </c>
      <c r="C50" s="89" t="s">
        <v>38</v>
      </c>
      <c r="D50" s="94" t="s">
        <v>177</v>
      </c>
      <c r="E50" s="89">
        <f>23525.65*0.022/365*17</f>
        <v>24.105734520547948</v>
      </c>
      <c r="F50" s="89">
        <v>1</v>
      </c>
      <c r="G50" s="93">
        <v>0</v>
      </c>
      <c r="H50" s="89">
        <f>E50</f>
        <v>24.105734520547948</v>
      </c>
      <c r="I50" s="89">
        <f>23525.65+E50</f>
        <v>23549.75573452055</v>
      </c>
      <c r="J50" t="s">
        <v>176</v>
      </c>
    </row>
    <row r="51" spans="2:11" x14ac:dyDescent="0.15">
      <c r="B51" s="89">
        <v>20160930</v>
      </c>
      <c r="C51" s="89" t="s">
        <v>38</v>
      </c>
      <c r="D51" s="94" t="s">
        <v>177</v>
      </c>
      <c r="E51" s="89">
        <v>1000</v>
      </c>
      <c r="F51" s="89">
        <v>1</v>
      </c>
      <c r="G51" s="93">
        <v>0</v>
      </c>
      <c r="H51" s="89">
        <f>E51</f>
        <v>1000</v>
      </c>
      <c r="I51" s="89">
        <v>24549.759999999998</v>
      </c>
      <c r="J51" t="s">
        <v>178</v>
      </c>
    </row>
    <row r="52" spans="2:11" x14ac:dyDescent="0.15">
      <c r="B52" s="89">
        <v>20161019</v>
      </c>
      <c r="C52" s="89" t="s">
        <v>38</v>
      </c>
      <c r="D52" s="94" t="s">
        <v>162</v>
      </c>
      <c r="E52" s="89">
        <v>5000</v>
      </c>
      <c r="F52" s="89">
        <v>1</v>
      </c>
      <c r="G52" s="93">
        <v>0</v>
      </c>
      <c r="H52" s="89">
        <f>E52</f>
        <v>5000</v>
      </c>
      <c r="I52" s="89">
        <v>29549.759999999998</v>
      </c>
      <c r="J52" t="s">
        <v>182</v>
      </c>
    </row>
    <row r="53" spans="2:11" x14ac:dyDescent="0.15">
      <c r="B53" s="89">
        <v>20161103</v>
      </c>
      <c r="C53" s="89" t="s">
        <v>38</v>
      </c>
      <c r="D53" s="94" t="s">
        <v>117</v>
      </c>
      <c r="E53" s="89">
        <v>5000</v>
      </c>
      <c r="F53" s="89">
        <v>1</v>
      </c>
      <c r="G53" s="93">
        <v>0</v>
      </c>
      <c r="H53" s="89">
        <f>E53</f>
        <v>5000</v>
      </c>
      <c r="I53" s="89">
        <v>34549.760000000002</v>
      </c>
      <c r="J53" t="s">
        <v>182</v>
      </c>
    </row>
    <row r="54" spans="2:11" x14ac:dyDescent="0.15">
      <c r="B54" s="89">
        <v>20161105</v>
      </c>
      <c r="C54" s="89" t="s">
        <v>38</v>
      </c>
      <c r="D54" s="94" t="s">
        <v>111</v>
      </c>
      <c r="E54" s="89">
        <v>4000</v>
      </c>
      <c r="F54" s="89">
        <v>1</v>
      </c>
      <c r="G54" s="93">
        <v>0</v>
      </c>
      <c r="H54" s="89">
        <f>E54</f>
        <v>4000</v>
      </c>
      <c r="I54" s="89">
        <v>30549.759999999998</v>
      </c>
      <c r="J54" t="s">
        <v>185</v>
      </c>
    </row>
    <row r="55" spans="2:11" x14ac:dyDescent="0.15">
      <c r="B55" s="89">
        <v>20161109</v>
      </c>
      <c r="C55" s="89" t="s">
        <v>38</v>
      </c>
      <c r="D55" s="94" t="s">
        <v>186</v>
      </c>
      <c r="E55">
        <v>12503.938004558588</v>
      </c>
      <c r="F55" s="89">
        <v>1</v>
      </c>
      <c r="G55" s="93">
        <v>0</v>
      </c>
      <c r="H55">
        <v>12503.938004558588</v>
      </c>
      <c r="I55" s="89">
        <f>H55+I54</f>
        <v>43053.698004558588</v>
      </c>
      <c r="J55" t="s">
        <v>187</v>
      </c>
    </row>
    <row r="56" spans="2:11" x14ac:dyDescent="0.15">
      <c r="B56" s="89">
        <v>20161109</v>
      </c>
      <c r="C56" s="89" t="s">
        <v>38</v>
      </c>
      <c r="D56" s="94" t="s">
        <v>186</v>
      </c>
      <c r="E56">
        <v>4572.0200000000004</v>
      </c>
      <c r="F56" s="89">
        <v>1</v>
      </c>
      <c r="G56" s="93">
        <v>0</v>
      </c>
      <c r="H56">
        <v>4572.0200000000004</v>
      </c>
      <c r="I56" s="89">
        <f>H56+I55</f>
        <v>47625.718004558585</v>
      </c>
      <c r="J56" t="s">
        <v>192</v>
      </c>
    </row>
    <row r="57" spans="2:11" x14ac:dyDescent="0.15">
      <c r="B57" s="89">
        <v>20161109</v>
      </c>
      <c r="C57" s="89" t="s">
        <v>38</v>
      </c>
      <c r="D57" s="94" t="s">
        <v>188</v>
      </c>
      <c r="E57">
        <v>100</v>
      </c>
      <c r="F57" s="89">
        <v>1</v>
      </c>
      <c r="G57" s="93">
        <v>0</v>
      </c>
      <c r="H57">
        <v>100</v>
      </c>
      <c r="I57" s="89">
        <f>I56-H57</f>
        <v>47525.718004558585</v>
      </c>
      <c r="J57" t="s">
        <v>189</v>
      </c>
    </row>
    <row r="58" spans="2:11" x14ac:dyDescent="0.15">
      <c r="B58" s="89">
        <v>20161108</v>
      </c>
      <c r="C58" s="89" t="s">
        <v>38</v>
      </c>
      <c r="D58" s="94" t="s">
        <v>188</v>
      </c>
      <c r="E58">
        <v>4100</v>
      </c>
      <c r="F58" s="89">
        <v>1</v>
      </c>
      <c r="G58" s="93">
        <v>0</v>
      </c>
      <c r="H58">
        <v>4100</v>
      </c>
      <c r="I58" s="89">
        <f>I57-H58</f>
        <v>43425.718004558585</v>
      </c>
      <c r="J58" t="s">
        <v>189</v>
      </c>
    </row>
    <row r="59" spans="2:11" x14ac:dyDescent="0.15">
      <c r="B59" s="89">
        <v>20161108</v>
      </c>
      <c r="C59" s="89" t="s">
        <v>38</v>
      </c>
      <c r="D59" s="94" t="s">
        <v>193</v>
      </c>
      <c r="E59">
        <f>43425*0.022/365*30</f>
        <v>78.521917808219172</v>
      </c>
      <c r="F59" s="89">
        <v>1</v>
      </c>
      <c r="G59" s="93">
        <v>0</v>
      </c>
      <c r="H59">
        <v>78.521917808219172</v>
      </c>
      <c r="I59" s="89">
        <f>I58+H59</f>
        <v>43504.239922366804</v>
      </c>
      <c r="J59" t="s">
        <v>176</v>
      </c>
      <c r="K59" t="s">
        <v>194</v>
      </c>
    </row>
    <row r="60" spans="2:11" x14ac:dyDescent="0.15">
      <c r="B60" s="89">
        <v>20161122</v>
      </c>
      <c r="C60" s="89" t="s">
        <v>38</v>
      </c>
      <c r="D60" s="94" t="s">
        <v>193</v>
      </c>
      <c r="E60">
        <v>5000</v>
      </c>
      <c r="F60" s="89">
        <v>1</v>
      </c>
      <c r="G60" s="93">
        <v>0</v>
      </c>
      <c r="H60">
        <v>5000</v>
      </c>
      <c r="I60" s="89">
        <v>48504.2399</v>
      </c>
      <c r="J60" t="s">
        <v>182</v>
      </c>
      <c r="K60" t="s">
        <v>198</v>
      </c>
    </row>
    <row r="61" spans="2:11" x14ac:dyDescent="0.15">
      <c r="B61" s="89">
        <v>20161209</v>
      </c>
      <c r="C61" s="89" t="s">
        <v>38</v>
      </c>
      <c r="D61" s="94" t="s">
        <v>201</v>
      </c>
      <c r="E61">
        <v>164.41</v>
      </c>
      <c r="F61" s="89">
        <v>1</v>
      </c>
      <c r="G61" s="93">
        <v>0</v>
      </c>
      <c r="H61">
        <v>164.41</v>
      </c>
      <c r="I61" s="89">
        <f>I60-E61</f>
        <v>48339.829899999997</v>
      </c>
      <c r="J61" t="s">
        <v>159</v>
      </c>
      <c r="K61" t="s">
        <v>198</v>
      </c>
    </row>
    <row r="62" spans="2:11" x14ac:dyDescent="0.15">
      <c r="B62" s="89">
        <v>20161209</v>
      </c>
      <c r="C62" s="89" t="s">
        <v>38</v>
      </c>
      <c r="D62" s="94" t="s">
        <v>205</v>
      </c>
      <c r="E62">
        <v>4200</v>
      </c>
      <c r="F62" s="89">
        <v>1</v>
      </c>
      <c r="G62" s="93">
        <v>0</v>
      </c>
      <c r="H62">
        <v>4200</v>
      </c>
      <c r="I62" s="89">
        <v>52539.829899999997</v>
      </c>
      <c r="J62" t="s">
        <v>159</v>
      </c>
      <c r="K62" t="s">
        <v>198</v>
      </c>
    </row>
    <row r="63" spans="2:11" x14ac:dyDescent="0.15">
      <c r="B63" s="89">
        <v>20161209</v>
      </c>
      <c r="C63" s="89" t="s">
        <v>38</v>
      </c>
      <c r="D63" s="94" t="s">
        <v>205</v>
      </c>
      <c r="E63">
        <f>455.71-2.29</f>
        <v>453.41999999999996</v>
      </c>
      <c r="F63" s="89">
        <v>1</v>
      </c>
      <c r="G63" s="93">
        <v>0</v>
      </c>
      <c r="H63">
        <v>453.41999999999996</v>
      </c>
      <c r="I63" s="89">
        <f>I62+H63</f>
        <v>52993.249899999995</v>
      </c>
      <c r="J63" t="s">
        <v>159</v>
      </c>
      <c r="K63" t="s">
        <v>198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"/>
  <sheetViews>
    <sheetView workbookViewId="0">
      <selection activeCell="J29" sqref="J29"/>
    </sheetView>
  </sheetViews>
  <sheetFormatPr baseColWidth="10" defaultRowHeight="15" x14ac:dyDescent="0.15"/>
  <cols>
    <col min="10" max="10" width="24.1640625" customWidth="1"/>
  </cols>
  <sheetData>
    <row r="1" spans="2:11" x14ac:dyDescent="0.15">
      <c r="B1" t="s">
        <v>196</v>
      </c>
      <c r="K1" t="s">
        <v>197</v>
      </c>
    </row>
    <row r="2" spans="2:11" x14ac:dyDescent="0.15">
      <c r="B2" s="89">
        <v>20161122</v>
      </c>
      <c r="C2" s="89" t="s">
        <v>38</v>
      </c>
      <c r="D2" s="94" t="s">
        <v>188</v>
      </c>
      <c r="E2">
        <v>3000</v>
      </c>
      <c r="F2" s="89">
        <v>1</v>
      </c>
      <c r="G2" s="93">
        <v>0</v>
      </c>
      <c r="H2">
        <v>3000</v>
      </c>
      <c r="I2" s="89"/>
      <c r="J2" t="s">
        <v>195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E18" sqref="E18"/>
    </sheetView>
  </sheetViews>
  <sheetFormatPr baseColWidth="10" defaultRowHeight="15" x14ac:dyDescent="0.15"/>
  <sheetData>
    <row r="1" spans="1:3" x14ac:dyDescent="0.15">
      <c r="A1" t="s">
        <v>83</v>
      </c>
      <c r="B1" t="s">
        <v>84</v>
      </c>
    </row>
    <row r="2" spans="1:3" x14ac:dyDescent="0.15">
      <c r="A2" t="s">
        <v>85</v>
      </c>
      <c r="B2" t="s">
        <v>86</v>
      </c>
      <c r="C2" t="s">
        <v>107</v>
      </c>
    </row>
    <row r="3" spans="1:3" x14ac:dyDescent="0.15">
      <c r="B3" t="s">
        <v>87</v>
      </c>
      <c r="C3" t="s">
        <v>108</v>
      </c>
    </row>
    <row r="4" spans="1:3" x14ac:dyDescent="0.15">
      <c r="B4" t="s">
        <v>106</v>
      </c>
      <c r="C4" t="s">
        <v>109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3"/>
  <sheetViews>
    <sheetView topLeftCell="B1" workbookViewId="0">
      <selection activeCell="D10" sqref="D10"/>
    </sheetView>
  </sheetViews>
  <sheetFormatPr baseColWidth="10" defaultRowHeight="23" x14ac:dyDescent="0.3"/>
  <cols>
    <col min="1" max="3" width="10.83203125" style="9"/>
    <col min="4" max="4" width="24.1640625" style="9" customWidth="1"/>
    <col min="5" max="5" width="40.33203125" style="9" customWidth="1"/>
    <col min="6" max="6" width="18.33203125" style="9" bestFit="1" customWidth="1"/>
    <col min="7" max="7" width="21.1640625" style="9" customWidth="1"/>
    <col min="8" max="8" width="17.83203125" style="75" customWidth="1"/>
    <col min="9" max="9" width="22.83203125" style="75" customWidth="1"/>
    <col min="10" max="10" width="13.83203125" style="9" bestFit="1" customWidth="1"/>
    <col min="11" max="11" width="24.83203125" style="9" customWidth="1"/>
    <col min="12" max="16384" width="10.83203125" style="9"/>
  </cols>
  <sheetData>
    <row r="4" spans="3:11" x14ac:dyDescent="0.3">
      <c r="E4" s="9" t="s">
        <v>39</v>
      </c>
      <c r="F4" s="131">
        <v>20160708</v>
      </c>
      <c r="G4" s="131"/>
      <c r="H4" s="131">
        <v>20160712</v>
      </c>
      <c r="I4" s="131"/>
      <c r="J4" s="131">
        <v>20160808</v>
      </c>
      <c r="K4" s="131"/>
    </row>
    <row r="5" spans="3:11" x14ac:dyDescent="0.3">
      <c r="E5" s="9" t="s">
        <v>24</v>
      </c>
      <c r="F5" s="9" t="s">
        <v>40</v>
      </c>
      <c r="G5" s="9" t="s">
        <v>44</v>
      </c>
      <c r="H5" s="75" t="s">
        <v>40</v>
      </c>
      <c r="I5" s="75" t="s">
        <v>44</v>
      </c>
      <c r="J5" s="79" t="s">
        <v>40</v>
      </c>
      <c r="K5" s="79" t="s">
        <v>44</v>
      </c>
    </row>
    <row r="6" spans="3:11" x14ac:dyDescent="0.3">
      <c r="C6" s="9" t="s">
        <v>38</v>
      </c>
      <c r="E6" s="9">
        <v>21825.21</v>
      </c>
      <c r="F6" s="9">
        <f>E6+G6</f>
        <v>22864.674763287672</v>
      </c>
      <c r="G6" s="9">
        <f>1000+E6*0.022/365*30</f>
        <v>1039.4647632876713</v>
      </c>
      <c r="H6" s="75">
        <f>(F6-8.43)*(1+0.022/12)</f>
        <v>22898.147878687032</v>
      </c>
      <c r="I6" s="75">
        <f>H6-F6</f>
        <v>33.473115399359813</v>
      </c>
      <c r="J6" s="79">
        <f>22898.15*(1+0.024/12)+944.8</f>
        <v>23888.746300000003</v>
      </c>
      <c r="K6" s="79">
        <f>J6-H6</f>
        <v>990.59842131297046</v>
      </c>
    </row>
    <row r="8" spans="3:11" x14ac:dyDescent="0.3">
      <c r="E8" s="131">
        <v>20160810</v>
      </c>
      <c r="F8" s="131"/>
    </row>
    <row r="9" spans="3:11" x14ac:dyDescent="0.3">
      <c r="D9" s="9" t="s">
        <v>79</v>
      </c>
      <c r="E9" s="81" t="s">
        <v>40</v>
      </c>
      <c r="F9" s="81" t="s">
        <v>44</v>
      </c>
    </row>
    <row r="10" spans="3:11" x14ac:dyDescent="0.3">
      <c r="D10" s="9">
        <v>23888.746299999901</v>
      </c>
      <c r="E10" s="81">
        <f>19888.7462999999*(1+0.024/12)+165.71-0.33</f>
        <v>20093.903792599896</v>
      </c>
      <c r="F10" s="81">
        <f>E10-D10</f>
        <v>-3794.8425074000043</v>
      </c>
    </row>
    <row r="13" spans="3:11" x14ac:dyDescent="0.3">
      <c r="G13" s="9">
        <v>21864.674763287669</v>
      </c>
    </row>
  </sheetData>
  <mergeCells count="4">
    <mergeCell ref="F4:G4"/>
    <mergeCell ref="H4:I4"/>
    <mergeCell ref="J4:K4"/>
    <mergeCell ref="E8:F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55"/>
  <sheetViews>
    <sheetView topLeftCell="A37" zoomScale="75" zoomScaleNormal="75" zoomScalePageLayoutView="75" workbookViewId="0">
      <selection activeCell="C59" sqref="C59"/>
    </sheetView>
  </sheetViews>
  <sheetFormatPr baseColWidth="10" defaultRowHeight="23" x14ac:dyDescent="0.3"/>
  <cols>
    <col min="1" max="1" width="10.83203125" style="9"/>
    <col min="2" max="2" width="10.83203125" style="10"/>
    <col min="3" max="3" width="36" style="9" customWidth="1"/>
    <col min="4" max="4" width="18.1640625" style="9" customWidth="1"/>
    <col min="5" max="5" width="24.1640625" style="9" customWidth="1"/>
    <col min="6" max="6" width="16.5" style="9" customWidth="1"/>
    <col min="7" max="9" width="15.6640625" style="9" customWidth="1"/>
    <col min="10" max="10" width="23" style="9" customWidth="1"/>
    <col min="11" max="11" width="34.33203125" style="10" customWidth="1"/>
    <col min="12" max="12" width="16" style="9" customWidth="1"/>
    <col min="13" max="13" width="18.5" style="9" bestFit="1" customWidth="1"/>
    <col min="14" max="14" width="18.5" style="9" customWidth="1"/>
    <col min="15" max="15" width="18.5" style="9" bestFit="1" customWidth="1"/>
    <col min="16" max="16" width="14.33203125" style="9" bestFit="1" customWidth="1"/>
    <col min="17" max="17" width="18.5" style="9" bestFit="1" customWidth="1"/>
    <col min="18" max="18" width="13.1640625" style="9" bestFit="1" customWidth="1"/>
    <col min="19" max="19" width="16" style="9" bestFit="1" customWidth="1"/>
    <col min="20" max="16384" width="10.83203125" style="9"/>
  </cols>
  <sheetData>
    <row r="4" spans="2:14" x14ac:dyDescent="0.3">
      <c r="C4" s="131">
        <v>201605</v>
      </c>
      <c r="D4" s="131"/>
      <c r="E4" s="131"/>
      <c r="F4" s="10"/>
      <c r="K4" s="9"/>
    </row>
    <row r="5" spans="2:14" x14ac:dyDescent="0.3">
      <c r="C5" s="9" t="s">
        <v>33</v>
      </c>
      <c r="D5" s="9" t="s">
        <v>34</v>
      </c>
      <c r="E5" s="9" t="s">
        <v>35</v>
      </c>
      <c r="K5" s="9"/>
    </row>
    <row r="6" spans="2:14" x14ac:dyDescent="0.3">
      <c r="B6" s="10">
        <v>216</v>
      </c>
      <c r="C6" s="14">
        <v>0</v>
      </c>
      <c r="D6" s="38">
        <v>40000</v>
      </c>
      <c r="E6" s="14">
        <v>40000</v>
      </c>
      <c r="F6" s="14"/>
      <c r="K6" s="9"/>
    </row>
    <row r="7" spans="2:14" x14ac:dyDescent="0.3">
      <c r="B7" s="10" t="s">
        <v>32</v>
      </c>
      <c r="C7" s="14">
        <v>0</v>
      </c>
      <c r="D7" s="38">
        <v>20000</v>
      </c>
      <c r="E7" s="14">
        <v>20000</v>
      </c>
      <c r="F7" s="14"/>
      <c r="K7" s="9"/>
    </row>
    <row r="8" spans="2:14" x14ac:dyDescent="0.3">
      <c r="B8" s="10" t="s">
        <v>37</v>
      </c>
      <c r="C8" s="15">
        <v>0</v>
      </c>
      <c r="D8" s="38">
        <f>SUM(D6:D7)</f>
        <v>60000</v>
      </c>
      <c r="E8" s="15">
        <v>60000</v>
      </c>
      <c r="F8" s="15"/>
      <c r="K8" s="9"/>
    </row>
    <row r="9" spans="2:14" x14ac:dyDescent="0.3">
      <c r="M9" s="14"/>
      <c r="N9" s="14"/>
    </row>
    <row r="10" spans="2:14" ht="24" thickBot="1" x14ac:dyDescent="0.35"/>
    <row r="11" spans="2:14" x14ac:dyDescent="0.3">
      <c r="B11" s="34"/>
      <c r="C11" s="135">
        <v>20160608</v>
      </c>
      <c r="D11" s="136"/>
      <c r="E11" s="136"/>
      <c r="F11" s="136"/>
      <c r="G11" s="136"/>
      <c r="H11" s="136"/>
      <c r="I11" s="136"/>
      <c r="J11" s="136"/>
      <c r="K11" s="136"/>
      <c r="L11" s="136"/>
      <c r="M11" s="137"/>
    </row>
    <row r="12" spans="2:14" x14ac:dyDescent="0.3">
      <c r="B12" s="35"/>
      <c r="C12" s="25" t="s">
        <v>57</v>
      </c>
      <c r="D12" s="24" t="s">
        <v>42</v>
      </c>
      <c r="E12" s="24" t="s">
        <v>26</v>
      </c>
      <c r="F12" s="24" t="s">
        <v>62</v>
      </c>
      <c r="G12" s="24" t="s">
        <v>36</v>
      </c>
      <c r="H12" s="24" t="s">
        <v>55</v>
      </c>
      <c r="I12" s="24" t="s">
        <v>34</v>
      </c>
      <c r="J12" s="24" t="s">
        <v>58</v>
      </c>
      <c r="K12" s="24" t="s">
        <v>42</v>
      </c>
      <c r="L12" s="16" t="s">
        <v>54</v>
      </c>
      <c r="M12" s="27" t="s">
        <v>56</v>
      </c>
    </row>
    <row r="13" spans="2:14" x14ac:dyDescent="0.3">
      <c r="B13" s="35">
        <v>216</v>
      </c>
      <c r="C13" s="18">
        <f>C15/3*2</f>
        <v>41070.166666666664</v>
      </c>
      <c r="D13" s="17">
        <f>C13/C15</f>
        <v>0.66666666666666663</v>
      </c>
      <c r="E13" s="17">
        <f>C13-E6</f>
        <v>1070.1666666666642</v>
      </c>
      <c r="F13" s="66">
        <f>E13/C13</f>
        <v>2.6057032476939815E-2</v>
      </c>
      <c r="G13" s="17">
        <f>E13*0.2</f>
        <v>214.03333333333285</v>
      </c>
      <c r="H13" s="17">
        <v>214.03299999999999</v>
      </c>
      <c r="I13" s="17">
        <v>0</v>
      </c>
      <c r="J13" s="17">
        <f>C13-H13</f>
        <v>40856.133666666661</v>
      </c>
      <c r="K13" s="71">
        <f>J13/J15</f>
        <v>0.66550454060336783</v>
      </c>
      <c r="L13" s="17">
        <f>H13</f>
        <v>214.03299999999999</v>
      </c>
      <c r="M13" s="19">
        <f>J13+L13-D6</f>
        <v>1070.1666666666642</v>
      </c>
    </row>
    <row r="14" spans="2:14" x14ac:dyDescent="0.3">
      <c r="B14" s="35" t="s">
        <v>32</v>
      </c>
      <c r="C14" s="18">
        <f>C15/3</f>
        <v>20535.083333333332</v>
      </c>
      <c r="D14" s="17">
        <f>C14/C15</f>
        <v>0.33333333333333331</v>
      </c>
      <c r="E14" s="17">
        <f>C14-E7</f>
        <v>535.08333333333212</v>
      </c>
      <c r="F14" s="66">
        <f t="shared" ref="F14:F15" si="0">E14/C14</f>
        <v>2.6057032476939815E-2</v>
      </c>
      <c r="G14" s="17">
        <f t="shared" ref="G14:G15" si="1">E14*0.2</f>
        <v>107.01666666666642</v>
      </c>
      <c r="H14" s="17">
        <v>0</v>
      </c>
      <c r="I14" s="17">
        <v>0</v>
      </c>
      <c r="J14" s="17">
        <f>C14+I14</f>
        <v>20535.083333333332</v>
      </c>
      <c r="K14" s="71">
        <f>J14/J15</f>
        <v>0.33449545939663217</v>
      </c>
      <c r="L14" s="17">
        <f t="shared" ref="L14:L15" si="2">H14</f>
        <v>0</v>
      </c>
      <c r="M14" s="19">
        <f>C14-D7+L14</f>
        <v>535.08333333333212</v>
      </c>
    </row>
    <row r="15" spans="2:14" ht="24" thickBot="1" x14ac:dyDescent="0.35">
      <c r="B15" s="36" t="s">
        <v>43</v>
      </c>
      <c r="C15" s="20">
        <v>61605.25</v>
      </c>
      <c r="D15" s="23">
        <v>1</v>
      </c>
      <c r="E15" s="21">
        <f>C15-E8</f>
        <v>1605.25</v>
      </c>
      <c r="F15" s="69">
        <f t="shared" si="0"/>
        <v>2.605703247693987E-2</v>
      </c>
      <c r="G15" s="21">
        <f t="shared" si="1"/>
        <v>321.05</v>
      </c>
      <c r="H15" s="21">
        <f>SUM(H13:H14)</f>
        <v>214.03299999999999</v>
      </c>
      <c r="I15" s="21">
        <f>I13+I14</f>
        <v>0</v>
      </c>
      <c r="J15" s="21">
        <f>J13+J14</f>
        <v>61391.21699999999</v>
      </c>
      <c r="K15" s="37">
        <v>1</v>
      </c>
      <c r="L15" s="21">
        <f t="shared" si="2"/>
        <v>214.03299999999999</v>
      </c>
      <c r="M15" s="22">
        <f>J15+L15-D8</f>
        <v>1605.2499999999927</v>
      </c>
    </row>
    <row r="17" spans="2:14" s="39" customFormat="1" ht="24" thickBot="1" x14ac:dyDescent="0.35">
      <c r="B17" s="43"/>
      <c r="K17" s="43"/>
    </row>
    <row r="18" spans="2:14" s="39" customFormat="1" x14ac:dyDescent="0.3">
      <c r="B18" s="72"/>
      <c r="C18" s="132">
        <v>20160708</v>
      </c>
      <c r="D18" s="133"/>
      <c r="E18" s="133"/>
      <c r="F18" s="133"/>
      <c r="G18" s="133"/>
      <c r="H18" s="133"/>
      <c r="I18" s="133"/>
      <c r="J18" s="133"/>
      <c r="K18" s="133"/>
      <c r="L18" s="133"/>
      <c r="M18" s="133"/>
      <c r="N18" s="134"/>
    </row>
    <row r="19" spans="2:14" s="39" customFormat="1" x14ac:dyDescent="0.3">
      <c r="B19" s="40"/>
      <c r="C19" s="41" t="s">
        <v>57</v>
      </c>
      <c r="D19" s="41" t="s">
        <v>42</v>
      </c>
      <c r="E19" s="41" t="s">
        <v>44</v>
      </c>
      <c r="F19" s="41" t="s">
        <v>62</v>
      </c>
      <c r="G19" s="41" t="s">
        <v>36</v>
      </c>
      <c r="H19" s="41" t="s">
        <v>55</v>
      </c>
      <c r="I19" s="41" t="s">
        <v>34</v>
      </c>
      <c r="J19" s="41" t="s">
        <v>58</v>
      </c>
      <c r="K19" s="41" t="s">
        <v>42</v>
      </c>
      <c r="L19" s="64" t="s">
        <v>54</v>
      </c>
      <c r="M19" s="41" t="s">
        <v>56</v>
      </c>
      <c r="N19" s="65" t="s">
        <v>61</v>
      </c>
    </row>
    <row r="20" spans="2:14" s="39" customFormat="1" x14ac:dyDescent="0.3">
      <c r="B20" s="40">
        <v>216</v>
      </c>
      <c r="C20" s="66">
        <f>C22*D20</f>
        <v>40900.291432439146</v>
      </c>
      <c r="D20" s="66">
        <f>K13</f>
        <v>0.66550454060336783</v>
      </c>
      <c r="E20" s="66">
        <f>C20-J13</f>
        <v>44.157765772484709</v>
      </c>
      <c r="F20" s="66">
        <f>E20/C20</f>
        <v>1.0796442818855312E-3</v>
      </c>
      <c r="G20" s="66">
        <f>E20*0.2</f>
        <v>8.8315531544969428</v>
      </c>
      <c r="H20" s="66">
        <v>8.83</v>
      </c>
      <c r="I20" s="66">
        <v>0</v>
      </c>
      <c r="J20" s="66">
        <f>C20-H20</f>
        <v>40891.461432439144</v>
      </c>
      <c r="K20" s="67">
        <f>J20/J22</f>
        <v>0.66545647460657964</v>
      </c>
      <c r="L20" s="66">
        <f>L13+H20</f>
        <v>222.863</v>
      </c>
      <c r="M20" s="66">
        <f>J20+L20-D6</f>
        <v>1114.3244324391417</v>
      </c>
      <c r="N20" s="65">
        <f>M20/D6</f>
        <v>2.7858110810978543E-2</v>
      </c>
    </row>
    <row r="21" spans="2:14" s="39" customFormat="1" x14ac:dyDescent="0.3">
      <c r="B21" s="40" t="s">
        <v>32</v>
      </c>
      <c r="C21" s="66">
        <f>C22*D21</f>
        <v>20557.277880848524</v>
      </c>
      <c r="D21" s="66">
        <f>K14</f>
        <v>0.33449545939663217</v>
      </c>
      <c r="E21" s="66">
        <f>C21-J14</f>
        <v>22.194547515191516</v>
      </c>
      <c r="F21" s="66">
        <f t="shared" ref="F21:F22" si="3">E21/C21</f>
        <v>1.0796442818856041E-3</v>
      </c>
      <c r="G21" s="66">
        <f>E21*0.2</f>
        <v>4.4389095030383032</v>
      </c>
      <c r="H21" s="66">
        <v>0</v>
      </c>
      <c r="I21" s="66">
        <v>0</v>
      </c>
      <c r="J21" s="66">
        <f t="shared" ref="J21:J22" si="4">C21-H21</f>
        <v>20557.277880848524</v>
      </c>
      <c r="K21" s="67">
        <f>J21/J22</f>
        <v>0.33454352539342042</v>
      </c>
      <c r="L21" s="66">
        <f t="shared" ref="L21:L22" si="5">L14+H21</f>
        <v>0</v>
      </c>
      <c r="M21" s="66">
        <f t="shared" ref="M21:M22" si="6">J21+L21-D7</f>
        <v>557.27788084852364</v>
      </c>
      <c r="N21" s="65">
        <f>M21/D7</f>
        <v>2.7863894042426181E-2</v>
      </c>
    </row>
    <row r="22" spans="2:14" s="39" customFormat="1" ht="24" thickBot="1" x14ac:dyDescent="0.35">
      <c r="B22" s="73" t="s">
        <v>43</v>
      </c>
      <c r="C22" s="68">
        <f>资产结构!D6+资产结构!D7+资产结构!D8+资产结构!D9+资产结构!D10+资产结构!D11</f>
        <v>61457.56931328767</v>
      </c>
      <c r="D22" s="68">
        <v>1</v>
      </c>
      <c r="E22" s="69">
        <f>SUM(E20:E21)</f>
        <v>66.352313287676225</v>
      </c>
      <c r="F22" s="69">
        <f t="shared" si="3"/>
        <v>1.0796442818855555E-3</v>
      </c>
      <c r="G22" s="69">
        <f>G20+G21</f>
        <v>13.270462657535246</v>
      </c>
      <c r="H22" s="69">
        <f>H20+H21</f>
        <v>8.83</v>
      </c>
      <c r="I22" s="69">
        <v>0</v>
      </c>
      <c r="J22" s="66">
        <f t="shared" si="4"/>
        <v>61448.739313287668</v>
      </c>
      <c r="K22" s="70">
        <f>J22/J22</f>
        <v>1</v>
      </c>
      <c r="L22" s="66">
        <f t="shared" si="5"/>
        <v>222.863</v>
      </c>
      <c r="M22" s="66">
        <f t="shared" si="6"/>
        <v>1671.6023132876653</v>
      </c>
      <c r="N22" s="74">
        <f>M22/D8</f>
        <v>2.7860038554794422E-2</v>
      </c>
    </row>
    <row r="23" spans="2:14" s="39" customFormat="1" x14ac:dyDescent="0.3">
      <c r="B23" s="43" t="s">
        <v>67</v>
      </c>
      <c r="C23" s="39">
        <v>60400</v>
      </c>
      <c r="K23" s="43"/>
    </row>
    <row r="24" spans="2:14" x14ac:dyDescent="0.3">
      <c r="D24" s="14"/>
      <c r="M24" s="9">
        <f>M21/M20</f>
        <v>0.50010379798341098</v>
      </c>
    </row>
    <row r="25" spans="2:14" x14ac:dyDescent="0.3">
      <c r="M25" s="14">
        <f>M20+L20</f>
        <v>1337.1874324391417</v>
      </c>
    </row>
    <row r="26" spans="2:14" ht="24" thickBot="1" x14ac:dyDescent="0.35"/>
    <row r="27" spans="2:14" x14ac:dyDescent="0.3">
      <c r="B27" s="72"/>
      <c r="C27" s="132">
        <v>20160808</v>
      </c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4"/>
    </row>
    <row r="28" spans="2:14" x14ac:dyDescent="0.3">
      <c r="B28" s="40"/>
      <c r="C28" s="41" t="s">
        <v>57</v>
      </c>
      <c r="D28" s="41" t="s">
        <v>42</v>
      </c>
      <c r="E28" s="41" t="s">
        <v>44</v>
      </c>
      <c r="F28" s="41" t="s">
        <v>62</v>
      </c>
      <c r="G28" s="41" t="s">
        <v>36</v>
      </c>
      <c r="H28" s="41" t="s">
        <v>55</v>
      </c>
      <c r="I28" s="41" t="s">
        <v>34</v>
      </c>
      <c r="J28" s="41" t="s">
        <v>58</v>
      </c>
      <c r="K28" s="41" t="s">
        <v>42</v>
      </c>
      <c r="L28" s="64" t="s">
        <v>54</v>
      </c>
      <c r="M28" s="41" t="s">
        <v>56</v>
      </c>
      <c r="N28" s="65" t="s">
        <v>61</v>
      </c>
    </row>
    <row r="29" spans="2:14" x14ac:dyDescent="0.3">
      <c r="B29" s="40">
        <v>216</v>
      </c>
      <c r="C29" s="66">
        <f>C31*D29</f>
        <v>41227.122327583667</v>
      </c>
      <c r="D29" s="66">
        <f>K20</f>
        <v>0.66545647460657964</v>
      </c>
      <c r="E29" s="66">
        <f>C29-J20</f>
        <v>335.66089514452324</v>
      </c>
      <c r="F29" s="66">
        <f>E29/C29</f>
        <v>8.1417493192325954E-3</v>
      </c>
      <c r="G29" s="66">
        <f>E29*0.2</f>
        <v>67.132179028904645</v>
      </c>
      <c r="H29" s="66">
        <v>67.13</v>
      </c>
      <c r="I29" s="66">
        <v>0</v>
      </c>
      <c r="J29" s="66">
        <f>C29-H29</f>
        <v>41159.99232758367</v>
      </c>
      <c r="K29" s="101">
        <f>J29/J31</f>
        <v>0.66509358314575606</v>
      </c>
      <c r="L29" s="66">
        <v>289.99299999999999</v>
      </c>
      <c r="M29" s="66">
        <f>J29+L29-40000</f>
        <v>1449.9853275836722</v>
      </c>
      <c r="N29" s="65">
        <f>M29/40000</f>
        <v>3.6249633189591804E-2</v>
      </c>
    </row>
    <row r="30" spans="2:14" x14ac:dyDescent="0.3">
      <c r="B30" s="40" t="s">
        <v>32</v>
      </c>
      <c r="C30" s="66">
        <f>C31*D30</f>
        <v>20726.023972416344</v>
      </c>
      <c r="D30" s="66">
        <f>K21</f>
        <v>0.33454352539342042</v>
      </c>
      <c r="E30" s="66">
        <f>C30-J21</f>
        <v>168.74609156782026</v>
      </c>
      <c r="F30" s="66">
        <f t="shared" ref="F30:F31" si="7">E30/C30</f>
        <v>8.1417493192326457E-3</v>
      </c>
      <c r="G30" s="66">
        <f>E30*0.2</f>
        <v>33.74921831356405</v>
      </c>
      <c r="H30" s="66">
        <v>0</v>
      </c>
      <c r="I30" s="66">
        <v>0</v>
      </c>
      <c r="J30" s="66">
        <f t="shared" ref="J30:J31" si="8">C30-H30</f>
        <v>20726.023972416344</v>
      </c>
      <c r="K30" s="101">
        <f>J30/J31</f>
        <v>0.33490641685424405</v>
      </c>
      <c r="L30" s="66">
        <f t="shared" ref="L30" si="9">L23+H30</f>
        <v>0</v>
      </c>
      <c r="M30" s="66">
        <f>C30+L30-20000</f>
        <v>726.0239724163439</v>
      </c>
      <c r="N30" s="65">
        <f>M30/20000</f>
        <v>3.6301198620817196E-2</v>
      </c>
    </row>
    <row r="31" spans="2:14" ht="24" thickBot="1" x14ac:dyDescent="0.35">
      <c r="B31" s="73" t="s">
        <v>43</v>
      </c>
      <c r="C31" s="68">
        <f>资产结构!D33</f>
        <v>61953.146300000008</v>
      </c>
      <c r="D31" s="68">
        <v>1</v>
      </c>
      <c r="E31" s="69">
        <f>SUM(E29:E30)</f>
        <v>504.4069867123435</v>
      </c>
      <c r="F31" s="69">
        <f t="shared" si="7"/>
        <v>8.1417493192326128E-3</v>
      </c>
      <c r="G31" s="69">
        <f>G29+G30</f>
        <v>100.88139734246869</v>
      </c>
      <c r="H31" s="69">
        <f>H29+H30</f>
        <v>67.13</v>
      </c>
      <c r="I31" s="69">
        <v>0</v>
      </c>
      <c r="J31" s="66">
        <f t="shared" si="8"/>
        <v>61886.01630000001</v>
      </c>
      <c r="K31" s="70">
        <f>J31/J31</f>
        <v>1</v>
      </c>
      <c r="L31" s="66">
        <f>L29+L30</f>
        <v>289.99299999999999</v>
      </c>
      <c r="M31" s="66">
        <f>M29+M30</f>
        <v>2176.0093000000161</v>
      </c>
      <c r="N31" s="74">
        <f>(C31+L31)/60000-1</f>
        <v>3.738565500000024E-2</v>
      </c>
    </row>
    <row r="32" spans="2:14" x14ac:dyDescent="0.3">
      <c r="B32" s="76" t="s">
        <v>67</v>
      </c>
      <c r="C32" s="39">
        <f>60000*0.04/12*3+60000</f>
        <v>60600</v>
      </c>
    </row>
    <row r="34" spans="2:16" ht="24" thickBot="1" x14ac:dyDescent="0.35"/>
    <row r="35" spans="2:16" x14ac:dyDescent="0.3">
      <c r="B35" s="72"/>
      <c r="C35" s="132">
        <v>20160825</v>
      </c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4"/>
    </row>
    <row r="36" spans="2:16" x14ac:dyDescent="0.3">
      <c r="B36" s="40"/>
      <c r="C36" s="41" t="s">
        <v>57</v>
      </c>
      <c r="D36" s="41" t="s">
        <v>42</v>
      </c>
      <c r="E36" s="41" t="s">
        <v>44</v>
      </c>
      <c r="F36" s="41" t="s">
        <v>62</v>
      </c>
      <c r="G36" s="41" t="s">
        <v>36</v>
      </c>
      <c r="H36" s="41" t="s">
        <v>55</v>
      </c>
      <c r="I36" s="41" t="s">
        <v>34</v>
      </c>
      <c r="J36" s="41" t="s">
        <v>58</v>
      </c>
      <c r="K36" s="41" t="s">
        <v>42</v>
      </c>
      <c r="L36" s="64" t="s">
        <v>54</v>
      </c>
      <c r="M36" s="41" t="s">
        <v>56</v>
      </c>
      <c r="N36" s="64" t="s">
        <v>61</v>
      </c>
      <c r="O36" s="86" t="s">
        <v>90</v>
      </c>
    </row>
    <row r="37" spans="2:16" x14ac:dyDescent="0.3">
      <c r="B37" s="40">
        <v>216</v>
      </c>
      <c r="C37" s="66">
        <f>C39*D37</f>
        <v>42306.299745799268</v>
      </c>
      <c r="D37" s="66">
        <v>0.66509358314575606</v>
      </c>
      <c r="E37" s="66">
        <f>C37-J29</f>
        <v>1146.3074182155979</v>
      </c>
      <c r="F37" s="66">
        <f>E37/C37</f>
        <v>2.7095430824800947E-2</v>
      </c>
      <c r="G37" s="66">
        <f>E37*0.2</f>
        <v>229.26148364311959</v>
      </c>
      <c r="H37" s="85">
        <f>ROUND(G37,2)</f>
        <v>229.26</v>
      </c>
      <c r="I37" s="66">
        <v>0</v>
      </c>
      <c r="J37" s="66">
        <f>C37-H37</f>
        <v>42077.039745799266</v>
      </c>
      <c r="K37" s="100">
        <f>J37/J39</f>
        <v>0.66388215523932081</v>
      </c>
      <c r="L37" s="66">
        <f>289.93+H37</f>
        <v>519.19000000000005</v>
      </c>
      <c r="M37" s="66">
        <f>J37+L37-40000</f>
        <v>2596.2297457992681</v>
      </c>
      <c r="N37" s="64">
        <f>M37/40000</f>
        <v>6.4905743644981709E-2</v>
      </c>
      <c r="O37" s="19">
        <f t="shared" ref="O37:O38" si="10">J37+L37</f>
        <v>42596.229745799268</v>
      </c>
    </row>
    <row r="38" spans="2:16" x14ac:dyDescent="0.3">
      <c r="B38" s="40" t="s">
        <v>32</v>
      </c>
      <c r="C38" s="66">
        <f>C39*D38</f>
        <v>21303.244561783977</v>
      </c>
      <c r="D38" s="66">
        <v>0.33490641685424405</v>
      </c>
      <c r="E38" s="66">
        <f>C38-J30</f>
        <v>577.22058936763278</v>
      </c>
      <c r="F38" s="66">
        <f t="shared" ref="F38:F39" si="11">E38/C38</f>
        <v>2.7095430824800856E-2</v>
      </c>
      <c r="G38" s="66">
        <f>E38*0.2</f>
        <v>115.44411787352657</v>
      </c>
      <c r="H38" s="66">
        <v>0</v>
      </c>
      <c r="I38" s="66">
        <v>0</v>
      </c>
      <c r="J38" s="66">
        <f t="shared" ref="J38" si="12">C38-H38</f>
        <v>21303.244561783977</v>
      </c>
      <c r="K38" s="100">
        <f>J38/J39</f>
        <v>0.33611784476067924</v>
      </c>
      <c r="L38" s="66">
        <v>0</v>
      </c>
      <c r="M38" s="66">
        <f>C38-20000</f>
        <v>1303.2445617839767</v>
      </c>
      <c r="N38" s="64">
        <f>M38/20000</f>
        <v>6.5162228089198831E-2</v>
      </c>
      <c r="O38" s="19">
        <f t="shared" si="10"/>
        <v>21303.244561783977</v>
      </c>
    </row>
    <row r="39" spans="2:16" ht="24" thickBot="1" x14ac:dyDescent="0.35">
      <c r="B39" s="73" t="s">
        <v>43</v>
      </c>
      <c r="C39" s="68">
        <f>资产结构!D43</f>
        <v>63609.544307583237</v>
      </c>
      <c r="D39" s="68">
        <v>1</v>
      </c>
      <c r="E39" s="69">
        <f>SUM(E37:E38)</f>
        <v>1723.5280075832306</v>
      </c>
      <c r="F39" s="69">
        <f t="shared" si="11"/>
        <v>2.7095430824800919E-2</v>
      </c>
      <c r="G39" s="69">
        <f>G37+G38</f>
        <v>344.70560151664614</v>
      </c>
      <c r="H39" s="69">
        <f>SUM(H37:H38)</f>
        <v>229.26</v>
      </c>
      <c r="I39" s="69">
        <v>0</v>
      </c>
      <c r="J39" s="69">
        <f>C39-H39</f>
        <v>63380.284307583235</v>
      </c>
      <c r="K39" s="70">
        <f>J39/J39</f>
        <v>1</v>
      </c>
      <c r="L39" s="69">
        <f>L37+L38</f>
        <v>519.19000000000005</v>
      </c>
      <c r="M39" s="69">
        <f>M37+M38</f>
        <v>3899.4743075832448</v>
      </c>
      <c r="N39" s="87">
        <f>(J39+L39)/60000-1</f>
        <v>6.4991238459720657E-2</v>
      </c>
      <c r="O39" s="22">
        <f>J39+L39</f>
        <v>63899.474307583238</v>
      </c>
    </row>
    <row r="40" spans="2:16" x14ac:dyDescent="0.3">
      <c r="K40" s="83"/>
      <c r="O40" s="84" t="s">
        <v>67</v>
      </c>
      <c r="P40" s="39">
        <v>60700</v>
      </c>
    </row>
    <row r="41" spans="2:16" ht="24" thickBot="1" x14ac:dyDescent="0.35"/>
    <row r="42" spans="2:16" x14ac:dyDescent="0.3">
      <c r="B42" s="72"/>
      <c r="C42" s="132">
        <v>20160906</v>
      </c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4"/>
    </row>
    <row r="43" spans="2:16" x14ac:dyDescent="0.3">
      <c r="B43" s="40"/>
      <c r="C43" s="41" t="s">
        <v>57</v>
      </c>
      <c r="D43" s="41" t="s">
        <v>42</v>
      </c>
      <c r="E43" s="41" t="s">
        <v>44</v>
      </c>
      <c r="F43" s="41" t="s">
        <v>62</v>
      </c>
      <c r="G43" s="41" t="s">
        <v>36</v>
      </c>
      <c r="H43" s="41" t="s">
        <v>55</v>
      </c>
      <c r="I43" s="41" t="s">
        <v>34</v>
      </c>
      <c r="J43" s="41" t="s">
        <v>58</v>
      </c>
      <c r="K43" s="41" t="s">
        <v>42</v>
      </c>
      <c r="L43" s="64" t="s">
        <v>54</v>
      </c>
      <c r="M43" s="41" t="s">
        <v>56</v>
      </c>
      <c r="N43" s="64" t="s">
        <v>61</v>
      </c>
      <c r="O43" s="86" t="s">
        <v>90</v>
      </c>
    </row>
    <row r="44" spans="2:16" x14ac:dyDescent="0.3">
      <c r="B44" s="40">
        <v>216</v>
      </c>
      <c r="C44" s="66">
        <f>C46*D44</f>
        <v>42275.869028111563</v>
      </c>
      <c r="D44" s="100">
        <v>0.66388215523932081</v>
      </c>
      <c r="E44" s="66">
        <f>C44-J37</f>
        <v>198.82928231229744</v>
      </c>
      <c r="F44" s="66">
        <f>E44/C44</f>
        <v>4.7031388563552618E-3</v>
      </c>
      <c r="G44" s="66">
        <f>E44*0.2</f>
        <v>39.765856462459489</v>
      </c>
      <c r="H44" s="85">
        <f>ROUND(G44,2)</f>
        <v>39.770000000000003</v>
      </c>
      <c r="I44" s="66">
        <v>0</v>
      </c>
      <c r="J44" s="66">
        <f>C44-H44</f>
        <v>42236.099028111566</v>
      </c>
      <c r="K44" s="100">
        <f>J44/J46</f>
        <v>0.66367210802429988</v>
      </c>
      <c r="L44" s="66">
        <f>519.19+H44</f>
        <v>558.96</v>
      </c>
      <c r="M44" s="66">
        <f>J44+L44-40000</f>
        <v>2795.0590281115656</v>
      </c>
      <c r="N44" s="64">
        <f>M44/40000</f>
        <v>6.987647570278914E-2</v>
      </c>
      <c r="O44" s="19">
        <f t="shared" ref="O44:O45" si="13">J44+L44</f>
        <v>42795.059028111566</v>
      </c>
    </row>
    <row r="45" spans="2:16" x14ac:dyDescent="0.3">
      <c r="B45" s="40" t="s">
        <v>32</v>
      </c>
      <c r="C45" s="66">
        <f>C46*D45</f>
        <v>21403.910123162157</v>
      </c>
      <c r="D45" s="100">
        <v>0.33611784476067924</v>
      </c>
      <c r="E45" s="66">
        <f>C45-J38</f>
        <v>100.66556137818043</v>
      </c>
      <c r="F45" s="66">
        <f t="shared" ref="F45:F46" si="14">E45/C45</f>
        <v>4.7031388563552965E-3</v>
      </c>
      <c r="G45" s="66">
        <f>E45*0.2</f>
        <v>20.133112275636087</v>
      </c>
      <c r="H45" s="66">
        <v>0</v>
      </c>
      <c r="I45" s="66">
        <v>0</v>
      </c>
      <c r="J45" s="66">
        <f t="shared" ref="J45" si="15">C45-H45</f>
        <v>21403.910123162157</v>
      </c>
      <c r="K45" s="100">
        <f>J45/J46</f>
        <v>0.33632789197570018</v>
      </c>
      <c r="L45" s="66">
        <v>0</v>
      </c>
      <c r="M45" s="66">
        <f>C45-20000</f>
        <v>1403.9101231621571</v>
      </c>
      <c r="N45" s="64">
        <f>M45/20000</f>
        <v>7.0195506158107851E-2</v>
      </c>
      <c r="O45" s="19">
        <f t="shared" si="13"/>
        <v>21403.910123162157</v>
      </c>
    </row>
    <row r="46" spans="2:16" ht="24" thickBot="1" x14ac:dyDescent="0.35">
      <c r="B46" s="73" t="s">
        <v>43</v>
      </c>
      <c r="C46" s="68">
        <f>资产结构!D53</f>
        <v>63679.779151273717</v>
      </c>
      <c r="D46" s="70">
        <v>1</v>
      </c>
      <c r="E46" s="69">
        <f>SUM(E44:E45)</f>
        <v>299.49484369047786</v>
      </c>
      <c r="F46" s="69">
        <f t="shared" si="14"/>
        <v>4.703138856355274E-3</v>
      </c>
      <c r="G46" s="69">
        <f>G44+G45</f>
        <v>59.898968738095576</v>
      </c>
      <c r="H46" s="69">
        <f>SUM(H44:H45)</f>
        <v>39.770000000000003</v>
      </c>
      <c r="I46" s="69">
        <v>0</v>
      </c>
      <c r="J46" s="69">
        <f>C46-H46</f>
        <v>63640.00915127372</v>
      </c>
      <c r="K46" s="70">
        <f>J46/J46</f>
        <v>1</v>
      </c>
      <c r="L46" s="69">
        <f>L44+L45</f>
        <v>558.96</v>
      </c>
      <c r="M46" s="69">
        <f>M44+M45</f>
        <v>4198.9691512737227</v>
      </c>
      <c r="N46" s="87">
        <f>(J46+L46)/60000-1</f>
        <v>6.9982819187895284E-2</v>
      </c>
      <c r="O46" s="22">
        <f>J46+L46</f>
        <v>64198.969151273719</v>
      </c>
    </row>
    <row r="47" spans="2:16" x14ac:dyDescent="0.3">
      <c r="B47" s="97"/>
      <c r="K47" s="97"/>
      <c r="O47" s="98" t="s">
        <v>67</v>
      </c>
      <c r="P47" s="39">
        <v>60800</v>
      </c>
    </row>
    <row r="49" spans="2:16" ht="24" thickBot="1" x14ac:dyDescent="0.35"/>
    <row r="50" spans="2:16" x14ac:dyDescent="0.3">
      <c r="B50" s="72"/>
      <c r="C50" s="132">
        <v>20160921</v>
      </c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4"/>
    </row>
    <row r="51" spans="2:16" x14ac:dyDescent="0.3">
      <c r="B51" s="40"/>
      <c r="C51" s="41" t="s">
        <v>57</v>
      </c>
      <c r="D51" s="41" t="s">
        <v>42</v>
      </c>
      <c r="E51" s="41" t="s">
        <v>44</v>
      </c>
      <c r="F51" s="41" t="s">
        <v>62</v>
      </c>
      <c r="G51" s="41" t="s">
        <v>36</v>
      </c>
      <c r="H51" s="41" t="s">
        <v>55</v>
      </c>
      <c r="I51" s="41" t="s">
        <v>34</v>
      </c>
      <c r="J51" s="41" t="s">
        <v>58</v>
      </c>
      <c r="K51" s="41" t="s">
        <v>42</v>
      </c>
      <c r="L51" s="64" t="s">
        <v>54</v>
      </c>
      <c r="M51" s="41" t="s">
        <v>56</v>
      </c>
      <c r="N51" s="64" t="s">
        <v>61</v>
      </c>
      <c r="O51" s="86" t="s">
        <v>90</v>
      </c>
    </row>
    <row r="52" spans="2:16" x14ac:dyDescent="0.3">
      <c r="B52" s="40">
        <v>216</v>
      </c>
      <c r="C52" s="66">
        <f>C54*D52</f>
        <v>42243.189713341802</v>
      </c>
      <c r="D52" s="100">
        <v>0.66367210802429988</v>
      </c>
      <c r="E52" s="66">
        <f>C52-J44</f>
        <v>7.0906852302359766</v>
      </c>
      <c r="F52" s="66">
        <f>E52/C52</f>
        <v>1.6785392576537615E-4</v>
      </c>
      <c r="G52" s="66">
        <f>E52*0.2</f>
        <v>1.4181370460471954</v>
      </c>
      <c r="H52" s="85">
        <f>ROUND(G52,2)</f>
        <v>1.42</v>
      </c>
      <c r="I52" s="66">
        <v>0</v>
      </c>
      <c r="J52" s="66">
        <f>C52-H52</f>
        <v>42241.769713341804</v>
      </c>
      <c r="K52" s="100">
        <f>J52/J54</f>
        <v>0.66366460462979393</v>
      </c>
      <c r="L52" s="66">
        <f>558.96+H52</f>
        <v>560.38</v>
      </c>
      <c r="M52" s="66">
        <f>J52+L52-40000</f>
        <v>2802.1497133418015</v>
      </c>
      <c r="N52" s="64">
        <f>M52/40000</f>
        <v>7.0053742833545041E-2</v>
      </c>
      <c r="O52" s="19">
        <f t="shared" ref="O52:O53" si="16">J52+L52</f>
        <v>42802.149713341802</v>
      </c>
    </row>
    <row r="53" spans="2:16" x14ac:dyDescent="0.3">
      <c r="B53" s="40" t="s">
        <v>32</v>
      </c>
      <c r="C53" s="66">
        <f>C54*D53</f>
        <v>21407.503456658196</v>
      </c>
      <c r="D53" s="100">
        <v>0.33632789197570018</v>
      </c>
      <c r="E53" s="66">
        <f>C53-J45</f>
        <v>3.5933334960391221</v>
      </c>
      <c r="F53" s="66">
        <f t="shared" ref="F53:F54" si="17">E53/C53</f>
        <v>1.6785392576552488E-4</v>
      </c>
      <c r="G53" s="66">
        <f>E53*0.2</f>
        <v>0.71866669920782444</v>
      </c>
      <c r="H53" s="66">
        <v>0</v>
      </c>
      <c r="I53" s="66">
        <v>0</v>
      </c>
      <c r="J53" s="66">
        <f>C53</f>
        <v>21407.503456658196</v>
      </c>
      <c r="K53" s="100">
        <f>J53/J54</f>
        <v>0.33633539537020601</v>
      </c>
      <c r="L53" s="66">
        <v>0</v>
      </c>
      <c r="M53" s="66">
        <f>J53-20000</f>
        <v>1407.5034566581962</v>
      </c>
      <c r="N53" s="64">
        <f>M53/20000</f>
        <v>7.037517283290981E-2</v>
      </c>
      <c r="O53" s="19">
        <f t="shared" si="16"/>
        <v>21407.503456658196</v>
      </c>
    </row>
    <row r="54" spans="2:16" ht="24" thickBot="1" x14ac:dyDescent="0.35">
      <c r="B54" s="73" t="s">
        <v>43</v>
      </c>
      <c r="C54" s="68">
        <f>资产结构!D63</f>
        <v>63650.693169999999</v>
      </c>
      <c r="D54" s="70">
        <v>1</v>
      </c>
      <c r="E54" s="69">
        <f>SUM(E52:E53)</f>
        <v>10.684018726275099</v>
      </c>
      <c r="F54" s="69">
        <f t="shared" si="17"/>
        <v>1.6785392576542619E-4</v>
      </c>
      <c r="G54" s="69">
        <f>G52+G53</f>
        <v>2.1368037452550199</v>
      </c>
      <c r="H54" s="69">
        <f>SUM(H52:H53)</f>
        <v>1.42</v>
      </c>
      <c r="I54" s="69">
        <v>0</v>
      </c>
      <c r="J54" s="69">
        <f>C54-H54</f>
        <v>63649.27317</v>
      </c>
      <c r="K54" s="70">
        <f>J54/J54</f>
        <v>1</v>
      </c>
      <c r="L54" s="69">
        <f>L52+L53</f>
        <v>560.38</v>
      </c>
      <c r="M54" s="69">
        <f>M52+M53</f>
        <v>4209.6531699999978</v>
      </c>
      <c r="N54" s="87">
        <f>(J54+L54)/60000-1</f>
        <v>7.0160886166666714E-2</v>
      </c>
      <c r="O54" s="22">
        <f>J54+L54</f>
        <v>64209.653169999998</v>
      </c>
    </row>
    <row r="55" spans="2:16" x14ac:dyDescent="0.3">
      <c r="B55" s="102"/>
      <c r="K55" s="102"/>
      <c r="O55" s="103" t="s">
        <v>67</v>
      </c>
      <c r="P55" s="39">
        <v>61000</v>
      </c>
    </row>
  </sheetData>
  <mergeCells count="7">
    <mergeCell ref="C50:O50"/>
    <mergeCell ref="C42:O42"/>
    <mergeCell ref="C18:N18"/>
    <mergeCell ref="C4:E4"/>
    <mergeCell ref="C11:M11"/>
    <mergeCell ref="C27:N27"/>
    <mergeCell ref="C35:O3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topLeftCell="A24" workbookViewId="0">
      <selection activeCell="E44" sqref="E44"/>
    </sheetView>
  </sheetViews>
  <sheetFormatPr baseColWidth="10" defaultRowHeight="15" x14ac:dyDescent="0.15"/>
  <cols>
    <col min="3" max="3" width="16.83203125" customWidth="1"/>
    <col min="4" max="4" width="19" customWidth="1"/>
    <col min="5" max="5" width="27.5" customWidth="1"/>
    <col min="7" max="7" width="15" customWidth="1"/>
    <col min="8" max="8" width="13.1640625" bestFit="1" customWidth="1"/>
    <col min="9" max="9" width="24.1640625" customWidth="1"/>
  </cols>
  <sheetData>
    <row r="4" spans="1:9" x14ac:dyDescent="0.15">
      <c r="A4">
        <v>20160921</v>
      </c>
      <c r="B4" t="s">
        <v>82</v>
      </c>
      <c r="C4">
        <v>0.99983214607399995</v>
      </c>
    </row>
    <row r="5" spans="1:9" ht="23" x14ac:dyDescent="0.3">
      <c r="B5" s="40"/>
      <c r="C5" s="114" t="s">
        <v>23</v>
      </c>
      <c r="D5" s="41" t="s">
        <v>57</v>
      </c>
      <c r="E5" s="41" t="s">
        <v>42</v>
      </c>
      <c r="F5" s="116" t="s">
        <v>165</v>
      </c>
      <c r="G5" s="116" t="s">
        <v>166</v>
      </c>
      <c r="H5" s="116" t="s">
        <v>167</v>
      </c>
      <c r="I5" s="116" t="s">
        <v>168</v>
      </c>
    </row>
    <row r="6" spans="1:9" ht="23" x14ac:dyDescent="0.3">
      <c r="B6" s="40">
        <v>216</v>
      </c>
      <c r="C6" s="114">
        <v>42243.189713341802</v>
      </c>
      <c r="D6" s="66">
        <f>C4*C6</f>
        <v>42236.099028101657</v>
      </c>
      <c r="E6" s="100">
        <v>0.66367210802429988</v>
      </c>
      <c r="F6">
        <v>560.38</v>
      </c>
      <c r="G6">
        <v>40000</v>
      </c>
      <c r="H6">
        <f>F6/G6</f>
        <v>1.4009499999999999E-2</v>
      </c>
      <c r="I6">
        <f>D6/40000-1</f>
        <v>5.5902475702541476E-2</v>
      </c>
    </row>
    <row r="7" spans="1:9" ht="23" x14ac:dyDescent="0.3">
      <c r="B7" s="40" t="s">
        <v>32</v>
      </c>
      <c r="C7" s="114">
        <v>23408.289291309895</v>
      </c>
      <c r="D7" s="66">
        <f>C7*C4</f>
        <v>23404.360118051405</v>
      </c>
      <c r="E7" s="100">
        <v>0.33632789197570018</v>
      </c>
      <c r="F7">
        <v>0</v>
      </c>
      <c r="G7">
        <v>22000</v>
      </c>
      <c r="H7">
        <v>0</v>
      </c>
      <c r="I7">
        <f>D7/22000-1</f>
        <v>6.3834550820518476E-2</v>
      </c>
    </row>
    <row r="8" spans="1:9" ht="24" thickBot="1" x14ac:dyDescent="0.35">
      <c r="B8" s="73" t="s">
        <v>43</v>
      </c>
      <c r="C8" s="115">
        <f>C6+C7</f>
        <v>65651.479004651701</v>
      </c>
      <c r="D8" s="68">
        <f>D6+D7</f>
        <v>65640.459146153065</v>
      </c>
      <c r="E8" s="70">
        <v>1</v>
      </c>
      <c r="F8">
        <f>F6+F7</f>
        <v>560.38</v>
      </c>
      <c r="G8">
        <f>G6+G7</f>
        <v>62000</v>
      </c>
      <c r="H8">
        <f>F8/G8</f>
        <v>9.038387096774193E-3</v>
      </c>
      <c r="I8">
        <f>D8/62000-1</f>
        <v>5.8717083002468806E-2</v>
      </c>
    </row>
    <row r="11" spans="1:9" x14ac:dyDescent="0.15">
      <c r="A11">
        <v>20160926</v>
      </c>
      <c r="B11" t="s">
        <v>82</v>
      </c>
      <c r="C11">
        <f>净值!F5</f>
        <v>0.98263663023073078</v>
      </c>
    </row>
    <row r="12" spans="1:9" ht="23" x14ac:dyDescent="0.3">
      <c r="B12" s="40"/>
      <c r="C12" s="114" t="s">
        <v>23</v>
      </c>
      <c r="D12" s="41" t="s">
        <v>57</v>
      </c>
      <c r="E12" s="41" t="s">
        <v>42</v>
      </c>
      <c r="F12" s="116" t="s">
        <v>165</v>
      </c>
      <c r="G12" s="116" t="s">
        <v>166</v>
      </c>
      <c r="H12" s="116" t="s">
        <v>167</v>
      </c>
      <c r="I12" s="116" t="s">
        <v>168</v>
      </c>
    </row>
    <row r="13" spans="1:9" ht="23" x14ac:dyDescent="0.3">
      <c r="B13" s="40">
        <v>216</v>
      </c>
      <c r="C13" s="114">
        <v>42243.189713341802</v>
      </c>
      <c r="D13" s="66">
        <f>C11*C13</f>
        <v>41509.705590115656</v>
      </c>
      <c r="E13" s="100">
        <v>0.66367210802429988</v>
      </c>
      <c r="F13">
        <v>560.38</v>
      </c>
      <c r="G13">
        <v>40000</v>
      </c>
      <c r="H13">
        <f>F13/G13</f>
        <v>1.4009499999999999E-2</v>
      </c>
      <c r="I13">
        <f>D13/40000-1</f>
        <v>3.7742639752891494E-2</v>
      </c>
    </row>
    <row r="14" spans="1:9" ht="23" x14ac:dyDescent="0.3">
      <c r="B14" s="40" t="s">
        <v>32</v>
      </c>
      <c r="C14" s="114">
        <v>23408.289291309895</v>
      </c>
      <c r="D14" s="66">
        <f>C14*C11</f>
        <v>23001.842508678856</v>
      </c>
      <c r="E14" s="100">
        <v>0.33632789197570018</v>
      </c>
      <c r="F14">
        <v>0</v>
      </c>
      <c r="G14">
        <v>22000</v>
      </c>
      <c r="H14">
        <v>0</v>
      </c>
      <c r="I14">
        <f>D14/22000-1</f>
        <v>4.5538295849038901E-2</v>
      </c>
    </row>
    <row r="15" spans="1:9" ht="24" thickBot="1" x14ac:dyDescent="0.35">
      <c r="B15" s="73" t="s">
        <v>43</v>
      </c>
      <c r="C15" s="115">
        <f>C13+C14</f>
        <v>65651.479004651701</v>
      </c>
      <c r="D15" s="68">
        <f>D13+D14</f>
        <v>64511.548098794512</v>
      </c>
      <c r="E15" s="70">
        <v>1</v>
      </c>
      <c r="F15">
        <f>F13+F14</f>
        <v>560.38</v>
      </c>
      <c r="G15">
        <f>G13+G14</f>
        <v>62000</v>
      </c>
      <c r="H15">
        <f>F15/G15</f>
        <v>9.038387096774193E-3</v>
      </c>
      <c r="I15">
        <f>D15/62000-1</f>
        <v>4.0508840303137283E-2</v>
      </c>
    </row>
    <row r="18" spans="1:9" x14ac:dyDescent="0.15">
      <c r="A18">
        <v>20161010</v>
      </c>
      <c r="B18" t="s">
        <v>82</v>
      </c>
      <c r="C18">
        <f>净值!F12</f>
        <v>0.98998490009202555</v>
      </c>
    </row>
    <row r="19" spans="1:9" ht="23" x14ac:dyDescent="0.3">
      <c r="B19" s="40"/>
      <c r="C19" s="114" t="s">
        <v>23</v>
      </c>
      <c r="D19" s="41" t="s">
        <v>57</v>
      </c>
      <c r="E19" s="41" t="s">
        <v>42</v>
      </c>
      <c r="F19" s="116" t="s">
        <v>165</v>
      </c>
      <c r="G19" s="116" t="s">
        <v>166</v>
      </c>
      <c r="H19" s="116" t="s">
        <v>167</v>
      </c>
      <c r="I19" s="116" t="s">
        <v>168</v>
      </c>
    </row>
    <row r="20" spans="1:9" ht="23" x14ac:dyDescent="0.3">
      <c r="B20" s="40">
        <v>216</v>
      </c>
      <c r="C20" s="114">
        <v>42243.189713341802</v>
      </c>
      <c r="D20" s="66">
        <f>C18*C20</f>
        <v>41820.119947931169</v>
      </c>
      <c r="E20" s="100">
        <f>C20/C22</f>
        <v>0.64344612419696867</v>
      </c>
      <c r="F20">
        <v>560.38</v>
      </c>
      <c r="G20">
        <v>40000</v>
      </c>
      <c r="H20">
        <f>F20/G20</f>
        <v>1.4009499999999999E-2</v>
      </c>
      <c r="I20">
        <f>D20/40000-1</f>
        <v>4.5502998698279118E-2</v>
      </c>
    </row>
    <row r="21" spans="1:9" ht="23" x14ac:dyDescent="0.3">
      <c r="B21" s="40" t="s">
        <v>32</v>
      </c>
      <c r="C21" s="64">
        <v>23408.289291309895</v>
      </c>
      <c r="D21" s="66">
        <f>C21*C18</f>
        <v>23173.85293538266</v>
      </c>
      <c r="E21" s="100">
        <f>C21/C22</f>
        <v>0.35655387580303122</v>
      </c>
      <c r="F21">
        <v>0</v>
      </c>
      <c r="G21">
        <v>22000</v>
      </c>
      <c r="H21">
        <v>0</v>
      </c>
      <c r="I21">
        <f>D21/22000-1</f>
        <v>5.3356951608302783E-2</v>
      </c>
    </row>
    <row r="22" spans="1:9" ht="24" thickBot="1" x14ac:dyDescent="0.35">
      <c r="B22" s="73" t="s">
        <v>43</v>
      </c>
      <c r="C22" s="115">
        <f>C20+C21</f>
        <v>65651.479004651701</v>
      </c>
      <c r="D22" s="68">
        <f>D20+D21</f>
        <v>64993.972883313829</v>
      </c>
      <c r="E22" s="70">
        <v>1</v>
      </c>
      <c r="F22">
        <f>F20+F21</f>
        <v>560.38</v>
      </c>
      <c r="G22">
        <f>G20+G21</f>
        <v>62000</v>
      </c>
      <c r="H22">
        <f>F22/G22</f>
        <v>9.038387096774193E-3</v>
      </c>
      <c r="I22">
        <f>D22/62000-1</f>
        <v>4.8289885214739092E-2</v>
      </c>
    </row>
    <row r="24" spans="1:9" x14ac:dyDescent="0.15">
      <c r="A24">
        <v>201611018</v>
      </c>
      <c r="B24" t="s">
        <v>82</v>
      </c>
      <c r="C24">
        <f>净值!F17</f>
        <v>0.99323108274574878</v>
      </c>
    </row>
    <row r="25" spans="1:9" ht="23" x14ac:dyDescent="0.3">
      <c r="B25" s="40"/>
      <c r="C25" s="114" t="s">
        <v>23</v>
      </c>
      <c r="D25" s="41" t="s">
        <v>57</v>
      </c>
      <c r="E25" s="41" t="s">
        <v>42</v>
      </c>
      <c r="F25" s="116" t="s">
        <v>165</v>
      </c>
      <c r="G25" s="116" t="s">
        <v>166</v>
      </c>
      <c r="H25" s="116" t="s">
        <v>167</v>
      </c>
      <c r="I25" s="116" t="s">
        <v>168</v>
      </c>
    </row>
    <row r="26" spans="1:9" ht="23" x14ac:dyDescent="0.3">
      <c r="B26" s="40">
        <v>216</v>
      </c>
      <c r="C26" s="114">
        <v>42243.189713341802</v>
      </c>
      <c r="D26" s="66">
        <f>C24*C26</f>
        <v>41957.249057616558</v>
      </c>
      <c r="E26" s="100">
        <f>C26/C28</f>
        <v>0.63379133426590895</v>
      </c>
      <c r="F26">
        <v>560.38</v>
      </c>
      <c r="G26">
        <v>40000</v>
      </c>
      <c r="H26">
        <f>F26/G26</f>
        <v>1.4009499999999999E-2</v>
      </c>
      <c r="I26">
        <f>D26/40000-1</f>
        <v>4.8931226440414033E-2</v>
      </c>
    </row>
    <row r="27" spans="1:9" ht="23" x14ac:dyDescent="0.3">
      <c r="B27" s="40" t="s">
        <v>32</v>
      </c>
      <c r="C27" s="64">
        <v>24408.383808517923</v>
      </c>
      <c r="D27" s="66">
        <f>C27*C24</f>
        <v>24243.165478208059</v>
      </c>
      <c r="E27" s="100">
        <f>C27/C28</f>
        <v>0.36620866573409105</v>
      </c>
      <c r="F27">
        <v>0</v>
      </c>
      <c r="G27">
        <v>22000</v>
      </c>
      <c r="H27">
        <v>0</v>
      </c>
      <c r="I27">
        <f>D27/22000-1</f>
        <v>0.10196206719127532</v>
      </c>
    </row>
    <row r="28" spans="1:9" ht="24" thickBot="1" x14ac:dyDescent="0.35">
      <c r="B28" s="73" t="s">
        <v>43</v>
      </c>
      <c r="C28" s="115">
        <f>C26+C27</f>
        <v>66651.573521859726</v>
      </c>
      <c r="D28" s="68">
        <f>D26+D27</f>
        <v>66200.414535824617</v>
      </c>
      <c r="E28" s="70">
        <v>1</v>
      </c>
      <c r="F28">
        <f>F26+F27</f>
        <v>560.38</v>
      </c>
      <c r="G28">
        <f>G26+G27</f>
        <v>62000</v>
      </c>
      <c r="H28">
        <f>F28/G28</f>
        <v>9.038387096774193E-3</v>
      </c>
      <c r="I28">
        <f>D28/62000-1</f>
        <v>6.7748621545558274E-2</v>
      </c>
    </row>
    <row r="29" spans="1:9" x14ac:dyDescent="0.15">
      <c r="A29">
        <v>20161031</v>
      </c>
      <c r="B29" t="s">
        <v>82</v>
      </c>
      <c r="C29">
        <f>净值!F22</f>
        <v>0</v>
      </c>
    </row>
    <row r="30" spans="1:9" ht="23" x14ac:dyDescent="0.3">
      <c r="B30" s="40"/>
      <c r="C30" s="114" t="s">
        <v>23</v>
      </c>
      <c r="D30" s="41" t="s">
        <v>57</v>
      </c>
      <c r="E30" s="41" t="s">
        <v>42</v>
      </c>
      <c r="F30" s="116" t="s">
        <v>165</v>
      </c>
      <c r="G30" s="116" t="s">
        <v>166</v>
      </c>
      <c r="H30" s="116" t="s">
        <v>167</v>
      </c>
      <c r="I30" s="116" t="s">
        <v>168</v>
      </c>
    </row>
    <row r="31" spans="1:9" ht="23" x14ac:dyDescent="0.3">
      <c r="B31" s="40">
        <v>216</v>
      </c>
      <c r="C31" s="114">
        <v>42243.189713341802</v>
      </c>
      <c r="D31" s="66">
        <f>C29*C31</f>
        <v>0</v>
      </c>
      <c r="E31" s="100">
        <f>C31/C33</f>
        <v>0.58956013132867613</v>
      </c>
      <c r="F31">
        <v>560.38</v>
      </c>
      <c r="G31">
        <v>40000</v>
      </c>
      <c r="H31">
        <f>F31/G31</f>
        <v>1.4009499999999999E-2</v>
      </c>
      <c r="I31">
        <f>D31/40000-1</f>
        <v>-1</v>
      </c>
    </row>
    <row r="32" spans="1:9" ht="23" x14ac:dyDescent="0.3">
      <c r="B32" s="40" t="s">
        <v>32</v>
      </c>
      <c r="C32" s="64">
        <v>29408.856394558064</v>
      </c>
      <c r="D32" s="66">
        <f>C32*C29</f>
        <v>0</v>
      </c>
      <c r="E32" s="100">
        <f>C32/C33</f>
        <v>0.41043986867132387</v>
      </c>
      <c r="F32">
        <v>0</v>
      </c>
      <c r="G32">
        <v>28000</v>
      </c>
      <c r="H32">
        <v>0</v>
      </c>
      <c r="I32">
        <f>D32/22000-1</f>
        <v>-1</v>
      </c>
    </row>
    <row r="33" spans="1:9" ht="24" thickBot="1" x14ac:dyDescent="0.35">
      <c r="B33" s="73" t="s">
        <v>43</v>
      </c>
      <c r="C33" s="115">
        <f>C31+C32</f>
        <v>71652.046107899863</v>
      </c>
      <c r="D33" s="68">
        <f>D31+D32</f>
        <v>0</v>
      </c>
      <c r="E33" s="70">
        <v>1</v>
      </c>
      <c r="F33">
        <f>F31+F32</f>
        <v>560.38</v>
      </c>
      <c r="G33">
        <f>G31+G32</f>
        <v>68000</v>
      </c>
      <c r="H33">
        <f>F33/G33</f>
        <v>8.240882352941176E-3</v>
      </c>
      <c r="I33">
        <f>D33/62000-1</f>
        <v>-1</v>
      </c>
    </row>
    <row r="35" spans="1:9" x14ac:dyDescent="0.15">
      <c r="A35">
        <v>20161103</v>
      </c>
      <c r="B35" t="s">
        <v>82</v>
      </c>
      <c r="C35">
        <v>0.98998490009202555</v>
      </c>
    </row>
    <row r="36" spans="1:9" ht="23" x14ac:dyDescent="0.3">
      <c r="B36" s="40"/>
      <c r="C36" s="114" t="s">
        <v>23</v>
      </c>
      <c r="D36" s="41" t="s">
        <v>57</v>
      </c>
      <c r="E36" s="41" t="s">
        <v>42</v>
      </c>
      <c r="F36" s="116" t="s">
        <v>165</v>
      </c>
      <c r="G36" s="116" t="s">
        <v>166</v>
      </c>
      <c r="H36" s="116" t="s">
        <v>167</v>
      </c>
      <c r="I36" s="116" t="s">
        <v>168</v>
      </c>
    </row>
    <row r="37" spans="1:9" ht="23" x14ac:dyDescent="0.3">
      <c r="B37" s="40">
        <v>216</v>
      </c>
      <c r="C37" s="114">
        <v>42243.189713341802</v>
      </c>
      <c r="D37" s="66">
        <f>C35*C37</f>
        <v>41820.119947931169</v>
      </c>
      <c r="E37" s="100">
        <f>C37/C39</f>
        <v>0.55286274844758898</v>
      </c>
      <c r="F37">
        <v>560.38</v>
      </c>
      <c r="G37">
        <v>40000</v>
      </c>
      <c r="H37">
        <f>F37/G37</f>
        <v>1.4009499999999999E-2</v>
      </c>
      <c r="I37">
        <f>D37/40000-1</f>
        <v>4.5502998698279118E-2</v>
      </c>
    </row>
    <row r="38" spans="1:9" ht="23" x14ac:dyDescent="0.3">
      <c r="B38" s="40" t="s">
        <v>32</v>
      </c>
      <c r="C38" s="64">
        <v>34164.905843753644</v>
      </c>
      <c r="D38" s="66">
        <f>C38*C35</f>
        <v>33822.740898381911</v>
      </c>
      <c r="E38" s="100">
        <f>C38/C39</f>
        <v>0.44713725155241096</v>
      </c>
      <c r="F38">
        <v>0</v>
      </c>
      <c r="G38">
        <v>33000</v>
      </c>
      <c r="H38">
        <v>0</v>
      </c>
      <c r="I38">
        <f>D38/22000-1</f>
        <v>0.53739731356281406</v>
      </c>
    </row>
    <row r="39" spans="1:9" ht="24" thickBot="1" x14ac:dyDescent="0.35">
      <c r="B39" s="73" t="s">
        <v>43</v>
      </c>
      <c r="C39" s="115">
        <f>C37+C38</f>
        <v>76408.095557095454</v>
      </c>
      <c r="D39" s="68">
        <f>D37+D38</f>
        <v>75642.86084631308</v>
      </c>
      <c r="E39" s="70">
        <v>1</v>
      </c>
      <c r="F39">
        <f>F37+F38</f>
        <v>560.38</v>
      </c>
      <c r="G39">
        <f>G37+G38</f>
        <v>73000</v>
      </c>
      <c r="H39">
        <f>F39/G39</f>
        <v>7.6764383561643834E-3</v>
      </c>
      <c r="I39">
        <f>D39/62000-1</f>
        <v>0.22004614268246914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8"/>
  <sheetViews>
    <sheetView tabSelected="1" workbookViewId="0">
      <selection activeCell="H30" sqref="H30"/>
    </sheetView>
  </sheetViews>
  <sheetFormatPr baseColWidth="10" defaultRowHeight="15" x14ac:dyDescent="0.15"/>
  <cols>
    <col min="3" max="4" width="14.83203125" customWidth="1"/>
    <col min="5" max="6" width="12.5" bestFit="1" customWidth="1"/>
    <col min="7" max="7" width="13.5" bestFit="1" customWidth="1"/>
    <col min="8" max="9" width="17.33203125" customWidth="1"/>
    <col min="10" max="11" width="21.5" customWidth="1"/>
    <col min="12" max="16" width="13.5" customWidth="1"/>
  </cols>
  <sheetData>
    <row r="2" spans="2:17" x14ac:dyDescent="0.15">
      <c r="C2" t="s">
        <v>141</v>
      </c>
      <c r="D2" t="s">
        <v>181</v>
      </c>
      <c r="E2" t="s">
        <v>124</v>
      </c>
      <c r="F2" t="s">
        <v>22</v>
      </c>
      <c r="G2" t="s">
        <v>127</v>
      </c>
      <c r="H2" t="s">
        <v>136</v>
      </c>
      <c r="I2" t="s">
        <v>142</v>
      </c>
      <c r="J2" t="s">
        <v>129</v>
      </c>
      <c r="K2" t="s">
        <v>140</v>
      </c>
      <c r="L2" t="s">
        <v>172</v>
      </c>
      <c r="M2" t="s">
        <v>165</v>
      </c>
      <c r="N2" t="s">
        <v>173</v>
      </c>
      <c r="O2" t="s">
        <v>170</v>
      </c>
      <c r="P2" t="s">
        <v>171</v>
      </c>
    </row>
    <row r="3" spans="2:17" x14ac:dyDescent="0.15">
      <c r="B3">
        <v>20160908</v>
      </c>
      <c r="C3">
        <v>63640.00915127372</v>
      </c>
      <c r="D3">
        <v>0</v>
      </c>
      <c r="E3">
        <v>63650.693169999999</v>
      </c>
      <c r="F3">
        <f>ROUND(C3/E3,12)</f>
        <v>0.99983214607399995</v>
      </c>
      <c r="G3">
        <v>0</v>
      </c>
      <c r="I3">
        <v>0</v>
      </c>
      <c r="J3">
        <f>F3</f>
        <v>0.99983214607399995</v>
      </c>
      <c r="K3">
        <v>63640.009151273698</v>
      </c>
    </row>
    <row r="4" spans="2:17" x14ac:dyDescent="0.15">
      <c r="B4">
        <v>20160921</v>
      </c>
      <c r="C4">
        <v>63650.693169999999</v>
      </c>
      <c r="D4">
        <f>C4-C3</f>
        <v>10.684018726278737</v>
      </c>
      <c r="E4">
        <v>63650.693169999999</v>
      </c>
      <c r="F4">
        <f>ROUND(C4/E4,12)</f>
        <v>1</v>
      </c>
      <c r="G4">
        <f>F4-F3</f>
        <v>1.6785392600005E-4</v>
      </c>
      <c r="H4">
        <f>G4*0.2</f>
        <v>3.3570785200010005E-5</v>
      </c>
      <c r="I4">
        <f>H4*E4</f>
        <v>2.1368037482418138</v>
      </c>
      <c r="J4">
        <f t="shared" ref="J4:J9" si="0">F4-H4</f>
        <v>0.99996642921479995</v>
      </c>
      <c r="K4">
        <f t="shared" ref="K4:K9" si="1">J4*E4</f>
        <v>63648.556366251752</v>
      </c>
      <c r="M4">
        <v>560.38</v>
      </c>
    </row>
    <row r="5" spans="2:17" x14ac:dyDescent="0.15">
      <c r="B5">
        <v>20160926</v>
      </c>
      <c r="C5">
        <v>64511.548098794519</v>
      </c>
      <c r="D5">
        <f t="shared" ref="D5:D11" si="2">C5-C4</f>
        <v>860.85492879452067</v>
      </c>
      <c r="E5">
        <v>65651.479004651701</v>
      </c>
      <c r="F5">
        <f t="shared" ref="F5:F10" si="3">C5/E5</f>
        <v>0.98263663023073078</v>
      </c>
      <c r="G5">
        <f>F5-F4</f>
        <v>-1.7363369769269221E-2</v>
      </c>
      <c r="H5">
        <v>0</v>
      </c>
      <c r="I5">
        <v>0</v>
      </c>
      <c r="J5">
        <f t="shared" si="0"/>
        <v>0.98263663023073078</v>
      </c>
      <c r="K5">
        <f t="shared" si="1"/>
        <v>64511.548098794519</v>
      </c>
      <c r="L5">
        <f>K5-K4-2000</f>
        <v>-1137.0082674572332</v>
      </c>
      <c r="M5">
        <v>560.38</v>
      </c>
      <c r="N5">
        <f>M5/62000</f>
        <v>9.038387096774193E-3</v>
      </c>
      <c r="O5">
        <f>C5-62000+M5</f>
        <v>3071.9280987945194</v>
      </c>
      <c r="P5">
        <f>O5/62000</f>
        <v>4.9547227399911603E-2</v>
      </c>
      <c r="Q5" t="s">
        <v>169</v>
      </c>
    </row>
    <row r="6" spans="2:17" x14ac:dyDescent="0.15">
      <c r="B6">
        <v>20161010</v>
      </c>
      <c r="C6">
        <v>65378.841719794524</v>
      </c>
      <c r="D6">
        <f t="shared" si="2"/>
        <v>867.29362100000435</v>
      </c>
      <c r="E6">
        <v>65651.479004651701</v>
      </c>
      <c r="F6">
        <f t="shared" si="3"/>
        <v>0.99584720269839067</v>
      </c>
      <c r="G6">
        <f>F6-F5</f>
        <v>1.3210572467659887E-2</v>
      </c>
      <c r="H6">
        <v>0</v>
      </c>
      <c r="I6">
        <v>0</v>
      </c>
      <c r="J6">
        <f t="shared" si="0"/>
        <v>0.99584720269839067</v>
      </c>
      <c r="K6">
        <f t="shared" si="1"/>
        <v>65378.841719794524</v>
      </c>
      <c r="L6">
        <f t="shared" ref="L6:L11" si="4">(F6-F5)*E6</f>
        <v>867.29362100000287</v>
      </c>
    </row>
    <row r="7" spans="2:17" x14ac:dyDescent="0.15">
      <c r="B7">
        <v>20161017</v>
      </c>
      <c r="C7">
        <v>65645.274396595487</v>
      </c>
      <c r="D7">
        <f t="shared" si="2"/>
        <v>266.43267680096324</v>
      </c>
      <c r="E7">
        <v>65651.479004651701</v>
      </c>
      <c r="F7">
        <f t="shared" si="3"/>
        <v>0.99990549172463006</v>
      </c>
      <c r="G7">
        <f>F7-J4</f>
        <v>-6.0937490169887809E-5</v>
      </c>
      <c r="H7">
        <v>0</v>
      </c>
      <c r="I7">
        <v>0</v>
      </c>
      <c r="J7">
        <f t="shared" si="0"/>
        <v>0.99990549172463006</v>
      </c>
      <c r="K7">
        <f t="shared" si="1"/>
        <v>65645.274396595487</v>
      </c>
      <c r="L7">
        <f t="shared" si="4"/>
        <v>266.43267680096386</v>
      </c>
    </row>
    <row r="8" spans="2:17" x14ac:dyDescent="0.15">
      <c r="B8">
        <v>20161019</v>
      </c>
      <c r="C8">
        <v>71387.021902600318</v>
      </c>
      <c r="D8">
        <f t="shared" si="2"/>
        <v>5741.7475060048309</v>
      </c>
      <c r="E8">
        <v>71652.046107899863</v>
      </c>
      <c r="F8">
        <f t="shared" si="3"/>
        <v>0.99630123325577546</v>
      </c>
      <c r="G8">
        <f t="shared" ref="G8:G15" si="5">F8-F7</f>
        <v>-3.6042584688545931E-3</v>
      </c>
      <c r="H8">
        <v>0</v>
      </c>
      <c r="I8">
        <v>0</v>
      </c>
      <c r="J8">
        <f t="shared" si="0"/>
        <v>0.99630123325577546</v>
      </c>
      <c r="K8">
        <f t="shared" si="1"/>
        <v>71387.021902600318</v>
      </c>
      <c r="L8">
        <f t="shared" si="4"/>
        <v>-258.25249399515786</v>
      </c>
    </row>
    <row r="9" spans="2:17" x14ac:dyDescent="0.15">
      <c r="B9">
        <v>20161020</v>
      </c>
      <c r="C9">
        <v>71629.138475080254</v>
      </c>
      <c r="D9">
        <f t="shared" si="2"/>
        <v>242.11657247993571</v>
      </c>
      <c r="E9">
        <v>71652.046107899863</v>
      </c>
      <c r="F9">
        <f t="shared" si="3"/>
        <v>0.99968029338917808</v>
      </c>
      <c r="G9">
        <f t="shared" si="5"/>
        <v>3.3790601334026116E-3</v>
      </c>
      <c r="H9">
        <v>0</v>
      </c>
      <c r="I9">
        <v>0</v>
      </c>
      <c r="J9">
        <f t="shared" si="0"/>
        <v>0.99968029338917808</v>
      </c>
      <c r="K9">
        <f t="shared" si="1"/>
        <v>71629.138475080254</v>
      </c>
      <c r="L9">
        <f t="shared" si="4"/>
        <v>242.1165724799302</v>
      </c>
    </row>
    <row r="10" spans="2:17" x14ac:dyDescent="0.15">
      <c r="B10">
        <v>20161027</v>
      </c>
      <c r="C10">
        <v>71725.913268959863</v>
      </c>
      <c r="D10">
        <f t="shared" si="2"/>
        <v>96.774793879609206</v>
      </c>
      <c r="E10">
        <v>71652.046107899863</v>
      </c>
      <c r="F10">
        <f t="shared" si="3"/>
        <v>1.0010309148876051</v>
      </c>
      <c r="G10">
        <f t="shared" si="5"/>
        <v>1.3506214984270182E-3</v>
      </c>
      <c r="H10">
        <v>0</v>
      </c>
      <c r="I10">
        <v>0</v>
      </c>
      <c r="J10">
        <f t="shared" ref="J10" si="6">F10-H10</f>
        <v>1.0010309148876051</v>
      </c>
      <c r="K10">
        <f t="shared" ref="K10" si="7">J10*E10</f>
        <v>71725.913268959863</v>
      </c>
      <c r="L10">
        <f t="shared" si="4"/>
        <v>96.774793879613512</v>
      </c>
    </row>
    <row r="11" spans="2:17" x14ac:dyDescent="0.15">
      <c r="B11">
        <v>20161031</v>
      </c>
      <c r="C11">
        <v>71580.906646479925</v>
      </c>
      <c r="D11">
        <f t="shared" si="2"/>
        <v>-145.0066224799375</v>
      </c>
      <c r="E11">
        <v>71652.046107899863</v>
      </c>
      <c r="F11">
        <f t="shared" ref="F11" si="8">C11/E11</f>
        <v>0.99900715380391492</v>
      </c>
      <c r="G11">
        <f t="shared" si="5"/>
        <v>-2.0237610836901787E-3</v>
      </c>
      <c r="H11">
        <v>0</v>
      </c>
      <c r="I11">
        <v>0</v>
      </c>
      <c r="J11">
        <f t="shared" ref="J11" si="9">F11-H11</f>
        <v>0.99900715380391492</v>
      </c>
      <c r="K11">
        <f t="shared" ref="K11" si="10">J11*E11</f>
        <v>71580.906646479925</v>
      </c>
      <c r="L11">
        <f t="shared" si="4"/>
        <v>-145.00662247994208</v>
      </c>
    </row>
    <row r="12" spans="2:17" x14ac:dyDescent="0.15">
      <c r="B12">
        <v>20161103</v>
      </c>
      <c r="C12">
        <v>70934.443707518454</v>
      </c>
      <c r="D12">
        <f t="shared" ref="D12" si="11">C12-C11</f>
        <v>-646.46293896147108</v>
      </c>
      <c r="E12">
        <v>71652.046107899863</v>
      </c>
      <c r="F12">
        <f t="shared" ref="F12:F17" si="12">C12/E12</f>
        <v>0.98998490009202555</v>
      </c>
      <c r="G12">
        <f t="shared" si="5"/>
        <v>-9.0222537118893609E-3</v>
      </c>
      <c r="H12">
        <v>0</v>
      </c>
      <c r="I12">
        <v>0</v>
      </c>
      <c r="J12">
        <f t="shared" ref="J12" si="13">F12-H12</f>
        <v>0.98998490009202555</v>
      </c>
      <c r="K12">
        <f t="shared" ref="K12" si="14">J12*E12</f>
        <v>70934.443707518454</v>
      </c>
      <c r="L12">
        <f t="shared" ref="L12" si="15">(F12-F11)*E12</f>
        <v>-646.46293896146722</v>
      </c>
    </row>
    <row r="13" spans="2:17" x14ac:dyDescent="0.15">
      <c r="B13">
        <v>20161105</v>
      </c>
      <c r="C13">
        <f>70934.4437075185+5000</f>
        <v>75934.443707518498</v>
      </c>
      <c r="D13">
        <f t="shared" ref="D13" si="16">C13-C12</f>
        <v>5000.0000000000437</v>
      </c>
      <c r="E13">
        <f>71652.0461078999+5000/F12</f>
        <v>76702.628192066259</v>
      </c>
      <c r="F13">
        <f t="shared" si="12"/>
        <v>0.98998490009202555</v>
      </c>
      <c r="G13">
        <f t="shared" si="5"/>
        <v>0</v>
      </c>
      <c r="H13">
        <v>0</v>
      </c>
      <c r="I13">
        <v>0</v>
      </c>
      <c r="J13">
        <f t="shared" ref="J13" si="17">F13-H13</f>
        <v>0.98998490009202555</v>
      </c>
      <c r="K13">
        <f t="shared" ref="K13" si="18">J13*E13</f>
        <v>75934.443707518498</v>
      </c>
      <c r="L13">
        <f t="shared" ref="L13" si="19">(F13-F12)*E13</f>
        <v>0</v>
      </c>
    </row>
    <row r="14" spans="2:17" x14ac:dyDescent="0.15">
      <c r="B14">
        <v>20161108</v>
      </c>
      <c r="C14">
        <v>75639.553558821834</v>
      </c>
      <c r="D14">
        <f t="shared" ref="D14" si="20">C14-C13</f>
        <v>-294.89014869666426</v>
      </c>
      <c r="E14">
        <f>71652.0461078999+5000/F13</f>
        <v>76702.628192066259</v>
      </c>
      <c r="F14">
        <f t="shared" si="12"/>
        <v>0.98614031020446336</v>
      </c>
      <c r="G14">
        <f t="shared" si="5"/>
        <v>-3.8445898875621998E-3</v>
      </c>
      <c r="H14">
        <v>0</v>
      </c>
      <c r="I14">
        <v>0</v>
      </c>
      <c r="J14">
        <f t="shared" ref="J14" si="21">F14-H14</f>
        <v>0.98614031020446336</v>
      </c>
      <c r="K14">
        <f t="shared" ref="K14" si="22">J14*E14</f>
        <v>75639.553558821834</v>
      </c>
      <c r="L14">
        <f t="shared" ref="L14" si="23">(F14-F13)*E14</f>
        <v>-294.89014869666124</v>
      </c>
    </row>
    <row r="15" spans="2:17" x14ac:dyDescent="0.15">
      <c r="B15">
        <v>20161117</v>
      </c>
      <c r="C15">
        <v>75946.217250558577</v>
      </c>
      <c r="D15">
        <f t="shared" ref="D15" si="24">C15-C14</f>
        <v>306.6636917367432</v>
      </c>
      <c r="E15">
        <f>71652.0461078999+5000/F14</f>
        <v>76722.31851057992</v>
      </c>
      <c r="F15">
        <f t="shared" si="12"/>
        <v>0.98988428302105702</v>
      </c>
      <c r="G15">
        <f t="shared" si="5"/>
        <v>3.7439728165936659E-3</v>
      </c>
      <c r="H15">
        <v>0</v>
      </c>
      <c r="I15">
        <v>0</v>
      </c>
      <c r="J15">
        <f t="shared" ref="J15" si="25">F15-H15</f>
        <v>0.98988428302105702</v>
      </c>
      <c r="K15">
        <f t="shared" ref="K15" si="26">J15*E15</f>
        <v>75946.217250558577</v>
      </c>
      <c r="L15">
        <f t="shared" ref="L15" si="27">(F15-F14)*E15</f>
        <v>287.24627492965226</v>
      </c>
    </row>
    <row r="16" spans="2:17" x14ac:dyDescent="0.15">
      <c r="B16">
        <v>20161122</v>
      </c>
      <c r="C16">
        <v>76110.26288755858</v>
      </c>
      <c r="D16">
        <f t="shared" ref="D16" si="28">C16-C15</f>
        <v>164.0456370000029</v>
      </c>
      <c r="E16">
        <f>71652.0461078999+5000/F15</f>
        <v>76703.141559926225</v>
      </c>
      <c r="F16">
        <f t="shared" si="12"/>
        <v>0.99227047731930973</v>
      </c>
      <c r="G16">
        <f t="shared" ref="G16" si="29">F16-F15</f>
        <v>2.3861942982527085E-3</v>
      </c>
      <c r="H16">
        <v>0</v>
      </c>
      <c r="I16">
        <v>0</v>
      </c>
      <c r="J16">
        <f t="shared" ref="J16" si="30">F16-H16</f>
        <v>0.99227047731930973</v>
      </c>
      <c r="K16">
        <f t="shared" ref="K16" si="31">J16*E16</f>
        <v>76110.26288755858</v>
      </c>
      <c r="L16">
        <f t="shared" ref="L16" si="32">(F16-F15)*E16</f>
        <v>183.02859904836632</v>
      </c>
    </row>
    <row r="17" spans="1:13" x14ac:dyDescent="0.15">
      <c r="A17" t="s">
        <v>155</v>
      </c>
      <c r="B17">
        <v>20161122</v>
      </c>
      <c r="C17">
        <v>81188.78478300001</v>
      </c>
      <c r="D17">
        <f t="shared" ref="D17" si="33">C17-C16</f>
        <v>5078.5218954414304</v>
      </c>
      <c r="E17">
        <f>E16+5000/F16</f>
        <v>81742.090227942492</v>
      </c>
      <c r="F17">
        <f t="shared" si="12"/>
        <v>0.99323108274574878</v>
      </c>
      <c r="G17">
        <f t="shared" ref="G17" si="34">F17-F16</f>
        <v>9.60605426439054E-4</v>
      </c>
      <c r="H17">
        <v>0</v>
      </c>
      <c r="I17">
        <v>0</v>
      </c>
      <c r="J17">
        <f t="shared" ref="J17" si="35">F17-H17</f>
        <v>0.99323108274574878</v>
      </c>
      <c r="K17">
        <f t="shared" ref="K17" si="36">J17*E17</f>
        <v>81188.78478300001</v>
      </c>
      <c r="L17">
        <f t="shared" ref="L17" si="37">(F17-F16)*E17</f>
        <v>78.521895441432321</v>
      </c>
    </row>
    <row r="18" spans="1:13" x14ac:dyDescent="0.15">
      <c r="B18">
        <v>20161209</v>
      </c>
      <c r="C18">
        <v>81906.498561</v>
      </c>
      <c r="D18">
        <f t="shared" ref="D18" si="38">C18-C17</f>
        <v>717.71377799999027</v>
      </c>
      <c r="E18">
        <v>81742.090227942492</v>
      </c>
      <c r="F18">
        <f t="shared" ref="F18" si="39">C18/E18</f>
        <v>1.0020113057128714</v>
      </c>
      <c r="G18">
        <f t="shared" ref="G18" si="40">F18-F17</f>
        <v>8.7802229671226639E-3</v>
      </c>
      <c r="H18">
        <v>0</v>
      </c>
      <c r="I18">
        <v>0</v>
      </c>
      <c r="J18">
        <f t="shared" ref="J18" si="41">F18-H18</f>
        <v>1.0020113057128714</v>
      </c>
      <c r="K18">
        <f t="shared" ref="K18" si="42">J18*E18</f>
        <v>81906.498561</v>
      </c>
      <c r="L18">
        <f t="shared" ref="L18" si="43">(F18-F17)*E18</f>
        <v>717.71377799999368</v>
      </c>
    </row>
    <row r="19" spans="1:13" x14ac:dyDescent="0.15">
      <c r="A19" t="s">
        <v>159</v>
      </c>
      <c r="B19">
        <v>20161210</v>
      </c>
      <c r="C19">
        <v>81906.498561</v>
      </c>
      <c r="D19">
        <f>-C19*(F18-F19)</f>
        <v>-164.73900847703629</v>
      </c>
      <c r="E19">
        <v>81742.090227942492</v>
      </c>
      <c r="F19">
        <v>1</v>
      </c>
      <c r="G19">
        <f t="shared" ref="G19" si="44">F19-F18</f>
        <v>-2.0113057128714473E-3</v>
      </c>
      <c r="H19">
        <v>0</v>
      </c>
      <c r="I19">
        <v>0</v>
      </c>
      <c r="J19">
        <f t="shared" ref="J19" si="45">F19-H19</f>
        <v>1</v>
      </c>
      <c r="K19">
        <f t="shared" ref="K19" si="46">J19*E19</f>
        <v>81742.090227942492</v>
      </c>
      <c r="L19">
        <f t="shared" ref="L19" si="47">(F19-F18)*E19</f>
        <v>-164.40833305751403</v>
      </c>
      <c r="M19">
        <f>M5-L19</f>
        <v>724.78833305751402</v>
      </c>
    </row>
    <row r="20" spans="1:13" x14ac:dyDescent="0.15">
      <c r="B20">
        <v>20161210</v>
      </c>
      <c r="C20">
        <v>82046.174482999995</v>
      </c>
      <c r="D20">
        <f>C20-C19</f>
        <v>139.6759219999949</v>
      </c>
      <c r="E20">
        <v>81742.090227942492</v>
      </c>
      <c r="F20">
        <f>C20/E20</f>
        <v>1.0037200450124233</v>
      </c>
      <c r="G20">
        <f t="shared" ref="G20" si="48">F20-F19</f>
        <v>3.7200450124232898E-3</v>
      </c>
      <c r="H20">
        <v>0</v>
      </c>
      <c r="I20">
        <v>0</v>
      </c>
      <c r="J20">
        <f t="shared" ref="J20" si="49">F20-H20</f>
        <v>1.0037200450124233</v>
      </c>
      <c r="K20">
        <f t="shared" ref="K20" si="50">J20*E20</f>
        <v>82046.17448300001</v>
      </c>
      <c r="L20">
        <f t="shared" ref="L20" si="51">(F20-F19)*E20</f>
        <v>304.084255057512</v>
      </c>
      <c r="M20">
        <v>724.78833305751402</v>
      </c>
    </row>
    <row r="28" spans="1:13" x14ac:dyDescent="0.15">
      <c r="H28">
        <f>H14-G28</f>
        <v>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8"/>
  <sheetViews>
    <sheetView topLeftCell="A2" workbookViewId="0">
      <selection activeCell="C7" sqref="C7:F7"/>
    </sheetView>
  </sheetViews>
  <sheetFormatPr baseColWidth="10" defaultRowHeight="15" x14ac:dyDescent="0.15"/>
  <cols>
    <col min="2" max="2" width="16" bestFit="1" customWidth="1"/>
    <col min="3" max="3" width="15.5" customWidth="1"/>
    <col min="4" max="4" width="12.5" bestFit="1" customWidth="1"/>
    <col min="5" max="6" width="18.1640625" customWidth="1"/>
    <col min="7" max="7" width="24" customWidth="1"/>
    <col min="11" max="11" width="23.1640625" customWidth="1"/>
  </cols>
  <sheetData>
    <row r="3" spans="1:11" x14ac:dyDescent="0.15">
      <c r="A3">
        <v>20160921</v>
      </c>
      <c r="B3" t="s">
        <v>22</v>
      </c>
      <c r="C3">
        <f>净值!J4</f>
        <v>0.99996642921479995</v>
      </c>
    </row>
    <row r="4" spans="1:11" x14ac:dyDescent="0.15">
      <c r="B4" t="s">
        <v>136</v>
      </c>
      <c r="C4">
        <f>净值!H4</f>
        <v>3.3570785200010005E-5</v>
      </c>
      <c r="H4" t="s">
        <v>143</v>
      </c>
    </row>
    <row r="5" spans="1:11" x14ac:dyDescent="0.15">
      <c r="C5" t="s">
        <v>23</v>
      </c>
      <c r="D5" t="s">
        <v>139</v>
      </c>
      <c r="E5" t="s">
        <v>138</v>
      </c>
      <c r="F5" t="s">
        <v>126</v>
      </c>
      <c r="H5" t="s">
        <v>144</v>
      </c>
      <c r="I5" t="s">
        <v>145</v>
      </c>
      <c r="J5" t="s">
        <v>146</v>
      </c>
      <c r="K5" t="s">
        <v>126</v>
      </c>
    </row>
    <row r="6" spans="1:11" x14ac:dyDescent="0.15">
      <c r="B6">
        <v>216</v>
      </c>
      <c r="C6">
        <v>42243.189713341802</v>
      </c>
      <c r="D6">
        <f>C6*C4</f>
        <v>1.4181370480298698</v>
      </c>
      <c r="E6" t="s">
        <v>55</v>
      </c>
      <c r="F6">
        <f>C6*C3</f>
        <v>42241.771576293773</v>
      </c>
      <c r="G6">
        <v>42241.769713341804</v>
      </c>
      <c r="K6">
        <f>F6</f>
        <v>42241.771576293773</v>
      </c>
    </row>
    <row r="7" spans="1:11" x14ac:dyDescent="0.15">
      <c r="B7" t="s">
        <v>125</v>
      </c>
      <c r="C7">
        <v>21407.503456658196</v>
      </c>
      <c r="D7">
        <f>C4*C7</f>
        <v>0.71866670021194401</v>
      </c>
      <c r="E7" t="s">
        <v>133</v>
      </c>
      <c r="F7">
        <f>C7*C3</f>
        <v>21406.784789957983</v>
      </c>
      <c r="H7">
        <f>C4*C7</f>
        <v>0.71866670021194401</v>
      </c>
      <c r="I7">
        <f>H7/C3</f>
        <v>0.71869082722733013</v>
      </c>
      <c r="J7">
        <f>C7+I7</f>
        <v>21408.222147485423</v>
      </c>
      <c r="K7">
        <f>J7*C3</f>
        <v>21407.503456658196</v>
      </c>
    </row>
    <row r="8" spans="1:11" x14ac:dyDescent="0.15">
      <c r="B8" t="s">
        <v>60</v>
      </c>
      <c r="C8">
        <f>C6+C7</f>
        <v>63650.693169999999</v>
      </c>
      <c r="D8">
        <f>D6+D7</f>
        <v>2.1368037482418138</v>
      </c>
      <c r="K8">
        <f>K6+K7</f>
        <v>63649.275032951969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2"/>
  <sheetViews>
    <sheetView topLeftCell="A4" workbookViewId="0">
      <selection activeCell="E28" sqref="E28"/>
    </sheetView>
  </sheetViews>
  <sheetFormatPr baseColWidth="10" defaultRowHeight="15" x14ac:dyDescent="0.15"/>
  <cols>
    <col min="1" max="1" width="10.83203125" style="110"/>
    <col min="2" max="2" width="13.83203125" style="110" bestFit="1" customWidth="1"/>
    <col min="3" max="3" width="20" style="110" customWidth="1"/>
    <col min="4" max="4" width="16.33203125" style="110" customWidth="1"/>
    <col min="5" max="5" width="27.33203125" style="111" customWidth="1"/>
    <col min="6" max="7" width="23.5" style="110" customWidth="1"/>
    <col min="8" max="8" width="21.33203125" style="110" customWidth="1"/>
    <col min="9" max="9" width="10.83203125" style="110"/>
    <col min="10" max="10" width="13.33203125" style="110" customWidth="1"/>
    <col min="11" max="16384" width="10.83203125" style="110"/>
  </cols>
  <sheetData>
    <row r="3" spans="2:11" ht="23" x14ac:dyDescent="0.3">
      <c r="J3" s="140" t="s">
        <v>157</v>
      </c>
      <c r="K3" s="140"/>
    </row>
    <row r="4" spans="2:11" s="111" customFormat="1" ht="23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J4" s="112" t="s">
        <v>23</v>
      </c>
      <c r="K4" s="113" t="s">
        <v>158</v>
      </c>
    </row>
    <row r="5" spans="2:11" ht="23" x14ac:dyDescent="0.3">
      <c r="B5" s="138">
        <v>20160921</v>
      </c>
      <c r="C5" s="64" t="s">
        <v>150</v>
      </c>
      <c r="D5" s="64">
        <v>21407.503456658196</v>
      </c>
      <c r="E5" s="41">
        <f>净值!J4</f>
        <v>0.99996642921479995</v>
      </c>
      <c r="F5" s="64">
        <v>0</v>
      </c>
      <c r="G5" s="64">
        <f>D5</f>
        <v>21407.503456658196</v>
      </c>
      <c r="H5" s="64">
        <v>21406.78</v>
      </c>
      <c r="K5" s="110">
        <f>ROUND(E5*D5,2)</f>
        <v>21406.78</v>
      </c>
    </row>
    <row r="6" spans="2:11" ht="23" x14ac:dyDescent="0.3">
      <c r="B6" s="139"/>
      <c r="C6" s="64" t="s">
        <v>147</v>
      </c>
      <c r="D6" s="64">
        <f>F6/E6</f>
        <v>0.71869082722733013</v>
      </c>
      <c r="E6" s="41">
        <f>净值!J4</f>
        <v>0.99996642921479995</v>
      </c>
      <c r="F6" s="64">
        <f>D5*净值!H4</f>
        <v>0.71866670021194401</v>
      </c>
      <c r="G6" s="64">
        <f>G5+D6</f>
        <v>21408.222147485423</v>
      </c>
      <c r="H6" s="64">
        <f>ROUND(H5+F6,2)</f>
        <v>21407.5</v>
      </c>
    </row>
    <row r="7" spans="2:11" ht="23" x14ac:dyDescent="0.3">
      <c r="B7" s="64">
        <v>20160923</v>
      </c>
      <c r="C7" s="64" t="s">
        <v>155</v>
      </c>
      <c r="D7" s="64">
        <f>F7/E7</f>
        <v>2000.067143824471</v>
      </c>
      <c r="E7" s="41">
        <f>E6</f>
        <v>0.99996642921479995</v>
      </c>
      <c r="F7" s="64">
        <v>2000</v>
      </c>
      <c r="G7" s="64">
        <v>23408.289291309895</v>
      </c>
      <c r="H7" s="64">
        <v>23407.5</v>
      </c>
      <c r="J7" s="110">
        <f>G6+D7</f>
        <v>23408.289291309895</v>
      </c>
    </row>
    <row r="8" spans="2:11" ht="23" x14ac:dyDescent="0.3">
      <c r="B8" s="48">
        <v>20161010</v>
      </c>
      <c r="C8" s="64" t="s">
        <v>150</v>
      </c>
      <c r="D8" s="64">
        <f>投资者份数权益表!C21</f>
        <v>23408.289291309895</v>
      </c>
      <c r="E8" s="41">
        <f>净值!F6</f>
        <v>0.99584720269839067</v>
      </c>
      <c r="F8" s="64">
        <v>0</v>
      </c>
      <c r="G8" s="64">
        <f>D8</f>
        <v>23408.289291309895</v>
      </c>
      <c r="H8" s="64">
        <f>E8*D8</f>
        <v>23311.079410705654</v>
      </c>
      <c r="K8" s="110">
        <f>ROUND(E8*D8,2)</f>
        <v>23311.08</v>
      </c>
    </row>
    <row r="9" spans="2:11" ht="23" x14ac:dyDescent="0.3">
      <c r="B9" s="48">
        <v>20161017</v>
      </c>
      <c r="C9" s="64" t="s">
        <v>150</v>
      </c>
      <c r="D9" s="64">
        <v>23408.289291309895</v>
      </c>
      <c r="E9" s="41">
        <v>0.99990549172463006</v>
      </c>
      <c r="F9" s="64">
        <v>0</v>
      </c>
      <c r="G9" s="64">
        <f>D9</f>
        <v>23408.289291309895</v>
      </c>
      <c r="H9" s="64">
        <f>E9*D9</f>
        <v>23406.077014259612</v>
      </c>
    </row>
    <row r="10" spans="2:11" ht="23" x14ac:dyDescent="0.3">
      <c r="B10" s="48">
        <v>20161018</v>
      </c>
      <c r="C10" s="64" t="s">
        <v>155</v>
      </c>
      <c r="D10" s="64">
        <f>1000/E9</f>
        <v>1000.0945172080283</v>
      </c>
      <c r="E10" s="41">
        <v>0.99990549172463006</v>
      </c>
      <c r="F10" s="64">
        <v>1000</v>
      </c>
      <c r="G10" s="64">
        <f>G9+D10</f>
        <v>24408.383808517923</v>
      </c>
      <c r="H10" s="64">
        <f t="shared" ref="H10:H16" si="0">E10*G10</f>
        <v>24406.077014259612</v>
      </c>
    </row>
    <row r="11" spans="2:11" ht="23" x14ac:dyDescent="0.3">
      <c r="B11" s="48">
        <v>20161019</v>
      </c>
      <c r="C11" s="64" t="s">
        <v>155</v>
      </c>
      <c r="D11" s="64">
        <f>5000/E10</f>
        <v>5000.4725860401413</v>
      </c>
      <c r="E11" s="41">
        <v>0.99990549172463006</v>
      </c>
      <c r="F11" s="64">
        <v>5000</v>
      </c>
      <c r="G11" s="64">
        <f>G10+D11</f>
        <v>29408.856394558064</v>
      </c>
      <c r="H11" s="64">
        <f t="shared" si="0"/>
        <v>29406.077014259612</v>
      </c>
    </row>
    <row r="12" spans="2:11" ht="23" x14ac:dyDescent="0.3">
      <c r="B12" s="48">
        <v>20161020</v>
      </c>
      <c r="C12" s="64" t="s">
        <v>150</v>
      </c>
      <c r="D12" s="64">
        <f>5000/E11</f>
        <v>5000.4725860401413</v>
      </c>
      <c r="E12" s="41">
        <f>净值!F9</f>
        <v>0.99968029338917808</v>
      </c>
      <c r="F12" s="64">
        <v>5000</v>
      </c>
      <c r="G12" s="64">
        <v>29408.856394558064</v>
      </c>
      <c r="H12" s="64">
        <f t="shared" si="0"/>
        <v>29399.45418875201</v>
      </c>
    </row>
    <row r="13" spans="2:11" ht="23" x14ac:dyDescent="0.3">
      <c r="B13" s="48">
        <v>20161027</v>
      </c>
      <c r="C13" s="64" t="s">
        <v>150</v>
      </c>
      <c r="D13" s="64">
        <v>29408.856394558064</v>
      </c>
      <c r="E13" s="41">
        <f>净值!F10</f>
        <v>1.0010309148876051</v>
      </c>
      <c r="F13" s="64">
        <v>0</v>
      </c>
      <c r="G13" s="64">
        <v>29408.856394558064</v>
      </c>
      <c r="H13" s="64">
        <f t="shared" si="0"/>
        <v>29439.174422442655</v>
      </c>
    </row>
    <row r="14" spans="2:11" ht="23" x14ac:dyDescent="0.3">
      <c r="B14" s="48">
        <v>20161103</v>
      </c>
      <c r="C14" s="64" t="s">
        <v>150</v>
      </c>
      <c r="D14" s="64">
        <v>29408.856394558064</v>
      </c>
      <c r="E14" s="41">
        <v>0.98998490009202555</v>
      </c>
      <c r="F14" s="64">
        <v>0</v>
      </c>
      <c r="G14" s="64">
        <v>29408.856394558064</v>
      </c>
      <c r="H14" s="64">
        <f t="shared" si="0"/>
        <v>29114.323759587292</v>
      </c>
    </row>
    <row r="15" spans="2:11" ht="23" x14ac:dyDescent="0.3">
      <c r="B15" s="48">
        <v>20161103</v>
      </c>
      <c r="C15" s="64" t="s">
        <v>155</v>
      </c>
      <c r="D15" s="64">
        <v>5050.5820841663517</v>
      </c>
      <c r="E15" s="64">
        <v>0.98998490009202555</v>
      </c>
      <c r="F15" s="64">
        <f>D15*E15</f>
        <v>5000</v>
      </c>
      <c r="G15" s="64">
        <f>G14+J15</f>
        <v>34459.43847872442</v>
      </c>
      <c r="H15" s="64">
        <f t="shared" si="0"/>
        <v>34114.323759587292</v>
      </c>
      <c r="J15" s="110">
        <f>K15/E15</f>
        <v>5050.5820841663517</v>
      </c>
      <c r="K15" s="110">
        <v>5000</v>
      </c>
    </row>
    <row r="16" spans="2:11" ht="23" x14ac:dyDescent="0.3">
      <c r="B16" s="48">
        <v>20161103</v>
      </c>
      <c r="C16" s="64" t="s">
        <v>183</v>
      </c>
      <c r="D16" s="64">
        <v>34164.905843753644</v>
      </c>
      <c r="E16" s="64">
        <v>0.98998490009202555</v>
      </c>
      <c r="F16" s="64">
        <v>0</v>
      </c>
      <c r="G16" s="64">
        <v>34459.43847872442</v>
      </c>
      <c r="H16" s="64">
        <f t="shared" si="0"/>
        <v>34114.323759587292</v>
      </c>
      <c r="J16" s="110">
        <f>K16/E16</f>
        <v>5050.5820841663517</v>
      </c>
      <c r="K16" s="110">
        <v>5000</v>
      </c>
    </row>
    <row r="17" spans="2:11" ht="23" x14ac:dyDescent="0.3">
      <c r="B17" s="48">
        <v>20161103</v>
      </c>
      <c r="C17" s="64" t="s">
        <v>183</v>
      </c>
      <c r="D17" s="64">
        <v>34164.905843753644</v>
      </c>
      <c r="E17" s="64">
        <v>0.98614031020446336</v>
      </c>
      <c r="F17" s="64">
        <v>0</v>
      </c>
      <c r="G17" s="64">
        <v>34459.43847872442</v>
      </c>
      <c r="H17" s="64">
        <f t="shared" ref="H17" si="1">E17*G17</f>
        <v>33981.841350880917</v>
      </c>
      <c r="J17" s="110">
        <f>K17/E17</f>
        <v>5070.2724026800151</v>
      </c>
      <c r="K17" s="110">
        <v>5000</v>
      </c>
    </row>
    <row r="18" spans="2:11" ht="23" x14ac:dyDescent="0.3">
      <c r="B18" s="48">
        <v>20161117</v>
      </c>
      <c r="C18" s="64" t="s">
        <v>183</v>
      </c>
      <c r="D18" s="64">
        <v>34164.905843753644</v>
      </c>
      <c r="E18" s="64">
        <v>0.98988428302105702</v>
      </c>
      <c r="F18" s="64">
        <f>H18-H17</f>
        <v>129.01520093942963</v>
      </c>
      <c r="G18" s="64">
        <v>34459.43847872442</v>
      </c>
      <c r="H18" s="64">
        <f t="shared" ref="H18" si="2">E18*G18</f>
        <v>34110.856551820347</v>
      </c>
    </row>
    <row r="19" spans="2:11" ht="23" x14ac:dyDescent="0.3">
      <c r="B19" s="48">
        <v>20161122</v>
      </c>
      <c r="C19" s="64" t="s">
        <v>183</v>
      </c>
      <c r="D19" s="64">
        <v>34164.905843753644</v>
      </c>
      <c r="E19" s="64">
        <v>0.99227047731930973</v>
      </c>
      <c r="F19" s="64">
        <f>H19-H18</f>
        <v>82.226915618921339</v>
      </c>
      <c r="G19" s="64">
        <v>34459.43847872442</v>
      </c>
      <c r="H19" s="64">
        <f t="shared" ref="H19" si="3">E19*G19</f>
        <v>34193.083467439268</v>
      </c>
    </row>
    <row r="20" spans="2:11" ht="23" x14ac:dyDescent="0.3">
      <c r="B20" s="48">
        <v>20161122</v>
      </c>
      <c r="C20" s="64" t="s">
        <v>155</v>
      </c>
      <c r="D20" s="64">
        <v>5038.9486680162654</v>
      </c>
      <c r="E20" s="64">
        <v>0.99227047731930973</v>
      </c>
      <c r="F20" s="64">
        <f>H20-H19</f>
        <v>4999.9999999999782</v>
      </c>
      <c r="G20" s="64">
        <f>34459.4384787244+D20</f>
        <v>39498.387146740664</v>
      </c>
      <c r="H20" s="64">
        <f t="shared" ref="H20" si="4">E20*G20</f>
        <v>39193.083467439246</v>
      </c>
      <c r="J20" s="110">
        <f>K20/E20</f>
        <v>5038.9486680162654</v>
      </c>
      <c r="K20" s="110">
        <v>5000</v>
      </c>
    </row>
    <row r="21" spans="2:11" ht="23" x14ac:dyDescent="0.3">
      <c r="B21" s="48">
        <v>20161209</v>
      </c>
      <c r="C21" s="64" t="s">
        <v>183</v>
      </c>
      <c r="D21" s="64">
        <v>39498.387146740664</v>
      </c>
      <c r="E21" s="64">
        <v>1.0020113057128714</v>
      </c>
      <c r="F21" s="64">
        <f>H21-H20</f>
        <v>384.74701101886603</v>
      </c>
      <c r="G21" s="64">
        <v>39498.387146740664</v>
      </c>
      <c r="H21" s="64">
        <f>E21*G21</f>
        <v>39577.830478458112</v>
      </c>
    </row>
    <row r="22" spans="2:11" ht="23" x14ac:dyDescent="0.3">
      <c r="B22" s="48">
        <v>20161209</v>
      </c>
      <c r="C22" s="64" t="s">
        <v>202</v>
      </c>
      <c r="D22" s="64">
        <v>39498.387146740664</v>
      </c>
      <c r="E22" s="64">
        <v>1</v>
      </c>
      <c r="F22" s="64">
        <f>H22-H21</f>
        <v>-79.443331717448018</v>
      </c>
      <c r="G22" s="64">
        <v>39498.387146740664</v>
      </c>
      <c r="H22" s="64">
        <f>E22*G22</f>
        <v>39498.387146740664</v>
      </c>
    </row>
  </sheetData>
  <mergeCells count="2">
    <mergeCell ref="B5:B6"/>
    <mergeCell ref="J3:K3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9"/>
  <sheetViews>
    <sheetView topLeftCell="A3" workbookViewId="0">
      <pane ySplit="2" topLeftCell="A18" activePane="bottomLeft" state="frozen"/>
      <selection activeCell="A3" sqref="A3"/>
      <selection pane="bottomLeft" activeCell="I26" sqref="I26"/>
    </sheetView>
  </sheetViews>
  <sheetFormatPr baseColWidth="10" defaultRowHeight="15" x14ac:dyDescent="0.15"/>
  <cols>
    <col min="2" max="2" width="18.33203125" customWidth="1"/>
    <col min="3" max="3" width="11.1640625" bestFit="1" customWidth="1"/>
    <col min="4" max="4" width="19.5" customWidth="1"/>
    <col min="5" max="5" width="24.1640625" customWidth="1"/>
    <col min="7" max="7" width="16.33203125" customWidth="1"/>
    <col min="8" max="9" width="18.33203125" bestFit="1" customWidth="1"/>
    <col min="10" max="10" width="16.83203125" bestFit="1" customWidth="1"/>
    <col min="11" max="11" width="11.1640625" bestFit="1" customWidth="1"/>
    <col min="12" max="12" width="12.6640625" customWidth="1"/>
  </cols>
  <sheetData>
    <row r="3" spans="2:15" s="110" customFormat="1" x14ac:dyDescent="0.15"/>
    <row r="4" spans="2:15" s="111" customFormat="1" ht="39" customHeight="1" x14ac:dyDescent="0.3">
      <c r="B4" s="113" t="s">
        <v>153</v>
      </c>
      <c r="C4" s="113" t="s">
        <v>154</v>
      </c>
      <c r="D4" s="113" t="s">
        <v>23</v>
      </c>
      <c r="E4" s="113" t="s">
        <v>82</v>
      </c>
      <c r="F4" s="113" t="s">
        <v>151</v>
      </c>
      <c r="G4" s="113" t="s">
        <v>156</v>
      </c>
      <c r="H4" s="113" t="s">
        <v>152</v>
      </c>
      <c r="I4" s="118" t="s">
        <v>179</v>
      </c>
      <c r="J4" s="118" t="s">
        <v>61</v>
      </c>
      <c r="K4" s="118" t="s">
        <v>165</v>
      </c>
      <c r="L4" s="118" t="s">
        <v>180</v>
      </c>
      <c r="N4" s="112" t="s">
        <v>23</v>
      </c>
      <c r="O4" s="113" t="s">
        <v>158</v>
      </c>
    </row>
    <row r="5" spans="2:15" s="39" customFormat="1" ht="23" customHeight="1" x14ac:dyDescent="0.3">
      <c r="B5" s="138">
        <v>20160921</v>
      </c>
      <c r="C5" s="64" t="s">
        <v>150</v>
      </c>
      <c r="D5" s="16">
        <v>42243.189713341802</v>
      </c>
      <c r="E5" s="41">
        <v>1</v>
      </c>
      <c r="F5" s="64">
        <v>0</v>
      </c>
      <c r="G5" s="64">
        <f t="shared" ref="G5:G10" si="0">D5</f>
        <v>42243.189713341802</v>
      </c>
      <c r="H5" s="64">
        <f>ROUND(42243.1897133418,2)</f>
        <v>42243.19</v>
      </c>
      <c r="I5" s="64"/>
      <c r="J5" s="64"/>
      <c r="K5" s="64"/>
      <c r="L5" s="64"/>
      <c r="O5" s="39">
        <f>G5*E5</f>
        <v>42243.189713341802</v>
      </c>
    </row>
    <row r="6" spans="2:15" s="9" customFormat="1" ht="27" customHeight="1" x14ac:dyDescent="0.3">
      <c r="B6" s="139"/>
      <c r="C6" s="16" t="s">
        <v>159</v>
      </c>
      <c r="D6" s="16">
        <v>42243.189713341802</v>
      </c>
      <c r="E6" s="16">
        <v>0.99996642921479995</v>
      </c>
      <c r="F6" s="16">
        <f>ROUND(D6*(E6-E5),2)</f>
        <v>-1.42</v>
      </c>
      <c r="G6" s="64">
        <f t="shared" si="0"/>
        <v>42243.189713341802</v>
      </c>
      <c r="H6" s="16">
        <f>ROUND(G6*E6,2)</f>
        <v>42241.77</v>
      </c>
      <c r="I6" s="16"/>
      <c r="J6" s="16"/>
      <c r="K6" s="16"/>
      <c r="L6" s="16"/>
      <c r="O6" s="9">
        <f>H5-F6</f>
        <v>42244.61</v>
      </c>
    </row>
    <row r="7" spans="2:15" s="110" customFormat="1" ht="24" customHeight="1" x14ac:dyDescent="0.3">
      <c r="B7" s="48">
        <v>20161010</v>
      </c>
      <c r="C7" s="64" t="s">
        <v>150</v>
      </c>
      <c r="D7" s="64">
        <f>投资者份数权益表!C20</f>
        <v>42243.189713341802</v>
      </c>
      <c r="E7" s="41">
        <f>净值!F6</f>
        <v>0.99584720269839067</v>
      </c>
      <c r="F7" s="64">
        <v>0</v>
      </c>
      <c r="G7" s="64">
        <f t="shared" si="0"/>
        <v>42243.189713341802</v>
      </c>
      <c r="H7" s="64">
        <f t="shared" ref="H7:H12" si="1">E7*D7</f>
        <v>42067.762309088866</v>
      </c>
      <c r="I7" s="64"/>
      <c r="J7" s="64"/>
      <c r="K7" s="64"/>
      <c r="L7" s="64"/>
      <c r="O7" s="110">
        <f>ROUND(E7*D7,2)</f>
        <v>42067.76</v>
      </c>
    </row>
    <row r="8" spans="2:15" s="110" customFormat="1" ht="23" x14ac:dyDescent="0.3">
      <c r="B8" s="48">
        <v>20161017</v>
      </c>
      <c r="C8" s="64" t="s">
        <v>150</v>
      </c>
      <c r="D8" s="64">
        <v>42243.189713341802</v>
      </c>
      <c r="E8" s="41">
        <v>0.99990549172463006</v>
      </c>
      <c r="F8" s="64">
        <f t="shared" ref="F8:F13" si="2">E8*D8-H7</f>
        <v>171.43507324700477</v>
      </c>
      <c r="G8" s="64">
        <f t="shared" si="0"/>
        <v>42243.189713341802</v>
      </c>
      <c r="H8" s="64">
        <f t="shared" si="1"/>
        <v>42239.197382335871</v>
      </c>
      <c r="I8" s="64"/>
      <c r="J8" s="64"/>
      <c r="K8" s="64"/>
      <c r="L8" s="64"/>
    </row>
    <row r="9" spans="2:15" s="110" customFormat="1" ht="23" x14ac:dyDescent="0.3">
      <c r="B9" s="48">
        <v>20161019</v>
      </c>
      <c r="C9" s="64" t="s">
        <v>150</v>
      </c>
      <c r="D9" s="64">
        <v>42243.189713341802</v>
      </c>
      <c r="E9" s="41">
        <v>0.99630123325577546</v>
      </c>
      <c r="F9" s="64">
        <f t="shared" si="2"/>
        <v>-152.25537427574454</v>
      </c>
      <c r="G9" s="64">
        <f t="shared" si="0"/>
        <v>42243.189713341802</v>
      </c>
      <c r="H9" s="64">
        <f t="shared" si="1"/>
        <v>42086.942008060127</v>
      </c>
      <c r="I9" s="64">
        <f t="shared" ref="I9:I15" si="3">H9-40000+560.38</f>
        <v>2647.3220080601268</v>
      </c>
      <c r="J9" s="64">
        <f t="shared" ref="J9:J15" si="4">I9/40000</f>
        <v>6.6183050201503169E-2</v>
      </c>
      <c r="K9" s="64">
        <v>560.38</v>
      </c>
      <c r="L9" s="64">
        <f t="shared" ref="L9:L17" si="5">560.38/40000</f>
        <v>1.4009499999999999E-2</v>
      </c>
    </row>
    <row r="10" spans="2:15" s="110" customFormat="1" ht="23" x14ac:dyDescent="0.3">
      <c r="B10" s="48">
        <v>20161020</v>
      </c>
      <c r="C10" s="64" t="s">
        <v>150</v>
      </c>
      <c r="D10" s="64">
        <v>42243.189713341802</v>
      </c>
      <c r="E10" s="41">
        <f>净值!F9</f>
        <v>0.99968029338917808</v>
      </c>
      <c r="F10" s="64">
        <f t="shared" si="2"/>
        <v>142.74227826811693</v>
      </c>
      <c r="G10" s="64">
        <f t="shared" si="0"/>
        <v>42243.189713341802</v>
      </c>
      <c r="H10" s="64">
        <f t="shared" si="1"/>
        <v>42229.684286328244</v>
      </c>
      <c r="I10" s="64">
        <f t="shared" si="3"/>
        <v>2790.0642863282437</v>
      </c>
      <c r="J10" s="64">
        <f t="shared" si="4"/>
        <v>6.9751607158206094E-2</v>
      </c>
      <c r="K10" s="64">
        <v>560.38</v>
      </c>
      <c r="L10" s="64">
        <f t="shared" si="5"/>
        <v>1.4009499999999999E-2</v>
      </c>
    </row>
    <row r="11" spans="2:15" s="110" customFormat="1" ht="23" x14ac:dyDescent="0.3">
      <c r="B11" s="48">
        <v>20161020</v>
      </c>
      <c r="C11" s="64" t="s">
        <v>150</v>
      </c>
      <c r="D11" s="64">
        <v>42243.189713341802</v>
      </c>
      <c r="E11" s="41">
        <f>净值!F10</f>
        <v>1.0010309148876051</v>
      </c>
      <c r="F11" s="64">
        <f t="shared" si="2"/>
        <v>57.054560188968026</v>
      </c>
      <c r="G11" s="64">
        <f t="shared" ref="G11" si="6">D11</f>
        <v>42243.189713341802</v>
      </c>
      <c r="H11" s="64">
        <f t="shared" si="1"/>
        <v>42286.738846517212</v>
      </c>
      <c r="I11" s="64">
        <f t="shared" si="3"/>
        <v>2847.1188465172118</v>
      </c>
      <c r="J11" s="64">
        <f t="shared" si="4"/>
        <v>7.1177971162930287E-2</v>
      </c>
      <c r="K11" s="64">
        <v>560.38</v>
      </c>
      <c r="L11" s="64">
        <f t="shared" si="5"/>
        <v>1.4009499999999999E-2</v>
      </c>
    </row>
    <row r="12" spans="2:15" s="110" customFormat="1" ht="23" x14ac:dyDescent="0.3">
      <c r="B12" s="48">
        <v>20161031</v>
      </c>
      <c r="C12" s="64" t="s">
        <v>150</v>
      </c>
      <c r="D12" s="64">
        <v>42243.189713341802</v>
      </c>
      <c r="E12" s="41">
        <f>净值!F11</f>
        <v>0.99900715380391492</v>
      </c>
      <c r="F12" s="64">
        <f t="shared" si="2"/>
        <v>-85.490123392803071</v>
      </c>
      <c r="G12" s="64">
        <f t="shared" ref="G12" si="7">D12</f>
        <v>42243.189713341802</v>
      </c>
      <c r="H12" s="64">
        <f t="shared" si="1"/>
        <v>42201.248723124409</v>
      </c>
      <c r="I12" s="64">
        <f t="shared" si="3"/>
        <v>2761.6287231244087</v>
      </c>
      <c r="J12" s="64">
        <f t="shared" si="4"/>
        <v>6.9040718078110214E-2</v>
      </c>
      <c r="K12" s="64">
        <v>560.38</v>
      </c>
      <c r="L12" s="64">
        <f t="shared" si="5"/>
        <v>1.4009499999999999E-2</v>
      </c>
    </row>
    <row r="13" spans="2:15" s="110" customFormat="1" ht="23" x14ac:dyDescent="0.3">
      <c r="B13" s="48">
        <v>20161103</v>
      </c>
      <c r="C13" s="64" t="s">
        <v>150</v>
      </c>
      <c r="D13" s="64">
        <v>42243.189713341802</v>
      </c>
      <c r="E13" s="41">
        <f>净值!F12</f>
        <v>0.98998490009202555</v>
      </c>
      <c r="F13" s="64">
        <f t="shared" si="2"/>
        <v>-381.12877519323956</v>
      </c>
      <c r="G13" s="64">
        <f t="shared" ref="G13" si="8">D13</f>
        <v>42243.189713341802</v>
      </c>
      <c r="H13" s="64">
        <f t="shared" ref="H13" si="9">E13*D13</f>
        <v>41820.119947931169</v>
      </c>
      <c r="I13" s="64">
        <f t="shared" si="3"/>
        <v>2380.4999479311691</v>
      </c>
      <c r="J13" s="64">
        <f t="shared" si="4"/>
        <v>5.951249869827923E-2</v>
      </c>
      <c r="K13" s="64">
        <v>560.38</v>
      </c>
      <c r="L13" s="64">
        <f t="shared" si="5"/>
        <v>1.4009499999999999E-2</v>
      </c>
    </row>
    <row r="14" spans="2:15" s="110" customFormat="1" ht="23" x14ac:dyDescent="0.3">
      <c r="B14" s="48">
        <v>20161108</v>
      </c>
      <c r="C14" s="64" t="s">
        <v>183</v>
      </c>
      <c r="D14" s="64">
        <v>42243.189713341802</v>
      </c>
      <c r="E14" s="41">
        <v>0.98614031020446336</v>
      </c>
      <c r="F14" s="64">
        <f t="shared" ref="F14" si="10">E14*D14-H13</f>
        <v>-162.40773999028897</v>
      </c>
      <c r="G14" s="64">
        <f t="shared" ref="G14" si="11">D14</f>
        <v>42243.189713341802</v>
      </c>
      <c r="H14" s="64">
        <f t="shared" ref="H14" si="12">E14*D14</f>
        <v>41657.71220794088</v>
      </c>
      <c r="I14" s="64">
        <f t="shared" si="3"/>
        <v>2218.0922079408801</v>
      </c>
      <c r="J14" s="64">
        <f t="shared" si="4"/>
        <v>5.5452305198522005E-2</v>
      </c>
      <c r="K14" s="64">
        <v>560.38</v>
      </c>
      <c r="L14" s="64">
        <f t="shared" si="5"/>
        <v>1.4009499999999999E-2</v>
      </c>
    </row>
    <row r="15" spans="2:15" s="110" customFormat="1" ht="23" x14ac:dyDescent="0.3">
      <c r="B15" s="48">
        <v>20161117</v>
      </c>
      <c r="C15" s="64" t="s">
        <v>183</v>
      </c>
      <c r="D15" s="64">
        <v>42243.189713341802</v>
      </c>
      <c r="E15" s="41">
        <v>0.98988428302105702</v>
      </c>
      <c r="F15" s="64">
        <f t="shared" ref="F15" si="13">E15*D15-H14</f>
        <v>158.15735397295794</v>
      </c>
      <c r="G15" s="64">
        <f t="shared" ref="G15" si="14">D15</f>
        <v>42243.189713341802</v>
      </c>
      <c r="H15" s="64">
        <f t="shared" ref="H15" si="15">E15*D15</f>
        <v>41815.869561913838</v>
      </c>
      <c r="I15" s="64">
        <f t="shared" si="3"/>
        <v>2376.2495619138381</v>
      </c>
      <c r="J15" s="64">
        <f t="shared" si="4"/>
        <v>5.9406239047845949E-2</v>
      </c>
      <c r="K15" s="64">
        <v>560.38</v>
      </c>
      <c r="L15" s="64">
        <f t="shared" si="5"/>
        <v>1.4009499999999999E-2</v>
      </c>
    </row>
    <row r="16" spans="2:15" s="110" customFormat="1" ht="23" x14ac:dyDescent="0.3">
      <c r="B16" s="48">
        <v>20161122</v>
      </c>
      <c r="C16" s="64" t="s">
        <v>183</v>
      </c>
      <c r="D16" s="64">
        <v>42243.189713341802</v>
      </c>
      <c r="E16" s="41">
        <v>0.99227047731930973</v>
      </c>
      <c r="F16" s="64">
        <f t="shared" ref="F16" si="16">E16*D16-H15</f>
        <v>100.80045843398693</v>
      </c>
      <c r="G16" s="64">
        <f t="shared" ref="G16" si="17">D16</f>
        <v>42243.189713341802</v>
      </c>
      <c r="H16" s="64">
        <f t="shared" ref="H16" si="18">E16*D16</f>
        <v>41916.670020347825</v>
      </c>
      <c r="I16" s="64">
        <f t="shared" ref="I16" si="19">H16-40000+560.38</f>
        <v>2477.050020347825</v>
      </c>
      <c r="J16" s="64">
        <f t="shared" ref="J16" si="20">I16/40000</f>
        <v>6.1926250508695622E-2</v>
      </c>
      <c r="K16" s="64">
        <v>560.38</v>
      </c>
      <c r="L16" s="64">
        <f t="shared" si="5"/>
        <v>1.4009499999999999E-2</v>
      </c>
    </row>
    <row r="17" spans="2:12" s="110" customFormat="1" ht="23" x14ac:dyDescent="0.3">
      <c r="B17" s="48">
        <v>20161209</v>
      </c>
      <c r="C17" s="64" t="s">
        <v>183</v>
      </c>
      <c r="D17" s="64">
        <v>42243.189713341802</v>
      </c>
      <c r="E17" s="41">
        <v>1.0020113057128714</v>
      </c>
      <c r="F17" s="64">
        <f t="shared" ref="F17" si="21">E17*D17-H16</f>
        <v>411.48366179433651</v>
      </c>
      <c r="G17" s="64">
        <f t="shared" ref="G17" si="22">D17</f>
        <v>42243.189713341802</v>
      </c>
      <c r="H17" s="64">
        <f t="shared" ref="H17" si="23">E17*D17</f>
        <v>42328.153682142161</v>
      </c>
      <c r="I17" s="64">
        <f t="shared" ref="I17" si="24">H17-40000+560.38</f>
        <v>2888.5336821421615</v>
      </c>
      <c r="J17" s="64">
        <f t="shared" ref="J17" si="25">I17/40000</f>
        <v>7.2213342053554036E-2</v>
      </c>
      <c r="K17" s="64">
        <v>560.38</v>
      </c>
      <c r="L17" s="64">
        <f t="shared" si="5"/>
        <v>1.4009499999999999E-2</v>
      </c>
    </row>
    <row r="18" spans="2:12" s="110" customFormat="1" ht="23" x14ac:dyDescent="0.3">
      <c r="B18" s="48">
        <v>20161209</v>
      </c>
      <c r="C18" s="64" t="s">
        <v>159</v>
      </c>
      <c r="D18" s="64">
        <v>42243.189713341802</v>
      </c>
      <c r="E18" s="41">
        <v>2.0113057128700001E-3</v>
      </c>
      <c r="F18" s="64">
        <f t="shared" ref="F18:F19" si="26">E18*D18-H17</f>
        <v>-42243.189713341868</v>
      </c>
      <c r="G18" s="64">
        <f t="shared" ref="G18:G19" si="27">D18</f>
        <v>42243.189713341802</v>
      </c>
      <c r="H18" s="64">
        <f t="shared" ref="H18:H19" si="28">E18*D18</f>
        <v>84.963968800295589</v>
      </c>
      <c r="I18" s="64">
        <f t="shared" ref="I18" si="29">H18-40000+560.38</f>
        <v>-39354.656031199709</v>
      </c>
      <c r="J18" s="64">
        <f t="shared" ref="J18:J19" si="30">I18/40000</f>
        <v>-0.98386640077999277</v>
      </c>
      <c r="K18" s="64">
        <f>K17+H18</f>
        <v>645.34396880029556</v>
      </c>
      <c r="L18" s="64">
        <f>K18/40000</f>
        <v>1.6133599220007389E-2</v>
      </c>
    </row>
    <row r="19" spans="2:12" s="110" customFormat="1" ht="23" x14ac:dyDescent="0.3">
      <c r="B19" s="48">
        <v>20161209</v>
      </c>
      <c r="C19" s="64" t="s">
        <v>183</v>
      </c>
      <c r="D19" s="64">
        <v>42243.189713341802</v>
      </c>
      <c r="E19" s="41">
        <v>1</v>
      </c>
      <c r="F19" s="64">
        <f t="shared" si="26"/>
        <v>42158.225744541509</v>
      </c>
      <c r="G19" s="64">
        <f t="shared" si="27"/>
        <v>42243.189713341802</v>
      </c>
      <c r="H19" s="64">
        <f t="shared" si="28"/>
        <v>42243.189713341802</v>
      </c>
      <c r="I19" s="64">
        <f>H19-40000+645.34</f>
        <v>2888.5297133418026</v>
      </c>
      <c r="J19" s="64">
        <f t="shared" si="30"/>
        <v>7.2213242833545063E-2</v>
      </c>
      <c r="K19" s="64">
        <v>645.34396880029556</v>
      </c>
      <c r="L19" s="64">
        <v>1.6133599220007389E-2</v>
      </c>
    </row>
  </sheetData>
  <mergeCells count="1">
    <mergeCell ref="B5:B6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workbookViewId="0">
      <selection activeCell="C16" sqref="C16"/>
    </sheetView>
  </sheetViews>
  <sheetFormatPr baseColWidth="10" defaultRowHeight="15" x14ac:dyDescent="0.15"/>
  <sheetData>
    <row r="4" spans="2:3" x14ac:dyDescent="0.15">
      <c r="C4">
        <v>20160921</v>
      </c>
    </row>
    <row r="5" spans="2:3" x14ac:dyDescent="0.15">
      <c r="B5" s="7">
        <v>216</v>
      </c>
      <c r="C5" t="s">
        <v>55</v>
      </c>
    </row>
    <row r="6" spans="2:3" x14ac:dyDescent="0.15">
      <c r="B6" s="7" t="s">
        <v>148</v>
      </c>
      <c r="C6" t="s">
        <v>149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工作表1</vt:lpstr>
      <vt:lpstr>余额宝</vt:lpstr>
      <vt:lpstr>投资者权益表</vt:lpstr>
      <vt:lpstr>投资者份数权益表</vt:lpstr>
      <vt:lpstr>净值</vt:lpstr>
      <vt:lpstr>216</vt:lpstr>
      <vt:lpstr>rand资产报告</vt:lpstr>
      <vt:lpstr>216资产报告</vt:lpstr>
      <vt:lpstr>分红选择</vt:lpstr>
      <vt:lpstr>易H股ETF联接（110031）</vt:lpstr>
      <vt:lpstr>打包资产统计</vt:lpstr>
      <vt:lpstr>资产结构</vt:lpstr>
      <vt:lpstr>用户资产</vt:lpstr>
      <vt:lpstr>Operation</vt:lpstr>
      <vt:lpstr>余额宝损益表</vt:lpstr>
      <vt:lpstr>待确认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2016-06-08T12:08:10Z</dcterms:created>
  <dcterms:modified xsi:type="dcterms:W3CDTF">2016-12-10T12:23:25Z</dcterms:modified>
</cp:coreProperties>
</file>