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0" windowWidth="25600" windowHeight="16000" tabRatio="500" firstSheet="2" activeTab="2"/>
  </bookViews>
  <sheets>
    <sheet name="工作表1" sheetId="1" state="hidden" r:id="rId1"/>
    <sheet name="余额宝" sheetId="7" state="hidden" r:id="rId2"/>
    <sheet name="投资者权益表" sheetId="6" r:id="rId3"/>
    <sheet name="易H股ETF联接（110031）" sheetId="2" state="hidden" r:id="rId4"/>
    <sheet name="打包资产统计" sheetId="3" state="hidden" r:id="rId5"/>
    <sheet name="资产结构" sheetId="8" r:id="rId6"/>
    <sheet name="Operation" sheetId="9" r:id="rId7"/>
    <sheet name="余额宝损益表" sheetId="11" r:id="rId8"/>
    <sheet name="策略" sheetId="10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4" i="6" l="1"/>
  <c r="H44" i="6"/>
  <c r="K37" i="6"/>
  <c r="C27" i="11"/>
  <c r="I23" i="11"/>
  <c r="H22" i="11"/>
  <c r="I22" i="11"/>
  <c r="C37" i="6"/>
  <c r="E37" i="6"/>
  <c r="G37" i="6"/>
  <c r="H37" i="6"/>
  <c r="J37" i="6"/>
  <c r="H50" i="8"/>
  <c r="D50" i="8"/>
  <c r="H51" i="8"/>
  <c r="D51" i="8"/>
  <c r="D47" i="8"/>
  <c r="H49" i="8"/>
  <c r="D49" i="8"/>
  <c r="H48" i="8"/>
  <c r="D48" i="8"/>
  <c r="F52" i="8"/>
  <c r="D52" i="8"/>
  <c r="D53" i="8"/>
  <c r="C46" i="6"/>
  <c r="L37" i="6"/>
  <c r="M37" i="6"/>
  <c r="M29" i="6"/>
  <c r="C38" i="6"/>
  <c r="M38" i="6"/>
  <c r="H39" i="6"/>
  <c r="J39" i="6"/>
  <c r="J38" i="6"/>
  <c r="K38" i="6"/>
  <c r="I21" i="11"/>
  <c r="H21" i="11"/>
  <c r="C18" i="11"/>
  <c r="H20" i="11"/>
  <c r="I20" i="11"/>
  <c r="F48" i="8"/>
  <c r="H52" i="8"/>
  <c r="E53" i="8"/>
  <c r="E52" i="8"/>
  <c r="E51" i="8"/>
  <c r="E50" i="8"/>
  <c r="E49" i="8"/>
  <c r="E48" i="8"/>
  <c r="H47" i="8"/>
  <c r="E47" i="8"/>
  <c r="C4" i="11"/>
  <c r="D37" i="8"/>
  <c r="I37" i="8"/>
  <c r="H39" i="8"/>
  <c r="D39" i="8"/>
  <c r="H41" i="8"/>
  <c r="D41" i="8"/>
  <c r="H40" i="8"/>
  <c r="D40" i="8"/>
  <c r="H7" i="11"/>
  <c r="H6" i="11"/>
  <c r="I6" i="11"/>
  <c r="I7" i="11"/>
  <c r="I8" i="11"/>
  <c r="I9" i="11"/>
  <c r="I10" i="11"/>
  <c r="C13" i="11"/>
  <c r="F42" i="8"/>
  <c r="H9" i="11"/>
  <c r="G9" i="11"/>
  <c r="H10" i="11"/>
  <c r="H8" i="11"/>
  <c r="H42" i="8"/>
  <c r="D42" i="8"/>
  <c r="E10" i="7"/>
  <c r="F38" i="8"/>
  <c r="I39" i="8"/>
  <c r="H38" i="8"/>
  <c r="I38" i="8"/>
  <c r="D38" i="8"/>
  <c r="I41" i="8"/>
  <c r="D43" i="8"/>
  <c r="C39" i="6"/>
  <c r="D27" i="8"/>
  <c r="D32" i="8"/>
  <c r="D33" i="8"/>
  <c r="C31" i="6"/>
  <c r="D6" i="8"/>
  <c r="D7" i="8"/>
  <c r="D8" i="8"/>
  <c r="D9" i="8"/>
  <c r="D10" i="8"/>
  <c r="C22" i="6"/>
  <c r="C20" i="6"/>
  <c r="J20" i="6"/>
  <c r="J22" i="6"/>
  <c r="K20" i="6"/>
  <c r="D29" i="6"/>
  <c r="C29" i="6"/>
  <c r="J29" i="6"/>
  <c r="O37" i="6"/>
  <c r="O38" i="6"/>
  <c r="L39" i="6"/>
  <c r="O39" i="6"/>
  <c r="I40" i="8"/>
  <c r="H37" i="8"/>
  <c r="N39" i="6"/>
  <c r="N38" i="6"/>
  <c r="M20" i="6"/>
  <c r="N20" i="6"/>
  <c r="N37" i="6"/>
  <c r="D17" i="8"/>
  <c r="G18" i="2"/>
  <c r="D18" i="2"/>
  <c r="G22" i="2"/>
  <c r="D22" i="2"/>
  <c r="C21" i="6"/>
  <c r="J21" i="6"/>
  <c r="K21" i="6"/>
  <c r="D30" i="6"/>
  <c r="C30" i="6"/>
  <c r="J30" i="6"/>
  <c r="E38" i="6"/>
  <c r="L31" i="6"/>
  <c r="M39" i="6"/>
  <c r="K39" i="6"/>
  <c r="G38" i="6"/>
  <c r="G39" i="6"/>
  <c r="E39" i="6"/>
  <c r="F39" i="6"/>
  <c r="F38" i="6"/>
  <c r="F37" i="6"/>
  <c r="F10" i="7"/>
  <c r="E43" i="8"/>
  <c r="E42" i="8"/>
  <c r="E41" i="8"/>
  <c r="E40" i="8"/>
  <c r="E39" i="8"/>
  <c r="E38" i="8"/>
  <c r="E37" i="8"/>
  <c r="E22" i="2"/>
  <c r="J31" i="6"/>
  <c r="K31" i="6"/>
  <c r="K30" i="6"/>
  <c r="K29" i="6"/>
  <c r="H31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L30" i="6"/>
  <c r="G6" i="7"/>
  <c r="F6" i="7"/>
  <c r="H6" i="7"/>
  <c r="N31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M21" i="6"/>
  <c r="M22" i="6"/>
  <c r="L21" i="6"/>
  <c r="L22" i="6"/>
  <c r="L20" i="6"/>
  <c r="K22" i="6"/>
  <c r="H22" i="6"/>
  <c r="E20" i="6"/>
  <c r="G20" i="6"/>
  <c r="E21" i="6"/>
  <c r="G21" i="6"/>
  <c r="G22" i="6"/>
  <c r="F14" i="6"/>
  <c r="F15" i="6"/>
  <c r="F13" i="6"/>
  <c r="F21" i="6"/>
  <c r="E22" i="6"/>
  <c r="F22" i="6"/>
  <c r="F20" i="6"/>
  <c r="N22" i="6"/>
  <c r="N21" i="6"/>
  <c r="D20" i="6"/>
  <c r="D21" i="6"/>
  <c r="J13" i="6"/>
  <c r="M25" i="6"/>
  <c r="L14" i="6"/>
  <c r="M14" i="6"/>
  <c r="M24" i="6"/>
  <c r="H15" i="6"/>
  <c r="L15" i="6"/>
  <c r="J14" i="6"/>
  <c r="D12" i="8"/>
  <c r="E12" i="8"/>
  <c r="E11" i="8"/>
  <c r="E10" i="8"/>
  <c r="E9" i="8"/>
  <c r="E8" i="8"/>
  <c r="E7" i="8"/>
  <c r="E6" i="8"/>
  <c r="E15" i="6"/>
  <c r="C14" i="6"/>
  <c r="D14" i="6"/>
  <c r="E14" i="6"/>
  <c r="C13" i="6"/>
  <c r="D13" i="6"/>
  <c r="E13" i="6"/>
  <c r="D8" i="6"/>
  <c r="J15" i="6"/>
  <c r="M15" i="6"/>
  <c r="L13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K14" i="6"/>
  <c r="G14" i="6"/>
  <c r="K13" i="6"/>
  <c r="G13" i="6"/>
  <c r="L46" i="6"/>
  <c r="H46" i="6"/>
  <c r="J46" i="6"/>
  <c r="O46" i="6"/>
  <c r="N46" i="6"/>
  <c r="K46" i="6"/>
  <c r="C44" i="6"/>
  <c r="J44" i="6"/>
  <c r="O44" i="6"/>
  <c r="M44" i="6"/>
  <c r="N44" i="6"/>
  <c r="K44" i="6"/>
  <c r="E44" i="6"/>
  <c r="F44" i="6"/>
  <c r="C45" i="6"/>
  <c r="M45" i="6"/>
  <c r="M46" i="6"/>
  <c r="E45" i="6"/>
  <c r="G45" i="6"/>
  <c r="G44" i="6"/>
  <c r="G46" i="6"/>
  <c r="E46" i="6"/>
  <c r="F46" i="6"/>
  <c r="J45" i="6"/>
  <c r="O45" i="6"/>
  <c r="N45" i="6"/>
  <c r="K45" i="6"/>
  <c r="F45" i="6"/>
</calcChain>
</file>

<file path=xl/sharedStrings.xml><?xml version="1.0" encoding="utf-8"?>
<sst xmlns="http://schemas.openxmlformats.org/spreadsheetml/2006/main" count="312" uniqueCount="123">
  <si>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</si>
  <si>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</si>
  <si>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</si>
  <si>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</si>
  <si>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</si>
  <si>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</si>
  <si>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</si>
  <si>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</si>
  <si>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</si>
  <si>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</si>
  <si>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</si>
  <si>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</si>
  <si>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</si>
  <si>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</si>
  <si>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</si>
  <si>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</si>
  <si>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</si>
  <si>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</si>
  <si>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</si>
  <si>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</si>
  <si>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</si>
  <si>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</si>
  <si>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</si>
  <si>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</si>
  <si>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</si>
  <si>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</si>
  <si>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</si>
  <si>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</si>
  <si>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</si>
  <si>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</si>
  <si>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</si>
  <si>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</si>
  <si>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</si>
  <si>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</si>
  <si>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</si>
  <si>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</si>
  <si>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</si>
  <si>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</si>
  <si>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</si>
  <si>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</si>
  <si>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</si>
  <si>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</si>
  <si>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</si>
  <si>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</si>
  <si>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</si>
  <si>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</si>
  <si>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</si>
  <si>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</si>
  <si>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</si>
  <si>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</si>
  <si>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</si>
  <si>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</si>
  <si>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</si>
  <si>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</si>
  <si>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</si>
  <si>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</si>
  <si>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</si>
  <si>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</si>
  <si>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</si>
  <si>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</si>
  <si>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</si>
  <si>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</si>
  <si>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</si>
  <si>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</si>
  <si>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</si>
  <si>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</si>
  <si>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</si>
  <si>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</si>
  <si>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</si>
  <si>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</si>
  <si>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</si>
  <si>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</si>
  <si>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</si>
  <si>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</si>
  <si>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</si>
  <si>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</si>
  <si>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</si>
  <si>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</si>
  <si>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</si>
  <si>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</si>
  <si>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</si>
  <si>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</si>
  <si>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</si>
  <si>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</si>
  <si>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</si>
  <si>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</si>
  <si>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</si>
  <si>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</si>
  <si>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</si>
  <si>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</si>
  <si>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</si>
  <si>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购买</t>
    <rPh sb="0" eb="1">
      <t>gou'mai</t>
    </rPh>
    <phoneticPr fontId="2" type="noConversion"/>
  </si>
  <si>
    <t>金额</t>
    <rPh sb="0" eb="1">
      <t>jin'e</t>
    </rPh>
    <phoneticPr fontId="2" type="noConversion"/>
  </si>
  <si>
    <t>20160819 卖出2000 0.9996</t>
    <rPh sb="9" eb="10">
      <t>mai'chu</t>
    </rPh>
    <phoneticPr fontId="2" type="noConversion"/>
  </si>
  <si>
    <t>20160816 申购3000元@1.0267
20160823 卖出162.21 @1.0216</t>
    <rPh sb="9" eb="10">
      <t>shen'gou</t>
    </rPh>
    <rPh sb="15" eb="16">
      <t>yuan</t>
    </rPh>
    <rPh sb="33" eb="34">
      <t>mai'chu</t>
    </rPh>
    <phoneticPr fontId="2" type="noConversion"/>
  </si>
  <si>
    <t>起始</t>
    <rPh sb="0" eb="1">
      <t>qi'shi'zhi</t>
    </rPh>
    <phoneticPr fontId="2" type="noConversion"/>
  </si>
  <si>
    <t>SELL</t>
    <phoneticPr fontId="2" type="noConversion"/>
  </si>
  <si>
    <t>目标</t>
    <rPh sb="0" eb="1">
      <t>mu'biao</t>
    </rPh>
    <phoneticPr fontId="2" type="noConversion"/>
  </si>
  <si>
    <t>操作</t>
    <rPh sb="0" eb="1">
      <t>cao'zuo</t>
    </rPh>
    <phoneticPr fontId="2" type="noConversion"/>
  </si>
  <si>
    <t>成交净值</t>
    <rPh sb="0" eb="1">
      <t>cheng'jiao</t>
    </rPh>
    <rPh sb="2" eb="3">
      <t>jing'zhi</t>
    </rPh>
    <phoneticPr fontId="2" type="noConversion"/>
  </si>
  <si>
    <t>手续费</t>
    <rPh sb="0" eb="1">
      <t>shou'xu'fei</t>
    </rPh>
    <phoneticPr fontId="2" type="noConversion"/>
  </si>
  <si>
    <t>净额</t>
    <rPh sb="0" eb="1">
      <t>jin'ge</t>
    </rPh>
    <phoneticPr fontId="2" type="noConversion"/>
  </si>
  <si>
    <t>余额宝总额</t>
    <rPh sb="0" eb="1">
      <t>yu'e'b</t>
    </rPh>
    <rPh sb="3" eb="4">
      <t>zong</t>
    </rPh>
    <rPh sb="4" eb="5">
      <t>e</t>
    </rPh>
    <phoneticPr fontId="2" type="noConversion"/>
  </si>
  <si>
    <t>BUY</t>
    <phoneticPr fontId="2" type="noConversion"/>
  </si>
  <si>
    <t>BUY</t>
    <phoneticPr fontId="2" type="noConversion"/>
  </si>
  <si>
    <t>HOLD</t>
    <phoneticPr fontId="2" type="noConversion"/>
  </si>
  <si>
    <t>黄金</t>
    <rPh sb="0" eb="1">
      <t>huang'jin</t>
    </rPh>
    <phoneticPr fontId="2" type="noConversion"/>
  </si>
  <si>
    <t>谨慎做多</t>
    <rPh sb="0" eb="1">
      <t>jin'shen</t>
    </rPh>
    <rPh sb="2" eb="3">
      <t>zuo'duo</t>
    </rPh>
    <phoneticPr fontId="2" type="noConversion"/>
  </si>
  <si>
    <t>长期做多</t>
    <rPh sb="0" eb="1">
      <t>chang'qi</t>
    </rPh>
    <rPh sb="2" eb="3">
      <t>zuo'zuo</t>
    </rPh>
    <rPh sb="3" eb="4">
      <t>duo</t>
    </rPh>
    <phoneticPr fontId="2" type="noConversion"/>
  </si>
  <si>
    <t>超长期做多</t>
    <rPh sb="0" eb="1">
      <t>chao'chang'qi</t>
    </rPh>
    <rPh sb="3" eb="4">
      <t>zuo'duo</t>
    </rPh>
    <phoneticPr fontId="2" type="noConversion"/>
  </si>
  <si>
    <t>0825终值</t>
    <rPh sb="4" eb="5">
      <t>zhong'zhi</t>
    </rPh>
    <phoneticPr fontId="2" type="noConversion"/>
  </si>
  <si>
    <t>OUT</t>
    <phoneticPr fontId="2" type="noConversion"/>
  </si>
  <si>
    <t>500份</t>
    <rPh sb="3" eb="4">
      <t>fen</t>
    </rPh>
    <phoneticPr fontId="2" type="noConversion"/>
  </si>
  <si>
    <t>8月基值</t>
    <rPh sb="1" eb="2">
      <t>yue</t>
    </rPh>
    <phoneticPr fontId="2" type="noConversion"/>
  </si>
  <si>
    <t>8.25基值</t>
    <rPh sb="4" eb="5">
      <t>ji'zhi</t>
    </rPh>
    <phoneticPr fontId="2" type="noConversion"/>
  </si>
  <si>
    <t>0908终值</t>
    <rPh sb="4" eb="5">
      <t>zhong'zhi</t>
    </rPh>
    <phoneticPr fontId="2" type="noConversion"/>
  </si>
  <si>
    <t>华安赎回500份手续费</t>
    <rPh sb="0" eb="1">
      <t>hua'an</t>
    </rPh>
    <rPh sb="2" eb="3">
      <t>shu'hui</t>
    </rPh>
    <rPh sb="7" eb="8">
      <t>fen</t>
    </rPh>
    <rPh sb="8" eb="9">
      <t>shou'xu'f</t>
    </rPh>
    <phoneticPr fontId="2" type="noConversion"/>
  </si>
  <si>
    <t>资金在途。手续费从余额宝扣除</t>
    <rPh sb="0" eb="1">
      <t>zi'ji'n</t>
    </rPh>
    <rPh sb="2" eb="3">
      <t>zai'tu</t>
    </rPh>
    <rPh sb="5" eb="6">
      <t>shou'xu'f</t>
    </rPh>
    <rPh sb="8" eb="9">
      <t>cong</t>
    </rPh>
    <rPh sb="9" eb="10">
      <t>yu'e'bao</t>
    </rPh>
    <rPh sb="12" eb="13">
      <t>kou'chu</t>
    </rPh>
    <phoneticPr fontId="2" type="noConversion"/>
  </si>
  <si>
    <t>IN</t>
    <phoneticPr fontId="2" type="noConversion"/>
  </si>
  <si>
    <t>华安基金赎回</t>
    <rPh sb="0" eb="1">
      <t>hua'an</t>
    </rPh>
    <rPh sb="2" eb="3">
      <t>ji'jin</t>
    </rPh>
    <rPh sb="4" eb="5">
      <t>shu'hui</t>
    </rPh>
    <phoneticPr fontId="2" type="noConversion"/>
  </si>
  <si>
    <t>-</t>
    <phoneticPr fontId="2" type="noConversion"/>
  </si>
  <si>
    <t>-</t>
    <phoneticPr fontId="2" type="noConversion"/>
  </si>
  <si>
    <t>不看好A股，短期</t>
    <rPh sb="0" eb="1">
      <t>bu'kan'hao</t>
    </rPh>
    <rPh sb="4" eb="5">
      <t>gu</t>
    </rPh>
    <rPh sb="6" eb="7">
      <t>duan'qi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</si>
</sst>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;[Red]0.00"/>
    <numFmt numFmtId="177" formatCode="0.00_ "/>
    <numFmt numFmtId="178" formatCode="0.000_ "/>
    <numFmt numFmtId="179" formatCode="#,##0.000_ ;[Red]\-#,##0.000\ "/>
    <numFmt numFmtId="180" formatCode="#,##0.000000_ ;[Red]\-#,##0.000000\ "/>
    <numFmt numFmtId="181" formatCode="#,##0.00000_ ;[Red]\-#,##0.00000\ "/>
  </numFmts>
  <fonts count="9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4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103" t="s">
        <v>0</v>
      </c>
      <c r="C17" s="103" t="s">
        <v>1</v>
      </c>
      <c r="D17" s="103">
        <v>7000</v>
      </c>
      <c r="E17" s="104">
        <v>7013.3</v>
      </c>
      <c r="F17" s="4"/>
      <c r="G17" s="102">
        <v>7058.1</v>
      </c>
      <c r="H17" s="102"/>
      <c r="I17" s="102"/>
    </row>
    <row r="18" spans="2:9" ht="18" x14ac:dyDescent="0.2">
      <c r="B18" s="103"/>
      <c r="C18" s="103"/>
      <c r="D18" s="103"/>
      <c r="E18" s="104"/>
      <c r="F18" s="4"/>
      <c r="G18" s="102"/>
      <c r="H18" s="102"/>
      <c r="I18" s="102"/>
    </row>
    <row r="19" spans="2:9" ht="18" x14ac:dyDescent="0.2">
      <c r="B19" s="103" t="s">
        <v>2</v>
      </c>
      <c r="C19" s="103" t="s">
        <v>3</v>
      </c>
      <c r="D19" s="103">
        <v>10000</v>
      </c>
      <c r="E19" s="104">
        <v>10623.79</v>
      </c>
      <c r="F19" s="4"/>
      <c r="G19" s="102"/>
      <c r="H19" s="102"/>
      <c r="I19" s="102"/>
    </row>
    <row r="20" spans="2:9" ht="18" x14ac:dyDescent="0.2">
      <c r="B20" s="103"/>
      <c r="C20" s="103"/>
      <c r="D20" s="103"/>
      <c r="E20" s="104"/>
      <c r="F20" s="4"/>
      <c r="G20" s="102"/>
      <c r="H20" s="102"/>
      <c r="I20" s="102"/>
    </row>
    <row r="21" spans="2:9" ht="18" x14ac:dyDescent="0.2">
      <c r="B21" s="103" t="s">
        <v>4</v>
      </c>
      <c r="C21" s="103" t="s">
        <v>3</v>
      </c>
      <c r="D21" s="103">
        <v>10000</v>
      </c>
      <c r="E21" s="104">
        <v>10065.91</v>
      </c>
      <c r="F21" s="4"/>
      <c r="G21" s="102"/>
      <c r="H21" s="102"/>
      <c r="I21" s="102"/>
    </row>
    <row r="22" spans="2:9" ht="18" x14ac:dyDescent="0.2">
      <c r="B22" s="103"/>
      <c r="C22" s="103"/>
      <c r="D22" s="103"/>
      <c r="E22" s="104"/>
      <c r="F22" s="4"/>
      <c r="G22" s="102"/>
      <c r="H22" s="102"/>
      <c r="I22" s="102"/>
    </row>
    <row r="23" spans="2:9" ht="18" x14ac:dyDescent="0.2">
      <c r="B23" s="103" t="s">
        <v>5</v>
      </c>
      <c r="C23" s="103" t="s">
        <v>1</v>
      </c>
      <c r="D23" s="103">
        <v>10000</v>
      </c>
      <c r="E23" s="104">
        <v>10809.31</v>
      </c>
      <c r="F23" s="4"/>
      <c r="G23" s="102"/>
      <c r="H23" s="102"/>
      <c r="I23" s="102"/>
    </row>
    <row r="24" spans="2:9" ht="18" x14ac:dyDescent="0.2">
      <c r="B24" s="103"/>
      <c r="C24" s="103"/>
      <c r="D24" s="103"/>
      <c r="E24" s="104"/>
      <c r="F24" s="4"/>
      <c r="G24" s="102"/>
      <c r="H24" s="102"/>
      <c r="I24" s="102"/>
    </row>
    <row r="25" spans="2:9" ht="18" x14ac:dyDescent="0.2">
      <c r="B25" s="103" t="s">
        <v>6</v>
      </c>
      <c r="C25" s="103" t="s">
        <v>1</v>
      </c>
      <c r="D25" s="103">
        <v>1000</v>
      </c>
      <c r="E25" s="104">
        <v>1053.7</v>
      </c>
      <c r="F25" s="4"/>
      <c r="G25" s="102"/>
      <c r="H25" s="102"/>
      <c r="I25" s="102"/>
    </row>
    <row r="26" spans="2:9" ht="18" x14ac:dyDescent="0.2">
      <c r="B26" s="103"/>
      <c r="C26" s="103"/>
      <c r="D26" s="103"/>
      <c r="E26" s="104"/>
      <c r="F26" s="4"/>
      <c r="G26" s="102"/>
      <c r="H26" s="102"/>
      <c r="I26" s="102"/>
    </row>
    <row r="27" spans="2:9" ht="18" x14ac:dyDescent="0.2">
      <c r="B27" s="103" t="s">
        <v>7</v>
      </c>
      <c r="C27" s="103" t="s">
        <v>8</v>
      </c>
      <c r="D27" s="103">
        <v>22000</v>
      </c>
      <c r="E27" s="104">
        <v>21825.21</v>
      </c>
      <c r="F27" s="4"/>
      <c r="G27" s="102"/>
      <c r="H27" s="102"/>
      <c r="I27" s="102"/>
    </row>
    <row r="28" spans="2:9" ht="18" x14ac:dyDescent="0.2">
      <c r="B28" s="103"/>
      <c r="C28" s="103"/>
      <c r="D28" s="103"/>
      <c r="E28" s="104"/>
      <c r="F28" s="4"/>
      <c r="G28" s="102"/>
      <c r="H28" s="102"/>
      <c r="I28" s="102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I27:I28"/>
    <mergeCell ref="B27:B28"/>
    <mergeCell ref="C27:C28"/>
    <mergeCell ref="D27:D28"/>
    <mergeCell ref="E27:E28"/>
    <mergeCell ref="G27:G28"/>
    <mergeCell ref="H27:H28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H17:H18"/>
    <mergeCell ref="I17:I18"/>
    <mergeCell ref="B17:B18"/>
    <mergeCell ref="C17:C18"/>
    <mergeCell ref="D17:D18"/>
    <mergeCell ref="E17:E18"/>
    <mergeCell ref="G17:G1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D10" sqref="D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105">
        <v>20160708</v>
      </c>
      <c r="G4" s="105"/>
      <c r="H4" s="105">
        <v>20160712</v>
      </c>
      <c r="I4" s="105"/>
      <c r="J4" s="105">
        <v>20160808</v>
      </c>
      <c r="K4" s="105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105">
        <v>20160810</v>
      </c>
      <c r="F8" s="105"/>
    </row>
    <row r="9" spans="3:11" x14ac:dyDescent="0.3">
      <c r="D9" s="9" t="s">
        <v>79</v>
      </c>
      <c r="E9" s="81" t="s">
        <v>40</v>
      </c>
      <c r="F9" s="81" t="s">
        <v>44</v>
      </c>
    </row>
    <row r="10" spans="3:11" x14ac:dyDescent="0.3">
      <c r="D10" s="9">
        <v>23888.746299999901</v>
      </c>
      <c r="E10" s="81">
        <f>19888.7462999999*(1+0.024/12)+165.71-0.33</f>
        <v>20093.903792599896</v>
      </c>
      <c r="F10" s="81">
        <f>E10-D10</f>
        <v>-3794.8425074000043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4"/>
  <sheetViews>
    <sheetView tabSelected="1" topLeftCell="C28" zoomScale="75" zoomScaleNormal="75" zoomScalePageLayoutView="75" workbookViewId="0">
      <selection activeCell="C43" sqref="C43"/>
    </sheetView>
  </sheetViews>
  <sheetFormatPr baseColWidth="10" defaultRowHeight="23" x14ac:dyDescent="0.3"/>
  <cols>
    <col min="1" max="1" width="10.83203125" style="9"/>
    <col min="2" max="2" width="10.83203125" style="10"/>
    <col min="3" max="3" width="27.33203125" style="9" customWidth="1"/>
    <col min="4" max="4" width="18.1640625" style="9" customWidth="1"/>
    <col min="5" max="5" width="24.1640625" style="9" customWidth="1"/>
    <col min="6" max="6" width="16.5" style="9" customWidth="1"/>
    <col min="7" max="9" width="15.6640625" style="9" customWidth="1"/>
    <col min="10" max="10" width="23" style="9" customWidth="1"/>
    <col min="11" max="11" width="34.332031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105">
        <v>201605</v>
      </c>
      <c r="D4" s="105"/>
      <c r="E4" s="105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109">
        <v>20160608</v>
      </c>
      <c r="D11" s="110"/>
      <c r="E11" s="110"/>
      <c r="F11" s="110"/>
      <c r="G11" s="110"/>
      <c r="H11" s="110"/>
      <c r="I11" s="110"/>
      <c r="J11" s="110"/>
      <c r="K11" s="110"/>
      <c r="L11" s="110"/>
      <c r="M11" s="111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106">
        <v>20160708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8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106">
        <v>20160808</v>
      </c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8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101">
        <f>J29/J31</f>
        <v>0.66509358314575606</v>
      </c>
      <c r="L29" s="66">
        <v>289.99299999999999</v>
      </c>
      <c r="M29" s="66">
        <f>J29+L29-40000</f>
        <v>1449.9853275836722</v>
      </c>
      <c r="N29" s="65">
        <f>M29/40000</f>
        <v>3.6249633189591804E-2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101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2176.0093000000161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6" ht="24" thickBot="1" x14ac:dyDescent="0.35"/>
    <row r="35" spans="2:16" x14ac:dyDescent="0.3">
      <c r="B35" s="72"/>
      <c r="C35" s="106">
        <v>20160825</v>
      </c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8"/>
    </row>
    <row r="36" spans="2:16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90</v>
      </c>
    </row>
    <row r="37" spans="2:16" x14ac:dyDescent="0.3">
      <c r="B37" s="40">
        <v>216</v>
      </c>
      <c r="C37" s="66">
        <f>C39*D37</f>
        <v>42306.299745799268</v>
      </c>
      <c r="D37" s="66">
        <v>0.66509358314575606</v>
      </c>
      <c r="E37" s="66">
        <f>C37-J29</f>
        <v>1146.3074182155979</v>
      </c>
      <c r="F37" s="66">
        <f>E37/C37</f>
        <v>2.7095430824800947E-2</v>
      </c>
      <c r="G37" s="66">
        <f>E37*0.2</f>
        <v>229.26148364311959</v>
      </c>
      <c r="H37" s="85">
        <f>ROUND(G37,2)</f>
        <v>229.26</v>
      </c>
      <c r="I37" s="66">
        <v>0</v>
      </c>
      <c r="J37" s="66">
        <f>C37-H37</f>
        <v>42077.039745799266</v>
      </c>
      <c r="K37" s="100">
        <f>J37/J39</f>
        <v>0.66388215523932081</v>
      </c>
      <c r="L37" s="66">
        <f>289.93+H37</f>
        <v>519.19000000000005</v>
      </c>
      <c r="M37" s="66">
        <f>J37+L37-40000</f>
        <v>2596.2297457992681</v>
      </c>
      <c r="N37" s="64">
        <f>M37/40000</f>
        <v>6.4905743644981709E-2</v>
      </c>
      <c r="O37" s="19">
        <f t="shared" ref="O37:O38" si="10">J37+L37</f>
        <v>42596.229745799268</v>
      </c>
    </row>
    <row r="38" spans="2:16" x14ac:dyDescent="0.3">
      <c r="B38" s="40" t="s">
        <v>32</v>
      </c>
      <c r="C38" s="66">
        <f>C39*D38</f>
        <v>21303.244561783977</v>
      </c>
      <c r="D38" s="66">
        <v>0.33490641685424405</v>
      </c>
      <c r="E38" s="66">
        <f>C38-J30</f>
        <v>577.22058936763278</v>
      </c>
      <c r="F38" s="66">
        <f t="shared" ref="F38:F39" si="11">E38/C38</f>
        <v>2.7095430824800856E-2</v>
      </c>
      <c r="G38" s="66">
        <f>E38*0.2</f>
        <v>115.44411787352657</v>
      </c>
      <c r="H38" s="66">
        <v>0</v>
      </c>
      <c r="I38" s="66">
        <v>0</v>
      </c>
      <c r="J38" s="66">
        <f t="shared" ref="J38" si="12">C38-H38</f>
        <v>21303.244561783977</v>
      </c>
      <c r="K38" s="100">
        <f>J38/J39</f>
        <v>0.33611784476067924</v>
      </c>
      <c r="L38" s="66">
        <v>0</v>
      </c>
      <c r="M38" s="66">
        <f>C38-20000</f>
        <v>1303.2445617839767</v>
      </c>
      <c r="N38" s="64">
        <f>M38/20000</f>
        <v>6.5162228089198831E-2</v>
      </c>
      <c r="O38" s="19">
        <f t="shared" si="10"/>
        <v>21303.244561783977</v>
      </c>
    </row>
    <row r="39" spans="2:16" ht="24" thickBot="1" x14ac:dyDescent="0.35">
      <c r="B39" s="73" t="s">
        <v>43</v>
      </c>
      <c r="C39" s="68">
        <f>资产结构!D43</f>
        <v>63609.544307583237</v>
      </c>
      <c r="D39" s="68">
        <v>1</v>
      </c>
      <c r="E39" s="69">
        <f>SUM(E37:E38)</f>
        <v>1723.5280075832306</v>
      </c>
      <c r="F39" s="69">
        <f t="shared" si="11"/>
        <v>2.7095430824800919E-2</v>
      </c>
      <c r="G39" s="69">
        <f>G37+G38</f>
        <v>344.70560151664614</v>
      </c>
      <c r="H39" s="69">
        <f>SUM(H37:H38)</f>
        <v>229.26</v>
      </c>
      <c r="I39" s="69">
        <v>0</v>
      </c>
      <c r="J39" s="69">
        <f>C39-H39</f>
        <v>63380.284307583235</v>
      </c>
      <c r="K39" s="70">
        <f>J39/J39</f>
        <v>1</v>
      </c>
      <c r="L39" s="69">
        <f>L37+L38</f>
        <v>519.19000000000005</v>
      </c>
      <c r="M39" s="69">
        <f>M37+M38</f>
        <v>3899.4743075832448</v>
      </c>
      <c r="N39" s="87">
        <f>(J39+L39)/60000-1</f>
        <v>6.4991238459720657E-2</v>
      </c>
      <c r="O39" s="22">
        <f>J39+L39</f>
        <v>63899.474307583238</v>
      </c>
    </row>
    <row r="40" spans="2:16" x14ac:dyDescent="0.3">
      <c r="K40" s="83"/>
      <c r="O40" s="84" t="s">
        <v>67</v>
      </c>
      <c r="P40" s="39">
        <v>60700</v>
      </c>
    </row>
    <row r="41" spans="2:16" ht="24" thickBot="1" x14ac:dyDescent="0.35"/>
    <row r="42" spans="2:16" x14ac:dyDescent="0.3">
      <c r="B42" s="72"/>
      <c r="C42" s="106">
        <v>20160906</v>
      </c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8"/>
    </row>
    <row r="43" spans="2:16" x14ac:dyDescent="0.3">
      <c r="B43" s="40"/>
      <c r="C43" s="41" t="s">
        <v>57</v>
      </c>
      <c r="D43" s="41" t="s">
        <v>42</v>
      </c>
      <c r="E43" s="41" t="s">
        <v>44</v>
      </c>
      <c r="F43" s="41" t="s">
        <v>62</v>
      </c>
      <c r="G43" s="41" t="s">
        <v>36</v>
      </c>
      <c r="H43" s="41" t="s">
        <v>55</v>
      </c>
      <c r="I43" s="41" t="s">
        <v>34</v>
      </c>
      <c r="J43" s="41" t="s">
        <v>58</v>
      </c>
      <c r="K43" s="41" t="s">
        <v>42</v>
      </c>
      <c r="L43" s="64" t="s">
        <v>54</v>
      </c>
      <c r="M43" s="41" t="s">
        <v>56</v>
      </c>
      <c r="N43" s="64" t="s">
        <v>61</v>
      </c>
      <c r="O43" s="86" t="s">
        <v>90</v>
      </c>
    </row>
    <row r="44" spans="2:16" x14ac:dyDescent="0.3">
      <c r="B44" s="40">
        <v>216</v>
      </c>
      <c r="C44" s="66">
        <f>C46*D44</f>
        <v>42275.869028111563</v>
      </c>
      <c r="D44" s="100">
        <v>0.66388215523932081</v>
      </c>
      <c r="E44" s="66">
        <f>C44-J37</f>
        <v>198.82928231229744</v>
      </c>
      <c r="F44" s="66">
        <f>E44/C44</f>
        <v>4.7031388563552618E-3</v>
      </c>
      <c r="G44" s="66">
        <f>E44*0.2</f>
        <v>39.765856462459489</v>
      </c>
      <c r="H44" s="85">
        <f>ROUND(G44,2)</f>
        <v>39.770000000000003</v>
      </c>
      <c r="I44" s="66">
        <v>0</v>
      </c>
      <c r="J44" s="66">
        <f>C44-H44</f>
        <v>42236.099028111566</v>
      </c>
      <c r="K44" s="100">
        <f>J44/J46</f>
        <v>0.66367210802429988</v>
      </c>
      <c r="L44" s="66">
        <f>519.19+H44</f>
        <v>558.96</v>
      </c>
      <c r="M44" s="66">
        <f>J44+L44-40000</f>
        <v>2795.0590281115656</v>
      </c>
      <c r="N44" s="64">
        <f>M44/40000</f>
        <v>6.987647570278914E-2</v>
      </c>
      <c r="O44" s="19">
        <f t="shared" ref="O44:O45" si="13">J44+L44</f>
        <v>42795.059028111566</v>
      </c>
    </row>
    <row r="45" spans="2:16" x14ac:dyDescent="0.3">
      <c r="B45" s="40" t="s">
        <v>32</v>
      </c>
      <c r="C45" s="66">
        <f>C46*D45</f>
        <v>21403.910123162157</v>
      </c>
      <c r="D45" s="100">
        <v>0.33611784476067924</v>
      </c>
      <c r="E45" s="66">
        <f>C45-J38</f>
        <v>100.66556137818043</v>
      </c>
      <c r="F45" s="66">
        <f t="shared" ref="F45:F46" si="14">E45/C45</f>
        <v>4.7031388563552965E-3</v>
      </c>
      <c r="G45" s="66">
        <f>E45*0.2</f>
        <v>20.133112275636087</v>
      </c>
      <c r="H45" s="66">
        <v>0</v>
      </c>
      <c r="I45" s="66">
        <v>0</v>
      </c>
      <c r="J45" s="66">
        <f t="shared" ref="J45" si="15">C45-H45</f>
        <v>21403.910123162157</v>
      </c>
      <c r="K45" s="100">
        <f>J45/J46</f>
        <v>0.33632789197570018</v>
      </c>
      <c r="L45" s="66">
        <v>0</v>
      </c>
      <c r="M45" s="66">
        <f>C45-20000</f>
        <v>1403.9101231621571</v>
      </c>
      <c r="N45" s="64">
        <f>M45/20000</f>
        <v>7.0195506158107851E-2</v>
      </c>
      <c r="O45" s="19">
        <f t="shared" si="13"/>
        <v>21403.910123162157</v>
      </c>
    </row>
    <row r="46" spans="2:16" ht="24" thickBot="1" x14ac:dyDescent="0.35">
      <c r="B46" s="73" t="s">
        <v>43</v>
      </c>
      <c r="C46" s="68">
        <f>资产结构!D53</f>
        <v>63679.779151273717</v>
      </c>
      <c r="D46" s="70">
        <v>1</v>
      </c>
      <c r="E46" s="69">
        <f>SUM(E44:E45)</f>
        <v>299.49484369047786</v>
      </c>
      <c r="F46" s="69">
        <f t="shared" si="14"/>
        <v>4.703138856355274E-3</v>
      </c>
      <c r="G46" s="69">
        <f>G44+G45</f>
        <v>59.898968738095576</v>
      </c>
      <c r="H46" s="69">
        <f>SUM(H44:H45)</f>
        <v>39.770000000000003</v>
      </c>
      <c r="I46" s="69">
        <v>0</v>
      </c>
      <c r="J46" s="69">
        <f>C46-H46</f>
        <v>63640.00915127372</v>
      </c>
      <c r="K46" s="70">
        <f>J46/J46</f>
        <v>1</v>
      </c>
      <c r="L46" s="69">
        <f>L44+L45</f>
        <v>558.96</v>
      </c>
      <c r="M46" s="69">
        <f>M44+M45</f>
        <v>4198.9691512737227</v>
      </c>
      <c r="N46" s="87">
        <f>(J46+L46)/60000-1</f>
        <v>6.9982819187895284E-2</v>
      </c>
      <c r="O46" s="22">
        <f>J46+L46</f>
        <v>64198.969151273719</v>
      </c>
    </row>
    <row r="47" spans="2:16" x14ac:dyDescent="0.3">
      <c r="B47" s="97"/>
      <c r="K47" s="97"/>
      <c r="O47" s="98" t="s">
        <v>67</v>
      </c>
      <c r="P47" s="39">
        <v>60800</v>
      </c>
    </row>
    <row r="54" spans="4:4" x14ac:dyDescent="0.3">
      <c r="D54" s="66"/>
    </row>
  </sheetData>
  <mergeCells count="6">
    <mergeCell ref="C42:O42"/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15" t="s">
        <v>46</v>
      </c>
      <c r="D1" s="115"/>
      <c r="E1" s="115"/>
      <c r="F1" s="115"/>
    </row>
    <row r="3" spans="3:12" ht="24" thickBot="1" x14ac:dyDescent="0.35"/>
    <row r="4" spans="3:12" x14ac:dyDescent="0.3">
      <c r="C4" s="120" t="s">
        <v>25</v>
      </c>
      <c r="D4" s="107"/>
      <c r="E4" s="107"/>
      <c r="F4" s="108"/>
      <c r="G4" s="116"/>
      <c r="H4" s="116"/>
      <c r="I4" s="116"/>
      <c r="J4" s="116"/>
      <c r="K4" s="116"/>
      <c r="L4" s="116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17" t="s">
        <v>47</v>
      </c>
      <c r="D8" s="118"/>
      <c r="E8" s="118"/>
      <c r="F8" s="119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17" t="s">
        <v>68</v>
      </c>
      <c r="D12" s="118"/>
      <c r="E12" s="118"/>
      <c r="F12" s="119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17" t="s">
        <v>77</v>
      </c>
      <c r="D16" s="118"/>
      <c r="E16" s="118"/>
      <c r="F16" s="119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112" t="s">
        <v>69</v>
      </c>
      <c r="D20" s="113"/>
      <c r="E20" s="113"/>
      <c r="F20" s="113"/>
      <c r="G20" s="114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78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1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109" t="s">
        <v>27</v>
      </c>
      <c r="E4" s="110"/>
      <c r="F4" s="110"/>
      <c r="G4" s="110"/>
      <c r="H4" s="109" t="s">
        <v>48</v>
      </c>
      <c r="I4" s="110"/>
      <c r="J4" s="110"/>
      <c r="K4" s="110"/>
      <c r="L4" s="110"/>
      <c r="M4" s="111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27">
        <f>SUM(D6:D9)</f>
        <v>28756.7</v>
      </c>
      <c r="F6" s="28">
        <f>D6-C6</f>
        <v>13.300000000000182</v>
      </c>
      <c r="G6" s="131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27">
        <f>J6+J7+J8+J9</f>
        <v>-382.68999999999915</v>
      </c>
      <c r="L6" s="127">
        <f>SUM(H6:H9)</f>
        <v>28374.010000000002</v>
      </c>
      <c r="M6" s="129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27"/>
      <c r="F7" s="28">
        <f>D7-C7</f>
        <v>53.700000000000045</v>
      </c>
      <c r="G7" s="131"/>
      <c r="H7" s="25">
        <v>1078.76</v>
      </c>
      <c r="I7" s="24">
        <f>H7-C7</f>
        <v>78.759999999999991</v>
      </c>
      <c r="J7" s="28">
        <f>H7-D7</f>
        <v>25.059999999999945</v>
      </c>
      <c r="K7" s="127"/>
      <c r="L7" s="127"/>
      <c r="M7" s="129"/>
    </row>
    <row r="8" spans="2:13" x14ac:dyDescent="0.3">
      <c r="B8" s="10" t="s">
        <v>30</v>
      </c>
      <c r="C8" s="10">
        <v>10000</v>
      </c>
      <c r="D8" s="25">
        <v>10065.91</v>
      </c>
      <c r="E8" s="127"/>
      <c r="F8" s="28">
        <f>D8-C8</f>
        <v>65.909999999999854</v>
      </c>
      <c r="G8" s="131"/>
      <c r="H8" s="25">
        <v>9985.2000000000007</v>
      </c>
      <c r="I8" s="24">
        <f>H8-C8</f>
        <v>-14.799999999999272</v>
      </c>
      <c r="J8" s="28">
        <f>H8-D8</f>
        <v>-80.709999999999127</v>
      </c>
      <c r="K8" s="127"/>
      <c r="L8" s="127"/>
      <c r="M8" s="129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28"/>
      <c r="F9" s="31">
        <f>D9-C9</f>
        <v>623.79000000000087</v>
      </c>
      <c r="G9" s="132"/>
      <c r="H9" s="26">
        <v>10251.950000000001</v>
      </c>
      <c r="I9" s="32">
        <f>H9-C9</f>
        <v>251.95000000000073</v>
      </c>
      <c r="J9" s="31">
        <f>H9-D9</f>
        <v>-371.84000000000015</v>
      </c>
      <c r="K9" s="128"/>
      <c r="L9" s="128"/>
      <c r="M9" s="130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109" t="s">
        <v>63</v>
      </c>
      <c r="E13" s="110"/>
      <c r="F13" s="110"/>
      <c r="G13" s="110"/>
      <c r="H13" s="110"/>
      <c r="I13" s="111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21">
        <f>F15+F16+F17+F18</f>
        <v>-873.43000000000166</v>
      </c>
      <c r="H15" s="121">
        <f>SUM(D15:D18)</f>
        <v>27883.269999999997</v>
      </c>
      <c r="I15" s="124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22"/>
      <c r="H16" s="122"/>
      <c r="I16" s="125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22"/>
      <c r="H17" s="122"/>
      <c r="I17" s="125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23"/>
      <c r="H18" s="123"/>
      <c r="I18" s="126"/>
    </row>
  </sheetData>
  <mergeCells count="11">
    <mergeCell ref="D4:G4"/>
    <mergeCell ref="M6:M9"/>
    <mergeCell ref="H4:M4"/>
    <mergeCell ref="G6:G9"/>
    <mergeCell ref="K6:K9"/>
    <mergeCell ref="E6:E9"/>
    <mergeCell ref="D13:I13"/>
    <mergeCell ref="G15:G18"/>
    <mergeCell ref="H15:H18"/>
    <mergeCell ref="I15:I18"/>
    <mergeCell ref="L6:L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53"/>
  <sheetViews>
    <sheetView topLeftCell="A38" workbookViewId="0">
      <selection activeCell="C49" sqref="C49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8" style="11" customWidth="1"/>
    <col min="7" max="7" width="10.83203125" style="9"/>
    <col min="8" max="8" width="20.33203125" style="11" customWidth="1"/>
    <col min="9" max="9" width="17.5" style="9" customWidth="1"/>
    <col min="10" max="10" width="49.33203125" style="9" customWidth="1"/>
    <col min="11" max="16384" width="10.83203125" style="9"/>
  </cols>
  <sheetData>
    <row r="3" spans="3:5" ht="24" thickBot="1" x14ac:dyDescent="0.35"/>
    <row r="4" spans="3:5" x14ac:dyDescent="0.3">
      <c r="D4" s="133">
        <v>20160622</v>
      </c>
      <c r="E4" s="134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33">
        <v>20160713</v>
      </c>
      <c r="E15" s="134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11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33">
        <v>20160808</v>
      </c>
      <c r="E25" s="134"/>
    </row>
    <row r="26" spans="3:8" ht="24" thickBot="1" x14ac:dyDescent="0.35">
      <c r="D26" s="29" t="s">
        <v>24</v>
      </c>
      <c r="E26" s="80" t="s">
        <v>42</v>
      </c>
      <c r="F26" s="11" t="s">
        <v>23</v>
      </c>
      <c r="G26" s="9" t="s">
        <v>75</v>
      </c>
      <c r="H26" s="11" t="s">
        <v>76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95">
        <v>10860</v>
      </c>
      <c r="G27" s="9">
        <v>0.95250000000000001</v>
      </c>
      <c r="H27" s="11" t="s">
        <v>81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11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11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33">
        <v>20160825</v>
      </c>
      <c r="E35" s="134"/>
    </row>
    <row r="36" spans="3:10" ht="24" thickBot="1" x14ac:dyDescent="0.35">
      <c r="D36" s="29" t="s">
        <v>24</v>
      </c>
      <c r="E36" s="82" t="s">
        <v>42</v>
      </c>
      <c r="F36" s="11" t="s">
        <v>23</v>
      </c>
      <c r="G36" s="9" t="s">
        <v>82</v>
      </c>
      <c r="H36" s="11" t="s">
        <v>80</v>
      </c>
      <c r="I36" s="9" t="s">
        <v>56</v>
      </c>
      <c r="J36" s="9" t="s">
        <v>88</v>
      </c>
    </row>
    <row r="37" spans="3:10" x14ac:dyDescent="0.3">
      <c r="C37" s="58" t="s">
        <v>41</v>
      </c>
      <c r="D37" s="55">
        <f>F37*G37</f>
        <v>8749.25</v>
      </c>
      <c r="E37" s="53">
        <f>D37/D43</f>
        <v>0.13754618265606652</v>
      </c>
      <c r="F37" s="11">
        <v>8860</v>
      </c>
      <c r="G37" s="9">
        <v>0.98750000000000004</v>
      </c>
      <c r="H37" s="11">
        <f>F37*G37</f>
        <v>8749.25</v>
      </c>
      <c r="I37" s="9">
        <f>933+D37-10000+2000-9.656</f>
        <v>1672.5940000000001</v>
      </c>
      <c r="J37" s="9" t="s">
        <v>93</v>
      </c>
    </row>
    <row r="38" spans="3:10" ht="46" x14ac:dyDescent="0.3">
      <c r="C38" s="59" t="s">
        <v>28</v>
      </c>
      <c r="D38" s="78">
        <f>H38</f>
        <v>9981.3167790000007</v>
      </c>
      <c r="E38" s="53">
        <f>D38/D43</f>
        <v>0.15691539512899913</v>
      </c>
      <c r="F38" s="96">
        <f>9921.98-162.21</f>
        <v>9759.77</v>
      </c>
      <c r="G38" s="9">
        <v>1.0226999999999999</v>
      </c>
      <c r="H38" s="11">
        <f t="shared" ref="H38:H42" si="0">F38*G38</f>
        <v>9981.3167790000007</v>
      </c>
      <c r="I38" s="9">
        <f>H38-10000</f>
        <v>-18.683220999999321</v>
      </c>
      <c r="J38" s="88" t="s">
        <v>94</v>
      </c>
    </row>
    <row r="39" spans="3:10" x14ac:dyDescent="0.3">
      <c r="C39" s="60" t="s">
        <v>29</v>
      </c>
      <c r="D39" s="56">
        <f>H39</f>
        <v>174.56796</v>
      </c>
      <c r="E39" s="53">
        <f>D39/D43</f>
        <v>2.7443674042983012E-3</v>
      </c>
      <c r="F39" s="11">
        <v>193.32</v>
      </c>
      <c r="G39" s="9">
        <v>0.90300000000000002</v>
      </c>
      <c r="H39" s="11">
        <f t="shared" si="0"/>
        <v>174.56796</v>
      </c>
      <c r="I39" s="9">
        <f>-1000+944+H39-4.67</f>
        <v>113.89796</v>
      </c>
    </row>
    <row r="40" spans="3:10" x14ac:dyDescent="0.3">
      <c r="C40" s="60" t="s">
        <v>30</v>
      </c>
      <c r="D40" s="56">
        <f>H40</f>
        <v>10584.7695</v>
      </c>
      <c r="E40" s="53">
        <f>D40/D43</f>
        <v>0.16640222179265216</v>
      </c>
      <c r="F40" s="11">
        <v>11530.25</v>
      </c>
      <c r="G40" s="9">
        <v>0.91800000000000004</v>
      </c>
      <c r="H40" s="11">
        <f t="shared" si="0"/>
        <v>10584.7695</v>
      </c>
      <c r="I40" s="9">
        <f>H40-10000</f>
        <v>584.76950000000033</v>
      </c>
    </row>
    <row r="41" spans="3:10" x14ac:dyDescent="0.3">
      <c r="C41" s="60" t="s">
        <v>31</v>
      </c>
      <c r="D41" s="56">
        <f>H41</f>
        <v>12055.72284</v>
      </c>
      <c r="E41" s="53">
        <f>D41/D43</f>
        <v>0.18952694868720782</v>
      </c>
      <c r="F41" s="11">
        <v>19351.080000000002</v>
      </c>
      <c r="G41" s="9">
        <v>0.623</v>
      </c>
      <c r="H41" s="11">
        <f t="shared" si="0"/>
        <v>12055.72284</v>
      </c>
      <c r="I41" s="9">
        <f>F41*G41-11000</f>
        <v>1055.7228400000004</v>
      </c>
      <c r="J41" s="9" t="s">
        <v>89</v>
      </c>
    </row>
    <row r="42" spans="3:10" x14ac:dyDescent="0.3">
      <c r="C42" s="60" t="s">
        <v>59</v>
      </c>
      <c r="D42" s="11">
        <f>H42</f>
        <v>22063.917228583232</v>
      </c>
      <c r="E42" s="53">
        <f>D42/D43</f>
        <v>0.346864884330776</v>
      </c>
      <c r="F42" s="11">
        <f>余额宝损益表!C13</f>
        <v>22063.917228583232</v>
      </c>
      <c r="G42" s="9">
        <v>1</v>
      </c>
      <c r="H42" s="11">
        <f t="shared" si="0"/>
        <v>22063.917228583232</v>
      </c>
      <c r="J42" s="9">
        <v>-1000</v>
      </c>
    </row>
    <row r="43" spans="3:10" ht="24" thickBot="1" x14ac:dyDescent="0.35">
      <c r="C43" s="61" t="s">
        <v>60</v>
      </c>
      <c r="D43" s="57">
        <f>SUM(D37:D42)</f>
        <v>63609.544307583237</v>
      </c>
      <c r="E43" s="54">
        <f>D43/D43</f>
        <v>1</v>
      </c>
    </row>
    <row r="44" spans="3:10" ht="24" thickBot="1" x14ac:dyDescent="0.35"/>
    <row r="45" spans="3:10" x14ac:dyDescent="0.3">
      <c r="D45" s="133">
        <v>20160908</v>
      </c>
      <c r="E45" s="134"/>
    </row>
    <row r="46" spans="3:10" ht="24" thickBot="1" x14ac:dyDescent="0.35">
      <c r="D46" s="29" t="s">
        <v>24</v>
      </c>
      <c r="E46" s="99" t="s">
        <v>42</v>
      </c>
      <c r="F46" s="11" t="s">
        <v>23</v>
      </c>
      <c r="G46" s="9" t="s">
        <v>82</v>
      </c>
      <c r="H46" s="11" t="s">
        <v>80</v>
      </c>
      <c r="I46" s="9" t="s">
        <v>56</v>
      </c>
      <c r="J46" s="9" t="s">
        <v>88</v>
      </c>
    </row>
    <row r="47" spans="3:10" x14ac:dyDescent="0.3">
      <c r="C47" s="58" t="s">
        <v>41</v>
      </c>
      <c r="D47" s="55">
        <f>F47*G47</f>
        <v>9143.52</v>
      </c>
      <c r="E47" s="53">
        <f>D47/D53</f>
        <v>0.14358592510629198</v>
      </c>
      <c r="F47" s="11">
        <v>8860</v>
      </c>
      <c r="G47" s="9">
        <v>1.032</v>
      </c>
      <c r="H47" s="11">
        <f>F47*G47</f>
        <v>9143.52</v>
      </c>
    </row>
    <row r="48" spans="3:10" x14ac:dyDescent="0.3">
      <c r="C48" s="59" t="s">
        <v>28</v>
      </c>
      <c r="D48" s="78">
        <f>H48</f>
        <v>9979.3648250000006</v>
      </c>
      <c r="E48" s="53">
        <f>D48/D53</f>
        <v>0.15671167453790383</v>
      </c>
      <c r="F48" s="96">
        <f>9921.98-162.21</f>
        <v>9759.77</v>
      </c>
      <c r="G48" s="9">
        <v>1.0225</v>
      </c>
      <c r="H48" s="11">
        <f t="shared" ref="H48:H52" si="1">F48*G48</f>
        <v>9979.3648250000006</v>
      </c>
      <c r="J48" s="88"/>
    </row>
    <row r="49" spans="3:10" x14ac:dyDescent="0.3">
      <c r="C49" s="60" t="s">
        <v>29</v>
      </c>
      <c r="D49" s="56">
        <f>H49</f>
        <v>175.34124</v>
      </c>
      <c r="E49" s="53">
        <f>D49/D53</f>
        <v>2.7534837955934216E-3</v>
      </c>
      <c r="F49" s="11">
        <v>193.32</v>
      </c>
      <c r="G49" s="9">
        <v>0.90700000000000003</v>
      </c>
      <c r="H49" s="11">
        <f t="shared" si="1"/>
        <v>175.34124</v>
      </c>
    </row>
    <row r="50" spans="3:10" x14ac:dyDescent="0.3">
      <c r="C50" s="60" t="s">
        <v>30</v>
      </c>
      <c r="D50" s="56">
        <f>H50</f>
        <v>10037.5275</v>
      </c>
      <c r="E50" s="53">
        <f>D50/D53</f>
        <v>0.15762503629535957</v>
      </c>
      <c r="F50" s="11">
        <v>11030.25</v>
      </c>
      <c r="G50" s="9">
        <v>0.91</v>
      </c>
      <c r="H50" s="11">
        <f t="shared" si="1"/>
        <v>10037.5275</v>
      </c>
    </row>
    <row r="51" spans="3:10" x14ac:dyDescent="0.3">
      <c r="C51" s="60" t="s">
        <v>31</v>
      </c>
      <c r="D51" s="56">
        <f>H51</f>
        <v>12036.371760000002</v>
      </c>
      <c r="E51" s="53">
        <f>D51/D53</f>
        <v>0.18901403114805324</v>
      </c>
      <c r="F51" s="11">
        <v>19351.080000000002</v>
      </c>
      <c r="G51" s="9">
        <v>0.622</v>
      </c>
      <c r="H51" s="11">
        <f t="shared" si="1"/>
        <v>12036.371760000002</v>
      </c>
    </row>
    <row r="52" spans="3:10" x14ac:dyDescent="0.3">
      <c r="C52" s="60" t="s">
        <v>59</v>
      </c>
      <c r="D52" s="11">
        <f>F52</f>
        <v>22307.653826273716</v>
      </c>
      <c r="E52" s="53">
        <f>D52/D53</f>
        <v>0.35030984911679802</v>
      </c>
      <c r="F52" s="11">
        <f>余额宝损益表!C27</f>
        <v>22307.653826273716</v>
      </c>
      <c r="G52" s="9">
        <v>1</v>
      </c>
      <c r="H52" s="11">
        <f t="shared" si="1"/>
        <v>22307.653826273716</v>
      </c>
      <c r="J52" s="9">
        <v>-1000</v>
      </c>
    </row>
    <row r="53" spans="3:10" ht="24" thickBot="1" x14ac:dyDescent="0.35">
      <c r="C53" s="61" t="s">
        <v>60</v>
      </c>
      <c r="D53" s="57">
        <f>SUM(D47:D52)</f>
        <v>63679.779151273717</v>
      </c>
      <c r="E53" s="54">
        <f>D53/D53</f>
        <v>1</v>
      </c>
    </row>
  </sheetData>
  <mergeCells count="5">
    <mergeCell ref="D4:E4"/>
    <mergeCell ref="D15:E15"/>
    <mergeCell ref="D25:E25"/>
    <mergeCell ref="D35:E35"/>
    <mergeCell ref="D45:E4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selection activeCell="C8" sqref="C8"/>
    </sheetView>
  </sheetViews>
  <sheetFormatPr baseColWidth="10" defaultRowHeight="15" x14ac:dyDescent="0.15"/>
  <cols>
    <col min="2" max="2" width="35.83203125" customWidth="1"/>
    <col min="7" max="7" width="37.1640625" customWidth="1"/>
  </cols>
  <sheetData>
    <row r="2" spans="1:7" ht="16" thickBot="1" x14ac:dyDescent="0.2">
      <c r="A2" t="s">
        <v>73</v>
      </c>
      <c r="B2" t="s">
        <v>64</v>
      </c>
      <c r="C2" t="s">
        <v>65</v>
      </c>
      <c r="D2" t="s">
        <v>92</v>
      </c>
      <c r="E2" t="s">
        <v>74</v>
      </c>
      <c r="F2" t="s">
        <v>71</v>
      </c>
      <c r="G2" t="s">
        <v>66</v>
      </c>
    </row>
    <row r="3" spans="1:7" ht="23" x14ac:dyDescent="0.3">
      <c r="A3">
        <v>20160722</v>
      </c>
      <c r="B3" s="58" t="s">
        <v>41</v>
      </c>
      <c r="C3" t="s">
        <v>70</v>
      </c>
      <c r="D3">
        <v>1000</v>
      </c>
      <c r="G3" t="s">
        <v>72</v>
      </c>
    </row>
    <row r="4" spans="1:7" ht="23" x14ac:dyDescent="0.3">
      <c r="A4">
        <v>20160816</v>
      </c>
      <c r="B4" s="60" t="s">
        <v>31</v>
      </c>
      <c r="C4" t="s">
        <v>91</v>
      </c>
      <c r="D4">
        <v>1000</v>
      </c>
    </row>
    <row r="5" spans="1:7" ht="23" x14ac:dyDescent="0.15">
      <c r="A5">
        <v>20160816</v>
      </c>
      <c r="B5" s="59" t="s">
        <v>28</v>
      </c>
      <c r="C5" t="s">
        <v>91</v>
      </c>
      <c r="D5">
        <v>3000</v>
      </c>
    </row>
    <row r="6" spans="1:7" ht="23" x14ac:dyDescent="0.3">
      <c r="A6">
        <v>20160829</v>
      </c>
      <c r="B6" s="60" t="s">
        <v>30</v>
      </c>
      <c r="C6" t="s">
        <v>70</v>
      </c>
      <c r="D6" t="s">
        <v>112</v>
      </c>
      <c r="E6">
        <v>0.91600000000000004</v>
      </c>
      <c r="F6">
        <v>2.29</v>
      </c>
      <c r="G6" t="s">
        <v>117</v>
      </c>
    </row>
    <row r="7" spans="1:7" ht="23" x14ac:dyDescent="0.3">
      <c r="A7">
        <v>20160907</v>
      </c>
      <c r="B7" s="60" t="s">
        <v>29</v>
      </c>
      <c r="C7" t="s">
        <v>70</v>
      </c>
      <c r="D7">
        <v>304.18</v>
      </c>
      <c r="E7" t="s">
        <v>120</v>
      </c>
      <c r="F7" t="s">
        <v>121</v>
      </c>
      <c r="G7" t="s">
        <v>122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topLeftCell="A3" workbookViewId="0">
      <selection activeCell="J29" sqref="J29"/>
    </sheetView>
  </sheetViews>
  <sheetFormatPr baseColWidth="10" defaultRowHeight="15" x14ac:dyDescent="0.15"/>
  <cols>
    <col min="3" max="3" width="46.5" customWidth="1"/>
    <col min="4" max="4" width="10.83203125" style="7"/>
    <col min="7" max="7" width="7.5" style="92" bestFit="1" customWidth="1"/>
    <col min="8" max="8" width="13.33203125" customWidth="1"/>
    <col min="10" max="10" width="19" customWidth="1"/>
  </cols>
  <sheetData>
    <row r="2" spans="2:9" x14ac:dyDescent="0.15">
      <c r="B2">
        <v>201608</v>
      </c>
    </row>
    <row r="3" spans="2:9" x14ac:dyDescent="0.15">
      <c r="B3" t="s">
        <v>95</v>
      </c>
      <c r="C3">
        <v>23888.746299999901</v>
      </c>
    </row>
    <row r="4" spans="2:9" x14ac:dyDescent="0.15">
      <c r="B4" t="s">
        <v>113</v>
      </c>
      <c r="C4">
        <f>C3*(1+0.02/12/2)</f>
        <v>23908.653588583231</v>
      </c>
    </row>
    <row r="5" spans="2:9" x14ac:dyDescent="0.15">
      <c r="B5" s="89" t="s">
        <v>73</v>
      </c>
      <c r="C5" s="89" t="s">
        <v>97</v>
      </c>
      <c r="D5" s="94" t="s">
        <v>98</v>
      </c>
      <c r="E5" s="89" t="s">
        <v>23</v>
      </c>
      <c r="F5" s="89" t="s">
        <v>99</v>
      </c>
      <c r="G5" s="93" t="s">
        <v>100</v>
      </c>
      <c r="H5" s="89" t="s">
        <v>101</v>
      </c>
      <c r="I5" s="89" t="s">
        <v>102</v>
      </c>
    </row>
    <row r="6" spans="2:9" x14ac:dyDescent="0.15">
      <c r="B6" s="89">
        <v>20160808</v>
      </c>
      <c r="C6" s="89" t="s">
        <v>38</v>
      </c>
      <c r="D6" s="94" t="s">
        <v>105</v>
      </c>
      <c r="E6" s="89">
        <v>1</v>
      </c>
      <c r="F6" s="89">
        <v>1</v>
      </c>
      <c r="G6" s="93">
        <v>0</v>
      </c>
      <c r="H6" s="89">
        <f>C4</f>
        <v>23908.653588583231</v>
      </c>
      <c r="I6" s="89">
        <f>H6</f>
        <v>23908.653588583231</v>
      </c>
    </row>
    <row r="7" spans="2:9" ht="23" x14ac:dyDescent="0.3">
      <c r="B7" s="89">
        <v>20160811</v>
      </c>
      <c r="C7" s="90" t="s">
        <v>31</v>
      </c>
      <c r="D7" s="94" t="s">
        <v>104</v>
      </c>
      <c r="E7" s="89">
        <v>1644.77</v>
      </c>
      <c r="F7" s="89">
        <v>0.59899999999999998</v>
      </c>
      <c r="G7" s="93">
        <v>-14.78</v>
      </c>
      <c r="H7" s="89">
        <f>-(E7*F7-G7)</f>
        <v>-999.99722999999994</v>
      </c>
      <c r="I7" s="89">
        <f>I6+H7</f>
        <v>22908.65635858323</v>
      </c>
    </row>
    <row r="8" spans="2:9" ht="23" x14ac:dyDescent="0.15">
      <c r="B8" s="89">
        <v>20160816</v>
      </c>
      <c r="C8" s="91" t="s">
        <v>28</v>
      </c>
      <c r="D8" s="94" t="s">
        <v>103</v>
      </c>
      <c r="E8" s="89">
        <v>2921.98</v>
      </c>
      <c r="F8" s="89">
        <v>1.0266999999999999</v>
      </c>
      <c r="G8" s="93">
        <v>0</v>
      </c>
      <c r="H8" s="89">
        <f>-1*E8*F8</f>
        <v>-2999.996866</v>
      </c>
      <c r="I8" s="89">
        <f>I7+H8</f>
        <v>19908.659492583229</v>
      </c>
    </row>
    <row r="9" spans="2:9" ht="23" x14ac:dyDescent="0.3">
      <c r="B9" s="89">
        <v>20160819</v>
      </c>
      <c r="C9" s="90" t="s">
        <v>41</v>
      </c>
      <c r="D9" s="94" t="s">
        <v>96</v>
      </c>
      <c r="E9" s="89">
        <v>2000</v>
      </c>
      <c r="F9" s="89">
        <v>0.99960000000000004</v>
      </c>
      <c r="G9" s="93">
        <f>120.7/25000*2000*-1</f>
        <v>-9.6559999999999988</v>
      </c>
      <c r="H9" s="89">
        <f>E9*F9+G9</f>
        <v>1989.5440000000001</v>
      </c>
      <c r="I9" s="89">
        <f>I8+H9</f>
        <v>21898.20349258323</v>
      </c>
    </row>
    <row r="10" spans="2:9" ht="23" x14ac:dyDescent="0.15">
      <c r="B10" s="89">
        <v>20160816</v>
      </c>
      <c r="C10" s="91" t="s">
        <v>28</v>
      </c>
      <c r="D10" s="94" t="s">
        <v>96</v>
      </c>
      <c r="E10" s="89">
        <v>162.21</v>
      </c>
      <c r="F10" s="89">
        <v>1.0216000000000001</v>
      </c>
      <c r="G10" s="93">
        <v>0</v>
      </c>
      <c r="H10" s="89">
        <f>E10*F10</f>
        <v>165.71373600000001</v>
      </c>
      <c r="I10" s="89">
        <f>I9+H10</f>
        <v>22063.917228583232</v>
      </c>
    </row>
    <row r="13" spans="2:9" x14ac:dyDescent="0.15">
      <c r="B13" t="s">
        <v>110</v>
      </c>
      <c r="C13">
        <f>I10</f>
        <v>22063.917228583232</v>
      </c>
    </row>
    <row r="16" spans="2:9" x14ac:dyDescent="0.15">
      <c r="B16" t="s">
        <v>97</v>
      </c>
      <c r="C16">
        <v>20160908</v>
      </c>
    </row>
    <row r="17" spans="2:10" x14ac:dyDescent="0.15">
      <c r="B17" t="s">
        <v>95</v>
      </c>
      <c r="C17">
        <v>22063.917228583232</v>
      </c>
    </row>
    <row r="18" spans="2:10" x14ac:dyDescent="0.15">
      <c r="B18" t="s">
        <v>114</v>
      </c>
      <c r="C18">
        <f>C17*(1+0.02/12/2)</f>
        <v>22082.303826273717</v>
      </c>
    </row>
    <row r="19" spans="2:10" x14ac:dyDescent="0.15">
      <c r="B19" s="89" t="s">
        <v>73</v>
      </c>
      <c r="C19" s="89" t="s">
        <v>97</v>
      </c>
      <c r="D19" s="94" t="s">
        <v>98</v>
      </c>
      <c r="E19" s="89" t="s">
        <v>23</v>
      </c>
      <c r="F19" s="89" t="s">
        <v>99</v>
      </c>
      <c r="G19" s="93" t="s">
        <v>100</v>
      </c>
      <c r="H19" s="89" t="s">
        <v>101</v>
      </c>
      <c r="I19" s="89" t="s">
        <v>102</v>
      </c>
    </row>
    <row r="20" spans="2:10" x14ac:dyDescent="0.15">
      <c r="B20" s="89">
        <v>20160825</v>
      </c>
      <c r="C20" s="89" t="s">
        <v>38</v>
      </c>
      <c r="D20" s="94" t="s">
        <v>105</v>
      </c>
      <c r="E20" s="89">
        <v>1</v>
      </c>
      <c r="F20" s="89">
        <v>1</v>
      </c>
      <c r="G20" s="93">
        <v>0</v>
      </c>
      <c r="H20" s="89">
        <f>C18</f>
        <v>22082.303826273717</v>
      </c>
      <c r="I20" s="89">
        <f>H20</f>
        <v>22082.303826273717</v>
      </c>
    </row>
    <row r="21" spans="2:10" x14ac:dyDescent="0.15">
      <c r="B21" s="89">
        <v>20160825</v>
      </c>
      <c r="C21" s="89" t="s">
        <v>38</v>
      </c>
      <c r="D21" s="94" t="s">
        <v>111</v>
      </c>
      <c r="E21" s="89">
        <v>228.07</v>
      </c>
      <c r="F21" s="89">
        <v>1</v>
      </c>
      <c r="G21" s="93">
        <v>0</v>
      </c>
      <c r="H21" s="89">
        <f>-E21*F21</f>
        <v>-228.07</v>
      </c>
      <c r="I21" s="89">
        <f>I20+H21</f>
        <v>21854.233826273718</v>
      </c>
    </row>
    <row r="22" spans="2:10" x14ac:dyDescent="0.15">
      <c r="B22" s="89">
        <v>20160902</v>
      </c>
      <c r="C22" s="89" t="s">
        <v>38</v>
      </c>
      <c r="D22" s="94" t="s">
        <v>111</v>
      </c>
      <c r="E22" s="89">
        <v>2.29</v>
      </c>
      <c r="F22" s="89">
        <v>1</v>
      </c>
      <c r="G22" s="93">
        <v>0</v>
      </c>
      <c r="H22" s="89">
        <f>-E22*F22</f>
        <v>-2.29</v>
      </c>
      <c r="I22" s="89">
        <f>I21+H22</f>
        <v>21851.943826273717</v>
      </c>
      <c r="J22" t="s">
        <v>116</v>
      </c>
    </row>
    <row r="23" spans="2:10" x14ac:dyDescent="0.15">
      <c r="B23" s="89" t="s">
        <v>78</v>
      </c>
      <c r="C23" s="89" t="s">
        <v>38</v>
      </c>
      <c r="D23" s="94" t="s">
        <v>118</v>
      </c>
      <c r="E23" s="89">
        <v>455.71</v>
      </c>
      <c r="F23" s="89">
        <v>1</v>
      </c>
      <c r="G23" s="93">
        <v>0</v>
      </c>
      <c r="H23" s="89">
        <v>455.71</v>
      </c>
      <c r="I23" s="89">
        <f>I22+H23</f>
        <v>22307.653826273716</v>
      </c>
      <c r="J23" t="s">
        <v>119</v>
      </c>
    </row>
    <row r="24" spans="2:10" ht="23" x14ac:dyDescent="0.15">
      <c r="B24" s="89"/>
      <c r="C24" s="91"/>
      <c r="D24" s="94"/>
      <c r="E24" s="89"/>
      <c r="F24" s="89"/>
      <c r="G24" s="93"/>
      <c r="H24" s="89"/>
      <c r="I24" s="89"/>
    </row>
    <row r="27" spans="2:10" x14ac:dyDescent="0.15">
      <c r="B27" t="s">
        <v>115</v>
      </c>
      <c r="C27">
        <f>I23</f>
        <v>22307.653826273716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24" sqref="F24"/>
    </sheetView>
  </sheetViews>
  <sheetFormatPr baseColWidth="10" defaultRowHeight="15" x14ac:dyDescent="0.15"/>
  <sheetData>
    <row r="1" spans="1:3" x14ac:dyDescent="0.15">
      <c r="A1" t="s">
        <v>83</v>
      </c>
      <c r="B1" t="s">
        <v>84</v>
      </c>
    </row>
    <row r="2" spans="1:3" x14ac:dyDescent="0.15">
      <c r="A2" t="s">
        <v>85</v>
      </c>
      <c r="B2" t="s">
        <v>86</v>
      </c>
      <c r="C2" t="s">
        <v>107</v>
      </c>
    </row>
    <row r="3" spans="1:3" x14ac:dyDescent="0.15">
      <c r="B3" t="s">
        <v>87</v>
      </c>
      <c r="C3" t="s">
        <v>108</v>
      </c>
    </row>
    <row r="4" spans="1:3" x14ac:dyDescent="0.15">
      <c r="B4" t="s">
        <v>106</v>
      </c>
      <c r="C4" t="s">
        <v>109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工作表1</vt:lpstr>
      <vt:lpstr>余额宝</vt:lpstr>
      <vt:lpstr>投资者权益表</vt:lpstr>
      <vt:lpstr>易H股ETF联接（110031）</vt:lpstr>
      <vt:lpstr>打包资产统计</vt:lpstr>
      <vt:lpstr>资产结构</vt:lpstr>
      <vt:lpstr>Operation</vt:lpstr>
      <vt:lpstr>余额宝损益表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2016-09-06T15:55:54Z</dcterms:modified>
</cp:coreProperties>
</file>