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firstSheet="3" activeTab="6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待确认" sheetId="19" r:id="rId16"/>
    <sheet name="策略" sheetId="10" state="hidden" r:id="rId1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6" l="1"/>
  <c r="H21" i="16"/>
  <c r="F22" i="16"/>
  <c r="I19" i="17"/>
  <c r="L18" i="17"/>
  <c r="K18" i="17"/>
  <c r="H19" i="17"/>
  <c r="J19" i="17"/>
  <c r="G19" i="17"/>
  <c r="F19" i="17"/>
  <c r="I61" i="11"/>
  <c r="H18" i="17"/>
  <c r="I18" i="17"/>
  <c r="J18" i="17"/>
  <c r="G18" i="17"/>
  <c r="F18" i="17"/>
  <c r="N5" i="12"/>
  <c r="M19" i="12"/>
  <c r="D19" i="12"/>
  <c r="L19" i="12"/>
  <c r="J19" i="12"/>
  <c r="K19" i="12"/>
  <c r="G19" i="12"/>
  <c r="L17" i="17"/>
  <c r="H17" i="17"/>
  <c r="I17" i="17"/>
  <c r="J17" i="17"/>
  <c r="G17" i="17"/>
  <c r="F17" i="17"/>
  <c r="G20" i="16"/>
  <c r="H20" i="16"/>
  <c r="F21" i="16"/>
  <c r="F18" i="12"/>
  <c r="L18" i="12"/>
  <c r="J18" i="12"/>
  <c r="K18" i="12"/>
  <c r="G18" i="12"/>
  <c r="D18" i="12"/>
  <c r="F156" i="8"/>
  <c r="D156" i="8"/>
  <c r="F157" i="8"/>
  <c r="H157" i="8"/>
  <c r="D157" i="8"/>
  <c r="F158" i="8"/>
  <c r="H158" i="8"/>
  <c r="D158" i="8"/>
  <c r="D160" i="8"/>
  <c r="E160" i="8"/>
  <c r="E159" i="8"/>
  <c r="E158" i="8"/>
  <c r="E157" i="8"/>
  <c r="H156" i="8"/>
  <c r="E156" i="8"/>
  <c r="C13" i="12"/>
  <c r="F12" i="12"/>
  <c r="E13" i="12"/>
  <c r="F13" i="12"/>
  <c r="E14" i="12"/>
  <c r="F14" i="12"/>
  <c r="E15" i="12"/>
  <c r="F15" i="12"/>
  <c r="E16" i="12"/>
  <c r="F16" i="12"/>
  <c r="E17" i="12"/>
  <c r="F17" i="12"/>
  <c r="L17" i="12"/>
  <c r="J17" i="12"/>
  <c r="K17" i="12"/>
  <c r="G17" i="12"/>
  <c r="D17" i="12"/>
  <c r="F148" i="8"/>
  <c r="D148" i="8"/>
  <c r="F149" i="8"/>
  <c r="H149" i="8"/>
  <c r="D149" i="8"/>
  <c r="F150" i="8"/>
  <c r="H150" i="8"/>
  <c r="D150" i="8"/>
  <c r="D153" i="8"/>
  <c r="E153" i="8"/>
  <c r="E152" i="8"/>
  <c r="E150" i="8"/>
  <c r="E149" i="8"/>
  <c r="H148" i="8"/>
  <c r="E148" i="8"/>
  <c r="J20" i="16"/>
  <c r="H19" i="16"/>
  <c r="F20" i="16"/>
  <c r="H18" i="16"/>
  <c r="F19" i="16"/>
  <c r="L16" i="17"/>
  <c r="H16" i="17"/>
  <c r="I16" i="17"/>
  <c r="J16" i="17"/>
  <c r="G16" i="17"/>
  <c r="F16" i="17"/>
  <c r="L16" i="12"/>
  <c r="J16" i="12"/>
  <c r="K16" i="12"/>
  <c r="G16" i="12"/>
  <c r="D16" i="12"/>
  <c r="F140" i="8"/>
  <c r="D140" i="8"/>
  <c r="F141" i="8"/>
  <c r="H141" i="8"/>
  <c r="D141" i="8"/>
  <c r="F142" i="8"/>
  <c r="H142" i="8"/>
  <c r="D142" i="8"/>
  <c r="D145" i="8"/>
  <c r="E145" i="8"/>
  <c r="E144" i="8"/>
  <c r="E142" i="8"/>
  <c r="E141" i="8"/>
  <c r="H140" i="8"/>
  <c r="E140" i="8"/>
  <c r="I55" i="11"/>
  <c r="I56" i="11"/>
  <c r="I57" i="11"/>
  <c r="I58" i="11"/>
  <c r="I59" i="11"/>
  <c r="E59" i="11"/>
  <c r="E50" i="11"/>
  <c r="H17" i="16"/>
  <c r="F18" i="16"/>
  <c r="L15" i="17"/>
  <c r="H15" i="17"/>
  <c r="I15" i="17"/>
  <c r="J15" i="17"/>
  <c r="G15" i="17"/>
  <c r="F15" i="17"/>
  <c r="L15" i="12"/>
  <c r="J15" i="12"/>
  <c r="K15" i="12"/>
  <c r="G15" i="12"/>
  <c r="D15" i="12"/>
  <c r="D14" i="12"/>
  <c r="G14" i="12"/>
  <c r="J14" i="12"/>
  <c r="K14" i="12"/>
  <c r="L14" i="12"/>
  <c r="F133" i="8"/>
  <c r="F132" i="8"/>
  <c r="H132" i="8"/>
  <c r="D132" i="8"/>
  <c r="F131" i="8"/>
  <c r="D131" i="8"/>
  <c r="H133" i="8"/>
  <c r="D133" i="8"/>
  <c r="D136" i="8"/>
  <c r="E135" i="8"/>
  <c r="D14" i="9"/>
  <c r="D13" i="9"/>
  <c r="E136" i="8"/>
  <c r="E133" i="8"/>
  <c r="E132" i="8"/>
  <c r="H131" i="8"/>
  <c r="E131" i="8"/>
  <c r="F15" i="16"/>
  <c r="L14" i="17"/>
  <c r="H14" i="17"/>
  <c r="I14" i="17"/>
  <c r="J14" i="17"/>
  <c r="G14" i="17"/>
  <c r="E13" i="17"/>
  <c r="H13" i="17"/>
  <c r="F14" i="17"/>
  <c r="J17" i="16"/>
  <c r="L13" i="12"/>
  <c r="J13" i="12"/>
  <c r="K13" i="12"/>
  <c r="G13" i="12"/>
  <c r="D13" i="12"/>
  <c r="H54" i="11"/>
  <c r="F123" i="8"/>
  <c r="D122" i="8"/>
  <c r="H123" i="8"/>
  <c r="D123" i="8"/>
  <c r="H124" i="8"/>
  <c r="D124" i="8"/>
  <c r="H125" i="8"/>
  <c r="D125" i="8"/>
  <c r="D127" i="8"/>
  <c r="E127" i="8"/>
  <c r="E126" i="8"/>
  <c r="E125" i="8"/>
  <c r="E124" i="8"/>
  <c r="E123" i="8"/>
  <c r="H122" i="8"/>
  <c r="E122" i="8"/>
  <c r="D113" i="8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0" i="12"/>
  <c r="E13" i="16"/>
  <c r="L13" i="17"/>
  <c r="I13" i="17"/>
  <c r="J13" i="17"/>
  <c r="G13" i="17"/>
  <c r="F11" i="12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9" i="16"/>
  <c r="D10" i="16"/>
  <c r="G10" i="16"/>
  <c r="D11" i="16"/>
  <c r="G11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F9" i="12"/>
  <c r="E10" i="17"/>
  <c r="H10" i="17"/>
  <c r="F11" i="17"/>
  <c r="E12" i="16"/>
  <c r="H13" i="16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8" i="12"/>
  <c r="L9" i="12"/>
  <c r="J9" i="12"/>
  <c r="K9" i="12"/>
  <c r="G9" i="12"/>
  <c r="H8" i="17"/>
  <c r="F9" i="17"/>
  <c r="F6" i="12"/>
  <c r="E7" i="17"/>
  <c r="D7" i="17"/>
  <c r="H7" i="17"/>
  <c r="F8" i="17"/>
  <c r="L9" i="17"/>
  <c r="I9" i="17"/>
  <c r="J9" i="17"/>
  <c r="G9" i="17"/>
  <c r="F7" i="12"/>
  <c r="L8" i="12"/>
  <c r="J8" i="12"/>
  <c r="K8" i="12"/>
  <c r="G8" i="12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H52" i="11"/>
  <c r="H10" i="16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F4" i="12"/>
  <c r="F3" i="12"/>
  <c r="G4" i="12"/>
  <c r="H4" i="12"/>
  <c r="J4" i="12"/>
  <c r="G7" i="12"/>
  <c r="L7" i="12"/>
  <c r="J7" i="12"/>
  <c r="K7" i="12"/>
  <c r="E8" i="16"/>
  <c r="D8" i="16"/>
  <c r="H8" i="16"/>
  <c r="O7" i="17"/>
  <c r="G7" i="17"/>
  <c r="G8" i="16"/>
  <c r="K8" i="16"/>
  <c r="F5" i="12"/>
  <c r="L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C43" i="11"/>
  <c r="I45" i="11"/>
  <c r="I46" i="11"/>
  <c r="F72" i="8"/>
  <c r="H46" i="11"/>
  <c r="H15" i="18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J5" i="12"/>
  <c r="K5" i="12"/>
  <c r="K4" i="12"/>
  <c r="L5" i="12"/>
  <c r="G5" i="12"/>
  <c r="I7" i="18"/>
  <c r="I6" i="18"/>
  <c r="H8" i="18"/>
  <c r="H6" i="18"/>
  <c r="F8" i="18"/>
  <c r="G8" i="18"/>
  <c r="D7" i="18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6" i="16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58" i="8"/>
  <c r="F59" i="8"/>
  <c r="H59" i="8"/>
  <c r="D59" i="8"/>
  <c r="H60" i="8"/>
  <c r="D60" i="8"/>
  <c r="H61" i="8"/>
  <c r="D61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47" i="8"/>
  <c r="F48" i="8"/>
  <c r="H48" i="8"/>
  <c r="D48" i="8"/>
  <c r="H49" i="8"/>
  <c r="D49" i="8"/>
  <c r="H50" i="8"/>
  <c r="D50" i="8"/>
  <c r="H51" i="8"/>
  <c r="D51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37" i="8"/>
  <c r="F38" i="8"/>
  <c r="H38" i="8"/>
  <c r="D38" i="8"/>
  <c r="H39" i="8"/>
  <c r="D39" i="8"/>
  <c r="H40" i="8"/>
  <c r="D40" i="8"/>
  <c r="H41" i="8"/>
  <c r="D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J3" i="12"/>
  <c r="E7" i="14"/>
  <c r="I7" i="14"/>
  <c r="I6" i="14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<sst xmlns="http://schemas.openxmlformats.org/spreadsheetml/2006/main" count="749" uniqueCount="203">
  <si>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</si>
  <si>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</si>
  <si>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</si>
  <si>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</si>
  <si>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</si>
  <si>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</si>
  <si>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</si>
  <si>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</si>
  <si>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</si>
  <si>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</si>
  <si>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</si>
  <si>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</si>
  <si>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</si>
  <si>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</si>
  <si>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</si>
  <si>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</si>
  <si>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</si>
  <si>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</si>
  <si>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</si>
  <si>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</si>
  <si>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</si>
  <si>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</si>
  <si>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</si>
  <si>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</si>
  <si>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</si>
  <si>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</si>
  <si>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</si>
  <si>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</si>
  <si>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</si>
  <si>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</si>
  <si>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</si>
  <si>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</si>
  <si>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</si>
  <si>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</si>
  <si>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</si>
  <si>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</si>
  <si>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</si>
  <si>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</si>
  <si>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</si>
  <si>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</si>
  <si>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</si>
  <si>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</si>
  <si>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</si>
  <si>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</si>
  <si>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</si>
  <si>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</si>
  <si>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</si>
  <si>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</si>
  <si>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</si>
  <si>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</si>
  <si>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</si>
  <si>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</si>
  <si>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</si>
  <si>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</si>
  <si>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</si>
  <si>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</si>
  <si>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</si>
  <si>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</si>
  <si>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</si>
  <si>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</si>
  <si>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</si>
  <si>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</si>
  <si>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</si>
  <si>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</si>
  <si>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</si>
  <si>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</si>
  <si>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</si>
  <si>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</si>
  <si>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</si>
  <si>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</si>
  <si>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</si>
  <si>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</si>
  <si>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</si>
  <si>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</si>
  <si>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</si>
  <si>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</si>
  <si>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</si>
  <si>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</si>
  <si>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</si>
  <si>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</si>
  <si>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</si>
  <si>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</si>
  <si>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</si>
  <si>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</si>
  <si>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</si>
  <si>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</si>
  <si>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</si>
  <si>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</si>
  <si>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</si>
  <si>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</si>
  <si>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</si>
  <si>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</si>
  <si>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</si>
  <si>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</si>
  <si>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</si>
  <si>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</si>
  <si>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</si>
  <si>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</si>
  <si>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</si>
  <si>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</si>
  <si>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</si>
  <si>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</si>
  <si>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</si>
  <si>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</si>
  <si>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</si>
  <si>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</si>
  <si>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</si>
  <si>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</si>
  <si>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</si>
  <si>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</si>
  <si>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</si>
  <si>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</si>
  <si>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</si>
  <si>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</si>
  <si>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</si>
  <si>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</si>
  <si>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</si>
  <si>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</si>
  <si>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</si>
  <si>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</si>
  <si>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</si>
  <si>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</si>
  <si>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</si>
  <si>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</si>
  <si>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</si>
  <si>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</si>
  <si>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</si>
  <si>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</si>
  <si>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</si>
  <si>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</si>
  <si>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</si>
  <si>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</si>
  <si>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</si>
  <si>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</si>
  <si>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</si>
  <si>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</si>
  <si>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</si>
  <si>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</si>
  <si>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</si>
  <si>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</si>
  <si>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</si>
  <si>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</si>
  <si>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</si>
  <si>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</si>
  <si>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</si>
  <si>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</si>
  <si>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</si>
  <si>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</si>
  <si>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</si>
  <si>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</si>
  <si>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</si>
  <si>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</si>
  <si>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</si>
  <si>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</si>
  <si>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</si>
  <si>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</si>
  <si>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</si>
  <si>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</si>
  <si>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</si>
  <si>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</si>
  <si>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</si>
  <si>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</si>
  <si>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</si>
  <si>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</si>
  <si>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</si>
  <si>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</si>
  <si>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</si>
  <si>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</si>
  <si>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</si>
  <si>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</si>
  <si>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</si>
  <si>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</si>
  <si>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</si>
  <si>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</si>
  <si>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</si>
  <si>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</si>
  <si>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</si>
  <si>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</si>
  <si>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</si>
  <si>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</si>
  <si>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</si>
  <si>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</si>
  <si>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</si>
  <si>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</si>
  <si>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</si>
  <si>
    <t>购买港股基金4000</t>
    <rPh sb="0" eb="1">
      <t>gou'mai</t>
    </rPh>
    <rPh sb="2" eb="3">
      <t>gang'gu</t>
    </rPh>
    <rPh sb="4" eb="5">
      <t>ji'jin</t>
    </rPh>
    <phoneticPr fontId="2" type="noConversion"/>
  </si>
  <si>
    <t>IN</t>
    <phoneticPr fontId="2" type="noConversion"/>
  </si>
  <si>
    <t>华宝油气，全部赎回</t>
    <rPh sb="0" eb="1">
      <t>hua'bao</t>
    </rPh>
    <rPh sb="2" eb="3">
      <t>you'qi</t>
    </rPh>
    <rPh sb="5" eb="6">
      <t>quan'bu'shu'hui</t>
    </rPh>
    <phoneticPr fontId="2" type="noConversion"/>
  </si>
  <si>
    <t>OUT</t>
    <phoneticPr fontId="2" type="noConversion"/>
  </si>
  <si>
    <t>购买ETF黄金</t>
    <rPh sb="0" eb="1">
      <t>gou'mai</t>
    </rPh>
    <rPh sb="5" eb="6">
      <t>huang'jin</t>
    </rPh>
    <phoneticPr fontId="2" type="noConversion"/>
  </si>
  <si>
    <t>OK</t>
    <phoneticPr fontId="2" type="noConversion"/>
  </si>
  <si>
    <t>OK</t>
    <phoneticPr fontId="2" type="noConversion"/>
  </si>
  <si>
    <t>华安石油，赎回 一半</t>
    <rPh sb="0" eb="1">
      <t>hua'an'shi'you</t>
    </rPh>
    <rPh sb="5" eb="6">
      <t>shu'hui</t>
    </rPh>
    <rPh sb="8" eb="9">
      <t>yi'ban</t>
    </rPh>
    <phoneticPr fontId="2" type="noConversion"/>
  </si>
  <si>
    <t>IN</t>
    <phoneticPr fontId="2" type="noConversion"/>
  </si>
  <si>
    <t>目标：12月16日</t>
    <rPh sb="0" eb="1">
      <t>mu'biao</t>
    </rPh>
    <rPh sb="5" eb="6">
      <t>yue</t>
    </rPh>
    <rPh sb="8" eb="9">
      <t>ri</t>
    </rPh>
    <phoneticPr fontId="2" type="noConversion"/>
  </si>
  <si>
    <t>申购港股基金</t>
    <rPh sb="0" eb="1">
      <t>shen'gou</t>
    </rPh>
    <rPh sb="2" eb="3">
      <t>gang'gu</t>
    </rPh>
    <rPh sb="4" eb="5">
      <t>ji'jin</t>
    </rPh>
    <phoneticPr fontId="2" type="noConversion"/>
  </si>
  <si>
    <t>发起时间</t>
    <rPh sb="0" eb="1">
      <t>fa'qi'shi'jian</t>
    </rPh>
    <phoneticPr fontId="2" type="noConversion"/>
  </si>
  <si>
    <t>确认时间</t>
    <rPh sb="0" eb="1">
      <t>que'ren</t>
    </rPh>
    <rPh sb="2" eb="3">
      <t>shi'jian</t>
    </rPh>
    <phoneticPr fontId="2" type="noConversion"/>
  </si>
  <si>
    <t>净值：</t>
    <rPh sb="0" eb="1">
      <t>jing'zhi</t>
    </rPh>
    <phoneticPr fontId="2" type="noConversion"/>
  </si>
  <si>
    <t>认购前</t>
    <phoneticPr fontId="2" type="noConversion"/>
  </si>
  <si>
    <t>认购后</t>
    <rPh sb="0" eb="1">
      <t>ren'gou'hou</t>
    </rPh>
    <phoneticPr fontId="2" type="noConversion"/>
  </si>
  <si>
    <t>OUT</t>
    <phoneticPr fontId="2" type="noConversion"/>
  </si>
  <si>
    <t>分红后统计</t>
    <rPh sb="0" eb="1">
      <t>fen'hong</t>
    </rPh>
    <rPh sb="2" eb="3">
      <t>hou</t>
    </rPh>
    <rPh sb="3" eb="4">
      <t>tong'ji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</si>
</sst>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28" t="s">
        <v>0</v>
      </c>
      <c r="C17" s="128" t="s">
        <v>1</v>
      </c>
      <c r="D17" s="128">
        <v>7000</v>
      </c>
      <c r="E17" s="129">
        <v>7013.3</v>
      </c>
      <c r="F17" s="4"/>
      <c r="G17" s="127">
        <v>7058.1</v>
      </c>
      <c r="H17" s="127"/>
      <c r="I17" s="127"/>
    </row>
    <row r="18" spans="2:9" ht="18" x14ac:dyDescent="0.2">
      <c r="B18" s="128"/>
      <c r="C18" s="128"/>
      <c r="D18" s="128"/>
      <c r="E18" s="129"/>
      <c r="F18" s="4"/>
      <c r="G18" s="127"/>
      <c r="H18" s="127"/>
      <c r="I18" s="127"/>
    </row>
    <row r="19" spans="2:9" ht="18" x14ac:dyDescent="0.2">
      <c r="B19" s="128" t="s">
        <v>2</v>
      </c>
      <c r="C19" s="128" t="s">
        <v>3</v>
      </c>
      <c r="D19" s="128">
        <v>10000</v>
      </c>
      <c r="E19" s="129">
        <v>10623.79</v>
      </c>
      <c r="F19" s="4"/>
      <c r="G19" s="127"/>
      <c r="H19" s="127"/>
      <c r="I19" s="127"/>
    </row>
    <row r="20" spans="2:9" ht="18" x14ac:dyDescent="0.2">
      <c r="B20" s="128"/>
      <c r="C20" s="128"/>
      <c r="D20" s="128"/>
      <c r="E20" s="129"/>
      <c r="F20" s="4"/>
      <c r="G20" s="127"/>
      <c r="H20" s="127"/>
      <c r="I20" s="127"/>
    </row>
    <row r="21" spans="2:9" ht="18" x14ac:dyDescent="0.2">
      <c r="B21" s="128" t="s">
        <v>4</v>
      </c>
      <c r="C21" s="128" t="s">
        <v>3</v>
      </c>
      <c r="D21" s="128">
        <v>10000</v>
      </c>
      <c r="E21" s="129">
        <v>10065.91</v>
      </c>
      <c r="F21" s="4"/>
      <c r="G21" s="127"/>
      <c r="H21" s="127"/>
      <c r="I21" s="127"/>
    </row>
    <row r="22" spans="2:9" ht="18" x14ac:dyDescent="0.2">
      <c r="B22" s="128"/>
      <c r="C22" s="128"/>
      <c r="D22" s="128"/>
      <c r="E22" s="129"/>
      <c r="F22" s="4"/>
      <c r="G22" s="127"/>
      <c r="H22" s="127"/>
      <c r="I22" s="127"/>
    </row>
    <row r="23" spans="2:9" ht="18" x14ac:dyDescent="0.2">
      <c r="B23" s="128" t="s">
        <v>5</v>
      </c>
      <c r="C23" s="128" t="s">
        <v>1</v>
      </c>
      <c r="D23" s="128">
        <v>10000</v>
      </c>
      <c r="E23" s="129">
        <v>10809.31</v>
      </c>
      <c r="F23" s="4"/>
      <c r="G23" s="127"/>
      <c r="H23" s="127"/>
      <c r="I23" s="127"/>
    </row>
    <row r="24" spans="2:9" ht="18" x14ac:dyDescent="0.2">
      <c r="B24" s="128"/>
      <c r="C24" s="128"/>
      <c r="D24" s="128"/>
      <c r="E24" s="129"/>
      <c r="F24" s="4"/>
      <c r="G24" s="127"/>
      <c r="H24" s="127"/>
      <c r="I24" s="127"/>
    </row>
    <row r="25" spans="2:9" ht="18" x14ac:dyDescent="0.2">
      <c r="B25" s="128" t="s">
        <v>6</v>
      </c>
      <c r="C25" s="128" t="s">
        <v>1</v>
      </c>
      <c r="D25" s="128">
        <v>1000</v>
      </c>
      <c r="E25" s="129">
        <v>1053.7</v>
      </c>
      <c r="F25" s="4"/>
      <c r="G25" s="127"/>
      <c r="H25" s="127"/>
      <c r="I25" s="127"/>
    </row>
    <row r="26" spans="2:9" ht="18" x14ac:dyDescent="0.2">
      <c r="B26" s="128"/>
      <c r="C26" s="128"/>
      <c r="D26" s="128"/>
      <c r="E26" s="129"/>
      <c r="F26" s="4"/>
      <c r="G26" s="127"/>
      <c r="H26" s="127"/>
      <c r="I26" s="127"/>
    </row>
    <row r="27" spans="2:9" ht="18" x14ac:dyDescent="0.2">
      <c r="B27" s="128" t="s">
        <v>7</v>
      </c>
      <c r="C27" s="128" t="s">
        <v>8</v>
      </c>
      <c r="D27" s="128">
        <v>22000</v>
      </c>
      <c r="E27" s="129">
        <v>21825.21</v>
      </c>
      <c r="F27" s="4"/>
      <c r="G27" s="127"/>
      <c r="H27" s="127"/>
      <c r="I27" s="127"/>
    </row>
    <row r="28" spans="2:9" ht="18" x14ac:dyDescent="0.2">
      <c r="B28" s="128"/>
      <c r="C28" s="128"/>
      <c r="D28" s="128"/>
      <c r="E28" s="129"/>
      <c r="F28" s="4"/>
      <c r="G28" s="127"/>
      <c r="H28" s="127"/>
      <c r="I28" s="127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43" t="s">
        <v>46</v>
      </c>
      <c r="D1" s="143"/>
      <c r="E1" s="143"/>
      <c r="F1" s="143"/>
    </row>
    <row r="3" spans="3:12" ht="24" thickBot="1" x14ac:dyDescent="0.35"/>
    <row r="4" spans="3:12" x14ac:dyDescent="0.3">
      <c r="C4" s="148" t="s">
        <v>25</v>
      </c>
      <c r="D4" s="132"/>
      <c r="E4" s="132"/>
      <c r="F4" s="133"/>
      <c r="G4" s="144"/>
      <c r="H4" s="144"/>
      <c r="I4" s="144"/>
      <c r="J4" s="144"/>
      <c r="K4" s="144"/>
      <c r="L4" s="144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45" t="s">
        <v>47</v>
      </c>
      <c r="D8" s="146"/>
      <c r="E8" s="146"/>
      <c r="F8" s="147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45" t="s">
        <v>68</v>
      </c>
      <c r="D12" s="146"/>
      <c r="E12" s="146"/>
      <c r="F12" s="147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45" t="s">
        <v>77</v>
      </c>
      <c r="D16" s="146"/>
      <c r="E16" s="146"/>
      <c r="F16" s="147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40" t="s">
        <v>69</v>
      </c>
      <c r="D20" s="141"/>
      <c r="E20" s="141"/>
      <c r="F20" s="141"/>
      <c r="G20" s="142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34" t="s">
        <v>27</v>
      </c>
      <c r="E4" s="135"/>
      <c r="F4" s="135"/>
      <c r="G4" s="135"/>
      <c r="H4" s="134" t="s">
        <v>48</v>
      </c>
      <c r="I4" s="135"/>
      <c r="J4" s="135"/>
      <c r="K4" s="135"/>
      <c r="L4" s="135"/>
      <c r="M4" s="136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55">
        <f>SUM(D6:D9)</f>
        <v>28756.7</v>
      </c>
      <c r="F6" s="28">
        <f>D6-C6</f>
        <v>13.300000000000182</v>
      </c>
      <c r="G6" s="159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55">
        <f>J6+J7+J8+J9</f>
        <v>-382.68999999999915</v>
      </c>
      <c r="L6" s="155">
        <f>SUM(H6:H9)</f>
        <v>28374.010000000002</v>
      </c>
      <c r="M6" s="157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55"/>
      <c r="F7" s="28">
        <f>D7-C7</f>
        <v>53.700000000000045</v>
      </c>
      <c r="G7" s="159"/>
      <c r="H7" s="25">
        <v>1078.76</v>
      </c>
      <c r="I7" s="24">
        <f>H7-C7</f>
        <v>78.759999999999991</v>
      </c>
      <c r="J7" s="28">
        <f>H7-D7</f>
        <v>25.059999999999945</v>
      </c>
      <c r="K7" s="155"/>
      <c r="L7" s="155"/>
      <c r="M7" s="157"/>
    </row>
    <row r="8" spans="2:13" x14ac:dyDescent="0.3">
      <c r="B8" s="10" t="s">
        <v>30</v>
      </c>
      <c r="C8" s="10">
        <v>10000</v>
      </c>
      <c r="D8" s="25">
        <v>10065.91</v>
      </c>
      <c r="E8" s="155"/>
      <c r="F8" s="28">
        <f>D8-C8</f>
        <v>65.909999999999854</v>
      </c>
      <c r="G8" s="159"/>
      <c r="H8" s="25">
        <v>9985.2000000000007</v>
      </c>
      <c r="I8" s="24">
        <f>H8-C8</f>
        <v>-14.799999999999272</v>
      </c>
      <c r="J8" s="28">
        <f>H8-D8</f>
        <v>-80.709999999999127</v>
      </c>
      <c r="K8" s="155"/>
      <c r="L8" s="155"/>
      <c r="M8" s="157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56"/>
      <c r="F9" s="31">
        <f>D9-C9</f>
        <v>623.79000000000087</v>
      </c>
      <c r="G9" s="160"/>
      <c r="H9" s="26">
        <v>10251.950000000001</v>
      </c>
      <c r="I9" s="32">
        <f>H9-C9</f>
        <v>251.95000000000073</v>
      </c>
      <c r="J9" s="31">
        <f>H9-D9</f>
        <v>-371.84000000000015</v>
      </c>
      <c r="K9" s="156"/>
      <c r="L9" s="156"/>
      <c r="M9" s="158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34" t="s">
        <v>63</v>
      </c>
      <c r="E13" s="135"/>
      <c r="F13" s="135"/>
      <c r="G13" s="135"/>
      <c r="H13" s="135"/>
      <c r="I13" s="136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49">
        <f>F15+F16+F17+F18</f>
        <v>-873.43000000000166</v>
      </c>
      <c r="H15" s="149">
        <f>SUM(D15:D18)</f>
        <v>27883.269999999997</v>
      </c>
      <c r="I15" s="152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50"/>
      <c r="H16" s="150"/>
      <c r="I16" s="153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50"/>
      <c r="H17" s="150"/>
      <c r="I17" s="153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51"/>
      <c r="H18" s="151"/>
      <c r="I18" s="154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60"/>
  <sheetViews>
    <sheetView topLeftCell="B138" workbookViewId="0">
      <selection activeCell="F160" sqref="F160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61">
        <v>20160622</v>
      </c>
      <c r="E4" s="162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61">
        <v>20160713</v>
      </c>
      <c r="E15" s="162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61">
        <v>20160808</v>
      </c>
      <c r="E25" s="162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61">
        <v>20160825</v>
      </c>
      <c r="E35" s="162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61">
        <v>20160906</v>
      </c>
      <c r="E45" s="162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61">
        <v>20160921</v>
      </c>
      <c r="E56" s="162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61">
        <v>20161017</v>
      </c>
      <c r="E66" s="162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61">
        <v>20161020</v>
      </c>
      <c r="E75" s="162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61">
        <v>201610207</v>
      </c>
      <c r="E84" s="162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61">
        <v>20161031</v>
      </c>
      <c r="E93" s="162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61">
        <v>20161103</v>
      </c>
      <c r="E102" s="162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61">
        <v>20161103</v>
      </c>
      <c r="E111" s="162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19" spans="3:10" ht="24" thickBot="1" x14ac:dyDescent="0.35"/>
    <row r="120" spans="3:10" x14ac:dyDescent="0.3">
      <c r="D120" s="161">
        <v>20161108</v>
      </c>
      <c r="E120" s="162"/>
    </row>
    <row r="121" spans="3:10" ht="24" thickBot="1" x14ac:dyDescent="0.35">
      <c r="D121" s="105" t="s">
        <v>24</v>
      </c>
      <c r="E121" s="122" t="s">
        <v>42</v>
      </c>
      <c r="F121" s="11" t="s">
        <v>23</v>
      </c>
      <c r="G121" s="9" t="s">
        <v>82</v>
      </c>
      <c r="H121" s="11" t="s">
        <v>80</v>
      </c>
      <c r="I121" s="9" t="s">
        <v>164</v>
      </c>
      <c r="J121" s="9" t="s">
        <v>88</v>
      </c>
    </row>
    <row r="122" spans="3:10" x14ac:dyDescent="0.3">
      <c r="C122" s="58" t="s">
        <v>41</v>
      </c>
      <c r="D122" s="106">
        <f>F122*G122</f>
        <v>8865.3159999999989</v>
      </c>
      <c r="E122" s="107">
        <f>D122/D127</f>
        <v>0.1172047636836698</v>
      </c>
      <c r="F122" s="11">
        <v>8860</v>
      </c>
      <c r="G122" s="9">
        <v>1.0005999999999999</v>
      </c>
      <c r="H122" s="11">
        <f>F122*G122</f>
        <v>8865.3159999999989</v>
      </c>
      <c r="J122" s="9" t="s">
        <v>184</v>
      </c>
    </row>
    <row r="123" spans="3:10" x14ac:dyDescent="0.3">
      <c r="C123" s="59" t="s">
        <v>28</v>
      </c>
      <c r="D123" s="78">
        <f>H123</f>
        <v>13919.706966000002</v>
      </c>
      <c r="E123" s="53">
        <f>D123/D127</f>
        <v>0.18402682605966475</v>
      </c>
      <c r="F123" s="96">
        <f>9921.98-162.21+3997.6</f>
        <v>13757.37</v>
      </c>
      <c r="G123" s="9">
        <v>1.0118</v>
      </c>
      <c r="H123" s="11">
        <f t="shared" ref="H123:H125" si="9">F123*G123</f>
        <v>13919.706966000002</v>
      </c>
      <c r="J123" s="88"/>
    </row>
    <row r="124" spans="3:10" x14ac:dyDescent="0.3">
      <c r="C124" s="60" t="s">
        <v>30</v>
      </c>
      <c r="D124" s="56">
        <f>H124</f>
        <v>9971.3459999999995</v>
      </c>
      <c r="E124" s="53">
        <f>D124/D127</f>
        <v>0.13182713978138019</v>
      </c>
      <c r="F124" s="11">
        <v>11030.25</v>
      </c>
      <c r="G124" s="9">
        <v>0.90400000000000003</v>
      </c>
      <c r="H124" s="11">
        <f t="shared" si="9"/>
        <v>9971.3459999999995</v>
      </c>
    </row>
    <row r="125" spans="3:10" x14ac:dyDescent="0.3">
      <c r="C125" s="60" t="s">
        <v>31</v>
      </c>
      <c r="D125" s="56">
        <f>H125</f>
        <v>12333.42459282183</v>
      </c>
      <c r="E125" s="53">
        <f>D125/D127</f>
        <v>0.1630552272261975</v>
      </c>
      <c r="F125" s="11">
        <v>20932.492520064206</v>
      </c>
      <c r="G125" s="9">
        <v>0.58919999999999995</v>
      </c>
      <c r="H125" s="11">
        <f t="shared" si="9"/>
        <v>12333.42459282183</v>
      </c>
    </row>
    <row r="126" spans="3:10" x14ac:dyDescent="0.3">
      <c r="C126" s="60" t="s">
        <v>59</v>
      </c>
      <c r="D126" s="11">
        <v>30549.759999999998</v>
      </c>
      <c r="E126" s="53">
        <f>D126/D127</f>
        <v>0.40388604324908767</v>
      </c>
      <c r="F126" s="11">
        <v>30549.759999999998</v>
      </c>
      <c r="G126" s="9">
        <v>1</v>
      </c>
      <c r="H126" s="11">
        <v>30549.759999999998</v>
      </c>
      <c r="J126" s="9">
        <v>-1000</v>
      </c>
    </row>
    <row r="127" spans="3:10" ht="24" thickBot="1" x14ac:dyDescent="0.35">
      <c r="C127" s="61" t="s">
        <v>60</v>
      </c>
      <c r="D127" s="57">
        <f>SUM(D122:D126)</f>
        <v>75639.553558821834</v>
      </c>
      <c r="E127" s="54">
        <f>D127/D127</f>
        <v>1</v>
      </c>
    </row>
    <row r="128" spans="3:10" ht="24" thickBot="1" x14ac:dyDescent="0.35"/>
    <row r="129" spans="3:8" x14ac:dyDescent="0.3">
      <c r="D129" s="161">
        <v>20161108</v>
      </c>
      <c r="E129" s="162"/>
    </row>
    <row r="130" spans="3:8" ht="24" thickBot="1" x14ac:dyDescent="0.35">
      <c r="D130" s="105" t="s">
        <v>24</v>
      </c>
      <c r="E130" s="123" t="s">
        <v>42</v>
      </c>
      <c r="F130" s="11" t="s">
        <v>23</v>
      </c>
      <c r="G130" s="9" t="s">
        <v>82</v>
      </c>
      <c r="H130" s="11" t="s">
        <v>80</v>
      </c>
    </row>
    <row r="131" spans="3:8" x14ac:dyDescent="0.3">
      <c r="C131" s="58" t="s">
        <v>41</v>
      </c>
      <c r="D131" s="106">
        <f>F131*G131</f>
        <v>12850.596955999999</v>
      </c>
      <c r="E131" s="107">
        <f>D131/D136</f>
        <v>0.1692065440679402</v>
      </c>
      <c r="F131" s="11">
        <f>4017.64+8860</f>
        <v>12877.64</v>
      </c>
      <c r="G131" s="9">
        <v>0.99790000000000001</v>
      </c>
      <c r="H131" s="11">
        <f>F131*G131</f>
        <v>12850.596955999999</v>
      </c>
    </row>
    <row r="132" spans="3:8" x14ac:dyDescent="0.3">
      <c r="C132" s="59" t="s">
        <v>28</v>
      </c>
      <c r="D132" s="78">
        <f>H132</f>
        <v>13579.7914</v>
      </c>
      <c r="E132" s="53">
        <f>D132/D136</f>
        <v>0.17880800244728609</v>
      </c>
      <c r="F132" s="96">
        <f>9921.98-162.21+3997.6+99.56</f>
        <v>13856.93</v>
      </c>
      <c r="G132" s="9">
        <v>0.98</v>
      </c>
      <c r="H132" s="11">
        <f t="shared" ref="H132:H133" si="10">F132*G132</f>
        <v>13579.7914</v>
      </c>
    </row>
    <row r="133" spans="3:8" x14ac:dyDescent="0.3">
      <c r="C133" s="60" t="s">
        <v>30</v>
      </c>
      <c r="D133" s="56">
        <f>H133</f>
        <v>6090.110889999999</v>
      </c>
      <c r="E133" s="53">
        <f>D133/D136</f>
        <v>8.0189785752037668E-2</v>
      </c>
      <c r="F133" s="11">
        <f>11030.25-4572.02</f>
        <v>6458.23</v>
      </c>
      <c r="G133" s="9">
        <v>0.94299999999999995</v>
      </c>
      <c r="H133" s="11">
        <f t="shared" si="10"/>
        <v>6090.110889999999</v>
      </c>
    </row>
    <row r="134" spans="3:8" x14ac:dyDescent="0.3">
      <c r="C134" s="60" t="s">
        <v>31</v>
      </c>
      <c r="D134" s="56">
        <v>0</v>
      </c>
      <c r="E134" s="53">
        <v>0</v>
      </c>
      <c r="F134" s="11">
        <v>0</v>
      </c>
      <c r="G134" s="9">
        <v>0</v>
      </c>
      <c r="H134" s="11">
        <v>0</v>
      </c>
    </row>
    <row r="135" spans="3:8" x14ac:dyDescent="0.3">
      <c r="C135" s="60" t="s">
        <v>59</v>
      </c>
      <c r="D135" s="53">
        <v>43425.718004558585</v>
      </c>
      <c r="E135" s="53">
        <f>D135/D136</f>
        <v>0.57179566773273616</v>
      </c>
      <c r="F135" s="53">
        <v>43425.718004558585</v>
      </c>
      <c r="G135" s="9">
        <v>1</v>
      </c>
      <c r="H135" s="53">
        <v>43425.718004558585</v>
      </c>
    </row>
    <row r="136" spans="3:8" ht="24" thickBot="1" x14ac:dyDescent="0.35">
      <c r="C136" s="61" t="s">
        <v>60</v>
      </c>
      <c r="D136" s="57">
        <f>SUM(D131:D135)</f>
        <v>75946.217250558577</v>
      </c>
      <c r="E136" s="54">
        <f>D136/D136</f>
        <v>1</v>
      </c>
    </row>
    <row r="137" spans="3:8" ht="24" thickBot="1" x14ac:dyDescent="0.35"/>
    <row r="138" spans="3:8" x14ac:dyDescent="0.3">
      <c r="D138" s="161">
        <v>20161122</v>
      </c>
      <c r="E138" s="162"/>
      <c r="F138" s="11" t="s">
        <v>199</v>
      </c>
    </row>
    <row r="139" spans="3:8" ht="24" thickBot="1" x14ac:dyDescent="0.35">
      <c r="D139" s="105" t="s">
        <v>24</v>
      </c>
      <c r="E139" s="124" t="s">
        <v>42</v>
      </c>
      <c r="F139" s="11" t="s">
        <v>23</v>
      </c>
      <c r="G139" s="9" t="s">
        <v>82</v>
      </c>
      <c r="H139" s="11" t="s">
        <v>80</v>
      </c>
    </row>
    <row r="140" spans="3:8" x14ac:dyDescent="0.3">
      <c r="C140" s="58" t="s">
        <v>41</v>
      </c>
      <c r="D140" s="106">
        <f>F140*G140</f>
        <v>13050.200376000001</v>
      </c>
      <c r="E140" s="107">
        <f>D140/D145</f>
        <v>0.17146439758432711</v>
      </c>
      <c r="F140" s="11">
        <f>4017.64+8860</f>
        <v>12877.64</v>
      </c>
      <c r="G140" s="9">
        <v>1.0134000000000001</v>
      </c>
      <c r="H140" s="11">
        <f>F140*G140</f>
        <v>13050.200376000001</v>
      </c>
    </row>
    <row r="141" spans="3:8" x14ac:dyDescent="0.3">
      <c r="C141" s="59" t="s">
        <v>28</v>
      </c>
      <c r="D141" s="78">
        <f>H141</f>
        <v>13550.691847</v>
      </c>
      <c r="E141" s="53">
        <f>D141/D145</f>
        <v>0.17804027121833885</v>
      </c>
      <c r="F141" s="96">
        <f>9921.98-162.21+3997.6+99.56</f>
        <v>13856.93</v>
      </c>
      <c r="G141" s="9">
        <v>0.97789999999999999</v>
      </c>
      <c r="H141" s="11">
        <f t="shared" ref="H141:H142" si="11">F141*G141</f>
        <v>13550.691847</v>
      </c>
    </row>
    <row r="142" spans="3:8" x14ac:dyDescent="0.3">
      <c r="C142" s="60" t="s">
        <v>30</v>
      </c>
      <c r="D142" s="56">
        <f>H142</f>
        <v>6083.6526599999988</v>
      </c>
      <c r="E142" s="53">
        <f>D142/D145</f>
        <v>7.9932093638773488E-2</v>
      </c>
      <c r="F142" s="11">
        <f>11030.25-4572.02</f>
        <v>6458.23</v>
      </c>
      <c r="G142" s="9">
        <v>0.94199999999999995</v>
      </c>
      <c r="H142" s="11">
        <f t="shared" si="11"/>
        <v>6083.6526599999988</v>
      </c>
    </row>
    <row r="143" spans="3:8" x14ac:dyDescent="0.3">
      <c r="C143" s="60" t="s">
        <v>31</v>
      </c>
      <c r="D143" s="56">
        <v>0</v>
      </c>
      <c r="E143" s="53">
        <v>0</v>
      </c>
      <c r="F143" s="11">
        <v>0</v>
      </c>
      <c r="G143" s="9">
        <v>0</v>
      </c>
      <c r="H143" s="11">
        <v>0</v>
      </c>
    </row>
    <row r="144" spans="3:8" x14ac:dyDescent="0.3">
      <c r="C144" s="60" t="s">
        <v>59</v>
      </c>
      <c r="D144" s="53">
        <v>43425.718004558585</v>
      </c>
      <c r="E144" s="53">
        <f>D144/D145</f>
        <v>0.57056323755856064</v>
      </c>
      <c r="F144" s="53">
        <v>43425.718004558585</v>
      </c>
      <c r="G144" s="9">
        <v>1</v>
      </c>
      <c r="H144" s="53">
        <v>43425.718004558585</v>
      </c>
    </row>
    <row r="145" spans="3:8" ht="24" thickBot="1" x14ac:dyDescent="0.35">
      <c r="C145" s="61" t="s">
        <v>60</v>
      </c>
      <c r="D145" s="57">
        <f>SUM(D140:D144)</f>
        <v>76110.26288755858</v>
      </c>
      <c r="E145" s="54">
        <f>D145/D145</f>
        <v>1</v>
      </c>
    </row>
    <row r="146" spans="3:8" x14ac:dyDescent="0.3">
      <c r="D146" s="161">
        <v>20161122</v>
      </c>
      <c r="E146" s="162"/>
      <c r="F146" s="11" t="s">
        <v>200</v>
      </c>
    </row>
    <row r="147" spans="3:8" ht="24" thickBot="1" x14ac:dyDescent="0.35">
      <c r="D147" s="105" t="s">
        <v>24</v>
      </c>
      <c r="E147" s="124" t="s">
        <v>42</v>
      </c>
      <c r="F147" s="11" t="s">
        <v>23</v>
      </c>
      <c r="G147" s="9" t="s">
        <v>82</v>
      </c>
      <c r="H147" s="11" t="s">
        <v>80</v>
      </c>
    </row>
    <row r="148" spans="3:8" x14ac:dyDescent="0.3">
      <c r="C148" s="58" t="s">
        <v>41</v>
      </c>
      <c r="D148" s="106">
        <f>F148*G148</f>
        <v>13050.200376000001</v>
      </c>
      <c r="E148" s="107">
        <f>D148/D153</f>
        <v>0.16073895441199609</v>
      </c>
      <c r="F148" s="11">
        <f>4017.64+8860</f>
        <v>12877.64</v>
      </c>
      <c r="G148" s="9">
        <v>1.0134000000000001</v>
      </c>
      <c r="H148" s="11">
        <f>F148*G148</f>
        <v>13050.200376000001</v>
      </c>
    </row>
    <row r="149" spans="3:8" x14ac:dyDescent="0.3">
      <c r="C149" s="59" t="s">
        <v>28</v>
      </c>
      <c r="D149" s="78">
        <f>H149</f>
        <v>13550.691847</v>
      </c>
      <c r="E149" s="53">
        <f>D149/D153</f>
        <v>0.16690349391505313</v>
      </c>
      <c r="F149" s="96">
        <f>9921.98-162.21+3997.6+99.56</f>
        <v>13856.93</v>
      </c>
      <c r="G149" s="9">
        <v>0.97789999999999999</v>
      </c>
      <c r="H149" s="11">
        <f t="shared" ref="H149:H150" si="12">F149*G149</f>
        <v>13550.691847</v>
      </c>
    </row>
    <row r="150" spans="3:8" x14ac:dyDescent="0.3">
      <c r="C150" s="60" t="s">
        <v>30</v>
      </c>
      <c r="D150" s="56">
        <f>H150</f>
        <v>6083.6526599999988</v>
      </c>
      <c r="E150" s="53">
        <f>D150/D153</f>
        <v>7.4932180303723978E-2</v>
      </c>
      <c r="F150" s="11">
        <f>11030.25-4572.02</f>
        <v>6458.23</v>
      </c>
      <c r="G150" s="9">
        <v>0.94199999999999995</v>
      </c>
      <c r="H150" s="11">
        <f t="shared" si="12"/>
        <v>6083.6526599999988</v>
      </c>
    </row>
    <row r="151" spans="3:8" x14ac:dyDescent="0.3">
      <c r="C151" s="60" t="s">
        <v>31</v>
      </c>
      <c r="D151" s="56">
        <v>0</v>
      </c>
      <c r="E151" s="53">
        <v>0</v>
      </c>
      <c r="F151" s="11">
        <v>0</v>
      </c>
      <c r="G151" s="9">
        <v>0</v>
      </c>
      <c r="H151" s="11">
        <v>0</v>
      </c>
    </row>
    <row r="152" spans="3:8" x14ac:dyDescent="0.3">
      <c r="C152" s="60" t="s">
        <v>59</v>
      </c>
      <c r="D152" s="53">
        <v>48504.2399</v>
      </c>
      <c r="E152" s="53">
        <f>D152/D153</f>
        <v>0.59742537136922669</v>
      </c>
      <c r="F152" s="53">
        <v>48504.2399</v>
      </c>
      <c r="G152" s="9">
        <v>1</v>
      </c>
      <c r="H152" s="53">
        <v>48504.2399</v>
      </c>
    </row>
    <row r="153" spans="3:8" ht="24" thickBot="1" x14ac:dyDescent="0.35">
      <c r="C153" s="61" t="s">
        <v>60</v>
      </c>
      <c r="D153" s="57">
        <f>SUM(D148:D152)</f>
        <v>81188.78478300001</v>
      </c>
      <c r="E153" s="54">
        <f>D153/D153</f>
        <v>1</v>
      </c>
    </row>
    <row r="154" spans="3:8" x14ac:dyDescent="0.3">
      <c r="D154" s="161">
        <v>20161209</v>
      </c>
      <c r="E154" s="162"/>
      <c r="F154" s="11" t="s">
        <v>200</v>
      </c>
    </row>
    <row r="155" spans="3:8" ht="24" thickBot="1" x14ac:dyDescent="0.35">
      <c r="D155" s="105" t="s">
        <v>24</v>
      </c>
      <c r="E155" s="126" t="s">
        <v>42</v>
      </c>
      <c r="F155" s="11" t="s">
        <v>23</v>
      </c>
      <c r="G155" s="9" t="s">
        <v>82</v>
      </c>
      <c r="H155" s="11" t="s">
        <v>80</v>
      </c>
    </row>
    <row r="156" spans="3:8" x14ac:dyDescent="0.3">
      <c r="C156" s="58" t="s">
        <v>41</v>
      </c>
      <c r="D156" s="106">
        <f>F156*G156</f>
        <v>13542.126224000001</v>
      </c>
      <c r="E156" s="107">
        <f>D156/D160</f>
        <v>0.1653364075124574</v>
      </c>
      <c r="F156" s="11">
        <f>4017.64+8860</f>
        <v>12877.64</v>
      </c>
      <c r="G156" s="9">
        <v>1.0516000000000001</v>
      </c>
      <c r="H156" s="11">
        <f>F156*G156</f>
        <v>13542.126224000001</v>
      </c>
    </row>
    <row r="157" spans="3:8" x14ac:dyDescent="0.3">
      <c r="C157" s="59" t="s">
        <v>28</v>
      </c>
      <c r="D157" s="78">
        <f>H157</f>
        <v>13356.694826999999</v>
      </c>
      <c r="E157" s="53">
        <f>D157/D160</f>
        <v>0.16307246752896631</v>
      </c>
      <c r="F157" s="96">
        <f>9921.98-162.21+3997.6+99.56</f>
        <v>13856.93</v>
      </c>
      <c r="G157" s="9">
        <v>0.96389999999999998</v>
      </c>
      <c r="H157" s="11">
        <f t="shared" ref="H157:H158" si="13">F157*G157</f>
        <v>13356.694826999999</v>
      </c>
    </row>
    <row r="158" spans="3:8" x14ac:dyDescent="0.3">
      <c r="C158" s="60" t="s">
        <v>30</v>
      </c>
      <c r="D158" s="56">
        <f>H158</f>
        <v>6503.437609999999</v>
      </c>
      <c r="E158" s="53">
        <f>D158/D160</f>
        <v>7.9400752373226566E-2</v>
      </c>
      <c r="F158" s="11">
        <f>11030.25-4572.02</f>
        <v>6458.23</v>
      </c>
      <c r="G158" s="9">
        <v>1.0069999999999999</v>
      </c>
      <c r="H158" s="11">
        <f t="shared" si="13"/>
        <v>6503.437609999999</v>
      </c>
    </row>
    <row r="159" spans="3:8" x14ac:dyDescent="0.3">
      <c r="C159" s="60" t="s">
        <v>59</v>
      </c>
      <c r="D159" s="53">
        <v>48504.2399</v>
      </c>
      <c r="E159" s="53">
        <f>D159/D160</f>
        <v>0.59219037258534968</v>
      </c>
      <c r="F159" s="53">
        <v>48504.2399</v>
      </c>
      <c r="G159" s="9">
        <v>1</v>
      </c>
      <c r="H159" s="53">
        <v>48504.2399</v>
      </c>
    </row>
    <row r="160" spans="3:8" ht="24" thickBot="1" x14ac:dyDescent="0.35">
      <c r="C160" s="61" t="s">
        <v>60</v>
      </c>
      <c r="D160" s="57">
        <f>SUM(D156:D159)</f>
        <v>81906.498561</v>
      </c>
      <c r="E160" s="54">
        <f>D160/D160</f>
        <v>1</v>
      </c>
    </row>
  </sheetData>
  <mergeCells count="17">
    <mergeCell ref="D154:E154"/>
    <mergeCell ref="D93:E93"/>
    <mergeCell ref="D84:E84"/>
    <mergeCell ref="D75:E75"/>
    <mergeCell ref="D66:E66"/>
    <mergeCell ref="D56:E56"/>
    <mergeCell ref="D4:E4"/>
    <mergeCell ref="D15:E15"/>
    <mergeCell ref="D25:E25"/>
    <mergeCell ref="D35:E35"/>
    <mergeCell ref="D45:E45"/>
    <mergeCell ref="D138:E138"/>
    <mergeCell ref="D146:E146"/>
    <mergeCell ref="D129:E129"/>
    <mergeCell ref="D120:E120"/>
    <mergeCell ref="D102:E102"/>
    <mergeCell ref="D111:E11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3" sqref="E13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  <row r="11" spans="1:9" ht="24" thickBot="1" x14ac:dyDescent="0.2">
      <c r="A11">
        <v>20161108</v>
      </c>
      <c r="B11" s="59" t="s">
        <v>28</v>
      </c>
      <c r="C11" t="s">
        <v>91</v>
      </c>
      <c r="D11">
        <v>100</v>
      </c>
      <c r="E11">
        <v>1.0044</v>
      </c>
      <c r="H11">
        <v>99.56</v>
      </c>
      <c r="I11" t="s">
        <v>190</v>
      </c>
    </row>
    <row r="12" spans="1:9" ht="23" x14ac:dyDescent="0.3">
      <c r="A12">
        <v>161108</v>
      </c>
      <c r="B12" s="58" t="s">
        <v>41</v>
      </c>
      <c r="C12" t="s">
        <v>91</v>
      </c>
      <c r="D12">
        <v>4100</v>
      </c>
      <c r="E12">
        <v>1.0205</v>
      </c>
      <c r="H12" s="125">
        <v>4017.64</v>
      </c>
      <c r="I12" t="s">
        <v>191</v>
      </c>
    </row>
    <row r="13" spans="1:9" ht="23" x14ac:dyDescent="0.3">
      <c r="A13">
        <v>20161109</v>
      </c>
      <c r="B13" s="60" t="s">
        <v>31</v>
      </c>
      <c r="C13" t="s">
        <v>70</v>
      </c>
      <c r="D13">
        <f>E13*H13-F13</f>
        <v>12503.938004558588</v>
      </c>
      <c r="E13">
        <v>0.60099999999999998</v>
      </c>
      <c r="F13">
        <v>76.489999999999995</v>
      </c>
      <c r="H13" s="11">
        <v>20932.492520064206</v>
      </c>
    </row>
    <row r="14" spans="1:9" ht="23" x14ac:dyDescent="0.3">
      <c r="A14">
        <v>20161109</v>
      </c>
      <c r="B14" s="60" t="s">
        <v>30</v>
      </c>
      <c r="C14" t="s">
        <v>70</v>
      </c>
      <c r="D14">
        <f>E14*H14-F14</f>
        <v>4572.0200000000004</v>
      </c>
      <c r="E14">
        <v>0.91900000000000004</v>
      </c>
      <c r="F14">
        <v>22.98</v>
      </c>
      <c r="H14">
        <v>5000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1"/>
  <sheetViews>
    <sheetView topLeftCell="A45" workbookViewId="0">
      <selection activeCell="J68" sqref="J68"/>
    </sheetView>
  </sheetViews>
  <sheetFormatPr baseColWidth="10" defaultRowHeight="15" x14ac:dyDescent="0.15"/>
  <cols>
    <col min="3" max="3" width="46.5" customWidth="1"/>
    <col min="4" max="4" width="10.83203125" style="7"/>
    <col min="5" max="5" width="10.83203125" customWidth="1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1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1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1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1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182</v>
      </c>
    </row>
    <row r="53" spans="2:11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  <row r="54" spans="2:11" x14ac:dyDescent="0.15">
      <c r="B54" s="89">
        <v>20161105</v>
      </c>
      <c r="C54" s="89" t="s">
        <v>38</v>
      </c>
      <c r="D54" s="94" t="s">
        <v>111</v>
      </c>
      <c r="E54" s="89">
        <v>4000</v>
      </c>
      <c r="F54" s="89">
        <v>1</v>
      </c>
      <c r="G54" s="93">
        <v>0</v>
      </c>
      <c r="H54" s="89">
        <f>E54</f>
        <v>4000</v>
      </c>
      <c r="I54" s="89">
        <v>30549.759999999998</v>
      </c>
      <c r="J54" t="s">
        <v>185</v>
      </c>
    </row>
    <row r="55" spans="2:11" x14ac:dyDescent="0.15">
      <c r="B55" s="89">
        <v>20161109</v>
      </c>
      <c r="C55" s="89" t="s">
        <v>38</v>
      </c>
      <c r="D55" s="94" t="s">
        <v>186</v>
      </c>
      <c r="E55">
        <v>12503.938004558588</v>
      </c>
      <c r="F55" s="89">
        <v>1</v>
      </c>
      <c r="G55" s="93">
        <v>0</v>
      </c>
      <c r="H55">
        <v>12503.938004558588</v>
      </c>
      <c r="I55" s="89">
        <f>H55+I54</f>
        <v>43053.698004558588</v>
      </c>
      <c r="J55" t="s">
        <v>187</v>
      </c>
    </row>
    <row r="56" spans="2:11" x14ac:dyDescent="0.15">
      <c r="B56" s="89">
        <v>20161109</v>
      </c>
      <c r="C56" s="89" t="s">
        <v>38</v>
      </c>
      <c r="D56" s="94" t="s">
        <v>186</v>
      </c>
      <c r="E56">
        <v>4572.0200000000004</v>
      </c>
      <c r="F56" s="89">
        <v>1</v>
      </c>
      <c r="G56" s="93">
        <v>0</v>
      </c>
      <c r="H56">
        <v>4572.0200000000004</v>
      </c>
      <c r="I56" s="89">
        <f>H56+I55</f>
        <v>47625.718004558585</v>
      </c>
      <c r="J56" t="s">
        <v>192</v>
      </c>
    </row>
    <row r="57" spans="2:11" x14ac:dyDescent="0.15">
      <c r="B57" s="89">
        <v>20161109</v>
      </c>
      <c r="C57" s="89" t="s">
        <v>38</v>
      </c>
      <c r="D57" s="94" t="s">
        <v>188</v>
      </c>
      <c r="E57">
        <v>100</v>
      </c>
      <c r="F57" s="89">
        <v>1</v>
      </c>
      <c r="G57" s="93">
        <v>0</v>
      </c>
      <c r="H57">
        <v>100</v>
      </c>
      <c r="I57" s="89">
        <f>I56-H57</f>
        <v>47525.718004558585</v>
      </c>
      <c r="J57" t="s">
        <v>189</v>
      </c>
    </row>
    <row r="58" spans="2:11" x14ac:dyDescent="0.15">
      <c r="B58" s="89">
        <v>20161108</v>
      </c>
      <c r="C58" s="89" t="s">
        <v>38</v>
      </c>
      <c r="D58" s="94" t="s">
        <v>188</v>
      </c>
      <c r="E58">
        <v>4100</v>
      </c>
      <c r="F58" s="89">
        <v>1</v>
      </c>
      <c r="G58" s="93">
        <v>0</v>
      </c>
      <c r="H58">
        <v>4100</v>
      </c>
      <c r="I58" s="89">
        <f>I57-H58</f>
        <v>43425.718004558585</v>
      </c>
      <c r="J58" t="s">
        <v>189</v>
      </c>
    </row>
    <row r="59" spans="2:11" x14ac:dyDescent="0.15">
      <c r="B59" s="89">
        <v>20161108</v>
      </c>
      <c r="C59" s="89" t="s">
        <v>38</v>
      </c>
      <c r="D59" s="94" t="s">
        <v>193</v>
      </c>
      <c r="E59">
        <f>43425*0.022/365*30</f>
        <v>78.521917808219172</v>
      </c>
      <c r="F59" s="89">
        <v>1</v>
      </c>
      <c r="G59" s="93">
        <v>0</v>
      </c>
      <c r="H59">
        <v>78.521917808219172</v>
      </c>
      <c r="I59" s="89">
        <f>I58+H59</f>
        <v>43504.239922366804</v>
      </c>
      <c r="J59" t="s">
        <v>176</v>
      </c>
      <c r="K59" t="s">
        <v>194</v>
      </c>
    </row>
    <row r="60" spans="2:11" x14ac:dyDescent="0.15">
      <c r="B60" s="89">
        <v>20161122</v>
      </c>
      <c r="C60" s="89" t="s">
        <v>38</v>
      </c>
      <c r="D60" s="94" t="s">
        <v>193</v>
      </c>
      <c r="E60">
        <v>5000</v>
      </c>
      <c r="F60" s="89">
        <v>1</v>
      </c>
      <c r="G60" s="93">
        <v>0</v>
      </c>
      <c r="H60">
        <v>5000</v>
      </c>
      <c r="I60" s="89">
        <v>48504.2399</v>
      </c>
      <c r="J60" t="s">
        <v>182</v>
      </c>
      <c r="K60" t="s">
        <v>198</v>
      </c>
    </row>
    <row r="61" spans="2:11" x14ac:dyDescent="0.15">
      <c r="B61" s="89">
        <v>20161209</v>
      </c>
      <c r="C61" s="89" t="s">
        <v>38</v>
      </c>
      <c r="D61" s="94" t="s">
        <v>201</v>
      </c>
      <c r="E61">
        <v>164.41</v>
      </c>
      <c r="F61" s="89">
        <v>1</v>
      </c>
      <c r="G61" s="93">
        <v>0</v>
      </c>
      <c r="H61">
        <v>164.41</v>
      </c>
      <c r="I61" s="89">
        <f>I60-E61</f>
        <v>48339.829899999997</v>
      </c>
      <c r="J61" t="s">
        <v>159</v>
      </c>
      <c r="K61" t="s">
        <v>198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J29" sqref="J29"/>
    </sheetView>
  </sheetViews>
  <sheetFormatPr baseColWidth="10" defaultRowHeight="15" x14ac:dyDescent="0.15"/>
  <cols>
    <col min="10" max="10" width="24.1640625" customWidth="1"/>
  </cols>
  <sheetData>
    <row r="1" spans="2:11" x14ac:dyDescent="0.15">
      <c r="B1" t="s">
        <v>196</v>
      </c>
      <c r="K1" t="s">
        <v>197</v>
      </c>
    </row>
    <row r="2" spans="2:11" x14ac:dyDescent="0.15">
      <c r="B2" s="89">
        <v>20161122</v>
      </c>
      <c r="C2" s="89" t="s">
        <v>38</v>
      </c>
      <c r="D2" s="94" t="s">
        <v>188</v>
      </c>
      <c r="E2">
        <v>3000</v>
      </c>
      <c r="F2" s="89">
        <v>1</v>
      </c>
      <c r="G2" s="93">
        <v>0</v>
      </c>
      <c r="H2">
        <v>3000</v>
      </c>
      <c r="I2" s="89"/>
      <c r="J2" t="s">
        <v>195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30">
        <v>20160708</v>
      </c>
      <c r="G4" s="130"/>
      <c r="H4" s="130">
        <v>20160712</v>
      </c>
      <c r="I4" s="130"/>
      <c r="J4" s="130">
        <v>20160808</v>
      </c>
      <c r="K4" s="130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30">
        <v>20160810</v>
      </c>
      <c r="F8" s="130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30">
        <v>201605</v>
      </c>
      <c r="D4" s="130"/>
      <c r="E4" s="130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34">
        <v>20160608</v>
      </c>
      <c r="D11" s="135"/>
      <c r="E11" s="135"/>
      <c r="F11" s="135"/>
      <c r="G11" s="135"/>
      <c r="H11" s="135"/>
      <c r="I11" s="135"/>
      <c r="J11" s="135"/>
      <c r="K11" s="135"/>
      <c r="L11" s="135"/>
      <c r="M11" s="136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31">
        <v>20160708</v>
      </c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3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31">
        <v>20160808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3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31">
        <v>20160825</v>
      </c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31">
        <v>20160906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3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31">
        <v>20160921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3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E44" sqref="E44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净值!F17</f>
        <v>0.99323108274574878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41957.249057616558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4.8931226440414033E-2</v>
      </c>
    </row>
    <row r="27" spans="1:9" ht="23" x14ac:dyDescent="0.3">
      <c r="B27" s="40" t="s">
        <v>32</v>
      </c>
      <c r="C27" s="64">
        <v>24408.383808517923</v>
      </c>
      <c r="D27" s="66">
        <f>C27*C24</f>
        <v>24243.165478208059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0.10196206719127532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66200.414535824617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6.7748621545558274E-2</v>
      </c>
    </row>
    <row r="29" spans="1:9" x14ac:dyDescent="0.15">
      <c r="A29">
        <v>20161031</v>
      </c>
      <c r="B29" t="s">
        <v>82</v>
      </c>
      <c r="C29">
        <f>净值!F22</f>
        <v>0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0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-1</v>
      </c>
    </row>
    <row r="32" spans="1:9" ht="23" x14ac:dyDescent="0.3">
      <c r="B32" s="40" t="s">
        <v>32</v>
      </c>
      <c r="C32" s="64">
        <v>29408.856394558064</v>
      </c>
      <c r="D32" s="66">
        <f>C32*C29</f>
        <v>0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-1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0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-1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J29" sqref="J29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560.38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 t="shared" ref="G8:G15" si="5"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 t="shared" si="5"/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 t="shared" si="5"/>
        <v>1.3506214984270182E-3</v>
      </c>
      <c r="H10">
        <v>0</v>
      </c>
      <c r="I10">
        <v>0</v>
      </c>
      <c r="J10">
        <f t="shared" ref="J10" si="6">F10-H10</f>
        <v>1.0010309148876051</v>
      </c>
      <c r="K10">
        <f t="shared" ref="K10" si="7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8">C11/E11</f>
        <v>0.99900715380391492</v>
      </c>
      <c r="G11">
        <f t="shared" si="5"/>
        <v>-2.0237610836901787E-3</v>
      </c>
      <c r="H11">
        <v>0</v>
      </c>
      <c r="I11">
        <v>0</v>
      </c>
      <c r="J11">
        <f t="shared" ref="J11" si="9">F11-H11</f>
        <v>0.99900715380391492</v>
      </c>
      <c r="K11">
        <f t="shared" ref="K11" si="10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1">C12-C11</f>
        <v>-646.46293896147108</v>
      </c>
      <c r="E12">
        <v>71652.046107899863</v>
      </c>
      <c r="F12">
        <f t="shared" ref="F12:F17" si="12">C12/E12</f>
        <v>0.98998490009202555</v>
      </c>
      <c r="G12">
        <f t="shared" si="5"/>
        <v>-9.0222537118893609E-3</v>
      </c>
      <c r="H12">
        <v>0</v>
      </c>
      <c r="I12">
        <v>0</v>
      </c>
      <c r="J12">
        <f t="shared" ref="J12" si="13">F12-H12</f>
        <v>0.98998490009202555</v>
      </c>
      <c r="K12">
        <f t="shared" ref="K12" si="14">J12*E12</f>
        <v>70934.443707518454</v>
      </c>
      <c r="L12">
        <f t="shared" ref="L12" si="15">(F12-F11)*E12</f>
        <v>-646.46293896146722</v>
      </c>
    </row>
    <row r="13" spans="2:17" x14ac:dyDescent="0.15">
      <c r="B13">
        <v>20161105</v>
      </c>
      <c r="C13">
        <f>70934.4437075185+5000</f>
        <v>75934.443707518498</v>
      </c>
      <c r="D13">
        <f t="shared" ref="D13" si="16">C13-C12</f>
        <v>5000.0000000000437</v>
      </c>
      <c r="E13">
        <f>71652.0461078999+5000/F12</f>
        <v>76702.628192066259</v>
      </c>
      <c r="F13">
        <f t="shared" si="12"/>
        <v>0.98998490009202555</v>
      </c>
      <c r="G13">
        <f t="shared" si="5"/>
        <v>0</v>
      </c>
      <c r="H13">
        <v>0</v>
      </c>
      <c r="I13">
        <v>0</v>
      </c>
      <c r="J13">
        <f t="shared" ref="J13" si="17">F13-H13</f>
        <v>0.98998490009202555</v>
      </c>
      <c r="K13">
        <f t="shared" ref="K13" si="18">J13*E13</f>
        <v>75934.443707518498</v>
      </c>
      <c r="L13">
        <f t="shared" ref="L13" si="19">(F13-F12)*E13</f>
        <v>0</v>
      </c>
    </row>
    <row r="14" spans="2:17" x14ac:dyDescent="0.15">
      <c r="B14">
        <v>20161108</v>
      </c>
      <c r="C14">
        <v>75639.553558821834</v>
      </c>
      <c r="D14">
        <f t="shared" ref="D14" si="20">C14-C13</f>
        <v>-294.89014869666426</v>
      </c>
      <c r="E14">
        <f>71652.0461078999+5000/F13</f>
        <v>76702.628192066259</v>
      </c>
      <c r="F14">
        <f t="shared" si="12"/>
        <v>0.98614031020446336</v>
      </c>
      <c r="G14">
        <f t="shared" si="5"/>
        <v>-3.8445898875621998E-3</v>
      </c>
      <c r="H14">
        <v>0</v>
      </c>
      <c r="I14">
        <v>0</v>
      </c>
      <c r="J14">
        <f t="shared" ref="J14" si="21">F14-H14</f>
        <v>0.98614031020446336</v>
      </c>
      <c r="K14">
        <f t="shared" ref="K14" si="22">J14*E14</f>
        <v>75639.553558821834</v>
      </c>
      <c r="L14">
        <f t="shared" ref="L14" si="23">(F14-F13)*E14</f>
        <v>-294.89014869666124</v>
      </c>
    </row>
    <row r="15" spans="2:17" x14ac:dyDescent="0.15">
      <c r="B15">
        <v>20161117</v>
      </c>
      <c r="C15">
        <v>75946.217250558577</v>
      </c>
      <c r="D15">
        <f t="shared" ref="D15" si="24">C15-C14</f>
        <v>306.6636917367432</v>
      </c>
      <c r="E15">
        <f>71652.0461078999+5000/F14</f>
        <v>76722.31851057992</v>
      </c>
      <c r="F15">
        <f t="shared" si="12"/>
        <v>0.98988428302105702</v>
      </c>
      <c r="G15">
        <f t="shared" si="5"/>
        <v>3.7439728165936659E-3</v>
      </c>
      <c r="H15">
        <v>0</v>
      </c>
      <c r="I15">
        <v>0</v>
      </c>
      <c r="J15">
        <f t="shared" ref="J15" si="25">F15-H15</f>
        <v>0.98988428302105702</v>
      </c>
      <c r="K15">
        <f t="shared" ref="K15" si="26">J15*E15</f>
        <v>75946.217250558577</v>
      </c>
      <c r="L15">
        <f t="shared" ref="L15" si="27">(F15-F14)*E15</f>
        <v>287.24627492965226</v>
      </c>
    </row>
    <row r="16" spans="2:17" x14ac:dyDescent="0.15">
      <c r="B16">
        <v>20161122</v>
      </c>
      <c r="C16">
        <v>76110.26288755858</v>
      </c>
      <c r="D16">
        <f t="shared" ref="D16" si="28">C16-C15</f>
        <v>164.0456370000029</v>
      </c>
      <c r="E16">
        <f>71652.0461078999+5000/F15</f>
        <v>76703.141559926225</v>
      </c>
      <c r="F16">
        <f t="shared" si="12"/>
        <v>0.99227047731930973</v>
      </c>
      <c r="G16">
        <f t="shared" ref="G16" si="29">F16-F15</f>
        <v>2.3861942982527085E-3</v>
      </c>
      <c r="H16">
        <v>0</v>
      </c>
      <c r="I16">
        <v>0</v>
      </c>
      <c r="J16">
        <f t="shared" ref="J16" si="30">F16-H16</f>
        <v>0.99227047731930973</v>
      </c>
      <c r="K16">
        <f t="shared" ref="K16" si="31">J16*E16</f>
        <v>76110.26288755858</v>
      </c>
      <c r="L16">
        <f t="shared" ref="L16" si="32">(F16-F15)*E16</f>
        <v>183.02859904836632</v>
      </c>
    </row>
    <row r="17" spans="1:13" x14ac:dyDescent="0.15">
      <c r="A17" t="s">
        <v>155</v>
      </c>
      <c r="B17">
        <v>20161122</v>
      </c>
      <c r="C17">
        <v>81188.78478300001</v>
      </c>
      <c r="D17">
        <f t="shared" ref="D17" si="33">C17-C16</f>
        <v>5078.5218954414304</v>
      </c>
      <c r="E17">
        <f>E16+5000/F16</f>
        <v>81742.090227942492</v>
      </c>
      <c r="F17">
        <f t="shared" si="12"/>
        <v>0.99323108274574878</v>
      </c>
      <c r="G17">
        <f t="shared" ref="G17" si="34">F17-F16</f>
        <v>9.60605426439054E-4</v>
      </c>
      <c r="H17">
        <v>0</v>
      </c>
      <c r="I17">
        <v>0</v>
      </c>
      <c r="J17">
        <f t="shared" ref="J17" si="35">F17-H17</f>
        <v>0.99323108274574878</v>
      </c>
      <c r="K17">
        <f t="shared" ref="K17" si="36">J17*E17</f>
        <v>81188.78478300001</v>
      </c>
      <c r="L17">
        <f t="shared" ref="L17" si="37">(F17-F16)*E17</f>
        <v>78.521895441432321</v>
      </c>
    </row>
    <row r="18" spans="1:13" x14ac:dyDescent="0.15">
      <c r="B18">
        <v>20161209</v>
      </c>
      <c r="C18">
        <v>81906.498561</v>
      </c>
      <c r="D18">
        <f t="shared" ref="D18" si="38">C18-C17</f>
        <v>717.71377799999027</v>
      </c>
      <c r="E18">
        <v>81742.090227942492</v>
      </c>
      <c r="F18">
        <f t="shared" ref="F18" si="39">C18/E18</f>
        <v>1.0020113057128714</v>
      </c>
      <c r="G18">
        <f t="shared" ref="G18" si="40">F18-F17</f>
        <v>8.7802229671226639E-3</v>
      </c>
      <c r="H18">
        <v>0</v>
      </c>
      <c r="I18">
        <v>0</v>
      </c>
      <c r="J18">
        <f t="shared" ref="J18" si="41">F18-H18</f>
        <v>1.0020113057128714</v>
      </c>
      <c r="K18">
        <f t="shared" ref="K18" si="42">J18*E18</f>
        <v>81906.498561</v>
      </c>
      <c r="L18">
        <f t="shared" ref="L18" si="43">(F18-F17)*E18</f>
        <v>717.71377799999368</v>
      </c>
    </row>
    <row r="19" spans="1:13" x14ac:dyDescent="0.15">
      <c r="A19" t="s">
        <v>159</v>
      </c>
      <c r="B19">
        <v>20161210</v>
      </c>
      <c r="C19">
        <v>81906.498561</v>
      </c>
      <c r="D19">
        <f>-C19*(F18-F19)</f>
        <v>-164.73900847703629</v>
      </c>
      <c r="E19">
        <v>81742.090227942492</v>
      </c>
      <c r="F19">
        <v>1</v>
      </c>
      <c r="G19">
        <f t="shared" ref="G19" si="44">F19-F18</f>
        <v>-2.0113057128714473E-3</v>
      </c>
      <c r="H19">
        <v>0</v>
      </c>
      <c r="I19">
        <v>0</v>
      </c>
      <c r="J19">
        <f t="shared" ref="J19" si="45">F19-H19</f>
        <v>1</v>
      </c>
      <c r="K19">
        <f t="shared" ref="K19" si="46">J19*E19</f>
        <v>81742.090227942492</v>
      </c>
      <c r="L19">
        <f t="shared" ref="L19" si="47">(F19-F18)*E19</f>
        <v>-164.40833305751403</v>
      </c>
      <c r="M19">
        <f>M5-L19</f>
        <v>724.78833305751402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abSelected="1" topLeftCell="A4" workbookViewId="0">
      <selection activeCell="E28" sqref="E28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39" t="s">
        <v>157</v>
      </c>
      <c r="K3" s="139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37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38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v>29408.856394558064</v>
      </c>
      <c r="H13" s="64">
        <f t="shared" si="0"/>
        <v>29439.174422442655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v>29408.856394558064</v>
      </c>
      <c r="H14" s="64">
        <f t="shared" si="0"/>
        <v>29114.323759587292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f>D15*E15</f>
        <v>5000</v>
      </c>
      <c r="G15" s="64">
        <f>G14+J15</f>
        <v>34459.43847872442</v>
      </c>
      <c r="H15" s="64">
        <f t="shared" si="0"/>
        <v>34114.323759587292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34459.43847872442</v>
      </c>
      <c r="H16" s="64">
        <f t="shared" si="0"/>
        <v>34114.323759587292</v>
      </c>
      <c r="J16" s="110">
        <f>K16/E16</f>
        <v>5050.5820841663517</v>
      </c>
      <c r="K16" s="110">
        <v>5000</v>
      </c>
    </row>
    <row r="17" spans="2:11" ht="23" x14ac:dyDescent="0.3">
      <c r="B17" s="48">
        <v>20161103</v>
      </c>
      <c r="C17" s="64" t="s">
        <v>183</v>
      </c>
      <c r="D17" s="64">
        <v>34164.905843753644</v>
      </c>
      <c r="E17" s="64">
        <v>0.98614031020446336</v>
      </c>
      <c r="F17" s="64">
        <v>0</v>
      </c>
      <c r="G17" s="64">
        <v>34459.43847872442</v>
      </c>
      <c r="H17" s="64">
        <f t="shared" ref="H17" si="1">E17*G17</f>
        <v>33981.841350880917</v>
      </c>
      <c r="J17" s="110">
        <f>K17/E17</f>
        <v>5070.2724026800151</v>
      </c>
      <c r="K17" s="110">
        <v>5000</v>
      </c>
    </row>
    <row r="18" spans="2:11" ht="23" x14ac:dyDescent="0.3">
      <c r="B18" s="48">
        <v>20161117</v>
      </c>
      <c r="C18" s="64" t="s">
        <v>183</v>
      </c>
      <c r="D18" s="64">
        <v>34164.905843753644</v>
      </c>
      <c r="E18" s="64">
        <v>0.98988428302105702</v>
      </c>
      <c r="F18" s="64">
        <f>H18-H17</f>
        <v>129.01520093942963</v>
      </c>
      <c r="G18" s="64">
        <v>34459.43847872442</v>
      </c>
      <c r="H18" s="64">
        <f t="shared" ref="H18" si="2">E18*G18</f>
        <v>34110.856551820347</v>
      </c>
    </row>
    <row r="19" spans="2:11" ht="23" x14ac:dyDescent="0.3">
      <c r="B19" s="48">
        <v>20161122</v>
      </c>
      <c r="C19" s="64" t="s">
        <v>183</v>
      </c>
      <c r="D19" s="64">
        <v>34164.905843753644</v>
      </c>
      <c r="E19" s="64">
        <v>0.99227047731930973</v>
      </c>
      <c r="F19" s="64">
        <f>H19-H18</f>
        <v>82.226915618921339</v>
      </c>
      <c r="G19" s="64">
        <v>34459.43847872442</v>
      </c>
      <c r="H19" s="64">
        <f t="shared" ref="H19" si="3">E19*G19</f>
        <v>34193.083467439268</v>
      </c>
    </row>
    <row r="20" spans="2:11" ht="23" x14ac:dyDescent="0.3">
      <c r="B20" s="48">
        <v>20161122</v>
      </c>
      <c r="C20" s="64" t="s">
        <v>155</v>
      </c>
      <c r="D20" s="64">
        <v>5038.9486680162654</v>
      </c>
      <c r="E20" s="64">
        <v>0.99227047731930973</v>
      </c>
      <c r="F20" s="64">
        <f>H20-H19</f>
        <v>4999.9999999999782</v>
      </c>
      <c r="G20" s="64">
        <f>34459.4384787244+D20</f>
        <v>39498.387146740664</v>
      </c>
      <c r="H20" s="64">
        <f t="shared" ref="H20" si="4">E20*G20</f>
        <v>39193.083467439246</v>
      </c>
      <c r="J20" s="110">
        <f>K20/E20</f>
        <v>5038.9486680162654</v>
      </c>
      <c r="K20" s="110">
        <v>5000</v>
      </c>
    </row>
    <row r="21" spans="2:11" ht="23" x14ac:dyDescent="0.3">
      <c r="B21" s="48">
        <v>20161209</v>
      </c>
      <c r="C21" s="64" t="s">
        <v>183</v>
      </c>
      <c r="D21" s="64">
        <v>39498.387146740664</v>
      </c>
      <c r="E21" s="64">
        <v>1.0020113057128714</v>
      </c>
      <c r="F21" s="64">
        <f>H21-H20</f>
        <v>384.74701101886603</v>
      </c>
      <c r="G21" s="64">
        <v>39498.387146740664</v>
      </c>
      <c r="H21" s="64">
        <f>E21*G21</f>
        <v>39577.830478458112</v>
      </c>
    </row>
    <row r="22" spans="2:11" ht="23" x14ac:dyDescent="0.3">
      <c r="B22" s="48">
        <v>20161209</v>
      </c>
      <c r="C22" s="64" t="s">
        <v>202</v>
      </c>
      <c r="D22" s="64">
        <v>39498.387146740664</v>
      </c>
      <c r="E22" s="64">
        <v>1</v>
      </c>
      <c r="F22" s="64">
        <f>H22-H21</f>
        <v>-79.443331717448018</v>
      </c>
      <c r="G22" s="64">
        <v>39498.387146740664</v>
      </c>
      <c r="H22" s="64">
        <f>E22*G22</f>
        <v>39498.387146740664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9"/>
  <sheetViews>
    <sheetView topLeftCell="A3" workbookViewId="0">
      <pane ySplit="2" topLeftCell="A18" activePane="bottomLeft" state="frozen"/>
      <selection activeCell="A3" sqref="A3"/>
      <selection pane="bottomLeft" activeCell="I26" sqref="I26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24.1640625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12.6640625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37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38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 t="shared" ref="I9:I15" si="3">H9-40000+560.38</f>
        <v>2647.3220080601268</v>
      </c>
      <c r="J9" s="64">
        <f t="shared" ref="J9:J15" si="4">I9/40000</f>
        <v>6.6183050201503169E-2</v>
      </c>
      <c r="K9" s="64">
        <v>560.38</v>
      </c>
      <c r="L9" s="64">
        <f t="shared" ref="L9:L19" si="5"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 t="shared" si="3"/>
        <v>2790.0642863282437</v>
      </c>
      <c r="J10" s="64">
        <f t="shared" si="4"/>
        <v>6.9751607158206094E-2</v>
      </c>
      <c r="K10" s="64">
        <v>560.38</v>
      </c>
      <c r="L10" s="64">
        <f t="shared" si="5"/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6">D11</f>
        <v>42243.189713341802</v>
      </c>
      <c r="H11" s="64">
        <f t="shared" si="1"/>
        <v>42286.738846517212</v>
      </c>
      <c r="I11" s="64">
        <f t="shared" si="3"/>
        <v>2847.1188465172118</v>
      </c>
      <c r="J11" s="64">
        <f t="shared" si="4"/>
        <v>7.1177971162930287E-2</v>
      </c>
      <c r="K11" s="64">
        <v>560.38</v>
      </c>
      <c r="L11" s="64">
        <f t="shared" si="5"/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7">D12</f>
        <v>42243.189713341802</v>
      </c>
      <c r="H12" s="64">
        <f t="shared" si="1"/>
        <v>42201.248723124409</v>
      </c>
      <c r="I12" s="64">
        <f t="shared" si="3"/>
        <v>2761.6287231244087</v>
      </c>
      <c r="J12" s="64">
        <f t="shared" si="4"/>
        <v>6.9040718078110214E-2</v>
      </c>
      <c r="K12" s="64">
        <v>560.38</v>
      </c>
      <c r="L12" s="64">
        <f t="shared" si="5"/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8">D13</f>
        <v>42243.189713341802</v>
      </c>
      <c r="H13" s="64">
        <f t="shared" ref="H13" si="9">E13*D13</f>
        <v>41820.119947931169</v>
      </c>
      <c r="I13" s="64">
        <f t="shared" si="3"/>
        <v>2380.4999479311691</v>
      </c>
      <c r="J13" s="64">
        <f t="shared" si="4"/>
        <v>5.951249869827923E-2</v>
      </c>
      <c r="K13" s="64">
        <v>560.38</v>
      </c>
      <c r="L13" s="64">
        <f t="shared" si="5"/>
        <v>1.4009499999999999E-2</v>
      </c>
    </row>
    <row r="14" spans="2:15" s="110" customFormat="1" ht="23" x14ac:dyDescent="0.3">
      <c r="B14" s="48">
        <v>20161108</v>
      </c>
      <c r="C14" s="64" t="s">
        <v>183</v>
      </c>
      <c r="D14" s="64">
        <v>42243.189713341802</v>
      </c>
      <c r="E14" s="41">
        <v>0.98614031020446336</v>
      </c>
      <c r="F14" s="64">
        <f t="shared" ref="F14" si="10">E14*D14-H13</f>
        <v>-162.40773999028897</v>
      </c>
      <c r="G14" s="64">
        <f t="shared" ref="G14" si="11">D14</f>
        <v>42243.189713341802</v>
      </c>
      <c r="H14" s="64">
        <f t="shared" ref="H14" si="12">E14*D14</f>
        <v>41657.71220794088</v>
      </c>
      <c r="I14" s="64">
        <f t="shared" si="3"/>
        <v>2218.0922079408801</v>
      </c>
      <c r="J14" s="64">
        <f t="shared" si="4"/>
        <v>5.5452305198522005E-2</v>
      </c>
      <c r="K14" s="64">
        <v>560.38</v>
      </c>
      <c r="L14" s="64">
        <f t="shared" si="5"/>
        <v>1.4009499999999999E-2</v>
      </c>
    </row>
    <row r="15" spans="2:15" s="110" customFormat="1" ht="23" x14ac:dyDescent="0.3">
      <c r="B15" s="48">
        <v>20161117</v>
      </c>
      <c r="C15" s="64" t="s">
        <v>183</v>
      </c>
      <c r="D15" s="64">
        <v>42243.189713341802</v>
      </c>
      <c r="E15" s="41">
        <v>0.98988428302105702</v>
      </c>
      <c r="F15" s="64">
        <f t="shared" ref="F15" si="13">E15*D15-H14</f>
        <v>158.15735397295794</v>
      </c>
      <c r="G15" s="64">
        <f t="shared" ref="G15" si="14">D15</f>
        <v>42243.189713341802</v>
      </c>
      <c r="H15" s="64">
        <f t="shared" ref="H15" si="15">E15*D15</f>
        <v>41815.869561913838</v>
      </c>
      <c r="I15" s="64">
        <f t="shared" si="3"/>
        <v>2376.2495619138381</v>
      </c>
      <c r="J15" s="64">
        <f t="shared" si="4"/>
        <v>5.9406239047845949E-2</v>
      </c>
      <c r="K15" s="64">
        <v>560.38</v>
      </c>
      <c r="L15" s="64">
        <f t="shared" si="5"/>
        <v>1.4009499999999999E-2</v>
      </c>
    </row>
    <row r="16" spans="2:15" s="110" customFormat="1" ht="23" x14ac:dyDescent="0.3">
      <c r="B16" s="48">
        <v>20161122</v>
      </c>
      <c r="C16" s="64" t="s">
        <v>183</v>
      </c>
      <c r="D16" s="64">
        <v>42243.189713341802</v>
      </c>
      <c r="E16" s="41">
        <v>0.99227047731930973</v>
      </c>
      <c r="F16" s="64">
        <f t="shared" ref="F16" si="16">E16*D16-H15</f>
        <v>100.80045843398693</v>
      </c>
      <c r="G16" s="64">
        <f t="shared" ref="G16" si="17">D16</f>
        <v>42243.189713341802</v>
      </c>
      <c r="H16" s="64">
        <f t="shared" ref="H16" si="18">E16*D16</f>
        <v>41916.670020347825</v>
      </c>
      <c r="I16" s="64">
        <f t="shared" ref="I16" si="19">H16-40000+560.38</f>
        <v>2477.050020347825</v>
      </c>
      <c r="J16" s="64">
        <f t="shared" ref="J16" si="20">I16/40000</f>
        <v>6.1926250508695622E-2</v>
      </c>
      <c r="K16" s="64">
        <v>560.38</v>
      </c>
      <c r="L16" s="64">
        <f t="shared" si="5"/>
        <v>1.4009499999999999E-2</v>
      </c>
    </row>
    <row r="17" spans="2:12" s="110" customFormat="1" ht="23" x14ac:dyDescent="0.3">
      <c r="B17" s="48">
        <v>20161209</v>
      </c>
      <c r="C17" s="64" t="s">
        <v>183</v>
      </c>
      <c r="D17" s="64">
        <v>42243.189713341802</v>
      </c>
      <c r="E17" s="41">
        <v>1.0020113057128714</v>
      </c>
      <c r="F17" s="64">
        <f t="shared" ref="F17" si="21">E17*D17-H16</f>
        <v>411.48366179433651</v>
      </c>
      <c r="G17" s="64">
        <f t="shared" ref="G17" si="22">D17</f>
        <v>42243.189713341802</v>
      </c>
      <c r="H17" s="64">
        <f t="shared" ref="H17" si="23">E17*D17</f>
        <v>42328.153682142161</v>
      </c>
      <c r="I17" s="64">
        <f t="shared" ref="I17" si="24">H17-40000+560.38</f>
        <v>2888.5336821421615</v>
      </c>
      <c r="J17" s="64">
        <f t="shared" ref="J17" si="25">I17/40000</f>
        <v>7.2213342053554036E-2</v>
      </c>
      <c r="K17" s="64">
        <v>560.38</v>
      </c>
      <c r="L17" s="64">
        <f t="shared" si="5"/>
        <v>1.4009499999999999E-2</v>
      </c>
    </row>
    <row r="18" spans="2:12" s="110" customFormat="1" ht="23" x14ac:dyDescent="0.3">
      <c r="B18" s="48">
        <v>20161209</v>
      </c>
      <c r="C18" s="64" t="s">
        <v>159</v>
      </c>
      <c r="D18" s="64">
        <v>42243.189713341802</v>
      </c>
      <c r="E18" s="41">
        <v>2.0113057128700001E-3</v>
      </c>
      <c r="F18" s="64">
        <f t="shared" ref="F18:F19" si="26">E18*D18-H17</f>
        <v>-42243.189713341868</v>
      </c>
      <c r="G18" s="64">
        <f t="shared" ref="G18:G19" si="27">D18</f>
        <v>42243.189713341802</v>
      </c>
      <c r="H18" s="64">
        <f t="shared" ref="H18:H19" si="28">E18*D18</f>
        <v>84.963968800295589</v>
      </c>
      <c r="I18" s="64">
        <f t="shared" ref="I18:I19" si="29">H18-40000+560.38</f>
        <v>-39354.656031199709</v>
      </c>
      <c r="J18" s="64">
        <f t="shared" ref="J18:J19" si="30">I18/40000</f>
        <v>-0.98386640077999277</v>
      </c>
      <c r="K18" s="64">
        <f>K17+H18</f>
        <v>645.34396880029556</v>
      </c>
      <c r="L18" s="64">
        <f>K18/40000</f>
        <v>1.6133599220007389E-2</v>
      </c>
    </row>
    <row r="19" spans="2:12" s="110" customFormat="1" ht="23" x14ac:dyDescent="0.3">
      <c r="B19" s="48">
        <v>20161209</v>
      </c>
      <c r="C19" s="64" t="s">
        <v>183</v>
      </c>
      <c r="D19" s="64">
        <v>42243.189713341802</v>
      </c>
      <c r="E19" s="41">
        <v>1</v>
      </c>
      <c r="F19" s="64">
        <f t="shared" si="26"/>
        <v>42158.225744541509</v>
      </c>
      <c r="G19" s="64">
        <f t="shared" si="27"/>
        <v>42243.189713341802</v>
      </c>
      <c r="H19" s="64">
        <f t="shared" si="28"/>
        <v>42243.189713341802</v>
      </c>
      <c r="I19" s="64">
        <f>H19-40000+645.34</f>
        <v>2888.5297133418026</v>
      </c>
      <c r="J19" s="64">
        <f t="shared" si="30"/>
        <v>7.2213242833545063E-2</v>
      </c>
      <c r="K19" s="64">
        <v>645.34396880029556</v>
      </c>
      <c r="L19" s="64">
        <v>1.6133599220007389E-2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待确认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2016-12-09T07:04:37Z</dcterms:modified>
</cp:coreProperties>
</file>