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/>
  <mc:AlternateContent xmlns:mc="http://schemas.openxmlformats.org/markup-compatibility/2006">
    <mc:Choice Requires="x15">
      <x15ac:absPath xmlns:x15ac="http://schemas.microsoft.com/office/spreadsheetml/2010/11/ac" url="/Users/rand/Documents/git/tractionrec/"/>
    </mc:Choice>
  </mc:AlternateContent>
  <bookViews>
    <workbookView xWindow="0" yWindow="460" windowWidth="25600" windowHeight="14500" tabRatio="500" firstSheet="2" activeTab="2"/>
  </bookViews>
  <sheets>
    <sheet name="工作表1" sheetId="1" state="hidden" r:id="rId1"/>
    <sheet name="余额宝" sheetId="7" state="hidden" r:id="rId2"/>
    <sheet name="投资者权益表" sheetId="6" r:id="rId3"/>
    <sheet name="易H股ETF联接（110031）" sheetId="2" state="hidden" r:id="rId4"/>
    <sheet name="打包资产统计" sheetId="3" state="hidden" r:id="rId5"/>
    <sheet name="资产结构" sheetId="8" r:id="rId6"/>
    <sheet name="Operation" sheetId="9" r:id="rId7"/>
    <sheet name="余额宝损益表" sheetId="11" r:id="rId8"/>
    <sheet name="策略" sheetId="10" r:id="rId9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53" i="6" l="1"/>
  <c r="M52" i="6"/>
  <c r="L52" i="6"/>
  <c r="L44" i="6"/>
  <c r="E53" i="6"/>
  <c r="E52" i="6"/>
  <c r="C54" i="6"/>
  <c r="C52" i="6"/>
  <c r="G52" i="6"/>
  <c r="H52" i="6"/>
  <c r="H54" i="6"/>
  <c r="J54" i="6"/>
  <c r="L54" i="6"/>
  <c r="O54" i="6"/>
  <c r="N54" i="6"/>
  <c r="J52" i="6"/>
  <c r="C53" i="6"/>
  <c r="M54" i="6"/>
  <c r="K54" i="6"/>
  <c r="G53" i="6"/>
  <c r="G54" i="6"/>
  <c r="E54" i="6"/>
  <c r="F54" i="6"/>
  <c r="J53" i="6"/>
  <c r="O53" i="6"/>
  <c r="N53" i="6"/>
  <c r="K53" i="6"/>
  <c r="F53" i="6"/>
  <c r="O52" i="6"/>
  <c r="N52" i="6"/>
  <c r="K52" i="6"/>
  <c r="F52" i="6"/>
  <c r="D63" i="8"/>
  <c r="F62" i="8"/>
  <c r="D62" i="8"/>
  <c r="C37" i="11"/>
  <c r="H33" i="11"/>
  <c r="I33" i="11"/>
  <c r="C31" i="11"/>
  <c r="G7" i="9"/>
  <c r="D58" i="8"/>
  <c r="F59" i="8"/>
  <c r="H59" i="8"/>
  <c r="D59" i="8"/>
  <c r="H60" i="8"/>
  <c r="D60" i="8"/>
  <c r="H61" i="8"/>
  <c r="D61" i="8"/>
  <c r="E63" i="8"/>
  <c r="H62" i="8"/>
  <c r="E62" i="8"/>
  <c r="E61" i="8"/>
  <c r="E60" i="8"/>
  <c r="E59" i="8"/>
  <c r="H58" i="8"/>
  <c r="E58" i="8"/>
  <c r="D47" i="8"/>
  <c r="F48" i="8"/>
  <c r="H48" i="8"/>
  <c r="D48" i="8"/>
  <c r="H49" i="8"/>
  <c r="D49" i="8"/>
  <c r="H50" i="8"/>
  <c r="D50" i="8"/>
  <c r="H51" i="8"/>
  <c r="D51" i="8"/>
  <c r="C18" i="11"/>
  <c r="H20" i="11"/>
  <c r="I20" i="11"/>
  <c r="H21" i="11"/>
  <c r="I21" i="11"/>
  <c r="H22" i="11"/>
  <c r="I22" i="11"/>
  <c r="I23" i="11"/>
  <c r="C27" i="11"/>
  <c r="F52" i="8"/>
  <c r="D52" i="8"/>
  <c r="D53" i="8"/>
  <c r="C46" i="6"/>
  <c r="C44" i="6"/>
  <c r="D37" i="8"/>
  <c r="F38" i="8"/>
  <c r="H38" i="8"/>
  <c r="D38" i="8"/>
  <c r="H39" i="8"/>
  <c r="D39" i="8"/>
  <c r="H40" i="8"/>
  <c r="D40" i="8"/>
  <c r="H41" i="8"/>
  <c r="D41" i="8"/>
  <c r="C4" i="11"/>
  <c r="H6" i="11"/>
  <c r="I6" i="11"/>
  <c r="H7" i="11"/>
  <c r="I7" i="11"/>
  <c r="H8" i="11"/>
  <c r="I8" i="11"/>
  <c r="G9" i="11"/>
  <c r="H9" i="11"/>
  <c r="I9" i="11"/>
  <c r="H10" i="11"/>
  <c r="I10" i="11"/>
  <c r="C13" i="11"/>
  <c r="F42" i="8"/>
  <c r="H42" i="8"/>
  <c r="D42" i="8"/>
  <c r="D43" i="8"/>
  <c r="C39" i="6"/>
  <c r="C37" i="6"/>
  <c r="D27" i="8"/>
  <c r="D32" i="8"/>
  <c r="D33" i="8"/>
  <c r="C31" i="6"/>
  <c r="D6" i="8"/>
  <c r="D7" i="8"/>
  <c r="D8" i="8"/>
  <c r="D9" i="8"/>
  <c r="D10" i="8"/>
  <c r="C22" i="6"/>
  <c r="C20" i="6"/>
  <c r="J20" i="6"/>
  <c r="J22" i="6"/>
  <c r="K20" i="6"/>
  <c r="D29" i="6"/>
  <c r="C29" i="6"/>
  <c r="J29" i="6"/>
  <c r="E37" i="6"/>
  <c r="G37" i="6"/>
  <c r="H37" i="6"/>
  <c r="J37" i="6"/>
  <c r="E44" i="6"/>
  <c r="G44" i="6"/>
  <c r="H44" i="6"/>
  <c r="H39" i="6"/>
  <c r="J39" i="6"/>
  <c r="K37" i="6"/>
  <c r="L37" i="6"/>
  <c r="M37" i="6"/>
  <c r="M29" i="6"/>
  <c r="C38" i="6"/>
  <c r="M38" i="6"/>
  <c r="J38" i="6"/>
  <c r="K38" i="6"/>
  <c r="H52" i="8"/>
  <c r="E53" i="8"/>
  <c r="E52" i="8"/>
  <c r="E51" i="8"/>
  <c r="E50" i="8"/>
  <c r="E49" i="8"/>
  <c r="E48" i="8"/>
  <c r="H47" i="8"/>
  <c r="E47" i="8"/>
  <c r="I37" i="8"/>
  <c r="E10" i="7"/>
  <c r="I39" i="8"/>
  <c r="I38" i="8"/>
  <c r="I41" i="8"/>
  <c r="O37" i="6"/>
  <c r="O38" i="6"/>
  <c r="L39" i="6"/>
  <c r="O39" i="6"/>
  <c r="I40" i="8"/>
  <c r="H37" i="8"/>
  <c r="N39" i="6"/>
  <c r="N38" i="6"/>
  <c r="M20" i="6"/>
  <c r="N20" i="6"/>
  <c r="N37" i="6"/>
  <c r="D17" i="8"/>
  <c r="G18" i="2"/>
  <c r="D18" i="2"/>
  <c r="G22" i="2"/>
  <c r="D22" i="2"/>
  <c r="C21" i="6"/>
  <c r="J21" i="6"/>
  <c r="K21" i="6"/>
  <c r="D30" i="6"/>
  <c r="C30" i="6"/>
  <c r="J30" i="6"/>
  <c r="E38" i="6"/>
  <c r="L31" i="6"/>
  <c r="M39" i="6"/>
  <c r="K39" i="6"/>
  <c r="G38" i="6"/>
  <c r="G39" i="6"/>
  <c r="E39" i="6"/>
  <c r="F39" i="6"/>
  <c r="F38" i="6"/>
  <c r="F37" i="6"/>
  <c r="F10" i="7"/>
  <c r="E43" i="8"/>
  <c r="E42" i="8"/>
  <c r="E41" i="8"/>
  <c r="E40" i="8"/>
  <c r="E39" i="8"/>
  <c r="E38" i="8"/>
  <c r="E37" i="8"/>
  <c r="E22" i="2"/>
  <c r="J31" i="6"/>
  <c r="K31" i="6"/>
  <c r="K30" i="6"/>
  <c r="K29" i="6"/>
  <c r="H31" i="6"/>
  <c r="F28" i="8"/>
  <c r="E33" i="8"/>
  <c r="E32" i="8"/>
  <c r="E31" i="8"/>
  <c r="E30" i="8"/>
  <c r="E29" i="8"/>
  <c r="E28" i="8"/>
  <c r="E27" i="8"/>
  <c r="J6" i="7"/>
  <c r="K6" i="7"/>
  <c r="D22" i="8"/>
  <c r="D23" i="8"/>
  <c r="E22" i="8"/>
  <c r="L30" i="6"/>
  <c r="G6" i="7"/>
  <c r="F6" i="7"/>
  <c r="H6" i="7"/>
  <c r="N31" i="6"/>
  <c r="N29" i="6"/>
  <c r="M30" i="6"/>
  <c r="N30" i="6"/>
  <c r="M31" i="6"/>
  <c r="C32" i="6"/>
  <c r="E30" i="6"/>
  <c r="G30" i="6"/>
  <c r="E29" i="6"/>
  <c r="G29" i="6"/>
  <c r="I6" i="7"/>
  <c r="E23" i="8"/>
  <c r="E21" i="8"/>
  <c r="E20" i="8"/>
  <c r="E19" i="8"/>
  <c r="E18" i="8"/>
  <c r="E17" i="8"/>
  <c r="F18" i="2"/>
  <c r="E18" i="2"/>
  <c r="D14" i="2"/>
  <c r="G31" i="6"/>
  <c r="E31" i="6"/>
  <c r="F31" i="6"/>
  <c r="F30" i="6"/>
  <c r="F29" i="6"/>
  <c r="M21" i="6"/>
  <c r="M22" i="6"/>
  <c r="L21" i="6"/>
  <c r="L22" i="6"/>
  <c r="L20" i="6"/>
  <c r="K22" i="6"/>
  <c r="H22" i="6"/>
  <c r="E20" i="6"/>
  <c r="G20" i="6"/>
  <c r="E21" i="6"/>
  <c r="G21" i="6"/>
  <c r="G22" i="6"/>
  <c r="F14" i="6"/>
  <c r="F15" i="6"/>
  <c r="F13" i="6"/>
  <c r="F21" i="6"/>
  <c r="E22" i="6"/>
  <c r="F22" i="6"/>
  <c r="F20" i="6"/>
  <c r="N22" i="6"/>
  <c r="N21" i="6"/>
  <c r="D20" i="6"/>
  <c r="D21" i="6"/>
  <c r="J13" i="6"/>
  <c r="M25" i="6"/>
  <c r="L14" i="6"/>
  <c r="M14" i="6"/>
  <c r="M24" i="6"/>
  <c r="H15" i="6"/>
  <c r="L15" i="6"/>
  <c r="J14" i="6"/>
  <c r="D12" i="8"/>
  <c r="E12" i="8"/>
  <c r="E11" i="8"/>
  <c r="E10" i="8"/>
  <c r="E9" i="8"/>
  <c r="E8" i="8"/>
  <c r="E7" i="8"/>
  <c r="E6" i="8"/>
  <c r="E15" i="6"/>
  <c r="C14" i="6"/>
  <c r="D14" i="6"/>
  <c r="E14" i="6"/>
  <c r="C13" i="6"/>
  <c r="D13" i="6"/>
  <c r="E13" i="6"/>
  <c r="D8" i="6"/>
  <c r="J15" i="6"/>
  <c r="M15" i="6"/>
  <c r="L13" i="6"/>
  <c r="M13" i="6"/>
  <c r="F16" i="3"/>
  <c r="F17" i="3"/>
  <c r="F18" i="3"/>
  <c r="F15" i="3"/>
  <c r="E16" i="3"/>
  <c r="E17" i="3"/>
  <c r="E18" i="3"/>
  <c r="E15" i="3"/>
  <c r="I15" i="3"/>
  <c r="H15" i="3"/>
  <c r="G15" i="3"/>
  <c r="I6" i="3"/>
  <c r="I7" i="3"/>
  <c r="I8" i="3"/>
  <c r="I9" i="3"/>
  <c r="M6" i="3"/>
  <c r="L6" i="3"/>
  <c r="C10" i="3"/>
  <c r="E6" i="3"/>
  <c r="J6" i="3"/>
  <c r="J7" i="3"/>
  <c r="J8" i="3"/>
  <c r="J9" i="3"/>
  <c r="K6" i="3"/>
  <c r="F6" i="3"/>
  <c r="F7" i="3"/>
  <c r="F8" i="3"/>
  <c r="F9" i="3"/>
  <c r="G6" i="3"/>
  <c r="E6" i="2"/>
  <c r="F14" i="2"/>
  <c r="D10" i="2"/>
  <c r="E14" i="2"/>
  <c r="F10" i="2"/>
  <c r="E10" i="2"/>
  <c r="I15" i="6"/>
  <c r="G15" i="6"/>
  <c r="K14" i="6"/>
  <c r="G14" i="6"/>
  <c r="K13" i="6"/>
  <c r="G13" i="6"/>
  <c r="L46" i="6"/>
  <c r="H46" i="6"/>
  <c r="J46" i="6"/>
  <c r="O46" i="6"/>
  <c r="N46" i="6"/>
  <c r="K46" i="6"/>
  <c r="J44" i="6"/>
  <c r="O44" i="6"/>
  <c r="M44" i="6"/>
  <c r="N44" i="6"/>
  <c r="K44" i="6"/>
  <c r="F44" i="6"/>
  <c r="C45" i="6"/>
  <c r="M45" i="6"/>
  <c r="M46" i="6"/>
  <c r="E45" i="6"/>
  <c r="G45" i="6"/>
  <c r="G46" i="6"/>
  <c r="E46" i="6"/>
  <c r="F46" i="6"/>
  <c r="J45" i="6"/>
  <c r="O45" i="6"/>
  <c r="N45" i="6"/>
  <c r="K45" i="6"/>
  <c r="F45" i="6"/>
</calcChain>
</file>

<file path=xl/sharedStrings.xml><?xml version="1.0" encoding="utf-8"?>
<sst xmlns="http://schemas.openxmlformats.org/spreadsheetml/2006/main" count="355" uniqueCount="124">
  <si>
    <t>黄金基金</t>
  </si>
  <si>
    <t>易方达</t>
  </si>
  <si>
    <t>华宝油气</t>
  </si>
  <si>
    <t>一卡通</t>
  </si>
  <si>
    <t>华安石油</t>
  </si>
  <si>
    <t>H股ETF</t>
  </si>
  <si>
    <t>国防军工</t>
  </si>
  <si>
    <t>余额宝</t>
  </si>
  <si>
    <t>支付宝</t>
  </si>
  <si>
    <t>资产</t>
  </si>
  <si>
    <t>来源</t>
  </si>
  <si>
    <t>估值（分红前）</t>
  </si>
  <si>
    <t>Rand份数</t>
  </si>
  <si>
    <t>216份数</t>
  </si>
  <si>
    <t>rand分红策略</t>
  </si>
  <si>
    <t>再投资</t>
  </si>
  <si>
    <t>216分红</t>
  </si>
  <si>
    <t>216分红策略</t>
  </si>
  <si>
    <t>现金</t>
  </si>
  <si>
    <t>分红包</t>
    <rPh sb="0" eb="1">
      <t>fen'hong</t>
    </rPh>
    <rPh sb="2" eb="3">
      <t>bao</t>
    </rPh>
    <phoneticPr fontId="2" type="noConversion"/>
  </si>
  <si>
    <t>rand分红</t>
    <rPh sb="4" eb="5">
      <t>fen'hong</t>
    </rPh>
    <phoneticPr fontId="2" type="noConversion"/>
  </si>
  <si>
    <t>分红后估值</t>
    <rPh sb="0" eb="1">
      <t>fen'hong'hou</t>
    </rPh>
    <rPh sb="3" eb="4">
      <t>gu'zhi</t>
    </rPh>
    <phoneticPr fontId="2" type="noConversion"/>
  </si>
  <si>
    <t>每份净值</t>
    <rPh sb="0" eb="1">
      <t>mei'fen</t>
    </rPh>
    <rPh sb="2" eb="3">
      <t>jing'zhi</t>
    </rPh>
    <phoneticPr fontId="2" type="noConversion"/>
  </si>
  <si>
    <t>份数</t>
    <rPh sb="0" eb="1">
      <t>fen'shu</t>
    </rPh>
    <phoneticPr fontId="2" type="noConversion"/>
  </si>
  <si>
    <t>估值</t>
    <rPh sb="0" eb="1">
      <t>gu'zhi</t>
    </rPh>
    <phoneticPr fontId="2" type="noConversion"/>
  </si>
  <si>
    <t>起始估值</t>
    <rPh sb="0" eb="1">
      <t>qi'shi</t>
    </rPh>
    <rPh sb="2" eb="3">
      <t>gu'zhi</t>
    </rPh>
    <phoneticPr fontId="2" type="noConversion"/>
  </si>
  <si>
    <t>盈亏</t>
    <rPh sb="0" eb="1">
      <t>ying'kui</t>
    </rPh>
    <phoneticPr fontId="2" type="noConversion"/>
  </si>
  <si>
    <t>20160608估值</t>
    <rPh sb="8" eb="9">
      <t>gu'zhi</t>
    </rPh>
    <phoneticPr fontId="2" type="noConversion"/>
  </si>
  <si>
    <t>易黄金ETF联接（000307）</t>
  </si>
  <si>
    <t>易国防军工（001475）</t>
  </si>
  <si>
    <t>华安石油</t>
    <rPh sb="0" eb="1">
      <t>hua'an'shi'you</t>
    </rPh>
    <phoneticPr fontId="2" type="noConversion"/>
  </si>
  <si>
    <t>华宝油气</t>
    <rPh sb="0" eb="1">
      <t>hua'bao'you'qi</t>
    </rPh>
    <phoneticPr fontId="2" type="noConversion"/>
  </si>
  <si>
    <t>Rand</t>
    <phoneticPr fontId="2" type="noConversion"/>
  </si>
  <si>
    <t>期初资产</t>
    <rPh sb="0" eb="1">
      <t>qi'chu</t>
    </rPh>
    <rPh sb="2" eb="3">
      <t>zi'chan</t>
    </rPh>
    <phoneticPr fontId="2" type="noConversion"/>
  </si>
  <si>
    <t>投资行为</t>
    <rPh sb="0" eb="1">
      <t>tou'zi</t>
    </rPh>
    <rPh sb="2" eb="3">
      <t>xing'wei</t>
    </rPh>
    <phoneticPr fontId="2" type="noConversion"/>
  </si>
  <si>
    <t>期末资产</t>
    <rPh sb="0" eb="1">
      <t>qi'mo</t>
    </rPh>
    <rPh sb="2" eb="3">
      <t>zi'chan</t>
    </rPh>
    <phoneticPr fontId="2" type="noConversion"/>
  </si>
  <si>
    <t>红利权益</t>
    <rPh sb="0" eb="1">
      <t>hong'li</t>
    </rPh>
    <rPh sb="2" eb="3">
      <t>quan'yi</t>
    </rPh>
    <phoneticPr fontId="2" type="noConversion"/>
  </si>
  <si>
    <t>总</t>
    <rPh sb="0" eb="1">
      <t>zong'zi'chan</t>
    </rPh>
    <phoneticPr fontId="2" type="noConversion"/>
  </si>
  <si>
    <t>余额宝</t>
    <rPh sb="0" eb="1">
      <t>yu'e'bao</t>
    </rPh>
    <phoneticPr fontId="2" type="noConversion"/>
  </si>
  <si>
    <t>20160612估值</t>
    <rPh sb="8" eb="9">
      <t>gu'zhi</t>
    </rPh>
    <phoneticPr fontId="2" type="noConversion"/>
  </si>
  <si>
    <t>总额</t>
    <rPh sb="0" eb="1">
      <t>zong'e</t>
    </rPh>
    <phoneticPr fontId="2" type="noConversion"/>
  </si>
  <si>
    <t>易H股ETF联接（110031）</t>
  </si>
  <si>
    <t>占比</t>
    <rPh sb="0" eb="1">
      <t>zhan'bi</t>
    </rPh>
    <phoneticPr fontId="2" type="noConversion"/>
  </si>
  <si>
    <t>总</t>
    <rPh sb="0" eb="1">
      <t>zong</t>
    </rPh>
    <phoneticPr fontId="2" type="noConversion"/>
  </si>
  <si>
    <t>当月盈亏</t>
    <rPh sb="0" eb="1">
      <t>dang'yue</t>
    </rPh>
    <rPh sb="2" eb="3">
      <t>ying'kui</t>
    </rPh>
    <phoneticPr fontId="2" type="noConversion"/>
  </si>
  <si>
    <t>总盈亏</t>
    <rPh sb="0" eb="1">
      <t>zong'ying'kui</t>
    </rPh>
    <phoneticPr fontId="2" type="noConversion"/>
  </si>
  <si>
    <t>易H股ETF联接（110031）</t>
    <phoneticPr fontId="2" type="noConversion"/>
  </si>
  <si>
    <t>易H股ETF联接（110031）估值 20160608</t>
    <phoneticPr fontId="2" type="noConversion"/>
  </si>
  <si>
    <t>20160621估值</t>
    <rPh sb="8" eb="9">
      <t>gu'zhi</t>
    </rPh>
    <phoneticPr fontId="2" type="noConversion"/>
  </si>
  <si>
    <t>总盈亏</t>
    <rPh sb="0" eb="1">
      <t>zong</t>
    </rPh>
    <rPh sb="1" eb="2">
      <t>ying'kui</t>
    </rPh>
    <phoneticPr fontId="2" type="noConversion"/>
  </si>
  <si>
    <t>总估值</t>
    <rPh sb="0" eb="1">
      <t>zong'gu'zhi</t>
    </rPh>
    <phoneticPr fontId="2" type="noConversion"/>
  </si>
  <si>
    <t>合计估值</t>
    <rPh sb="0" eb="1">
      <t>he'ji</t>
    </rPh>
    <rPh sb="2" eb="3">
      <t>gu'zhi</t>
    </rPh>
    <phoneticPr fontId="2" type="noConversion"/>
  </si>
  <si>
    <t>合计总盈亏</t>
    <rPh sb="0" eb="1">
      <t>he'ji</t>
    </rPh>
    <rPh sb="2" eb="3">
      <t>zong</t>
    </rPh>
    <rPh sb="3" eb="4">
      <t>ying'kui</t>
    </rPh>
    <phoneticPr fontId="2" type="noConversion"/>
  </si>
  <si>
    <t>合计当月盈亏</t>
    <rPh sb="0" eb="1">
      <t>he'ji</t>
    </rPh>
    <rPh sb="2" eb="3">
      <t>dang'yue</t>
    </rPh>
    <rPh sb="4" eb="5">
      <t>ying'k</t>
    </rPh>
    <phoneticPr fontId="2" type="noConversion"/>
  </si>
  <si>
    <t>累计现金分红</t>
    <rPh sb="0" eb="1">
      <t>lei'ji</t>
    </rPh>
    <rPh sb="2" eb="3">
      <t>xian'jin</t>
    </rPh>
    <rPh sb="4" eb="5">
      <t>fen'hong</t>
    </rPh>
    <phoneticPr fontId="2" type="noConversion"/>
  </si>
  <si>
    <t>现金分红</t>
    <rPh sb="0" eb="1">
      <t>xian'jin</t>
    </rPh>
    <rPh sb="2" eb="3">
      <t>fen'hong</t>
    </rPh>
    <phoneticPr fontId="2" type="noConversion"/>
  </si>
  <si>
    <t>累计收益</t>
    <rPh sb="0" eb="1">
      <t>lei'ji</t>
    </rPh>
    <rPh sb="2" eb="3">
      <t>shou'yi</t>
    </rPh>
    <phoneticPr fontId="2" type="noConversion"/>
  </si>
  <si>
    <t>当日资产</t>
    <rPh sb="0" eb="1">
      <t>dang'ri</t>
    </rPh>
    <rPh sb="2" eb="3">
      <t>zi'chan</t>
    </rPh>
    <phoneticPr fontId="2" type="noConversion"/>
  </si>
  <si>
    <t>分红后资产</t>
    <rPh sb="0" eb="1">
      <t>fen'hong</t>
    </rPh>
    <rPh sb="2" eb="3">
      <t>hou</t>
    </rPh>
    <rPh sb="3" eb="4">
      <t>zi'chan</t>
    </rPh>
    <phoneticPr fontId="2" type="noConversion"/>
  </si>
  <si>
    <t>余额宝</t>
    <rPh sb="0" eb="1">
      <t>yu</t>
    </rPh>
    <rPh sb="1" eb="2">
      <t>e</t>
    </rPh>
    <rPh sb="2" eb="3">
      <t>bao</t>
    </rPh>
    <phoneticPr fontId="2" type="noConversion"/>
  </si>
  <si>
    <t>合计</t>
    <rPh sb="0" eb="1">
      <t>he'ji</t>
    </rPh>
    <phoneticPr fontId="2" type="noConversion"/>
  </si>
  <si>
    <t>累计收益率</t>
    <rPh sb="0" eb="1">
      <t>lei'ji</t>
    </rPh>
    <rPh sb="2" eb="3">
      <t>shou'yi'lv</t>
    </rPh>
    <phoneticPr fontId="2" type="noConversion"/>
  </si>
  <si>
    <t>当月收益率</t>
    <rPh sb="0" eb="1">
      <t>dang'yue</t>
    </rPh>
    <rPh sb="2" eb="3">
      <t>shou'yi'lv</t>
    </rPh>
    <phoneticPr fontId="2" type="noConversion"/>
  </si>
  <si>
    <t>20160628估值</t>
    <rPh sb="8" eb="9">
      <t>gu'zhi</t>
    </rPh>
    <phoneticPr fontId="2" type="noConversion"/>
  </si>
  <si>
    <t>Object</t>
    <phoneticPr fontId="2" type="noConversion"/>
  </si>
  <si>
    <t>Action</t>
    <phoneticPr fontId="2" type="noConversion"/>
  </si>
  <si>
    <t>comments</t>
    <phoneticPr fontId="2" type="noConversion"/>
  </si>
  <si>
    <t>4%基线</t>
    <rPh sb="2" eb="3">
      <t>ji'xian</t>
    </rPh>
    <phoneticPr fontId="2" type="noConversion"/>
  </si>
  <si>
    <t>易H股ETF联接（110031）估值 20160708</t>
    <phoneticPr fontId="2" type="noConversion"/>
  </si>
  <si>
    <t>易H股ETF联接（110031）估值 20160810</t>
    <phoneticPr fontId="2" type="noConversion"/>
  </si>
  <si>
    <t>赎回</t>
    <rPh sb="0" eb="1">
      <t>shu'hui</t>
    </rPh>
    <phoneticPr fontId="2" type="noConversion"/>
  </si>
  <si>
    <t>手续费</t>
    <rPh sb="0" eb="1">
      <t>shou'xu'f</t>
    </rPh>
    <phoneticPr fontId="2" type="noConversion"/>
  </si>
  <si>
    <t>H指数十字星。先把利润拿出来。11%了</t>
    <rPh sb="1" eb="2">
      <t>zhi'shu</t>
    </rPh>
    <rPh sb="3" eb="4">
      <t>shi'zi'xing</t>
    </rPh>
    <rPh sb="7" eb="8">
      <t>xian</t>
    </rPh>
    <rPh sb="8" eb="9">
      <t>ba</t>
    </rPh>
    <rPh sb="9" eb="10">
      <t>li'run</t>
    </rPh>
    <rPh sb="11" eb="12">
      <t>na'chu'lai</t>
    </rPh>
    <rPh sb="18" eb="19">
      <t>le</t>
    </rPh>
    <phoneticPr fontId="2" type="noConversion"/>
  </si>
  <si>
    <t>时间</t>
    <rPh sb="0" eb="1">
      <t>shi'jian</t>
    </rPh>
    <phoneticPr fontId="2" type="noConversion"/>
  </si>
  <si>
    <t>成交价格</t>
    <rPh sb="0" eb="1">
      <t>cheng'jiao</t>
    </rPh>
    <rPh sb="2" eb="3">
      <t>jia'ge</t>
    </rPh>
    <phoneticPr fontId="2" type="noConversion"/>
  </si>
  <si>
    <t>单价</t>
    <rPh sb="0" eb="1">
      <t>dan'jia</t>
    </rPh>
    <phoneticPr fontId="2" type="noConversion"/>
  </si>
  <si>
    <t>当月操作</t>
    <rPh sb="0" eb="1">
      <t>dang'yue</t>
    </rPh>
    <rPh sb="2" eb="3">
      <t>cao'zuo</t>
    </rPh>
    <phoneticPr fontId="2" type="noConversion"/>
  </si>
  <si>
    <t>易H股ETF联接（110031）估值 20160808</t>
    <phoneticPr fontId="2" type="noConversion"/>
  </si>
  <si>
    <t>-</t>
    <phoneticPr fontId="2" type="noConversion"/>
  </si>
  <si>
    <t>上月总额</t>
    <rPh sb="0" eb="1">
      <t>shang'yue</t>
    </rPh>
    <rPh sb="2" eb="3">
      <t>zong'e</t>
    </rPh>
    <phoneticPr fontId="2" type="noConversion"/>
  </si>
  <si>
    <t>市值</t>
    <rPh sb="0" eb="1">
      <t>shi'zhi</t>
    </rPh>
    <phoneticPr fontId="2" type="noConversion"/>
  </si>
  <si>
    <t>1.赎回1000份</t>
    <rPh sb="2" eb="3">
      <t>shu'hui</t>
    </rPh>
    <rPh sb="8" eb="9">
      <t>fen</t>
    </rPh>
    <phoneticPr fontId="2" type="noConversion"/>
  </si>
  <si>
    <t>净值</t>
    <rPh sb="0" eb="1">
      <t>jing'zhi</t>
    </rPh>
    <phoneticPr fontId="2" type="noConversion"/>
  </si>
  <si>
    <t>投资对象</t>
    <rPh sb="0" eb="1">
      <t>tou'zi</t>
    </rPh>
    <rPh sb="2" eb="3">
      <t>dui'xiang</t>
    </rPh>
    <phoneticPr fontId="2" type="noConversion"/>
  </si>
  <si>
    <t>基金</t>
    <rPh sb="0" eb="1">
      <t>ji'jin</t>
    </rPh>
    <phoneticPr fontId="2" type="noConversion"/>
  </si>
  <si>
    <t>战略投资</t>
    <rPh sb="0" eb="1">
      <t>zhan'lue</t>
    </rPh>
    <rPh sb="2" eb="3">
      <t>tou'zi</t>
    </rPh>
    <phoneticPr fontId="2" type="noConversion"/>
  </si>
  <si>
    <t>港股</t>
    <rPh sb="0" eb="1">
      <t>gang'gu</t>
    </rPh>
    <phoneticPr fontId="2" type="noConversion"/>
  </si>
  <si>
    <t>石油</t>
    <rPh sb="0" eb="1">
      <t>shi'you</t>
    </rPh>
    <phoneticPr fontId="2" type="noConversion"/>
  </si>
  <si>
    <t>Operation</t>
    <phoneticPr fontId="2" type="noConversion"/>
  </si>
  <si>
    <t>20160811申购1000元</t>
    <rPh sb="8" eb="9">
      <t>shen'qing</t>
    </rPh>
    <rPh sb="9" eb="10">
      <t>gou'mai</t>
    </rPh>
    <rPh sb="14" eb="15">
      <t>yuan</t>
    </rPh>
    <phoneticPr fontId="2" type="noConversion"/>
  </si>
  <si>
    <t>累计总值</t>
    <rPh sb="0" eb="1">
      <t>lei'ji</t>
    </rPh>
    <rPh sb="2" eb="3">
      <t>zong'zhi</t>
    </rPh>
    <phoneticPr fontId="2" type="noConversion"/>
  </si>
  <si>
    <t>购买</t>
    <rPh sb="0" eb="1">
      <t>gou'mai</t>
    </rPh>
    <phoneticPr fontId="2" type="noConversion"/>
  </si>
  <si>
    <t>金额</t>
    <rPh sb="0" eb="1">
      <t>jin'e</t>
    </rPh>
    <phoneticPr fontId="2" type="noConversion"/>
  </si>
  <si>
    <t>20160819 卖出2000 0.9996</t>
    <rPh sb="9" eb="10">
      <t>mai'chu</t>
    </rPh>
    <phoneticPr fontId="2" type="noConversion"/>
  </si>
  <si>
    <t>20160816 申购3000元@1.0267
20160823 卖出162.21 @1.0216</t>
    <rPh sb="9" eb="10">
      <t>shen'gou</t>
    </rPh>
    <rPh sb="15" eb="16">
      <t>yuan</t>
    </rPh>
    <rPh sb="33" eb="34">
      <t>mai'chu</t>
    </rPh>
    <phoneticPr fontId="2" type="noConversion"/>
  </si>
  <si>
    <t>起始</t>
    <rPh sb="0" eb="1">
      <t>qi'shi'zhi</t>
    </rPh>
    <phoneticPr fontId="2" type="noConversion"/>
  </si>
  <si>
    <t>SELL</t>
    <phoneticPr fontId="2" type="noConversion"/>
  </si>
  <si>
    <t>目标</t>
    <rPh sb="0" eb="1">
      <t>mu'biao</t>
    </rPh>
    <phoneticPr fontId="2" type="noConversion"/>
  </si>
  <si>
    <t>操作</t>
    <rPh sb="0" eb="1">
      <t>cao'zuo</t>
    </rPh>
    <phoneticPr fontId="2" type="noConversion"/>
  </si>
  <si>
    <t>成交净值</t>
    <rPh sb="0" eb="1">
      <t>cheng'jiao</t>
    </rPh>
    <rPh sb="2" eb="3">
      <t>jing'zhi</t>
    </rPh>
    <phoneticPr fontId="2" type="noConversion"/>
  </si>
  <si>
    <t>手续费</t>
    <rPh sb="0" eb="1">
      <t>shou'xu'fei</t>
    </rPh>
    <phoneticPr fontId="2" type="noConversion"/>
  </si>
  <si>
    <t>净额</t>
    <rPh sb="0" eb="1">
      <t>jin'ge</t>
    </rPh>
    <phoneticPr fontId="2" type="noConversion"/>
  </si>
  <si>
    <t>余额宝总额</t>
    <rPh sb="0" eb="1">
      <t>yu'e'b</t>
    </rPh>
    <rPh sb="3" eb="4">
      <t>zong</t>
    </rPh>
    <rPh sb="4" eb="5">
      <t>e</t>
    </rPh>
    <phoneticPr fontId="2" type="noConversion"/>
  </si>
  <si>
    <t>BUY</t>
    <phoneticPr fontId="2" type="noConversion"/>
  </si>
  <si>
    <t>BUY</t>
    <phoneticPr fontId="2" type="noConversion"/>
  </si>
  <si>
    <t>HOLD</t>
    <phoneticPr fontId="2" type="noConversion"/>
  </si>
  <si>
    <t>黄金</t>
    <rPh sb="0" eb="1">
      <t>huang'jin</t>
    </rPh>
    <phoneticPr fontId="2" type="noConversion"/>
  </si>
  <si>
    <t>谨慎做多</t>
    <rPh sb="0" eb="1">
      <t>jin'shen</t>
    </rPh>
    <rPh sb="2" eb="3">
      <t>zuo'duo</t>
    </rPh>
    <phoneticPr fontId="2" type="noConversion"/>
  </si>
  <si>
    <t>长期做多</t>
    <rPh sb="0" eb="1">
      <t>chang'qi</t>
    </rPh>
    <rPh sb="2" eb="3">
      <t>zuo'zuo</t>
    </rPh>
    <rPh sb="3" eb="4">
      <t>duo</t>
    </rPh>
    <phoneticPr fontId="2" type="noConversion"/>
  </si>
  <si>
    <t>超长期做多</t>
    <rPh sb="0" eb="1">
      <t>chao'chang'qi</t>
    </rPh>
    <rPh sb="3" eb="4">
      <t>zuo'duo</t>
    </rPh>
    <phoneticPr fontId="2" type="noConversion"/>
  </si>
  <si>
    <t>0825终值</t>
    <rPh sb="4" eb="5">
      <t>zhong'zhi</t>
    </rPh>
    <phoneticPr fontId="2" type="noConversion"/>
  </si>
  <si>
    <t>OUT</t>
    <phoneticPr fontId="2" type="noConversion"/>
  </si>
  <si>
    <t>500份</t>
    <rPh sb="3" eb="4">
      <t>fen</t>
    </rPh>
    <phoneticPr fontId="2" type="noConversion"/>
  </si>
  <si>
    <t>8月基值</t>
    <rPh sb="1" eb="2">
      <t>yue</t>
    </rPh>
    <phoneticPr fontId="2" type="noConversion"/>
  </si>
  <si>
    <t>8.25基值</t>
    <rPh sb="4" eb="5">
      <t>ji'zhi</t>
    </rPh>
    <phoneticPr fontId="2" type="noConversion"/>
  </si>
  <si>
    <t>华安赎回500份手续费</t>
    <rPh sb="0" eb="1">
      <t>hua'an</t>
    </rPh>
    <rPh sb="2" eb="3">
      <t>shu'hui</t>
    </rPh>
    <rPh sb="7" eb="8">
      <t>fen</t>
    </rPh>
    <rPh sb="8" eb="9">
      <t>shou'xu'f</t>
    </rPh>
    <phoneticPr fontId="2" type="noConversion"/>
  </si>
  <si>
    <t>资金在途。手续费从余额宝扣除</t>
    <rPh sb="0" eb="1">
      <t>zi'ji'n</t>
    </rPh>
    <rPh sb="2" eb="3">
      <t>zai'tu</t>
    </rPh>
    <rPh sb="5" eb="6">
      <t>shou'xu'f</t>
    </rPh>
    <rPh sb="8" eb="9">
      <t>cong</t>
    </rPh>
    <rPh sb="9" eb="10">
      <t>yu'e'bao</t>
    </rPh>
    <rPh sb="12" eb="13">
      <t>kou'chu</t>
    </rPh>
    <phoneticPr fontId="2" type="noConversion"/>
  </si>
  <si>
    <t>IN</t>
    <phoneticPr fontId="2" type="noConversion"/>
  </si>
  <si>
    <t>华安基金赎回</t>
    <rPh sb="0" eb="1">
      <t>hua'an</t>
    </rPh>
    <rPh sb="2" eb="3">
      <t>ji'jin</t>
    </rPh>
    <rPh sb="4" eb="5">
      <t>shu'hui</t>
    </rPh>
    <phoneticPr fontId="2" type="noConversion"/>
  </si>
  <si>
    <t>不看好A股，短期</t>
    <rPh sb="0" eb="1">
      <t>bu'kan'hao</t>
    </rPh>
    <rPh sb="4" eb="5">
      <t>gu</t>
    </rPh>
    <rPh sb="6" eb="7">
      <t>duan'qi</t>
    </rPh>
    <phoneticPr fontId="2" type="noConversion"/>
  </si>
  <si>
    <t>9.06基值</t>
    <rPh sb="4" eb="5">
      <t>ji'zhi</t>
    </rPh>
    <phoneticPr fontId="2" type="noConversion"/>
  </si>
  <si>
    <t>0906终值</t>
    <rPh sb="4" eb="5">
      <t>zhong'zhi</t>
    </rPh>
    <phoneticPr fontId="2" type="noConversion"/>
  </si>
  <si>
    <t>国防基金</t>
    <rPh sb="0" eb="1">
      <t>guo'fang'ji'jin</t>
    </rPh>
    <phoneticPr fontId="2" type="noConversion"/>
  </si>
  <si>
    <t>0921终值</t>
    <rPh sb="4" eb="5">
      <t>zhong'zhi</t>
    </rPh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</si>
</sst>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6" formatCode="0.00;[Red]0.00"/>
    <numFmt numFmtId="177" formatCode="0.00_ "/>
    <numFmt numFmtId="178" formatCode="0.000_ "/>
    <numFmt numFmtId="179" formatCode="#,##0.000_ ;[Red]\-#,##0.000\ "/>
    <numFmt numFmtId="180" formatCode="#,##0.000000_ ;[Red]\-#,##0.000000\ "/>
    <numFmt numFmtId="181" formatCode="#,##0.00000_ ;[Red]\-#,##0.00000\ "/>
  </numFmts>
  <fonts count="9" x14ac:knownFonts="1">
    <font>
      <sz val="12"/>
      <color theme="1"/>
      <name val="宋体"/>
      <family val="2"/>
      <charset val="134"/>
      <scheme val="minor"/>
    </font>
    <font>
      <sz val="14"/>
      <color theme="1"/>
      <name val="Helvetica Neue"/>
    </font>
    <font>
      <sz val="9"/>
      <name val="宋体"/>
      <family val="2"/>
      <charset val="134"/>
      <scheme val="minor"/>
    </font>
    <font>
      <sz val="12"/>
      <color rgb="FF333333"/>
      <name val="Microsoft YaHei"/>
      <charset val="136"/>
    </font>
    <font>
      <sz val="14"/>
      <color theme="1"/>
      <name val="ヒラギノ角ゴ Pro W3"/>
      <charset val="128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4"/>
      <color rgb="FFFF0000"/>
      <name val="ヒラギノ角ゴ Pro W3"/>
      <charset val="128"/>
    </font>
    <font>
      <b/>
      <sz val="14"/>
      <color theme="1"/>
      <name val="ヒラギノ角ゴ Pro W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</borders>
  <cellStyleXfs count="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38">
    <xf numFmtId="0" fontId="0" fillId="0" borderId="0" xfId="0"/>
    <xf numFmtId="0" fontId="1" fillId="0" borderId="0" xfId="0" applyFont="1"/>
    <xf numFmtId="0" fontId="3" fillId="0" borderId="0" xfId="0" applyFont="1"/>
    <xf numFmtId="0" fontId="1" fillId="0" borderId="0" xfId="0" applyFont="1" applyAlignment="1">
      <alignment horizontal="center"/>
    </xf>
    <xf numFmtId="176" fontId="1" fillId="0" borderId="0" xfId="0" applyNumberFormat="1" applyFont="1" applyAlignment="1">
      <alignment horizontal="right"/>
    </xf>
    <xf numFmtId="177" fontId="0" fillId="0" borderId="0" xfId="0" applyNumberFormat="1" applyAlignment="1">
      <alignment horizontal="right"/>
    </xf>
    <xf numFmtId="176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179" fontId="4" fillId="0" borderId="0" xfId="0" applyNumberFormat="1" applyFont="1"/>
    <xf numFmtId="179" fontId="4" fillId="0" borderId="0" xfId="0" applyNumberFormat="1" applyFont="1" applyAlignment="1"/>
    <xf numFmtId="0" fontId="4" fillId="0" borderId="1" xfId="0" applyFont="1" applyBorder="1"/>
    <xf numFmtId="179" fontId="4" fillId="0" borderId="1" xfId="0" applyNumberFormat="1" applyFont="1" applyBorder="1"/>
    <xf numFmtId="179" fontId="4" fillId="0" borderId="5" xfId="0" applyNumberFormat="1" applyFont="1" applyBorder="1"/>
    <xf numFmtId="179" fontId="4" fillId="0" borderId="6" xfId="0" applyNumberFormat="1" applyFont="1" applyBorder="1"/>
    <xf numFmtId="179" fontId="4" fillId="0" borderId="7" xfId="0" applyNumberFormat="1" applyFont="1" applyBorder="1" applyAlignment="1">
      <alignment horizontal="right"/>
    </xf>
    <xf numFmtId="179" fontId="4" fillId="0" borderId="8" xfId="0" applyNumberFormat="1" applyFont="1" applyBorder="1"/>
    <xf numFmtId="179" fontId="4" fillId="0" borderId="9" xfId="0" applyNumberFormat="1" applyFont="1" applyBorder="1"/>
    <xf numFmtId="179" fontId="4" fillId="0" borderId="8" xfId="0" applyNumberFormat="1" applyFont="1" applyBorder="1" applyAlignment="1">
      <alignment horizontal="right"/>
    </xf>
    <xf numFmtId="0" fontId="4" fillId="0" borderId="1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8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179" fontId="4" fillId="0" borderId="8" xfId="0" applyNumberFormat="1" applyFont="1" applyBorder="1" applyAlignment="1">
      <alignment horizontal="center"/>
    </xf>
    <xf numFmtId="179" fontId="7" fillId="0" borderId="0" xfId="0" applyNumberFormat="1" applyFont="1"/>
    <xf numFmtId="0" fontId="4" fillId="2" borderId="0" xfId="0" applyFont="1" applyFill="1"/>
    <xf numFmtId="0" fontId="4" fillId="2" borderId="5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178" fontId="4" fillId="2" borderId="7" xfId="0" applyNumberFormat="1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0" fontId="4" fillId="2" borderId="10" xfId="0" applyFont="1" applyFill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0" fontId="4" fillId="0" borderId="11" xfId="0" applyFont="1" applyBorder="1" applyAlignment="1">
      <alignment horizontal="left" vertical="center"/>
    </xf>
    <xf numFmtId="0" fontId="4" fillId="0" borderId="23" xfId="0" applyFont="1" applyBorder="1" applyAlignment="1">
      <alignment horizontal="left"/>
    </xf>
    <xf numFmtId="0" fontId="4" fillId="0" borderId="24" xfId="0" applyFont="1" applyBorder="1" applyAlignment="1">
      <alignment horizontal="left" vertical="center" wrapText="1"/>
    </xf>
    <xf numFmtId="0" fontId="4" fillId="0" borderId="24" xfId="0" applyFont="1" applyBorder="1" applyAlignment="1">
      <alignment horizontal="left"/>
    </xf>
    <xf numFmtId="0" fontId="4" fillId="0" borderId="25" xfId="0" applyFont="1" applyBorder="1" applyAlignment="1">
      <alignment horizontal="left"/>
    </xf>
    <xf numFmtId="0" fontId="4" fillId="0" borderId="0" xfId="0" applyFont="1" applyAlignment="1">
      <alignment horizontal="right" vertical="center" wrapText="1"/>
    </xf>
    <xf numFmtId="0" fontId="4" fillId="0" borderId="0" xfId="0" applyFont="1" applyAlignment="1">
      <alignment horizontal="right"/>
    </xf>
    <xf numFmtId="0" fontId="4" fillId="2" borderId="1" xfId="0" applyFont="1" applyFill="1" applyBorder="1"/>
    <xf numFmtId="0" fontId="4" fillId="2" borderId="6" xfId="0" applyFont="1" applyFill="1" applyBorder="1"/>
    <xf numFmtId="179" fontId="4" fillId="2" borderId="1" xfId="0" applyNumberFormat="1" applyFont="1" applyFill="1" applyBorder="1"/>
    <xf numFmtId="179" fontId="4" fillId="2" borderId="1" xfId="0" applyNumberFormat="1" applyFont="1" applyFill="1" applyBorder="1" applyAlignment="1">
      <alignment horizontal="center"/>
    </xf>
    <xf numFmtId="179" fontId="4" fillId="2" borderId="8" xfId="0" applyNumberFormat="1" applyFont="1" applyFill="1" applyBorder="1" applyAlignment="1">
      <alignment horizontal="right"/>
    </xf>
    <xf numFmtId="179" fontId="4" fillId="2" borderId="8" xfId="0" applyNumberFormat="1" applyFont="1" applyFill="1" applyBorder="1"/>
    <xf numFmtId="179" fontId="4" fillId="2" borderId="8" xfId="0" applyNumberFormat="1" applyFont="1" applyFill="1" applyBorder="1" applyAlignment="1">
      <alignment horizontal="center"/>
    </xf>
    <xf numFmtId="179" fontId="8" fillId="0" borderId="1" xfId="0" applyNumberFormat="1" applyFont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4" fillId="2" borderId="9" xfId="0" applyFont="1" applyFill="1" applyBorder="1"/>
    <xf numFmtId="0" fontId="4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0" fontId="4" fillId="0" borderId="6" xfId="0" applyFont="1" applyBorder="1" applyAlignment="1">
      <alignment horizontal="center" vertical="center"/>
    </xf>
    <xf numFmtId="4" fontId="4" fillId="0" borderId="10" xfId="0" applyNumberFormat="1" applyFont="1" applyBorder="1" applyAlignment="1">
      <alignment horizontal="left" vertical="center"/>
    </xf>
    <xf numFmtId="0" fontId="4" fillId="0" borderId="0" xfId="0" applyFont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179" fontId="7" fillId="2" borderId="1" xfId="0" applyNumberFormat="1" applyFont="1" applyFill="1" applyBorder="1"/>
    <xf numFmtId="0" fontId="4" fillId="0" borderId="6" xfId="0" applyFont="1" applyBorder="1"/>
    <xf numFmtId="0" fontId="4" fillId="2" borderId="8" xfId="0" applyFont="1" applyFill="1" applyBorder="1"/>
    <xf numFmtId="0" fontId="4" fillId="0" borderId="0" xfId="0" applyFont="1" applyAlignment="1">
      <alignment wrapText="1"/>
    </xf>
    <xf numFmtId="0" fontId="0" fillId="0" borderId="1" xfId="0" applyBorder="1"/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4" fillId="2" borderId="0" xfId="0" applyFont="1" applyFill="1" applyAlignment="1">
      <alignment horizontal="left"/>
    </xf>
    <xf numFmtId="4" fontId="4" fillId="0" borderId="0" xfId="0" applyNumberFormat="1" applyFont="1" applyAlignment="1">
      <alignment horizontal="left"/>
    </xf>
    <xf numFmtId="0" fontId="4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0" fontId="4" fillId="0" borderId="6" xfId="0" applyFont="1" applyBorder="1" applyAlignment="1">
      <alignment horizontal="center" vertical="center"/>
    </xf>
    <xf numFmtId="180" fontId="4" fillId="2" borderId="1" xfId="0" applyNumberFormat="1" applyFont="1" applyFill="1" applyBorder="1" applyAlignment="1">
      <alignment horizontal="center"/>
    </xf>
    <xf numFmtId="181" fontId="4" fillId="2" borderId="1" xfId="0" applyNumberFormat="1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vertical="center"/>
    </xf>
    <xf numFmtId="176" fontId="1" fillId="0" borderId="0" xfId="0" applyNumberFormat="1" applyFont="1" applyAlignment="1">
      <alignment horizontal="right" vertical="center"/>
    </xf>
    <xf numFmtId="0" fontId="4" fillId="0" borderId="0" xfId="0" applyFont="1" applyAlignment="1">
      <alignment horizontal="center"/>
    </xf>
    <xf numFmtId="0" fontId="4" fillId="2" borderId="12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4" fillId="2" borderId="14" xfId="0" applyFont="1" applyFill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2" borderId="29" xfId="0" applyFont="1" applyFill="1" applyBorder="1" applyAlignment="1">
      <alignment horizontal="center" vertical="center"/>
    </xf>
    <xf numFmtId="0" fontId="4" fillId="2" borderId="30" xfId="0" applyFont="1" applyFill="1" applyBorder="1" applyAlignment="1">
      <alignment horizontal="center" vertical="center"/>
    </xf>
    <xf numFmtId="0" fontId="4" fillId="2" borderId="31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</cellXfs>
  <cellStyles count="7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已访问的超链接" xfId="2" builtinId="9" hidden="1"/>
    <cellStyle name="已访问的超链接" xfId="4" builtinId="9" hidden="1"/>
    <cellStyle name="已访问的超链接" xfId="6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J44"/>
  <sheetViews>
    <sheetView topLeftCell="A3" workbookViewId="0">
      <selection activeCell="F29" sqref="F29"/>
    </sheetView>
  </sheetViews>
  <sheetFormatPr baseColWidth="10" defaultRowHeight="15" x14ac:dyDescent="0.15"/>
  <cols>
    <col min="2" max="2" width="17.83203125" bestFit="1" customWidth="1"/>
    <col min="4" max="4" width="12.1640625" bestFit="1" customWidth="1"/>
    <col min="5" max="5" width="15" style="6" bestFit="1" customWidth="1"/>
    <col min="6" max="6" width="15" style="6" customWidth="1"/>
  </cols>
  <sheetData>
    <row r="7" spans="2:10" s="7" customFormat="1" ht="18" x14ac:dyDescent="0.2">
      <c r="B7" s="3" t="s">
        <v>9</v>
      </c>
      <c r="C7" s="3" t="s">
        <v>10</v>
      </c>
      <c r="D7" s="3">
        <v>20160512</v>
      </c>
      <c r="E7" s="8">
        <v>20160609</v>
      </c>
      <c r="F7" s="3"/>
      <c r="G7" s="3">
        <v>2016</v>
      </c>
      <c r="H7" s="3"/>
      <c r="I7" s="3"/>
      <c r="J7" s="3"/>
    </row>
    <row r="8" spans="2:10" ht="15" customHeight="1" x14ac:dyDescent="0.2">
      <c r="B8" s="1" t="s">
        <v>11</v>
      </c>
      <c r="C8" s="1"/>
      <c r="D8" s="1">
        <v>60000</v>
      </c>
      <c r="E8" s="4">
        <v>61605.25</v>
      </c>
      <c r="F8" s="4"/>
      <c r="G8" s="1"/>
      <c r="H8" s="1"/>
      <c r="I8" s="1"/>
      <c r="J8" s="1"/>
    </row>
    <row r="9" spans="2:10" ht="15" customHeight="1" x14ac:dyDescent="0.2">
      <c r="B9" s="1" t="s">
        <v>19</v>
      </c>
      <c r="C9" s="1"/>
      <c r="D9" s="1"/>
      <c r="E9" s="4">
        <v>321.05</v>
      </c>
      <c r="F9" s="4"/>
      <c r="G9" s="1"/>
      <c r="H9" s="1"/>
      <c r="I9" s="1"/>
      <c r="J9" s="1"/>
    </row>
    <row r="10" spans="2:10" ht="15" customHeight="1" x14ac:dyDescent="0.2">
      <c r="B10" s="1" t="s">
        <v>21</v>
      </c>
      <c r="C10" s="1"/>
      <c r="D10" s="1"/>
      <c r="E10" s="4">
        <v>61391.22</v>
      </c>
      <c r="F10" s="4"/>
      <c r="G10" s="1"/>
      <c r="H10" s="1"/>
      <c r="I10" s="1"/>
      <c r="J10" s="1"/>
    </row>
    <row r="11" spans="2:10" ht="15" customHeight="1" x14ac:dyDescent="0.2">
      <c r="B11" s="1" t="s">
        <v>12</v>
      </c>
      <c r="C11" s="1"/>
      <c r="D11" s="1">
        <v>20000</v>
      </c>
      <c r="E11" s="4">
        <v>20535.07</v>
      </c>
      <c r="F11" s="4"/>
      <c r="G11" s="1"/>
      <c r="H11" s="1"/>
      <c r="I11" s="1"/>
      <c r="J11" s="1"/>
    </row>
    <row r="12" spans="2:10" ht="18" x14ac:dyDescent="0.2">
      <c r="B12" s="1" t="s">
        <v>13</v>
      </c>
      <c r="C12" s="1"/>
      <c r="D12" s="1">
        <v>40000</v>
      </c>
      <c r="E12" s="4">
        <v>40856.129999999997</v>
      </c>
      <c r="F12" s="4"/>
      <c r="G12" s="1"/>
      <c r="H12" s="1"/>
      <c r="I12" s="1"/>
    </row>
    <row r="13" spans="2:10" ht="15" customHeight="1" x14ac:dyDescent="0.2">
      <c r="B13" s="1" t="s">
        <v>20</v>
      </c>
      <c r="C13" s="1"/>
      <c r="D13" s="1"/>
      <c r="E13" s="4">
        <v>107</v>
      </c>
      <c r="F13" s="4"/>
      <c r="G13" s="1"/>
      <c r="H13" s="1"/>
      <c r="I13" s="1"/>
    </row>
    <row r="14" spans="2:10" ht="15" customHeight="1" x14ac:dyDescent="0.2">
      <c r="B14" s="1" t="s">
        <v>14</v>
      </c>
      <c r="C14" s="1"/>
      <c r="D14" s="1"/>
      <c r="E14" s="4" t="s">
        <v>15</v>
      </c>
      <c r="F14" s="4"/>
      <c r="G14" s="1"/>
      <c r="H14" s="1"/>
      <c r="I14" s="1"/>
    </row>
    <row r="15" spans="2:10" ht="18" x14ac:dyDescent="0.2">
      <c r="B15" s="1" t="s">
        <v>16</v>
      </c>
      <c r="C15" s="1"/>
      <c r="D15" s="1"/>
      <c r="E15" s="4">
        <v>214.03</v>
      </c>
      <c r="F15" s="4"/>
      <c r="G15" s="1"/>
      <c r="H15" s="1"/>
      <c r="I15" s="1"/>
    </row>
    <row r="16" spans="2:10" ht="18" x14ac:dyDescent="0.2">
      <c r="B16" s="1" t="s">
        <v>17</v>
      </c>
      <c r="C16" s="1"/>
      <c r="D16" s="1"/>
      <c r="E16" s="4" t="s">
        <v>18</v>
      </c>
      <c r="F16" s="4"/>
      <c r="G16" s="1"/>
      <c r="H16" s="1"/>
      <c r="I16" s="1"/>
    </row>
    <row r="17" spans="2:9" ht="18" x14ac:dyDescent="0.2">
      <c r="B17" s="106" t="s">
        <v>0</v>
      </c>
      <c r="C17" s="106" t="s">
        <v>1</v>
      </c>
      <c r="D17" s="106">
        <v>7000</v>
      </c>
      <c r="E17" s="107">
        <v>7013.3</v>
      </c>
      <c r="F17" s="4"/>
      <c r="G17" s="105">
        <v>7058.1</v>
      </c>
      <c r="H17" s="105"/>
      <c r="I17" s="105"/>
    </row>
    <row r="18" spans="2:9" ht="18" x14ac:dyDescent="0.2">
      <c r="B18" s="106"/>
      <c r="C18" s="106"/>
      <c r="D18" s="106"/>
      <c r="E18" s="107"/>
      <c r="F18" s="4"/>
      <c r="G18" s="105"/>
      <c r="H18" s="105"/>
      <c r="I18" s="105"/>
    </row>
    <row r="19" spans="2:9" ht="18" x14ac:dyDescent="0.2">
      <c r="B19" s="106" t="s">
        <v>2</v>
      </c>
      <c r="C19" s="106" t="s">
        <v>3</v>
      </c>
      <c r="D19" s="106">
        <v>10000</v>
      </c>
      <c r="E19" s="107">
        <v>10623.79</v>
      </c>
      <c r="F19" s="4"/>
      <c r="G19" s="105"/>
      <c r="H19" s="105"/>
      <c r="I19" s="105"/>
    </row>
    <row r="20" spans="2:9" ht="18" x14ac:dyDescent="0.2">
      <c r="B20" s="106"/>
      <c r="C20" s="106"/>
      <c r="D20" s="106"/>
      <c r="E20" s="107"/>
      <c r="F20" s="4"/>
      <c r="G20" s="105"/>
      <c r="H20" s="105"/>
      <c r="I20" s="105"/>
    </row>
    <row r="21" spans="2:9" ht="18" x14ac:dyDescent="0.2">
      <c r="B21" s="106" t="s">
        <v>4</v>
      </c>
      <c r="C21" s="106" t="s">
        <v>3</v>
      </c>
      <c r="D21" s="106">
        <v>10000</v>
      </c>
      <c r="E21" s="107">
        <v>10065.91</v>
      </c>
      <c r="F21" s="4"/>
      <c r="G21" s="105"/>
      <c r="H21" s="105"/>
      <c r="I21" s="105"/>
    </row>
    <row r="22" spans="2:9" ht="18" x14ac:dyDescent="0.2">
      <c r="B22" s="106"/>
      <c r="C22" s="106"/>
      <c r="D22" s="106"/>
      <c r="E22" s="107"/>
      <c r="F22" s="4"/>
      <c r="G22" s="105"/>
      <c r="H22" s="105"/>
      <c r="I22" s="105"/>
    </row>
    <row r="23" spans="2:9" ht="18" x14ac:dyDescent="0.2">
      <c r="B23" s="106" t="s">
        <v>5</v>
      </c>
      <c r="C23" s="106" t="s">
        <v>1</v>
      </c>
      <c r="D23" s="106">
        <v>10000</v>
      </c>
      <c r="E23" s="107">
        <v>10809.31</v>
      </c>
      <c r="F23" s="4"/>
      <c r="G23" s="105"/>
      <c r="H23" s="105"/>
      <c r="I23" s="105"/>
    </row>
    <row r="24" spans="2:9" ht="18" x14ac:dyDescent="0.2">
      <c r="B24" s="106"/>
      <c r="C24" s="106"/>
      <c r="D24" s="106"/>
      <c r="E24" s="107"/>
      <c r="F24" s="4"/>
      <c r="G24" s="105"/>
      <c r="H24" s="105"/>
      <c r="I24" s="105"/>
    </row>
    <row r="25" spans="2:9" ht="18" x14ac:dyDescent="0.2">
      <c r="B25" s="106" t="s">
        <v>6</v>
      </c>
      <c r="C25" s="106" t="s">
        <v>1</v>
      </c>
      <c r="D25" s="106">
        <v>1000</v>
      </c>
      <c r="E25" s="107">
        <v>1053.7</v>
      </c>
      <c r="F25" s="4"/>
      <c r="G25" s="105"/>
      <c r="H25" s="105"/>
      <c r="I25" s="105"/>
    </row>
    <row r="26" spans="2:9" ht="18" x14ac:dyDescent="0.2">
      <c r="B26" s="106"/>
      <c r="C26" s="106"/>
      <c r="D26" s="106"/>
      <c r="E26" s="107"/>
      <c r="F26" s="4"/>
      <c r="G26" s="105"/>
      <c r="H26" s="105"/>
      <c r="I26" s="105"/>
    </row>
    <row r="27" spans="2:9" ht="18" x14ac:dyDescent="0.2">
      <c r="B27" s="106" t="s">
        <v>7</v>
      </c>
      <c r="C27" s="106" t="s">
        <v>8</v>
      </c>
      <c r="D27" s="106">
        <v>22000</v>
      </c>
      <c r="E27" s="107">
        <v>21825.21</v>
      </c>
      <c r="F27" s="4"/>
      <c r="G27" s="105"/>
      <c r="H27" s="105"/>
      <c r="I27" s="105"/>
    </row>
    <row r="28" spans="2:9" ht="18" x14ac:dyDescent="0.2">
      <c r="B28" s="106"/>
      <c r="C28" s="106"/>
      <c r="D28" s="106"/>
      <c r="E28" s="107"/>
      <c r="F28" s="4"/>
      <c r="G28" s="105"/>
      <c r="H28" s="105"/>
      <c r="I28" s="105"/>
    </row>
    <row r="29" spans="2:9" x14ac:dyDescent="0.15">
      <c r="E29" s="5"/>
      <c r="F29" s="5"/>
    </row>
    <row r="32" spans="2:9" ht="18" x14ac:dyDescent="0.2">
      <c r="B32" s="1"/>
    </row>
    <row r="34" spans="2:2" ht="18" x14ac:dyDescent="0.2">
      <c r="B34" s="1"/>
    </row>
    <row r="36" spans="2:2" ht="18" x14ac:dyDescent="0.2">
      <c r="B36" s="1"/>
    </row>
    <row r="37" spans="2:2" ht="18" x14ac:dyDescent="0.25">
      <c r="B37" s="2"/>
    </row>
    <row r="38" spans="2:2" ht="18" x14ac:dyDescent="0.25">
      <c r="B38" s="2"/>
    </row>
    <row r="39" spans="2:2" ht="18" x14ac:dyDescent="0.25">
      <c r="B39" s="2"/>
    </row>
    <row r="41" spans="2:2" ht="18" x14ac:dyDescent="0.2">
      <c r="B41" s="1"/>
    </row>
    <row r="42" spans="2:2" ht="18" x14ac:dyDescent="0.2">
      <c r="B42" s="1"/>
    </row>
    <row r="43" spans="2:2" ht="18" x14ac:dyDescent="0.2">
      <c r="B43" s="1"/>
    </row>
    <row r="44" spans="2:2" ht="18" x14ac:dyDescent="0.2">
      <c r="B44" s="1"/>
    </row>
  </sheetData>
  <mergeCells count="42">
    <mergeCell ref="H17:H18"/>
    <mergeCell ref="I17:I18"/>
    <mergeCell ref="B17:B18"/>
    <mergeCell ref="C17:C18"/>
    <mergeCell ref="D17:D18"/>
    <mergeCell ref="E17:E18"/>
    <mergeCell ref="G17:G18"/>
    <mergeCell ref="I19:I20"/>
    <mergeCell ref="B21:B22"/>
    <mergeCell ref="C21:C22"/>
    <mergeCell ref="D21:D22"/>
    <mergeCell ref="E21:E22"/>
    <mergeCell ref="G21:G22"/>
    <mergeCell ref="H21:H22"/>
    <mergeCell ref="I21:I22"/>
    <mergeCell ref="B19:B20"/>
    <mergeCell ref="C19:C20"/>
    <mergeCell ref="D19:D20"/>
    <mergeCell ref="E19:E20"/>
    <mergeCell ref="G19:G20"/>
    <mergeCell ref="H19:H20"/>
    <mergeCell ref="I23:I24"/>
    <mergeCell ref="B25:B26"/>
    <mergeCell ref="C25:C26"/>
    <mergeCell ref="D25:D26"/>
    <mergeCell ref="E25:E26"/>
    <mergeCell ref="G25:G26"/>
    <mergeCell ref="H25:H26"/>
    <mergeCell ref="I25:I26"/>
    <mergeCell ref="B23:B24"/>
    <mergeCell ref="C23:C24"/>
    <mergeCell ref="D23:D24"/>
    <mergeCell ref="E23:E24"/>
    <mergeCell ref="G23:G24"/>
    <mergeCell ref="H23:H24"/>
    <mergeCell ref="I27:I28"/>
    <mergeCell ref="B27:B28"/>
    <mergeCell ref="C27:C28"/>
    <mergeCell ref="D27:D28"/>
    <mergeCell ref="E27:E28"/>
    <mergeCell ref="G27:G28"/>
    <mergeCell ref="H27:H28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K13"/>
  <sheetViews>
    <sheetView topLeftCell="B1" workbookViewId="0">
      <selection activeCell="D10" sqref="D10"/>
    </sheetView>
  </sheetViews>
  <sheetFormatPr baseColWidth="10" defaultRowHeight="23" x14ac:dyDescent="0.3"/>
  <cols>
    <col min="1" max="3" width="10.83203125" style="9"/>
    <col min="4" max="4" width="24.1640625" style="9" customWidth="1"/>
    <col min="5" max="5" width="40.33203125" style="9" customWidth="1"/>
    <col min="6" max="6" width="18.33203125" style="9" bestFit="1" customWidth="1"/>
    <col min="7" max="7" width="21.1640625" style="9" customWidth="1"/>
    <col min="8" max="8" width="17.83203125" style="75" customWidth="1"/>
    <col min="9" max="9" width="22.83203125" style="75" customWidth="1"/>
    <col min="10" max="10" width="13.83203125" style="9" bestFit="1" customWidth="1"/>
    <col min="11" max="11" width="24.83203125" style="9" customWidth="1"/>
    <col min="12" max="16384" width="10.83203125" style="9"/>
  </cols>
  <sheetData>
    <row r="4" spans="3:11" x14ac:dyDescent="0.3">
      <c r="E4" s="9" t="s">
        <v>39</v>
      </c>
      <c r="F4" s="108">
        <v>20160708</v>
      </c>
      <c r="G4" s="108"/>
      <c r="H4" s="108">
        <v>20160712</v>
      </c>
      <c r="I4" s="108"/>
      <c r="J4" s="108">
        <v>20160808</v>
      </c>
      <c r="K4" s="108"/>
    </row>
    <row r="5" spans="3:11" x14ac:dyDescent="0.3">
      <c r="E5" s="9" t="s">
        <v>24</v>
      </c>
      <c r="F5" s="9" t="s">
        <v>40</v>
      </c>
      <c r="G5" s="9" t="s">
        <v>44</v>
      </c>
      <c r="H5" s="75" t="s">
        <v>40</v>
      </c>
      <c r="I5" s="75" t="s">
        <v>44</v>
      </c>
      <c r="J5" s="79" t="s">
        <v>40</v>
      </c>
      <c r="K5" s="79" t="s">
        <v>44</v>
      </c>
    </row>
    <row r="6" spans="3:11" x14ac:dyDescent="0.3">
      <c r="C6" s="9" t="s">
        <v>38</v>
      </c>
      <c r="E6" s="9">
        <v>21825.21</v>
      </c>
      <c r="F6" s="9">
        <f>E6+G6</f>
        <v>22864.674763287672</v>
      </c>
      <c r="G6" s="9">
        <f>1000+E6*0.022/365*30</f>
        <v>1039.4647632876713</v>
      </c>
      <c r="H6" s="75">
        <f>(F6-8.43)*(1+0.022/12)</f>
        <v>22898.147878687032</v>
      </c>
      <c r="I6" s="75">
        <f>H6-F6</f>
        <v>33.473115399359813</v>
      </c>
      <c r="J6" s="79">
        <f>22898.15*(1+0.024/12)+944.8</f>
        <v>23888.746300000003</v>
      </c>
      <c r="K6" s="79">
        <f>J6-H6</f>
        <v>990.59842131297046</v>
      </c>
    </row>
    <row r="8" spans="3:11" x14ac:dyDescent="0.3">
      <c r="E8" s="108">
        <v>20160810</v>
      </c>
      <c r="F8" s="108"/>
    </row>
    <row r="9" spans="3:11" x14ac:dyDescent="0.3">
      <c r="D9" s="9" t="s">
        <v>79</v>
      </c>
      <c r="E9" s="81" t="s">
        <v>40</v>
      </c>
      <c r="F9" s="81" t="s">
        <v>44</v>
      </c>
    </row>
    <row r="10" spans="3:11" x14ac:dyDescent="0.3">
      <c r="D10" s="9">
        <v>23888.746299999901</v>
      </c>
      <c r="E10" s="81">
        <f>19888.7462999999*(1+0.024/12)+165.71-0.33</f>
        <v>20093.903792599896</v>
      </c>
      <c r="F10" s="81">
        <f>E10-D10</f>
        <v>-3794.8425074000043</v>
      </c>
    </row>
    <row r="13" spans="3:11" x14ac:dyDescent="0.3">
      <c r="G13" s="9">
        <v>21864.674763287669</v>
      </c>
    </row>
  </sheetData>
  <mergeCells count="4">
    <mergeCell ref="F4:G4"/>
    <mergeCell ref="H4:I4"/>
    <mergeCell ref="J4:K4"/>
    <mergeCell ref="E8:F8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P55"/>
  <sheetViews>
    <sheetView tabSelected="1" topLeftCell="B43" zoomScale="75" zoomScaleNormal="75" zoomScalePageLayoutView="75" workbookViewId="0">
      <selection activeCell="M64" sqref="M64"/>
    </sheetView>
  </sheetViews>
  <sheetFormatPr baseColWidth="10" defaultRowHeight="23" x14ac:dyDescent="0.3"/>
  <cols>
    <col min="1" max="1" width="10.83203125" style="9"/>
    <col min="2" max="2" width="10.83203125" style="10"/>
    <col min="3" max="3" width="27.33203125" style="9" customWidth="1"/>
    <col min="4" max="4" width="18.1640625" style="9" customWidth="1"/>
    <col min="5" max="5" width="24.1640625" style="9" customWidth="1"/>
    <col min="6" max="6" width="16.5" style="9" customWidth="1"/>
    <col min="7" max="9" width="15.6640625" style="9" customWidth="1"/>
    <col min="10" max="10" width="23" style="9" customWidth="1"/>
    <col min="11" max="11" width="34.33203125" style="10" customWidth="1"/>
    <col min="12" max="12" width="16" style="9" customWidth="1"/>
    <col min="13" max="13" width="18.5" style="9" bestFit="1" customWidth="1"/>
    <col min="14" max="14" width="18.5" style="9" customWidth="1"/>
    <col min="15" max="15" width="18.5" style="9" bestFit="1" customWidth="1"/>
    <col min="16" max="16" width="14.33203125" style="9" bestFit="1" customWidth="1"/>
    <col min="17" max="17" width="18.5" style="9" bestFit="1" customWidth="1"/>
    <col min="18" max="18" width="13.1640625" style="9" bestFit="1" customWidth="1"/>
    <col min="19" max="19" width="16" style="9" bestFit="1" customWidth="1"/>
    <col min="20" max="16384" width="10.83203125" style="9"/>
  </cols>
  <sheetData>
    <row r="4" spans="2:14" x14ac:dyDescent="0.3">
      <c r="C4" s="108">
        <v>201605</v>
      </c>
      <c r="D4" s="108"/>
      <c r="E4" s="108"/>
      <c r="F4" s="10"/>
      <c r="K4" s="9"/>
    </row>
    <row r="5" spans="2:14" x14ac:dyDescent="0.3">
      <c r="C5" s="9" t="s">
        <v>33</v>
      </c>
      <c r="D5" s="9" t="s">
        <v>34</v>
      </c>
      <c r="E5" s="9" t="s">
        <v>35</v>
      </c>
      <c r="K5" s="9"/>
    </row>
    <row r="6" spans="2:14" x14ac:dyDescent="0.3">
      <c r="B6" s="10">
        <v>216</v>
      </c>
      <c r="C6" s="14">
        <v>0</v>
      </c>
      <c r="D6" s="38">
        <v>40000</v>
      </c>
      <c r="E6" s="14">
        <v>40000</v>
      </c>
      <c r="F6" s="14"/>
      <c r="K6" s="9"/>
    </row>
    <row r="7" spans="2:14" x14ac:dyDescent="0.3">
      <c r="B7" s="10" t="s">
        <v>32</v>
      </c>
      <c r="C7" s="14">
        <v>0</v>
      </c>
      <c r="D7" s="38">
        <v>20000</v>
      </c>
      <c r="E7" s="14">
        <v>20000</v>
      </c>
      <c r="F7" s="14"/>
      <c r="K7" s="9"/>
    </row>
    <row r="8" spans="2:14" x14ac:dyDescent="0.3">
      <c r="B8" s="10" t="s">
        <v>37</v>
      </c>
      <c r="C8" s="15">
        <v>0</v>
      </c>
      <c r="D8" s="38">
        <f>SUM(D6:D7)</f>
        <v>60000</v>
      </c>
      <c r="E8" s="15">
        <v>60000</v>
      </c>
      <c r="F8" s="15"/>
      <c r="K8" s="9"/>
    </row>
    <row r="9" spans="2:14" x14ac:dyDescent="0.3">
      <c r="M9" s="14"/>
      <c r="N9" s="14"/>
    </row>
    <row r="10" spans="2:14" ht="24" thickBot="1" x14ac:dyDescent="0.35"/>
    <row r="11" spans="2:14" x14ac:dyDescent="0.3">
      <c r="B11" s="34"/>
      <c r="C11" s="112">
        <v>20160608</v>
      </c>
      <c r="D11" s="113"/>
      <c r="E11" s="113"/>
      <c r="F11" s="113"/>
      <c r="G11" s="113"/>
      <c r="H11" s="113"/>
      <c r="I11" s="113"/>
      <c r="J11" s="113"/>
      <c r="K11" s="113"/>
      <c r="L11" s="113"/>
      <c r="M11" s="114"/>
    </row>
    <row r="12" spans="2:14" x14ac:dyDescent="0.3">
      <c r="B12" s="35"/>
      <c r="C12" s="25" t="s">
        <v>57</v>
      </c>
      <c r="D12" s="24" t="s">
        <v>42</v>
      </c>
      <c r="E12" s="24" t="s">
        <v>26</v>
      </c>
      <c r="F12" s="24" t="s">
        <v>62</v>
      </c>
      <c r="G12" s="24" t="s">
        <v>36</v>
      </c>
      <c r="H12" s="24" t="s">
        <v>55</v>
      </c>
      <c r="I12" s="24" t="s">
        <v>34</v>
      </c>
      <c r="J12" s="24" t="s">
        <v>58</v>
      </c>
      <c r="K12" s="24" t="s">
        <v>42</v>
      </c>
      <c r="L12" s="16" t="s">
        <v>54</v>
      </c>
      <c r="M12" s="27" t="s">
        <v>56</v>
      </c>
    </row>
    <row r="13" spans="2:14" x14ac:dyDescent="0.3">
      <c r="B13" s="35">
        <v>216</v>
      </c>
      <c r="C13" s="18">
        <f>C15/3*2</f>
        <v>41070.166666666664</v>
      </c>
      <c r="D13" s="17">
        <f>C13/C15</f>
        <v>0.66666666666666663</v>
      </c>
      <c r="E13" s="17">
        <f>C13-E6</f>
        <v>1070.1666666666642</v>
      </c>
      <c r="F13" s="66">
        <f>E13/C13</f>
        <v>2.6057032476939815E-2</v>
      </c>
      <c r="G13" s="17">
        <f>E13*0.2</f>
        <v>214.03333333333285</v>
      </c>
      <c r="H13" s="17">
        <v>214.03299999999999</v>
      </c>
      <c r="I13" s="17">
        <v>0</v>
      </c>
      <c r="J13" s="17">
        <f>C13-H13</f>
        <v>40856.133666666661</v>
      </c>
      <c r="K13" s="71">
        <f>J13/J15</f>
        <v>0.66550454060336783</v>
      </c>
      <c r="L13" s="17">
        <f>H13</f>
        <v>214.03299999999999</v>
      </c>
      <c r="M13" s="19">
        <f>J13+L13-D6</f>
        <v>1070.1666666666642</v>
      </c>
    </row>
    <row r="14" spans="2:14" x14ac:dyDescent="0.3">
      <c r="B14" s="35" t="s">
        <v>32</v>
      </c>
      <c r="C14" s="18">
        <f>C15/3</f>
        <v>20535.083333333332</v>
      </c>
      <c r="D14" s="17">
        <f>C14/C15</f>
        <v>0.33333333333333331</v>
      </c>
      <c r="E14" s="17">
        <f>C14-E7</f>
        <v>535.08333333333212</v>
      </c>
      <c r="F14" s="66">
        <f t="shared" ref="F14:F15" si="0">E14/C14</f>
        <v>2.6057032476939815E-2</v>
      </c>
      <c r="G14" s="17">
        <f t="shared" ref="G14:G15" si="1">E14*0.2</f>
        <v>107.01666666666642</v>
      </c>
      <c r="H14" s="17">
        <v>0</v>
      </c>
      <c r="I14" s="17">
        <v>0</v>
      </c>
      <c r="J14" s="17">
        <f>C14+I14</f>
        <v>20535.083333333332</v>
      </c>
      <c r="K14" s="71">
        <f>J14/J15</f>
        <v>0.33449545939663217</v>
      </c>
      <c r="L14" s="17">
        <f t="shared" ref="L14:L15" si="2">H14</f>
        <v>0</v>
      </c>
      <c r="M14" s="19">
        <f>C14-D7+L14</f>
        <v>535.08333333333212</v>
      </c>
    </row>
    <row r="15" spans="2:14" ht="24" thickBot="1" x14ac:dyDescent="0.35">
      <c r="B15" s="36" t="s">
        <v>43</v>
      </c>
      <c r="C15" s="20">
        <v>61605.25</v>
      </c>
      <c r="D15" s="23">
        <v>1</v>
      </c>
      <c r="E15" s="21">
        <f>C15-E8</f>
        <v>1605.25</v>
      </c>
      <c r="F15" s="69">
        <f t="shared" si="0"/>
        <v>2.605703247693987E-2</v>
      </c>
      <c r="G15" s="21">
        <f t="shared" si="1"/>
        <v>321.05</v>
      </c>
      <c r="H15" s="21">
        <f>SUM(H13:H14)</f>
        <v>214.03299999999999</v>
      </c>
      <c r="I15" s="21">
        <f>I13+I14</f>
        <v>0</v>
      </c>
      <c r="J15" s="21">
        <f>J13+J14</f>
        <v>61391.21699999999</v>
      </c>
      <c r="K15" s="37">
        <v>1</v>
      </c>
      <c r="L15" s="21">
        <f t="shared" si="2"/>
        <v>214.03299999999999</v>
      </c>
      <c r="M15" s="22">
        <f>J15+L15-D8</f>
        <v>1605.2499999999927</v>
      </c>
    </row>
    <row r="17" spans="2:14" s="39" customFormat="1" ht="24" thickBot="1" x14ac:dyDescent="0.35">
      <c r="B17" s="43"/>
      <c r="K17" s="43"/>
    </row>
    <row r="18" spans="2:14" s="39" customFormat="1" x14ac:dyDescent="0.3">
      <c r="B18" s="72"/>
      <c r="C18" s="109">
        <v>20160708</v>
      </c>
      <c r="D18" s="110"/>
      <c r="E18" s="110"/>
      <c r="F18" s="110"/>
      <c r="G18" s="110"/>
      <c r="H18" s="110"/>
      <c r="I18" s="110"/>
      <c r="J18" s="110"/>
      <c r="K18" s="110"/>
      <c r="L18" s="110"/>
      <c r="M18" s="110"/>
      <c r="N18" s="111"/>
    </row>
    <row r="19" spans="2:14" s="39" customFormat="1" x14ac:dyDescent="0.3">
      <c r="B19" s="40"/>
      <c r="C19" s="41" t="s">
        <v>57</v>
      </c>
      <c r="D19" s="41" t="s">
        <v>42</v>
      </c>
      <c r="E19" s="41" t="s">
        <v>44</v>
      </c>
      <c r="F19" s="41" t="s">
        <v>62</v>
      </c>
      <c r="G19" s="41" t="s">
        <v>36</v>
      </c>
      <c r="H19" s="41" t="s">
        <v>55</v>
      </c>
      <c r="I19" s="41" t="s">
        <v>34</v>
      </c>
      <c r="J19" s="41" t="s">
        <v>58</v>
      </c>
      <c r="K19" s="41" t="s">
        <v>42</v>
      </c>
      <c r="L19" s="64" t="s">
        <v>54</v>
      </c>
      <c r="M19" s="41" t="s">
        <v>56</v>
      </c>
      <c r="N19" s="65" t="s">
        <v>61</v>
      </c>
    </row>
    <row r="20" spans="2:14" s="39" customFormat="1" x14ac:dyDescent="0.3">
      <c r="B20" s="40">
        <v>216</v>
      </c>
      <c r="C20" s="66">
        <f>C22*D20</f>
        <v>40900.291432439146</v>
      </c>
      <c r="D20" s="66">
        <f>K13</f>
        <v>0.66550454060336783</v>
      </c>
      <c r="E20" s="66">
        <f>C20-J13</f>
        <v>44.157765772484709</v>
      </c>
      <c r="F20" s="66">
        <f>E20/C20</f>
        <v>1.0796442818855312E-3</v>
      </c>
      <c r="G20" s="66">
        <f>E20*0.2</f>
        <v>8.8315531544969428</v>
      </c>
      <c r="H20" s="66">
        <v>8.83</v>
      </c>
      <c r="I20" s="66">
        <v>0</v>
      </c>
      <c r="J20" s="66">
        <f>C20-H20</f>
        <v>40891.461432439144</v>
      </c>
      <c r="K20" s="67">
        <f>J20/J22</f>
        <v>0.66545647460657964</v>
      </c>
      <c r="L20" s="66">
        <f>L13+H20</f>
        <v>222.863</v>
      </c>
      <c r="M20" s="66">
        <f>J20+L20-D6</f>
        <v>1114.3244324391417</v>
      </c>
      <c r="N20" s="65">
        <f>M20/D6</f>
        <v>2.7858110810978543E-2</v>
      </c>
    </row>
    <row r="21" spans="2:14" s="39" customFormat="1" x14ac:dyDescent="0.3">
      <c r="B21" s="40" t="s">
        <v>32</v>
      </c>
      <c r="C21" s="66">
        <f>C22*D21</f>
        <v>20557.277880848524</v>
      </c>
      <c r="D21" s="66">
        <f>K14</f>
        <v>0.33449545939663217</v>
      </c>
      <c r="E21" s="66">
        <f>C21-J14</f>
        <v>22.194547515191516</v>
      </c>
      <c r="F21" s="66">
        <f t="shared" ref="F21:F22" si="3">E21/C21</f>
        <v>1.0796442818856041E-3</v>
      </c>
      <c r="G21" s="66">
        <f>E21*0.2</f>
        <v>4.4389095030383032</v>
      </c>
      <c r="H21" s="66">
        <v>0</v>
      </c>
      <c r="I21" s="66">
        <v>0</v>
      </c>
      <c r="J21" s="66">
        <f t="shared" ref="J21:J22" si="4">C21-H21</f>
        <v>20557.277880848524</v>
      </c>
      <c r="K21" s="67">
        <f>J21/J22</f>
        <v>0.33454352539342042</v>
      </c>
      <c r="L21" s="66">
        <f t="shared" ref="L21:L22" si="5">L14+H21</f>
        <v>0</v>
      </c>
      <c r="M21" s="66">
        <f t="shared" ref="M21:M22" si="6">J21+L21-D7</f>
        <v>557.27788084852364</v>
      </c>
      <c r="N21" s="65">
        <f>M21/D7</f>
        <v>2.7863894042426181E-2</v>
      </c>
    </row>
    <row r="22" spans="2:14" s="39" customFormat="1" ht="24" thickBot="1" x14ac:dyDescent="0.35">
      <c r="B22" s="73" t="s">
        <v>43</v>
      </c>
      <c r="C22" s="68">
        <f>资产结构!D6+资产结构!D7+资产结构!D8+资产结构!D9+资产结构!D10+资产结构!D11</f>
        <v>61457.56931328767</v>
      </c>
      <c r="D22" s="68">
        <v>1</v>
      </c>
      <c r="E22" s="69">
        <f>SUM(E20:E21)</f>
        <v>66.352313287676225</v>
      </c>
      <c r="F22" s="69">
        <f t="shared" si="3"/>
        <v>1.0796442818855555E-3</v>
      </c>
      <c r="G22" s="69">
        <f>G20+G21</f>
        <v>13.270462657535246</v>
      </c>
      <c r="H22" s="69">
        <f>H20+H21</f>
        <v>8.83</v>
      </c>
      <c r="I22" s="69">
        <v>0</v>
      </c>
      <c r="J22" s="66">
        <f t="shared" si="4"/>
        <v>61448.739313287668</v>
      </c>
      <c r="K22" s="70">
        <f>J22/J22</f>
        <v>1</v>
      </c>
      <c r="L22" s="66">
        <f t="shared" si="5"/>
        <v>222.863</v>
      </c>
      <c r="M22" s="66">
        <f t="shared" si="6"/>
        <v>1671.6023132876653</v>
      </c>
      <c r="N22" s="74">
        <f>M22/D8</f>
        <v>2.7860038554794422E-2</v>
      </c>
    </row>
    <row r="23" spans="2:14" s="39" customFormat="1" x14ac:dyDescent="0.3">
      <c r="B23" s="43" t="s">
        <v>67</v>
      </c>
      <c r="C23" s="39">
        <v>60400</v>
      </c>
      <c r="K23" s="43"/>
    </row>
    <row r="24" spans="2:14" x14ac:dyDescent="0.3">
      <c r="D24" s="14"/>
      <c r="M24" s="9">
        <f>M21/M20</f>
        <v>0.50010379798341098</v>
      </c>
    </row>
    <row r="25" spans="2:14" x14ac:dyDescent="0.3">
      <c r="M25" s="14">
        <f>M20+L20</f>
        <v>1337.1874324391417</v>
      </c>
    </row>
    <row r="26" spans="2:14" ht="24" thickBot="1" x14ac:dyDescent="0.35"/>
    <row r="27" spans="2:14" x14ac:dyDescent="0.3">
      <c r="B27" s="72"/>
      <c r="C27" s="109">
        <v>20160808</v>
      </c>
      <c r="D27" s="110"/>
      <c r="E27" s="110"/>
      <c r="F27" s="110"/>
      <c r="G27" s="110"/>
      <c r="H27" s="110"/>
      <c r="I27" s="110"/>
      <c r="J27" s="110"/>
      <c r="K27" s="110"/>
      <c r="L27" s="110"/>
      <c r="M27" s="110"/>
      <c r="N27" s="111"/>
    </row>
    <row r="28" spans="2:14" x14ac:dyDescent="0.3">
      <c r="B28" s="40"/>
      <c r="C28" s="41" t="s">
        <v>57</v>
      </c>
      <c r="D28" s="41" t="s">
        <v>42</v>
      </c>
      <c r="E28" s="41" t="s">
        <v>44</v>
      </c>
      <c r="F28" s="41" t="s">
        <v>62</v>
      </c>
      <c r="G28" s="41" t="s">
        <v>36</v>
      </c>
      <c r="H28" s="41" t="s">
        <v>55</v>
      </c>
      <c r="I28" s="41" t="s">
        <v>34</v>
      </c>
      <c r="J28" s="41" t="s">
        <v>58</v>
      </c>
      <c r="K28" s="41" t="s">
        <v>42</v>
      </c>
      <c r="L28" s="64" t="s">
        <v>54</v>
      </c>
      <c r="M28" s="41" t="s">
        <v>56</v>
      </c>
      <c r="N28" s="65" t="s">
        <v>61</v>
      </c>
    </row>
    <row r="29" spans="2:14" x14ac:dyDescent="0.3">
      <c r="B29" s="40">
        <v>216</v>
      </c>
      <c r="C29" s="66">
        <f>C31*D29</f>
        <v>41227.122327583667</v>
      </c>
      <c r="D29" s="66">
        <f>K20</f>
        <v>0.66545647460657964</v>
      </c>
      <c r="E29" s="66">
        <f>C29-J20</f>
        <v>335.66089514452324</v>
      </c>
      <c r="F29" s="66">
        <f>E29/C29</f>
        <v>8.1417493192325954E-3</v>
      </c>
      <c r="G29" s="66">
        <f>E29*0.2</f>
        <v>67.132179028904645</v>
      </c>
      <c r="H29" s="66">
        <v>67.13</v>
      </c>
      <c r="I29" s="66">
        <v>0</v>
      </c>
      <c r="J29" s="66">
        <f>C29-H29</f>
        <v>41159.99232758367</v>
      </c>
      <c r="K29" s="101">
        <f>J29/J31</f>
        <v>0.66509358314575606</v>
      </c>
      <c r="L29" s="66">
        <v>289.99299999999999</v>
      </c>
      <c r="M29" s="66">
        <f>J29+L29-40000</f>
        <v>1449.9853275836722</v>
      </c>
      <c r="N29" s="65">
        <f>M29/40000</f>
        <v>3.6249633189591804E-2</v>
      </c>
    </row>
    <row r="30" spans="2:14" x14ac:dyDescent="0.3">
      <c r="B30" s="40" t="s">
        <v>32</v>
      </c>
      <c r="C30" s="66">
        <f>C31*D30</f>
        <v>20726.023972416344</v>
      </c>
      <c r="D30" s="66">
        <f>K21</f>
        <v>0.33454352539342042</v>
      </c>
      <c r="E30" s="66">
        <f>C30-J21</f>
        <v>168.74609156782026</v>
      </c>
      <c r="F30" s="66">
        <f t="shared" ref="F30:F31" si="7">E30/C30</f>
        <v>8.1417493192326457E-3</v>
      </c>
      <c r="G30" s="66">
        <f>E30*0.2</f>
        <v>33.74921831356405</v>
      </c>
      <c r="H30" s="66">
        <v>0</v>
      </c>
      <c r="I30" s="66">
        <v>0</v>
      </c>
      <c r="J30" s="66">
        <f t="shared" ref="J30:J31" si="8">C30-H30</f>
        <v>20726.023972416344</v>
      </c>
      <c r="K30" s="101">
        <f>J30/J31</f>
        <v>0.33490641685424405</v>
      </c>
      <c r="L30" s="66">
        <f t="shared" ref="L30" si="9">L23+H30</f>
        <v>0</v>
      </c>
      <c r="M30" s="66">
        <f>C30+L30-20000</f>
        <v>726.0239724163439</v>
      </c>
      <c r="N30" s="65">
        <f>M30/20000</f>
        <v>3.6301198620817196E-2</v>
      </c>
    </row>
    <row r="31" spans="2:14" ht="24" thickBot="1" x14ac:dyDescent="0.35">
      <c r="B31" s="73" t="s">
        <v>43</v>
      </c>
      <c r="C31" s="68">
        <f>资产结构!D33</f>
        <v>61953.146300000008</v>
      </c>
      <c r="D31" s="68">
        <v>1</v>
      </c>
      <c r="E31" s="69">
        <f>SUM(E29:E30)</f>
        <v>504.4069867123435</v>
      </c>
      <c r="F31" s="69">
        <f t="shared" si="7"/>
        <v>8.1417493192326128E-3</v>
      </c>
      <c r="G31" s="69">
        <f>G29+G30</f>
        <v>100.88139734246869</v>
      </c>
      <c r="H31" s="69">
        <f>H29+H30</f>
        <v>67.13</v>
      </c>
      <c r="I31" s="69">
        <v>0</v>
      </c>
      <c r="J31" s="66">
        <f t="shared" si="8"/>
        <v>61886.01630000001</v>
      </c>
      <c r="K31" s="70">
        <f>J31/J31</f>
        <v>1</v>
      </c>
      <c r="L31" s="66">
        <f>L29+L30</f>
        <v>289.99299999999999</v>
      </c>
      <c r="M31" s="66">
        <f>M29+M30</f>
        <v>2176.0093000000161</v>
      </c>
      <c r="N31" s="74">
        <f>(C31+L31)/60000-1</f>
        <v>3.738565500000024E-2</v>
      </c>
    </row>
    <row r="32" spans="2:14" x14ac:dyDescent="0.3">
      <c r="B32" s="76" t="s">
        <v>67</v>
      </c>
      <c r="C32" s="39">
        <f>60000*0.04/12*3+60000</f>
        <v>60600</v>
      </c>
    </row>
    <row r="34" spans="2:16" ht="24" thickBot="1" x14ac:dyDescent="0.35"/>
    <row r="35" spans="2:16" x14ac:dyDescent="0.3">
      <c r="B35" s="72"/>
      <c r="C35" s="109">
        <v>20160825</v>
      </c>
      <c r="D35" s="110"/>
      <c r="E35" s="110"/>
      <c r="F35" s="110"/>
      <c r="G35" s="110"/>
      <c r="H35" s="110"/>
      <c r="I35" s="110"/>
      <c r="J35" s="110"/>
      <c r="K35" s="110"/>
      <c r="L35" s="110"/>
      <c r="M35" s="110"/>
      <c r="N35" s="110"/>
      <c r="O35" s="111"/>
    </row>
    <row r="36" spans="2:16" x14ac:dyDescent="0.3">
      <c r="B36" s="40"/>
      <c r="C36" s="41" t="s">
        <v>57</v>
      </c>
      <c r="D36" s="41" t="s">
        <v>42</v>
      </c>
      <c r="E36" s="41" t="s">
        <v>44</v>
      </c>
      <c r="F36" s="41" t="s">
        <v>62</v>
      </c>
      <c r="G36" s="41" t="s">
        <v>36</v>
      </c>
      <c r="H36" s="41" t="s">
        <v>55</v>
      </c>
      <c r="I36" s="41" t="s">
        <v>34</v>
      </c>
      <c r="J36" s="41" t="s">
        <v>58</v>
      </c>
      <c r="K36" s="41" t="s">
        <v>42</v>
      </c>
      <c r="L36" s="64" t="s">
        <v>54</v>
      </c>
      <c r="M36" s="41" t="s">
        <v>56</v>
      </c>
      <c r="N36" s="64" t="s">
        <v>61</v>
      </c>
      <c r="O36" s="86" t="s">
        <v>90</v>
      </c>
    </row>
    <row r="37" spans="2:16" x14ac:dyDescent="0.3">
      <c r="B37" s="40">
        <v>216</v>
      </c>
      <c r="C37" s="66">
        <f>C39*D37</f>
        <v>42306.299745799268</v>
      </c>
      <c r="D37" s="66">
        <v>0.66509358314575606</v>
      </c>
      <c r="E37" s="66">
        <f>C37-J29</f>
        <v>1146.3074182155979</v>
      </c>
      <c r="F37" s="66">
        <f>E37/C37</f>
        <v>2.7095430824800947E-2</v>
      </c>
      <c r="G37" s="66">
        <f>E37*0.2</f>
        <v>229.26148364311959</v>
      </c>
      <c r="H37" s="85">
        <f>ROUND(G37,2)</f>
        <v>229.26</v>
      </c>
      <c r="I37" s="66">
        <v>0</v>
      </c>
      <c r="J37" s="66">
        <f>C37-H37</f>
        <v>42077.039745799266</v>
      </c>
      <c r="K37" s="100">
        <f>J37/J39</f>
        <v>0.66388215523932081</v>
      </c>
      <c r="L37" s="66">
        <f>289.93+H37</f>
        <v>519.19000000000005</v>
      </c>
      <c r="M37" s="66">
        <f>J37+L37-40000</f>
        <v>2596.2297457992681</v>
      </c>
      <c r="N37" s="64">
        <f>M37/40000</f>
        <v>6.4905743644981709E-2</v>
      </c>
      <c r="O37" s="19">
        <f t="shared" ref="O37:O38" si="10">J37+L37</f>
        <v>42596.229745799268</v>
      </c>
    </row>
    <row r="38" spans="2:16" x14ac:dyDescent="0.3">
      <c r="B38" s="40" t="s">
        <v>32</v>
      </c>
      <c r="C38" s="66">
        <f>C39*D38</f>
        <v>21303.244561783977</v>
      </c>
      <c r="D38" s="66">
        <v>0.33490641685424405</v>
      </c>
      <c r="E38" s="66">
        <f>C38-J30</f>
        <v>577.22058936763278</v>
      </c>
      <c r="F38" s="66">
        <f t="shared" ref="F38:F39" si="11">E38/C38</f>
        <v>2.7095430824800856E-2</v>
      </c>
      <c r="G38" s="66">
        <f>E38*0.2</f>
        <v>115.44411787352657</v>
      </c>
      <c r="H38" s="66">
        <v>0</v>
      </c>
      <c r="I38" s="66">
        <v>0</v>
      </c>
      <c r="J38" s="66">
        <f t="shared" ref="J38" si="12">C38-H38</f>
        <v>21303.244561783977</v>
      </c>
      <c r="K38" s="100">
        <f>J38/J39</f>
        <v>0.33611784476067924</v>
      </c>
      <c r="L38" s="66">
        <v>0</v>
      </c>
      <c r="M38" s="66">
        <f>C38-20000</f>
        <v>1303.2445617839767</v>
      </c>
      <c r="N38" s="64">
        <f>M38/20000</f>
        <v>6.5162228089198831E-2</v>
      </c>
      <c r="O38" s="19">
        <f t="shared" si="10"/>
        <v>21303.244561783977</v>
      </c>
    </row>
    <row r="39" spans="2:16" ht="24" thickBot="1" x14ac:dyDescent="0.35">
      <c r="B39" s="73" t="s">
        <v>43</v>
      </c>
      <c r="C39" s="68">
        <f>资产结构!D43</f>
        <v>63609.544307583237</v>
      </c>
      <c r="D39" s="68">
        <v>1</v>
      </c>
      <c r="E39" s="69">
        <f>SUM(E37:E38)</f>
        <v>1723.5280075832306</v>
      </c>
      <c r="F39" s="69">
        <f t="shared" si="11"/>
        <v>2.7095430824800919E-2</v>
      </c>
      <c r="G39" s="69">
        <f>G37+G38</f>
        <v>344.70560151664614</v>
      </c>
      <c r="H39" s="69">
        <f>SUM(H37:H38)</f>
        <v>229.26</v>
      </c>
      <c r="I39" s="69">
        <v>0</v>
      </c>
      <c r="J39" s="69">
        <f>C39-H39</f>
        <v>63380.284307583235</v>
      </c>
      <c r="K39" s="70">
        <f>J39/J39</f>
        <v>1</v>
      </c>
      <c r="L39" s="69">
        <f>L37+L38</f>
        <v>519.19000000000005</v>
      </c>
      <c r="M39" s="69">
        <f>M37+M38</f>
        <v>3899.4743075832448</v>
      </c>
      <c r="N39" s="87">
        <f>(J39+L39)/60000-1</f>
        <v>6.4991238459720657E-2</v>
      </c>
      <c r="O39" s="22">
        <f>J39+L39</f>
        <v>63899.474307583238</v>
      </c>
    </row>
    <row r="40" spans="2:16" x14ac:dyDescent="0.3">
      <c r="K40" s="83"/>
      <c r="O40" s="84" t="s">
        <v>67</v>
      </c>
      <c r="P40" s="39">
        <v>60700</v>
      </c>
    </row>
    <row r="41" spans="2:16" ht="24" thickBot="1" x14ac:dyDescent="0.35"/>
    <row r="42" spans="2:16" x14ac:dyDescent="0.3">
      <c r="B42" s="72"/>
      <c r="C42" s="109">
        <v>20160906</v>
      </c>
      <c r="D42" s="110"/>
      <c r="E42" s="110"/>
      <c r="F42" s="110"/>
      <c r="G42" s="110"/>
      <c r="H42" s="110"/>
      <c r="I42" s="110"/>
      <c r="J42" s="110"/>
      <c r="K42" s="110"/>
      <c r="L42" s="110"/>
      <c r="M42" s="110"/>
      <c r="N42" s="110"/>
      <c r="O42" s="111"/>
    </row>
    <row r="43" spans="2:16" x14ac:dyDescent="0.3">
      <c r="B43" s="40"/>
      <c r="C43" s="41" t="s">
        <v>57</v>
      </c>
      <c r="D43" s="41" t="s">
        <v>42</v>
      </c>
      <c r="E43" s="41" t="s">
        <v>44</v>
      </c>
      <c r="F43" s="41" t="s">
        <v>62</v>
      </c>
      <c r="G43" s="41" t="s">
        <v>36</v>
      </c>
      <c r="H43" s="41" t="s">
        <v>55</v>
      </c>
      <c r="I43" s="41" t="s">
        <v>34</v>
      </c>
      <c r="J43" s="41" t="s">
        <v>58</v>
      </c>
      <c r="K43" s="41" t="s">
        <v>42</v>
      </c>
      <c r="L43" s="64" t="s">
        <v>54</v>
      </c>
      <c r="M43" s="41" t="s">
        <v>56</v>
      </c>
      <c r="N43" s="64" t="s">
        <v>61</v>
      </c>
      <c r="O43" s="86" t="s">
        <v>90</v>
      </c>
    </row>
    <row r="44" spans="2:16" x14ac:dyDescent="0.3">
      <c r="B44" s="40">
        <v>216</v>
      </c>
      <c r="C44" s="66">
        <f>C46*D44</f>
        <v>42275.869028111563</v>
      </c>
      <c r="D44" s="100">
        <v>0.66388215523932081</v>
      </c>
      <c r="E44" s="66">
        <f>C44-J37</f>
        <v>198.82928231229744</v>
      </c>
      <c r="F44" s="66">
        <f>E44/C44</f>
        <v>4.7031388563552618E-3</v>
      </c>
      <c r="G44" s="66">
        <f>E44*0.2</f>
        <v>39.765856462459489</v>
      </c>
      <c r="H44" s="85">
        <f>ROUND(G44,2)</f>
        <v>39.770000000000003</v>
      </c>
      <c r="I44" s="66">
        <v>0</v>
      </c>
      <c r="J44" s="66">
        <f>C44-H44</f>
        <v>42236.099028111566</v>
      </c>
      <c r="K44" s="100">
        <f>J44/J46</f>
        <v>0.66367210802429988</v>
      </c>
      <c r="L44" s="66">
        <f>519.19+H44</f>
        <v>558.96</v>
      </c>
      <c r="M44" s="66">
        <f>J44+L44-40000</f>
        <v>2795.0590281115656</v>
      </c>
      <c r="N44" s="64">
        <f>M44/40000</f>
        <v>6.987647570278914E-2</v>
      </c>
      <c r="O44" s="19">
        <f t="shared" ref="O44:O45" si="13">J44+L44</f>
        <v>42795.059028111566</v>
      </c>
    </row>
    <row r="45" spans="2:16" x14ac:dyDescent="0.3">
      <c r="B45" s="40" t="s">
        <v>32</v>
      </c>
      <c r="C45" s="66">
        <f>C46*D45</f>
        <v>21403.910123162157</v>
      </c>
      <c r="D45" s="100">
        <v>0.33611784476067924</v>
      </c>
      <c r="E45" s="66">
        <f>C45-J38</f>
        <v>100.66556137818043</v>
      </c>
      <c r="F45" s="66">
        <f t="shared" ref="F45:F46" si="14">E45/C45</f>
        <v>4.7031388563552965E-3</v>
      </c>
      <c r="G45" s="66">
        <f>E45*0.2</f>
        <v>20.133112275636087</v>
      </c>
      <c r="H45" s="66">
        <v>0</v>
      </c>
      <c r="I45" s="66">
        <v>0</v>
      </c>
      <c r="J45" s="66">
        <f t="shared" ref="J45" si="15">C45-H45</f>
        <v>21403.910123162157</v>
      </c>
      <c r="K45" s="100">
        <f>J45/J46</f>
        <v>0.33632789197570018</v>
      </c>
      <c r="L45" s="66">
        <v>0</v>
      </c>
      <c r="M45" s="66">
        <f>C45-20000</f>
        <v>1403.9101231621571</v>
      </c>
      <c r="N45" s="64">
        <f>M45/20000</f>
        <v>7.0195506158107851E-2</v>
      </c>
      <c r="O45" s="19">
        <f t="shared" si="13"/>
        <v>21403.910123162157</v>
      </c>
    </row>
    <row r="46" spans="2:16" ht="24" thickBot="1" x14ac:dyDescent="0.35">
      <c r="B46" s="73" t="s">
        <v>43</v>
      </c>
      <c r="C46" s="68">
        <f>资产结构!D53</f>
        <v>63679.779151273717</v>
      </c>
      <c r="D46" s="70">
        <v>1</v>
      </c>
      <c r="E46" s="69">
        <f>SUM(E44:E45)</f>
        <v>299.49484369047786</v>
      </c>
      <c r="F46" s="69">
        <f t="shared" si="14"/>
        <v>4.703138856355274E-3</v>
      </c>
      <c r="G46" s="69">
        <f>G44+G45</f>
        <v>59.898968738095576</v>
      </c>
      <c r="H46" s="69">
        <f>SUM(H44:H45)</f>
        <v>39.770000000000003</v>
      </c>
      <c r="I46" s="69">
        <v>0</v>
      </c>
      <c r="J46" s="69">
        <f>C46-H46</f>
        <v>63640.00915127372</v>
      </c>
      <c r="K46" s="70">
        <f>J46/J46</f>
        <v>1</v>
      </c>
      <c r="L46" s="69">
        <f>L44+L45</f>
        <v>558.96</v>
      </c>
      <c r="M46" s="69">
        <f>M44+M45</f>
        <v>4198.9691512737227</v>
      </c>
      <c r="N46" s="87">
        <f>(J46+L46)/60000-1</f>
        <v>6.9982819187895284E-2</v>
      </c>
      <c r="O46" s="22">
        <f>J46+L46</f>
        <v>64198.969151273719</v>
      </c>
    </row>
    <row r="47" spans="2:16" x14ac:dyDescent="0.3">
      <c r="B47" s="97"/>
      <c r="K47" s="97"/>
      <c r="O47" s="98" t="s">
        <v>67</v>
      </c>
      <c r="P47" s="39">
        <v>60800</v>
      </c>
    </row>
    <row r="49" spans="2:16" ht="24" thickBot="1" x14ac:dyDescent="0.35"/>
    <row r="50" spans="2:16" x14ac:dyDescent="0.3">
      <c r="B50" s="72"/>
      <c r="C50" s="109">
        <v>20160921</v>
      </c>
      <c r="D50" s="110"/>
      <c r="E50" s="110"/>
      <c r="F50" s="110"/>
      <c r="G50" s="110"/>
      <c r="H50" s="110"/>
      <c r="I50" s="110"/>
      <c r="J50" s="110"/>
      <c r="K50" s="110"/>
      <c r="L50" s="110"/>
      <c r="M50" s="110"/>
      <c r="N50" s="110"/>
      <c r="O50" s="111"/>
    </row>
    <row r="51" spans="2:16" x14ac:dyDescent="0.3">
      <c r="B51" s="40"/>
      <c r="C51" s="41" t="s">
        <v>57</v>
      </c>
      <c r="D51" s="41" t="s">
        <v>42</v>
      </c>
      <c r="E51" s="41" t="s">
        <v>44</v>
      </c>
      <c r="F51" s="41" t="s">
        <v>62</v>
      </c>
      <c r="G51" s="41" t="s">
        <v>36</v>
      </c>
      <c r="H51" s="41" t="s">
        <v>55</v>
      </c>
      <c r="I51" s="41" t="s">
        <v>34</v>
      </c>
      <c r="J51" s="41" t="s">
        <v>58</v>
      </c>
      <c r="K51" s="41" t="s">
        <v>42</v>
      </c>
      <c r="L51" s="64" t="s">
        <v>54</v>
      </c>
      <c r="M51" s="41" t="s">
        <v>56</v>
      </c>
      <c r="N51" s="64" t="s">
        <v>61</v>
      </c>
      <c r="O51" s="86" t="s">
        <v>90</v>
      </c>
    </row>
    <row r="52" spans="2:16" x14ac:dyDescent="0.3">
      <c r="B52" s="40">
        <v>216</v>
      </c>
      <c r="C52" s="66">
        <f>C54*D52</f>
        <v>42243.189713341802</v>
      </c>
      <c r="D52" s="100">
        <v>0.66367210802429988</v>
      </c>
      <c r="E52" s="66">
        <f>C52-J44</f>
        <v>7.0906852302359766</v>
      </c>
      <c r="F52" s="66">
        <f>E52/C52</f>
        <v>1.6785392576537615E-4</v>
      </c>
      <c r="G52" s="66">
        <f>E52*0.2</f>
        <v>1.4181370460471954</v>
      </c>
      <c r="H52" s="85">
        <f>ROUND(G52,2)</f>
        <v>1.42</v>
      </c>
      <c r="I52" s="66">
        <v>0</v>
      </c>
      <c r="J52" s="66">
        <f>C52-H52</f>
        <v>42241.769713341804</v>
      </c>
      <c r="K52" s="100">
        <f>J52/J54</f>
        <v>0.66366460462979393</v>
      </c>
      <c r="L52" s="66">
        <f>558.96+H52</f>
        <v>560.38</v>
      </c>
      <c r="M52" s="66">
        <f>J52+L52-40000</f>
        <v>2802.1497133418015</v>
      </c>
      <c r="N52" s="64">
        <f>M52/40000</f>
        <v>7.0053742833545041E-2</v>
      </c>
      <c r="O52" s="19">
        <f t="shared" ref="O52:O53" si="16">J52+L52</f>
        <v>42802.149713341802</v>
      </c>
    </row>
    <row r="53" spans="2:16" x14ac:dyDescent="0.3">
      <c r="B53" s="40" t="s">
        <v>32</v>
      </c>
      <c r="C53" s="66">
        <f>C54*D53</f>
        <v>21407.503456658196</v>
      </c>
      <c r="D53" s="100">
        <v>0.33632789197570018</v>
      </c>
      <c r="E53" s="66">
        <f>C53-J45</f>
        <v>3.5933334960391221</v>
      </c>
      <c r="F53" s="66">
        <f t="shared" ref="F53:F54" si="17">E53/C53</f>
        <v>1.6785392576552488E-4</v>
      </c>
      <c r="G53" s="66">
        <f>E53*0.2</f>
        <v>0.71866669920782444</v>
      </c>
      <c r="H53" s="66">
        <v>0</v>
      </c>
      <c r="I53" s="66">
        <v>0</v>
      </c>
      <c r="J53" s="66">
        <f t="shared" ref="J53" si="18">C53-H53</f>
        <v>21407.503456658196</v>
      </c>
      <c r="K53" s="100">
        <f>J53/J54</f>
        <v>0.33633539537020601</v>
      </c>
      <c r="L53" s="66">
        <v>0</v>
      </c>
      <c r="M53" s="66">
        <f>J53-20000</f>
        <v>1407.5034566581962</v>
      </c>
      <c r="N53" s="64">
        <f>M53/20000</f>
        <v>7.037517283290981E-2</v>
      </c>
      <c r="O53" s="19">
        <f t="shared" si="16"/>
        <v>21407.503456658196</v>
      </c>
    </row>
    <row r="54" spans="2:16" ht="24" thickBot="1" x14ac:dyDescent="0.35">
      <c r="B54" s="73" t="s">
        <v>43</v>
      </c>
      <c r="C54" s="68">
        <f>资产结构!D63</f>
        <v>63650.693169999999</v>
      </c>
      <c r="D54" s="70">
        <v>1</v>
      </c>
      <c r="E54" s="69">
        <f>SUM(E52:E53)</f>
        <v>10.684018726275099</v>
      </c>
      <c r="F54" s="69">
        <f t="shared" si="17"/>
        <v>1.6785392576542619E-4</v>
      </c>
      <c r="G54" s="69">
        <f>G52+G53</f>
        <v>2.1368037452550199</v>
      </c>
      <c r="H54" s="69">
        <f>SUM(H52:H53)</f>
        <v>1.42</v>
      </c>
      <c r="I54" s="69">
        <v>0</v>
      </c>
      <c r="J54" s="69">
        <f>C54-H54</f>
        <v>63649.27317</v>
      </c>
      <c r="K54" s="70">
        <f>J54/J54</f>
        <v>1</v>
      </c>
      <c r="L54" s="69">
        <f>L52+L53</f>
        <v>560.38</v>
      </c>
      <c r="M54" s="69">
        <f>M52+M53</f>
        <v>4209.6531699999978</v>
      </c>
      <c r="N54" s="87">
        <f>(J54+L54)/60000-1</f>
        <v>7.0160886166666714E-2</v>
      </c>
      <c r="O54" s="22">
        <f>J54+L54</f>
        <v>64209.653169999998</v>
      </c>
    </row>
    <row r="55" spans="2:16" x14ac:dyDescent="0.3">
      <c r="B55" s="102"/>
      <c r="K55" s="102"/>
      <c r="O55" s="103" t="s">
        <v>67</v>
      </c>
      <c r="P55" s="39">
        <v>61000</v>
      </c>
    </row>
  </sheetData>
  <mergeCells count="7">
    <mergeCell ref="C50:O50"/>
    <mergeCell ref="C42:O42"/>
    <mergeCell ref="C18:N18"/>
    <mergeCell ref="C4:E4"/>
    <mergeCell ref="C11:M11"/>
    <mergeCell ref="C27:N27"/>
    <mergeCell ref="C35:O35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L22"/>
  <sheetViews>
    <sheetView topLeftCell="A7" workbookViewId="0">
      <selection activeCell="C6" sqref="C6"/>
    </sheetView>
  </sheetViews>
  <sheetFormatPr baseColWidth="10" defaultRowHeight="23" x14ac:dyDescent="0.3"/>
  <cols>
    <col min="1" max="1" width="10.83203125" style="39"/>
    <col min="2" max="2" width="31.33203125" style="39" bestFit="1" customWidth="1"/>
    <col min="3" max="3" width="18.6640625" style="39" customWidth="1"/>
    <col min="4" max="4" width="38" style="39" customWidth="1"/>
    <col min="5" max="5" width="19.5" style="39" customWidth="1"/>
    <col min="6" max="6" width="17.6640625" style="39" customWidth="1"/>
    <col min="7" max="7" width="11" style="39" bestFit="1" customWidth="1"/>
    <col min="8" max="8" width="16.33203125" style="39" customWidth="1"/>
    <col min="9" max="11" width="11" style="39" bestFit="1" customWidth="1"/>
    <col min="12" max="12" width="19.5" style="39" customWidth="1"/>
    <col min="13" max="16384" width="10.83203125" style="39"/>
  </cols>
  <sheetData>
    <row r="1" spans="3:12" x14ac:dyDescent="0.3">
      <c r="C1" s="118" t="s">
        <v>46</v>
      </c>
      <c r="D1" s="118"/>
      <c r="E1" s="118"/>
      <c r="F1" s="118"/>
    </row>
    <row r="3" spans="3:12" ht="24" thickBot="1" x14ac:dyDescent="0.35"/>
    <row r="4" spans="3:12" x14ac:dyDescent="0.3">
      <c r="C4" s="123" t="s">
        <v>25</v>
      </c>
      <c r="D4" s="110"/>
      <c r="E4" s="110"/>
      <c r="F4" s="111"/>
      <c r="G4" s="119"/>
      <c r="H4" s="119"/>
      <c r="I4" s="119"/>
      <c r="J4" s="119"/>
      <c r="K4" s="119"/>
      <c r="L4" s="119"/>
    </row>
    <row r="5" spans="3:12" s="43" customFormat="1" x14ac:dyDescent="0.3">
      <c r="C5" s="40" t="s">
        <v>23</v>
      </c>
      <c r="D5" s="41" t="s">
        <v>22</v>
      </c>
      <c r="E5" s="41" t="s">
        <v>24</v>
      </c>
      <c r="F5" s="42" t="s">
        <v>26</v>
      </c>
    </row>
    <row r="6" spans="3:12" ht="24" thickBot="1" x14ac:dyDescent="0.35">
      <c r="C6" s="44">
        <v>11866.62</v>
      </c>
      <c r="D6" s="45">
        <v>0.8427</v>
      </c>
      <c r="E6" s="45">
        <f>C6*D6</f>
        <v>10000.000674000001</v>
      </c>
      <c r="F6" s="46">
        <v>0</v>
      </c>
    </row>
    <row r="7" spans="3:12" ht="24" thickBot="1" x14ac:dyDescent="0.35"/>
    <row r="8" spans="3:12" x14ac:dyDescent="0.3">
      <c r="C8" s="120" t="s">
        <v>47</v>
      </c>
      <c r="D8" s="121"/>
      <c r="E8" s="121"/>
      <c r="F8" s="122"/>
    </row>
    <row r="9" spans="3:12" x14ac:dyDescent="0.3">
      <c r="C9" s="47" t="s">
        <v>22</v>
      </c>
      <c r="D9" s="48" t="s">
        <v>24</v>
      </c>
      <c r="E9" s="48" t="s">
        <v>44</v>
      </c>
      <c r="F9" s="49" t="s">
        <v>45</v>
      </c>
    </row>
    <row r="10" spans="3:12" ht="24" thickBot="1" x14ac:dyDescent="0.35">
      <c r="C10" s="50">
        <v>0.8972</v>
      </c>
      <c r="D10" s="51">
        <f>C10*C6</f>
        <v>10646.731464</v>
      </c>
      <c r="E10" s="51">
        <f>D10-E6</f>
        <v>646.73078999999962</v>
      </c>
      <c r="F10" s="52">
        <f>D10-E6</f>
        <v>646.73078999999962</v>
      </c>
    </row>
    <row r="11" spans="3:12" ht="24" thickBot="1" x14ac:dyDescent="0.35"/>
    <row r="12" spans="3:12" x14ac:dyDescent="0.3">
      <c r="C12" s="120" t="s">
        <v>68</v>
      </c>
      <c r="D12" s="121"/>
      <c r="E12" s="121"/>
      <c r="F12" s="122"/>
    </row>
    <row r="13" spans="3:12" x14ac:dyDescent="0.3">
      <c r="C13" s="47" t="s">
        <v>22</v>
      </c>
      <c r="D13" s="48" t="s">
        <v>24</v>
      </c>
      <c r="E13" s="48" t="s">
        <v>44</v>
      </c>
      <c r="F13" s="49" t="s">
        <v>45</v>
      </c>
    </row>
    <row r="14" spans="3:12" ht="24" thickBot="1" x14ac:dyDescent="0.35">
      <c r="C14" s="50">
        <v>0.90249999999999997</v>
      </c>
      <c r="D14" s="51">
        <f>C14*C6</f>
        <v>10709.62455</v>
      </c>
      <c r="E14" s="51">
        <f>D14-D10</f>
        <v>62.893086000000039</v>
      </c>
      <c r="F14" s="52">
        <f>D14-E6</f>
        <v>709.62387599999965</v>
      </c>
    </row>
    <row r="15" spans="3:12" ht="24" thickBot="1" x14ac:dyDescent="0.35"/>
    <row r="16" spans="3:12" x14ac:dyDescent="0.3">
      <c r="C16" s="120" t="s">
        <v>77</v>
      </c>
      <c r="D16" s="121"/>
      <c r="E16" s="121"/>
      <c r="F16" s="122"/>
    </row>
    <row r="17" spans="3:7" x14ac:dyDescent="0.3">
      <c r="C17" s="47" t="s">
        <v>22</v>
      </c>
      <c r="D17" s="48" t="s">
        <v>24</v>
      </c>
      <c r="E17" s="48" t="s">
        <v>44</v>
      </c>
      <c r="F17" s="49" t="s">
        <v>45</v>
      </c>
      <c r="G17" s="39" t="s">
        <v>23</v>
      </c>
    </row>
    <row r="18" spans="3:7" ht="24" thickBot="1" x14ac:dyDescent="0.35">
      <c r="C18" s="50">
        <v>0.95250000000000001</v>
      </c>
      <c r="D18" s="51">
        <f>C18*G18</f>
        <v>9391.65</v>
      </c>
      <c r="E18" s="51">
        <f>D18-D14</f>
        <v>-1317.9745500000008</v>
      </c>
      <c r="F18" s="52">
        <f>D18-E6</f>
        <v>-608.35067400000116</v>
      </c>
      <c r="G18" s="39">
        <f>10860-1000</f>
        <v>9860</v>
      </c>
    </row>
    <row r="19" spans="3:7" ht="24" thickBot="1" x14ac:dyDescent="0.35"/>
    <row r="20" spans="3:7" x14ac:dyDescent="0.3">
      <c r="C20" s="115" t="s">
        <v>69</v>
      </c>
      <c r="D20" s="116"/>
      <c r="E20" s="116"/>
      <c r="F20" s="116"/>
      <c r="G20" s="117"/>
    </row>
    <row r="21" spans="3:7" x14ac:dyDescent="0.3">
      <c r="C21" s="47" t="s">
        <v>22</v>
      </c>
      <c r="D21" s="48" t="s">
        <v>24</v>
      </c>
      <c r="E21" s="48" t="s">
        <v>44</v>
      </c>
      <c r="F21" s="48" t="s">
        <v>45</v>
      </c>
      <c r="G21" s="42" t="s">
        <v>23</v>
      </c>
    </row>
    <row r="22" spans="3:7" ht="24" thickBot="1" x14ac:dyDescent="0.35">
      <c r="C22" s="50">
        <v>0.97099999999999997</v>
      </c>
      <c r="D22" s="51">
        <f>C22*G22</f>
        <v>9574.06</v>
      </c>
      <c r="E22" s="51">
        <f>D22-D18</f>
        <v>182.40999999999985</v>
      </c>
      <c r="F22" s="51" t="s">
        <v>78</v>
      </c>
      <c r="G22" s="46">
        <f>10860-1000</f>
        <v>9860</v>
      </c>
    </row>
  </sheetData>
  <mergeCells count="8">
    <mergeCell ref="C20:G20"/>
    <mergeCell ref="C1:F1"/>
    <mergeCell ref="G4:I4"/>
    <mergeCell ref="J4:L4"/>
    <mergeCell ref="C8:F8"/>
    <mergeCell ref="C16:F16"/>
    <mergeCell ref="C12:F12"/>
    <mergeCell ref="C4:F4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M18"/>
  <sheetViews>
    <sheetView topLeftCell="B1" workbookViewId="0">
      <selection activeCell="D17" sqref="D17"/>
    </sheetView>
  </sheetViews>
  <sheetFormatPr baseColWidth="10" defaultRowHeight="23" x14ac:dyDescent="0.3"/>
  <cols>
    <col min="1" max="1" width="10.83203125" style="10"/>
    <col min="2" max="2" width="43.1640625" style="10" customWidth="1"/>
    <col min="3" max="3" width="10.83203125" style="10"/>
    <col min="4" max="4" width="21.5" style="10" customWidth="1"/>
    <col min="5" max="5" width="12.33203125" style="10" bestFit="1" customWidth="1"/>
    <col min="6" max="6" width="10.83203125" style="10"/>
    <col min="7" max="7" width="14.83203125" style="10" customWidth="1"/>
    <col min="8" max="8" width="10.83203125" style="10"/>
    <col min="9" max="9" width="14.33203125" style="10" customWidth="1"/>
    <col min="10" max="10" width="11.6640625" style="10" customWidth="1"/>
    <col min="11" max="11" width="15.83203125" style="10" bestFit="1" customWidth="1"/>
    <col min="12" max="12" width="13.83203125" style="10" bestFit="1" customWidth="1"/>
    <col min="13" max="13" width="13.5" style="10" bestFit="1" customWidth="1"/>
    <col min="14" max="16384" width="10.83203125" style="10"/>
  </cols>
  <sheetData>
    <row r="3" spans="2:13" ht="24" thickBot="1" x14ac:dyDescent="0.35"/>
    <row r="4" spans="2:13" x14ac:dyDescent="0.3">
      <c r="D4" s="112" t="s">
        <v>27</v>
      </c>
      <c r="E4" s="113"/>
      <c r="F4" s="113"/>
      <c r="G4" s="113"/>
      <c r="H4" s="112" t="s">
        <v>48</v>
      </c>
      <c r="I4" s="113"/>
      <c r="J4" s="113"/>
      <c r="K4" s="113"/>
      <c r="L4" s="113"/>
      <c r="M4" s="114"/>
    </row>
    <row r="5" spans="2:13" x14ac:dyDescent="0.3">
      <c r="C5" s="10" t="s">
        <v>25</v>
      </c>
      <c r="D5" s="25" t="s">
        <v>24</v>
      </c>
      <c r="E5" s="24" t="s">
        <v>50</v>
      </c>
      <c r="F5" s="24" t="s">
        <v>26</v>
      </c>
      <c r="G5" s="33" t="s">
        <v>45</v>
      </c>
      <c r="H5" s="25" t="s">
        <v>24</v>
      </c>
      <c r="I5" s="24" t="s">
        <v>49</v>
      </c>
      <c r="J5" s="24" t="s">
        <v>44</v>
      </c>
      <c r="K5" s="24" t="s">
        <v>53</v>
      </c>
      <c r="L5" s="24" t="s">
        <v>51</v>
      </c>
      <c r="M5" s="27" t="s">
        <v>52</v>
      </c>
    </row>
    <row r="6" spans="2:13" s="13" customFormat="1" x14ac:dyDescent="0.15">
      <c r="B6" s="12" t="s">
        <v>28</v>
      </c>
      <c r="C6" s="13">
        <v>7000</v>
      </c>
      <c r="D6" s="29">
        <v>7013.3</v>
      </c>
      <c r="E6" s="128">
        <f>SUM(D6:D9)</f>
        <v>28756.7</v>
      </c>
      <c r="F6" s="28">
        <f>D6-C6</f>
        <v>13.300000000000182</v>
      </c>
      <c r="G6" s="126">
        <f>F6+F7+F8+F9</f>
        <v>756.70000000000095</v>
      </c>
      <c r="H6" s="29">
        <v>7058.1</v>
      </c>
      <c r="I6" s="28">
        <f>H6-C6</f>
        <v>58.100000000000364</v>
      </c>
      <c r="J6" s="28">
        <f>H6-D6</f>
        <v>44.800000000000182</v>
      </c>
      <c r="K6" s="128">
        <f>J6+J7+J8+J9</f>
        <v>-382.68999999999915</v>
      </c>
      <c r="L6" s="128">
        <f>SUM(H6:H9)</f>
        <v>28374.010000000002</v>
      </c>
      <c r="M6" s="124">
        <f>SUM(I6:I9)</f>
        <v>374.01000000000181</v>
      </c>
    </row>
    <row r="7" spans="2:13" x14ac:dyDescent="0.3">
      <c r="B7" s="10" t="s">
        <v>29</v>
      </c>
      <c r="C7" s="10">
        <v>1000</v>
      </c>
      <c r="D7" s="25">
        <v>1053.7</v>
      </c>
      <c r="E7" s="128"/>
      <c r="F7" s="28">
        <f>D7-C7</f>
        <v>53.700000000000045</v>
      </c>
      <c r="G7" s="126"/>
      <c r="H7" s="25">
        <v>1078.76</v>
      </c>
      <c r="I7" s="24">
        <f>H7-C7</f>
        <v>78.759999999999991</v>
      </c>
      <c r="J7" s="28">
        <f>H7-D7</f>
        <v>25.059999999999945</v>
      </c>
      <c r="K7" s="128"/>
      <c r="L7" s="128"/>
      <c r="M7" s="124"/>
    </row>
    <row r="8" spans="2:13" x14ac:dyDescent="0.3">
      <c r="B8" s="10" t="s">
        <v>30</v>
      </c>
      <c r="C8" s="10">
        <v>10000</v>
      </c>
      <c r="D8" s="25">
        <v>10065.91</v>
      </c>
      <c r="E8" s="128"/>
      <c r="F8" s="28">
        <f>D8-C8</f>
        <v>65.909999999999854</v>
      </c>
      <c r="G8" s="126"/>
      <c r="H8" s="25">
        <v>9985.2000000000007</v>
      </c>
      <c r="I8" s="24">
        <f>H8-C8</f>
        <v>-14.799999999999272</v>
      </c>
      <c r="J8" s="28">
        <f>H8-D8</f>
        <v>-80.709999999999127</v>
      </c>
      <c r="K8" s="128"/>
      <c r="L8" s="128"/>
      <c r="M8" s="124"/>
    </row>
    <row r="9" spans="2:13" ht="24" thickBot="1" x14ac:dyDescent="0.35">
      <c r="B9" s="10" t="s">
        <v>31</v>
      </c>
      <c r="C9" s="10">
        <v>10000</v>
      </c>
      <c r="D9" s="26">
        <v>10623.79</v>
      </c>
      <c r="E9" s="129"/>
      <c r="F9" s="31">
        <f>D9-C9</f>
        <v>623.79000000000087</v>
      </c>
      <c r="G9" s="127"/>
      <c r="H9" s="26">
        <v>10251.950000000001</v>
      </c>
      <c r="I9" s="32">
        <f>H9-C9</f>
        <v>251.95000000000073</v>
      </c>
      <c r="J9" s="31">
        <f>H9-D9</f>
        <v>-371.84000000000015</v>
      </c>
      <c r="K9" s="129"/>
      <c r="L9" s="129"/>
      <c r="M9" s="125"/>
    </row>
    <row r="10" spans="2:13" x14ac:dyDescent="0.3">
      <c r="C10" s="10">
        <f>SUM(C6:C9)</f>
        <v>28000</v>
      </c>
    </row>
    <row r="12" spans="2:13" ht="24" thickBot="1" x14ac:dyDescent="0.35"/>
    <row r="13" spans="2:13" x14ac:dyDescent="0.3">
      <c r="D13" s="112" t="s">
        <v>63</v>
      </c>
      <c r="E13" s="113"/>
      <c r="F13" s="113"/>
      <c r="G13" s="113"/>
      <c r="H13" s="113"/>
      <c r="I13" s="114"/>
    </row>
    <row r="14" spans="2:13" x14ac:dyDescent="0.3">
      <c r="D14" s="25" t="s">
        <v>24</v>
      </c>
      <c r="E14" s="24" t="s">
        <v>49</v>
      </c>
      <c r="F14" s="24" t="s">
        <v>44</v>
      </c>
      <c r="G14" s="24" t="s">
        <v>53</v>
      </c>
      <c r="H14" s="24" t="s">
        <v>51</v>
      </c>
      <c r="I14" s="27" t="s">
        <v>52</v>
      </c>
    </row>
    <row r="15" spans="2:13" x14ac:dyDescent="0.3">
      <c r="B15" s="62" t="s">
        <v>28</v>
      </c>
      <c r="D15" s="29">
        <v>7221.2</v>
      </c>
      <c r="E15" s="28">
        <f>D15-C6</f>
        <v>221.19999999999982</v>
      </c>
      <c r="F15" s="28">
        <f>D15-D6</f>
        <v>207.89999999999964</v>
      </c>
      <c r="G15" s="130">
        <f>F15+F16+F17+F18</f>
        <v>-873.43000000000166</v>
      </c>
      <c r="H15" s="130">
        <f>SUM(D15:D18)</f>
        <v>27883.269999999997</v>
      </c>
      <c r="I15" s="133">
        <f>SUM(E15:E18)</f>
        <v>-116.7300000000007</v>
      </c>
    </row>
    <row r="16" spans="2:13" x14ac:dyDescent="0.3">
      <c r="B16" s="63" t="s">
        <v>29</v>
      </c>
      <c r="D16" s="25">
        <v>184.43</v>
      </c>
      <c r="E16" s="28">
        <f>D16-C7</f>
        <v>-815.56999999999994</v>
      </c>
      <c r="F16" s="28">
        <f>D16-D7</f>
        <v>-869.27</v>
      </c>
      <c r="G16" s="131"/>
      <c r="H16" s="131"/>
      <c r="I16" s="134"/>
    </row>
    <row r="17" spans="2:9" x14ac:dyDescent="0.3">
      <c r="B17" s="63" t="s">
        <v>30</v>
      </c>
      <c r="D17" s="25">
        <v>10296.51</v>
      </c>
      <c r="E17" s="28">
        <f>D17-C8</f>
        <v>296.51000000000022</v>
      </c>
      <c r="F17" s="28">
        <f>D17-D8</f>
        <v>230.60000000000036</v>
      </c>
      <c r="G17" s="131"/>
      <c r="H17" s="131"/>
      <c r="I17" s="134"/>
    </row>
    <row r="18" spans="2:9" ht="24" thickBot="1" x14ac:dyDescent="0.35">
      <c r="B18" s="63" t="s">
        <v>31</v>
      </c>
      <c r="D18" s="26">
        <v>10181.129999999999</v>
      </c>
      <c r="E18" s="31">
        <f>D18-C9</f>
        <v>181.1299999999992</v>
      </c>
      <c r="F18" s="31">
        <f>D18-D9</f>
        <v>-442.66000000000167</v>
      </c>
      <c r="G18" s="132"/>
      <c r="H18" s="132"/>
      <c r="I18" s="135"/>
    </row>
  </sheetData>
  <mergeCells count="11">
    <mergeCell ref="D13:I13"/>
    <mergeCell ref="G15:G18"/>
    <mergeCell ref="H15:H18"/>
    <mergeCell ref="I15:I18"/>
    <mergeCell ref="L6:L9"/>
    <mergeCell ref="D4:G4"/>
    <mergeCell ref="M6:M9"/>
    <mergeCell ref="H4:M4"/>
    <mergeCell ref="G6:G9"/>
    <mergeCell ref="K6:K9"/>
    <mergeCell ref="E6:E9"/>
  </mergeCells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J63"/>
  <sheetViews>
    <sheetView topLeftCell="A52" workbookViewId="0">
      <selection activeCell="E68" sqref="E68"/>
    </sheetView>
  </sheetViews>
  <sheetFormatPr baseColWidth="10" defaultRowHeight="23" x14ac:dyDescent="0.3"/>
  <cols>
    <col min="1" max="1" width="10.83203125" style="9"/>
    <col min="2" max="2" width="14.83203125" style="9" customWidth="1"/>
    <col min="3" max="3" width="32.33203125" style="11" customWidth="1"/>
    <col min="4" max="4" width="21" style="9" customWidth="1"/>
    <col min="5" max="5" width="19.83203125" style="9" customWidth="1"/>
    <col min="6" max="6" width="18" style="11" customWidth="1"/>
    <col min="7" max="7" width="10.83203125" style="9"/>
    <col min="8" max="8" width="20.33203125" style="11" customWidth="1"/>
    <col min="9" max="9" width="17.5" style="9" customWidth="1"/>
    <col min="10" max="10" width="49.33203125" style="9" customWidth="1"/>
    <col min="11" max="16384" width="10.83203125" style="9"/>
  </cols>
  <sheetData>
    <row r="3" spans="3:5" ht="24" thickBot="1" x14ac:dyDescent="0.35"/>
    <row r="4" spans="3:5" x14ac:dyDescent="0.3">
      <c r="D4" s="136">
        <v>20160622</v>
      </c>
      <c r="E4" s="137"/>
    </row>
    <row r="5" spans="3:5" ht="24" thickBot="1" x14ac:dyDescent="0.35">
      <c r="D5" s="29" t="s">
        <v>24</v>
      </c>
      <c r="E5" s="30" t="s">
        <v>42</v>
      </c>
    </row>
    <row r="6" spans="3:5" x14ac:dyDescent="0.3">
      <c r="C6" s="58" t="s">
        <v>41</v>
      </c>
      <c r="D6" s="55">
        <f>'易H股ETF联接（110031）'!D14</f>
        <v>10709.62455</v>
      </c>
      <c r="E6" s="53">
        <f>D6/D12</f>
        <v>0.17426046408386811</v>
      </c>
    </row>
    <row r="7" spans="3:5" x14ac:dyDescent="0.3">
      <c r="C7" s="59" t="s">
        <v>28</v>
      </c>
      <c r="D7" s="56">
        <f>打包资产统计!D15</f>
        <v>7221.2</v>
      </c>
      <c r="E7" s="53">
        <f>D7/D12</f>
        <v>0.11749895221512954</v>
      </c>
    </row>
    <row r="8" spans="3:5" x14ac:dyDescent="0.3">
      <c r="C8" s="60" t="s">
        <v>29</v>
      </c>
      <c r="D8" s="56">
        <f>打包资产统计!D16</f>
        <v>184.43</v>
      </c>
      <c r="E8" s="53">
        <f>D8/D12</f>
        <v>3.0009322213809817E-3</v>
      </c>
    </row>
    <row r="9" spans="3:5" x14ac:dyDescent="0.3">
      <c r="C9" s="60" t="s">
        <v>30</v>
      </c>
      <c r="D9" s="56">
        <f>打包资产统计!D17</f>
        <v>10296.51</v>
      </c>
      <c r="E9" s="53">
        <f>D9/D12</f>
        <v>0.16753851665548711</v>
      </c>
    </row>
    <row r="10" spans="3:5" x14ac:dyDescent="0.3">
      <c r="C10" s="60" t="s">
        <v>31</v>
      </c>
      <c r="D10" s="56">
        <f>打包资产统计!D18</f>
        <v>10181.129999999999</v>
      </c>
      <c r="E10" s="53">
        <f>D10/D12</f>
        <v>0.16566112382512904</v>
      </c>
    </row>
    <row r="11" spans="3:5" x14ac:dyDescent="0.3">
      <c r="C11" s="60" t="s">
        <v>59</v>
      </c>
      <c r="D11" s="56">
        <v>22864.674763287672</v>
      </c>
      <c r="E11" s="53">
        <f>D11/D12</f>
        <v>0.37204001099900524</v>
      </c>
    </row>
    <row r="12" spans="3:5" ht="24" thickBot="1" x14ac:dyDescent="0.35">
      <c r="C12" s="61" t="s">
        <v>60</v>
      </c>
      <c r="D12" s="57">
        <f>SUM(D6:D11)</f>
        <v>61457.56931328767</v>
      </c>
      <c r="E12" s="54">
        <f>D12/D12</f>
        <v>1</v>
      </c>
    </row>
    <row r="14" spans="3:5" ht="24" thickBot="1" x14ac:dyDescent="0.35"/>
    <row r="15" spans="3:5" x14ac:dyDescent="0.3">
      <c r="D15" s="136">
        <v>20160713</v>
      </c>
      <c r="E15" s="137"/>
    </row>
    <row r="16" spans="3:5" ht="24" thickBot="1" x14ac:dyDescent="0.35">
      <c r="D16" s="29" t="s">
        <v>24</v>
      </c>
      <c r="E16" s="77" t="s">
        <v>42</v>
      </c>
    </row>
    <row r="17" spans="3:8" x14ac:dyDescent="0.3">
      <c r="C17" s="58" t="s">
        <v>41</v>
      </c>
      <c r="D17" s="55">
        <f>F17*G17</f>
        <v>10703.65</v>
      </c>
      <c r="E17" s="53">
        <f>D17/D23</f>
        <v>0.17281822165793587</v>
      </c>
      <c r="F17" s="11">
        <v>11860</v>
      </c>
      <c r="G17" s="9">
        <v>0.90249999999999997</v>
      </c>
    </row>
    <row r="18" spans="3:8" x14ac:dyDescent="0.3">
      <c r="C18" s="59" t="s">
        <v>28</v>
      </c>
      <c r="D18" s="78">
        <v>7157.5</v>
      </c>
      <c r="E18" s="53">
        <f>D18/D23</f>
        <v>0.11556304826079665</v>
      </c>
    </row>
    <row r="19" spans="3:8" x14ac:dyDescent="0.3">
      <c r="C19" s="60" t="s">
        <v>29</v>
      </c>
      <c r="D19" s="56">
        <v>181.33</v>
      </c>
      <c r="E19" s="53">
        <f>D19/D23</f>
        <v>2.9277048607936093E-3</v>
      </c>
    </row>
    <row r="20" spans="3:8" x14ac:dyDescent="0.3">
      <c r="C20" s="60" t="s">
        <v>30</v>
      </c>
      <c r="D20" s="56">
        <v>10619.36</v>
      </c>
      <c r="E20" s="53">
        <f>D20/D23</f>
        <v>0.17145729824362888</v>
      </c>
    </row>
    <row r="21" spans="3:8" x14ac:dyDescent="0.3">
      <c r="C21" s="60" t="s">
        <v>31</v>
      </c>
      <c r="D21" s="56">
        <v>10375.9</v>
      </c>
      <c r="E21" s="53">
        <f>D21/D23</f>
        <v>0.16752645930132029</v>
      </c>
    </row>
    <row r="22" spans="3:8" x14ac:dyDescent="0.3">
      <c r="C22" s="60" t="s">
        <v>59</v>
      </c>
      <c r="D22" s="56">
        <f>余额宝!H6</f>
        <v>22898.147878687032</v>
      </c>
      <c r="E22" s="53">
        <f>D22/D23</f>
        <v>0.3697072676755247</v>
      </c>
    </row>
    <row r="23" spans="3:8" ht="24" thickBot="1" x14ac:dyDescent="0.35">
      <c r="C23" s="61" t="s">
        <v>60</v>
      </c>
      <c r="D23" s="57">
        <f>SUM(D17:D22)</f>
        <v>61935.887878687034</v>
      </c>
      <c r="E23" s="54">
        <f>D23/D23</f>
        <v>1</v>
      </c>
    </row>
    <row r="24" spans="3:8" ht="24" thickBot="1" x14ac:dyDescent="0.35"/>
    <row r="25" spans="3:8" x14ac:dyDescent="0.3">
      <c r="D25" s="136">
        <v>20160808</v>
      </c>
      <c r="E25" s="137"/>
    </row>
    <row r="26" spans="3:8" ht="24" thickBot="1" x14ac:dyDescent="0.35">
      <c r="D26" s="29" t="s">
        <v>24</v>
      </c>
      <c r="E26" s="80" t="s">
        <v>42</v>
      </c>
      <c r="F26" s="11" t="s">
        <v>23</v>
      </c>
      <c r="G26" s="9" t="s">
        <v>75</v>
      </c>
      <c r="H26" s="11" t="s">
        <v>76</v>
      </c>
    </row>
    <row r="27" spans="3:8" x14ac:dyDescent="0.3">
      <c r="C27" s="58" t="s">
        <v>41</v>
      </c>
      <c r="D27" s="55">
        <f>F27*G27</f>
        <v>10344.15</v>
      </c>
      <c r="E27" s="53">
        <f>D27/D33</f>
        <v>0.16696730703409002</v>
      </c>
      <c r="F27" s="95">
        <v>10860</v>
      </c>
      <c r="G27" s="9">
        <v>0.95250000000000001</v>
      </c>
      <c r="H27" s="11" t="s">
        <v>81</v>
      </c>
    </row>
    <row r="28" spans="3:8" x14ac:dyDescent="0.3">
      <c r="C28" s="59" t="s">
        <v>28</v>
      </c>
      <c r="D28" s="78">
        <v>7261.8</v>
      </c>
      <c r="E28" s="53">
        <f>D28/D33</f>
        <v>0.11721438593022675</v>
      </c>
      <c r="F28" s="11">
        <f>D28/G28</f>
        <v>6999.9999999999991</v>
      </c>
      <c r="G28" s="9">
        <v>1.0374000000000001</v>
      </c>
    </row>
    <row r="29" spans="3:8" x14ac:dyDescent="0.3">
      <c r="C29" s="60" t="s">
        <v>29</v>
      </c>
      <c r="D29" s="56">
        <v>171.47</v>
      </c>
      <c r="E29" s="53">
        <f>D29/D33</f>
        <v>2.7677367533471011E-3</v>
      </c>
      <c r="F29" s="11">
        <v>193.32</v>
      </c>
      <c r="G29" s="9">
        <v>0.88700000000000001</v>
      </c>
    </row>
    <row r="30" spans="3:8" x14ac:dyDescent="0.3">
      <c r="C30" s="60" t="s">
        <v>30</v>
      </c>
      <c r="D30" s="56">
        <v>10123.56</v>
      </c>
      <c r="E30" s="53">
        <f>D30/D33</f>
        <v>0.16340671305018126</v>
      </c>
    </row>
    <row r="31" spans="3:8" x14ac:dyDescent="0.3">
      <c r="C31" s="60" t="s">
        <v>31</v>
      </c>
      <c r="D31" s="56">
        <v>10163.42</v>
      </c>
      <c r="E31" s="53">
        <f>D31/D33</f>
        <v>0.16405010248849941</v>
      </c>
    </row>
    <row r="32" spans="3:8" x14ac:dyDescent="0.3">
      <c r="C32" s="60" t="s">
        <v>59</v>
      </c>
      <c r="D32" s="56">
        <f>余额宝!J6</f>
        <v>23888.746300000003</v>
      </c>
      <c r="E32" s="53">
        <f>D32/D33</f>
        <v>0.38559375474365537</v>
      </c>
    </row>
    <row r="33" spans="3:10" ht="24" thickBot="1" x14ac:dyDescent="0.35">
      <c r="C33" s="61" t="s">
        <v>60</v>
      </c>
      <c r="D33" s="57">
        <f>SUM(D27:D32)</f>
        <v>61953.146300000008</v>
      </c>
      <c r="E33" s="54">
        <f>D33/D33</f>
        <v>1</v>
      </c>
    </row>
    <row r="34" spans="3:10" ht="24" thickBot="1" x14ac:dyDescent="0.35"/>
    <row r="35" spans="3:10" x14ac:dyDescent="0.3">
      <c r="D35" s="136">
        <v>20160825</v>
      </c>
      <c r="E35" s="137"/>
    </row>
    <row r="36" spans="3:10" ht="24" thickBot="1" x14ac:dyDescent="0.35">
      <c r="D36" s="29" t="s">
        <v>24</v>
      </c>
      <c r="E36" s="82" t="s">
        <v>42</v>
      </c>
      <c r="F36" s="11" t="s">
        <v>23</v>
      </c>
      <c r="G36" s="9" t="s">
        <v>82</v>
      </c>
      <c r="H36" s="11" t="s">
        <v>80</v>
      </c>
      <c r="I36" s="9" t="s">
        <v>56</v>
      </c>
      <c r="J36" s="9" t="s">
        <v>88</v>
      </c>
    </row>
    <row r="37" spans="3:10" x14ac:dyDescent="0.3">
      <c r="C37" s="58" t="s">
        <v>41</v>
      </c>
      <c r="D37" s="55">
        <f>F37*G37</f>
        <v>8749.25</v>
      </c>
      <c r="E37" s="53">
        <f>D37/D43</f>
        <v>0.13754618265606652</v>
      </c>
      <c r="F37" s="11">
        <v>8860</v>
      </c>
      <c r="G37" s="9">
        <v>0.98750000000000004</v>
      </c>
      <c r="H37" s="11">
        <f>F37*G37</f>
        <v>8749.25</v>
      </c>
      <c r="I37" s="9">
        <f>933+D37-10000+2000-9.656</f>
        <v>1672.5940000000001</v>
      </c>
      <c r="J37" s="9" t="s">
        <v>93</v>
      </c>
    </row>
    <row r="38" spans="3:10" ht="46" x14ac:dyDescent="0.3">
      <c r="C38" s="59" t="s">
        <v>28</v>
      </c>
      <c r="D38" s="78">
        <f>H38</f>
        <v>9981.3167790000007</v>
      </c>
      <c r="E38" s="53">
        <f>D38/D43</f>
        <v>0.15691539512899913</v>
      </c>
      <c r="F38" s="96">
        <f>9921.98-162.21</f>
        <v>9759.77</v>
      </c>
      <c r="G38" s="9">
        <v>1.0226999999999999</v>
      </c>
      <c r="H38" s="11">
        <f t="shared" ref="H38:H42" si="0">F38*G38</f>
        <v>9981.3167790000007</v>
      </c>
      <c r="I38" s="9">
        <f>H38-10000</f>
        <v>-18.683220999999321</v>
      </c>
      <c r="J38" s="88" t="s">
        <v>94</v>
      </c>
    </row>
    <row r="39" spans="3:10" x14ac:dyDescent="0.3">
      <c r="C39" s="60" t="s">
        <v>29</v>
      </c>
      <c r="D39" s="56">
        <f>H39</f>
        <v>174.56796</v>
      </c>
      <c r="E39" s="53">
        <f>D39/D43</f>
        <v>2.7443674042983012E-3</v>
      </c>
      <c r="F39" s="11">
        <v>193.32</v>
      </c>
      <c r="G39" s="9">
        <v>0.90300000000000002</v>
      </c>
      <c r="H39" s="11">
        <f t="shared" si="0"/>
        <v>174.56796</v>
      </c>
      <c r="I39" s="9">
        <f>-1000+944+H39-4.67</f>
        <v>113.89796</v>
      </c>
    </row>
    <row r="40" spans="3:10" x14ac:dyDescent="0.3">
      <c r="C40" s="60" t="s">
        <v>30</v>
      </c>
      <c r="D40" s="56">
        <f>H40</f>
        <v>10584.7695</v>
      </c>
      <c r="E40" s="53">
        <f>D40/D43</f>
        <v>0.16640222179265216</v>
      </c>
      <c r="F40" s="11">
        <v>11530.25</v>
      </c>
      <c r="G40" s="9">
        <v>0.91800000000000004</v>
      </c>
      <c r="H40" s="11">
        <f t="shared" si="0"/>
        <v>10584.7695</v>
      </c>
      <c r="I40" s="9">
        <f>H40-10000</f>
        <v>584.76950000000033</v>
      </c>
    </row>
    <row r="41" spans="3:10" x14ac:dyDescent="0.3">
      <c r="C41" s="60" t="s">
        <v>31</v>
      </c>
      <c r="D41" s="56">
        <f>H41</f>
        <v>12055.72284</v>
      </c>
      <c r="E41" s="53">
        <f>D41/D43</f>
        <v>0.18952694868720782</v>
      </c>
      <c r="F41" s="11">
        <v>19351.080000000002</v>
      </c>
      <c r="G41" s="9">
        <v>0.623</v>
      </c>
      <c r="H41" s="11">
        <f t="shared" si="0"/>
        <v>12055.72284</v>
      </c>
      <c r="I41" s="9">
        <f>F41*G41-11000</f>
        <v>1055.7228400000004</v>
      </c>
      <c r="J41" s="9" t="s">
        <v>89</v>
      </c>
    </row>
    <row r="42" spans="3:10" x14ac:dyDescent="0.3">
      <c r="C42" s="60" t="s">
        <v>59</v>
      </c>
      <c r="D42" s="11">
        <f>H42</f>
        <v>22063.917228583232</v>
      </c>
      <c r="E42" s="53">
        <f>D42/D43</f>
        <v>0.346864884330776</v>
      </c>
      <c r="F42" s="11">
        <f>余额宝损益表!C13</f>
        <v>22063.917228583232</v>
      </c>
      <c r="G42" s="9">
        <v>1</v>
      </c>
      <c r="H42" s="11">
        <f t="shared" si="0"/>
        <v>22063.917228583232</v>
      </c>
      <c r="J42" s="9">
        <v>-1000</v>
      </c>
    </row>
    <row r="43" spans="3:10" ht="24" thickBot="1" x14ac:dyDescent="0.35">
      <c r="C43" s="61" t="s">
        <v>60</v>
      </c>
      <c r="D43" s="57">
        <f>SUM(D37:D42)</f>
        <v>63609.544307583237</v>
      </c>
      <c r="E43" s="54">
        <f>D43/D43</f>
        <v>1</v>
      </c>
    </row>
    <row r="44" spans="3:10" ht="24" thickBot="1" x14ac:dyDescent="0.35"/>
    <row r="45" spans="3:10" x14ac:dyDescent="0.3">
      <c r="D45" s="136">
        <v>20160906</v>
      </c>
      <c r="E45" s="137"/>
    </row>
    <row r="46" spans="3:10" ht="24" thickBot="1" x14ac:dyDescent="0.35">
      <c r="D46" s="29" t="s">
        <v>24</v>
      </c>
      <c r="E46" s="99" t="s">
        <v>42</v>
      </c>
      <c r="F46" s="11" t="s">
        <v>23</v>
      </c>
      <c r="G46" s="9" t="s">
        <v>82</v>
      </c>
      <c r="H46" s="11" t="s">
        <v>80</v>
      </c>
      <c r="I46" s="9" t="s">
        <v>56</v>
      </c>
      <c r="J46" s="9" t="s">
        <v>88</v>
      </c>
    </row>
    <row r="47" spans="3:10" x14ac:dyDescent="0.3">
      <c r="C47" s="58" t="s">
        <v>41</v>
      </c>
      <c r="D47" s="55">
        <f>F47*G47</f>
        <v>9143.52</v>
      </c>
      <c r="E47" s="53">
        <f>D47/D53</f>
        <v>0.14358592510629198</v>
      </c>
      <c r="F47" s="11">
        <v>8860</v>
      </c>
      <c r="G47" s="9">
        <v>1.032</v>
      </c>
      <c r="H47" s="11">
        <f>F47*G47</f>
        <v>9143.52</v>
      </c>
    </row>
    <row r="48" spans="3:10" x14ac:dyDescent="0.3">
      <c r="C48" s="59" t="s">
        <v>28</v>
      </c>
      <c r="D48" s="78">
        <f>H48</f>
        <v>9979.3648250000006</v>
      </c>
      <c r="E48" s="53">
        <f>D48/D53</f>
        <v>0.15671167453790383</v>
      </c>
      <c r="F48" s="96">
        <f>9921.98-162.21</f>
        <v>9759.77</v>
      </c>
      <c r="G48" s="9">
        <v>1.0225</v>
      </c>
      <c r="H48" s="11">
        <f t="shared" ref="H48:H52" si="1">F48*G48</f>
        <v>9979.3648250000006</v>
      </c>
      <c r="J48" s="88"/>
    </row>
    <row r="49" spans="3:10" x14ac:dyDescent="0.3">
      <c r="C49" s="60" t="s">
        <v>29</v>
      </c>
      <c r="D49" s="56">
        <f>H49</f>
        <v>175.34124</v>
      </c>
      <c r="E49" s="53">
        <f>D49/D53</f>
        <v>2.7534837955934216E-3</v>
      </c>
      <c r="F49" s="11">
        <v>193.32</v>
      </c>
      <c r="G49" s="9">
        <v>0.90700000000000003</v>
      </c>
      <c r="H49" s="11">
        <f t="shared" si="1"/>
        <v>175.34124</v>
      </c>
    </row>
    <row r="50" spans="3:10" x14ac:dyDescent="0.3">
      <c r="C50" s="60" t="s">
        <v>30</v>
      </c>
      <c r="D50" s="56">
        <f>H50</f>
        <v>10037.5275</v>
      </c>
      <c r="E50" s="53">
        <f>D50/D53</f>
        <v>0.15762503629535957</v>
      </c>
      <c r="F50" s="11">
        <v>11030.25</v>
      </c>
      <c r="G50" s="9">
        <v>0.91</v>
      </c>
      <c r="H50" s="11">
        <f t="shared" si="1"/>
        <v>10037.5275</v>
      </c>
    </row>
    <row r="51" spans="3:10" x14ac:dyDescent="0.3">
      <c r="C51" s="60" t="s">
        <v>31</v>
      </c>
      <c r="D51" s="56">
        <f>H51</f>
        <v>12036.371760000002</v>
      </c>
      <c r="E51" s="53">
        <f>D51/D53</f>
        <v>0.18901403114805324</v>
      </c>
      <c r="F51" s="11">
        <v>19351.080000000002</v>
      </c>
      <c r="G51" s="9">
        <v>0.622</v>
      </c>
      <c r="H51" s="11">
        <f t="shared" si="1"/>
        <v>12036.371760000002</v>
      </c>
    </row>
    <row r="52" spans="3:10" x14ac:dyDescent="0.3">
      <c r="C52" s="60" t="s">
        <v>59</v>
      </c>
      <c r="D52" s="11">
        <f>F52</f>
        <v>22307.653826273716</v>
      </c>
      <c r="E52" s="53">
        <f>D52/D53</f>
        <v>0.35030984911679802</v>
      </c>
      <c r="F52" s="11">
        <f>余额宝损益表!C27</f>
        <v>22307.653826273716</v>
      </c>
      <c r="G52" s="9">
        <v>1</v>
      </c>
      <c r="H52" s="11">
        <f t="shared" si="1"/>
        <v>22307.653826273716</v>
      </c>
      <c r="J52" s="9">
        <v>-1000</v>
      </c>
    </row>
    <row r="53" spans="3:10" ht="24" thickBot="1" x14ac:dyDescent="0.35">
      <c r="C53" s="61" t="s">
        <v>60</v>
      </c>
      <c r="D53" s="57">
        <f>SUM(D47:D52)</f>
        <v>63679.779151273717</v>
      </c>
      <c r="E53" s="54">
        <f>D53/D53</f>
        <v>1</v>
      </c>
    </row>
    <row r="55" spans="3:10" ht="24" thickBot="1" x14ac:dyDescent="0.35"/>
    <row r="56" spans="3:10" x14ac:dyDescent="0.3">
      <c r="D56" s="136">
        <v>20160921</v>
      </c>
      <c r="E56" s="137"/>
    </row>
    <row r="57" spans="3:10" ht="24" thickBot="1" x14ac:dyDescent="0.35">
      <c r="D57" s="29" t="s">
        <v>24</v>
      </c>
      <c r="E57" s="104" t="s">
        <v>42</v>
      </c>
      <c r="F57" s="11" t="s">
        <v>23</v>
      </c>
      <c r="G57" s="9" t="s">
        <v>82</v>
      </c>
      <c r="H57" s="11" t="s">
        <v>80</v>
      </c>
      <c r="I57" s="9" t="s">
        <v>56</v>
      </c>
      <c r="J57" s="9" t="s">
        <v>88</v>
      </c>
    </row>
    <row r="58" spans="3:10" x14ac:dyDescent="0.3">
      <c r="C58" s="58" t="s">
        <v>41</v>
      </c>
      <c r="D58" s="55">
        <f>F58*G58</f>
        <v>9757.8724000000002</v>
      </c>
      <c r="E58" s="53">
        <f>D58/D63</f>
        <v>0.15330347422829174</v>
      </c>
      <c r="F58" s="11">
        <v>8860</v>
      </c>
      <c r="G58" s="9">
        <v>1.10134</v>
      </c>
      <c r="H58" s="11">
        <f>F58*G58</f>
        <v>9757.8724000000002</v>
      </c>
    </row>
    <row r="59" spans="3:10" x14ac:dyDescent="0.3">
      <c r="C59" s="59" t="s">
        <v>28</v>
      </c>
      <c r="D59" s="78">
        <f>H59</f>
        <v>9896.4067800000012</v>
      </c>
      <c r="E59" s="53">
        <f>D59/D63</f>
        <v>0.15547995296089565</v>
      </c>
      <c r="F59" s="96">
        <f>9921.98-162.21</f>
        <v>9759.77</v>
      </c>
      <c r="G59" s="9">
        <v>1.014</v>
      </c>
      <c r="H59" s="11">
        <f t="shared" ref="H59:H62" si="2">F59*G59</f>
        <v>9896.4067800000012</v>
      </c>
      <c r="J59" s="88"/>
    </row>
    <row r="60" spans="3:10" x14ac:dyDescent="0.3">
      <c r="C60" s="60" t="s">
        <v>30</v>
      </c>
      <c r="D60" s="56">
        <f>H60</f>
        <v>9827.9527500000004</v>
      </c>
      <c r="E60" s="53">
        <f>D60/D63</f>
        <v>0.15440448894643202</v>
      </c>
      <c r="F60" s="11">
        <v>11030.25</v>
      </c>
      <c r="G60" s="9">
        <v>0.89100000000000001</v>
      </c>
      <c r="H60" s="11">
        <f t="shared" si="2"/>
        <v>9827.9527500000004</v>
      </c>
    </row>
    <row r="61" spans="3:10" x14ac:dyDescent="0.3">
      <c r="C61" s="60" t="s">
        <v>31</v>
      </c>
      <c r="D61" s="56">
        <f>H61</f>
        <v>11668.70124</v>
      </c>
      <c r="E61" s="53">
        <f>D61/D63</f>
        <v>0.18332402459207972</v>
      </c>
      <c r="F61" s="11">
        <v>19351.080000000002</v>
      </c>
      <c r="G61" s="9">
        <v>0.60299999999999998</v>
      </c>
      <c r="H61" s="11">
        <f t="shared" si="2"/>
        <v>11668.70124</v>
      </c>
    </row>
    <row r="62" spans="3:10" x14ac:dyDescent="0.3">
      <c r="C62" s="60" t="s">
        <v>59</v>
      </c>
      <c r="D62" s="11">
        <f>余额宝损益表!C37</f>
        <v>22499.759999999998</v>
      </c>
      <c r="E62" s="53">
        <f>D62/D63</f>
        <v>0.35348805927230093</v>
      </c>
      <c r="F62" s="11">
        <f>D62</f>
        <v>22499.759999999998</v>
      </c>
      <c r="G62" s="9">
        <v>1</v>
      </c>
      <c r="H62" s="11">
        <f t="shared" si="2"/>
        <v>22499.759999999998</v>
      </c>
      <c r="J62" s="9">
        <v>-1000</v>
      </c>
    </row>
    <row r="63" spans="3:10" ht="24" thickBot="1" x14ac:dyDescent="0.35">
      <c r="C63" s="61" t="s">
        <v>60</v>
      </c>
      <c r="D63" s="57">
        <f>SUM(D58:D62)</f>
        <v>63650.693169999999</v>
      </c>
      <c r="E63" s="54">
        <f>D63/D63</f>
        <v>1</v>
      </c>
    </row>
  </sheetData>
  <mergeCells count="6">
    <mergeCell ref="D56:E56"/>
    <mergeCell ref="D4:E4"/>
    <mergeCell ref="D15:E15"/>
    <mergeCell ref="D25:E25"/>
    <mergeCell ref="D35:E35"/>
    <mergeCell ref="D45:E45"/>
  </mergeCells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7"/>
  <sheetViews>
    <sheetView workbookViewId="0">
      <selection activeCell="G20" sqref="G20"/>
    </sheetView>
  </sheetViews>
  <sheetFormatPr baseColWidth="10" defaultRowHeight="15" x14ac:dyDescent="0.15"/>
  <cols>
    <col min="2" max="2" width="35.83203125" customWidth="1"/>
    <col min="8" max="8" width="37.1640625" customWidth="1"/>
  </cols>
  <sheetData>
    <row r="2" spans="1:8" ht="16" thickBot="1" x14ac:dyDescent="0.2">
      <c r="A2" t="s">
        <v>73</v>
      </c>
      <c r="B2" t="s">
        <v>64</v>
      </c>
      <c r="C2" t="s">
        <v>65</v>
      </c>
      <c r="D2" t="s">
        <v>92</v>
      </c>
      <c r="E2" t="s">
        <v>74</v>
      </c>
      <c r="F2" t="s">
        <v>71</v>
      </c>
      <c r="G2" t="s">
        <v>60</v>
      </c>
      <c r="H2" t="s">
        <v>66</v>
      </c>
    </row>
    <row r="3" spans="1:8" ht="23" x14ac:dyDescent="0.3">
      <c r="A3">
        <v>20160722</v>
      </c>
      <c r="B3" s="58" t="s">
        <v>41</v>
      </c>
      <c r="C3" t="s">
        <v>70</v>
      </c>
      <c r="D3">
        <v>1000</v>
      </c>
      <c r="H3" t="s">
        <v>72</v>
      </c>
    </row>
    <row r="4" spans="1:8" ht="23" x14ac:dyDescent="0.3">
      <c r="A4">
        <v>20160816</v>
      </c>
      <c r="B4" s="60" t="s">
        <v>31</v>
      </c>
      <c r="C4" t="s">
        <v>91</v>
      </c>
      <c r="D4">
        <v>1000</v>
      </c>
    </row>
    <row r="5" spans="1:8" ht="23" x14ac:dyDescent="0.15">
      <c r="A5">
        <v>20160816</v>
      </c>
      <c r="B5" s="59" t="s">
        <v>28</v>
      </c>
      <c r="C5" t="s">
        <v>91</v>
      </c>
      <c r="D5">
        <v>3000</v>
      </c>
    </row>
    <row r="6" spans="1:8" ht="23" x14ac:dyDescent="0.3">
      <c r="A6">
        <v>20160829</v>
      </c>
      <c r="B6" s="60" t="s">
        <v>30</v>
      </c>
      <c r="C6" t="s">
        <v>70</v>
      </c>
      <c r="D6" t="s">
        <v>112</v>
      </c>
      <c r="E6">
        <v>0.91600000000000004</v>
      </c>
      <c r="F6">
        <v>2.29</v>
      </c>
      <c r="H6" t="s">
        <v>116</v>
      </c>
    </row>
    <row r="7" spans="1:8" ht="23" x14ac:dyDescent="0.3">
      <c r="A7">
        <v>20160907</v>
      </c>
      <c r="B7" s="60" t="s">
        <v>29</v>
      </c>
      <c r="C7" t="s">
        <v>70</v>
      </c>
      <c r="D7" s="11">
        <v>193.32</v>
      </c>
      <c r="E7">
        <v>0.90600000000000003</v>
      </c>
      <c r="F7">
        <v>1.63</v>
      </c>
      <c r="G7">
        <f>ROUND(E7*D7-F7,2)</f>
        <v>173.52</v>
      </c>
      <c r="H7" t="s">
        <v>119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7"/>
  <sheetViews>
    <sheetView topLeftCell="A17" workbookViewId="0">
      <selection activeCell="C37" sqref="C37"/>
    </sheetView>
  </sheetViews>
  <sheetFormatPr baseColWidth="10" defaultRowHeight="15" x14ac:dyDescent="0.15"/>
  <cols>
    <col min="3" max="3" width="46.5" customWidth="1"/>
    <col min="4" max="4" width="10.83203125" style="7"/>
    <col min="7" max="7" width="7.5" style="92" bestFit="1" customWidth="1"/>
    <col min="8" max="8" width="13.33203125" customWidth="1"/>
    <col min="10" max="10" width="19" customWidth="1"/>
  </cols>
  <sheetData>
    <row r="2" spans="2:9" x14ac:dyDescent="0.15">
      <c r="B2">
        <v>201608</v>
      </c>
    </row>
    <row r="3" spans="2:9" x14ac:dyDescent="0.15">
      <c r="B3" t="s">
        <v>95</v>
      </c>
      <c r="C3">
        <v>23888.746299999901</v>
      </c>
    </row>
    <row r="4" spans="2:9" x14ac:dyDescent="0.15">
      <c r="B4" t="s">
        <v>113</v>
      </c>
      <c r="C4">
        <f>C3*(1+0.02/12/2)</f>
        <v>23908.653588583231</v>
      </c>
    </row>
    <row r="5" spans="2:9" x14ac:dyDescent="0.15">
      <c r="B5" s="89" t="s">
        <v>73</v>
      </c>
      <c r="C5" s="89" t="s">
        <v>97</v>
      </c>
      <c r="D5" s="94" t="s">
        <v>98</v>
      </c>
      <c r="E5" s="89" t="s">
        <v>23</v>
      </c>
      <c r="F5" s="89" t="s">
        <v>99</v>
      </c>
      <c r="G5" s="93" t="s">
        <v>100</v>
      </c>
      <c r="H5" s="89" t="s">
        <v>101</v>
      </c>
      <c r="I5" s="89" t="s">
        <v>102</v>
      </c>
    </row>
    <row r="6" spans="2:9" x14ac:dyDescent="0.15">
      <c r="B6" s="89">
        <v>20160808</v>
      </c>
      <c r="C6" s="89" t="s">
        <v>38</v>
      </c>
      <c r="D6" s="94" t="s">
        <v>105</v>
      </c>
      <c r="E6" s="89">
        <v>1</v>
      </c>
      <c r="F6" s="89">
        <v>1</v>
      </c>
      <c r="G6" s="93">
        <v>0</v>
      </c>
      <c r="H6" s="89">
        <f>C4</f>
        <v>23908.653588583231</v>
      </c>
      <c r="I6" s="89">
        <f>H6</f>
        <v>23908.653588583231</v>
      </c>
    </row>
    <row r="7" spans="2:9" ht="23" x14ac:dyDescent="0.3">
      <c r="B7" s="89">
        <v>20160811</v>
      </c>
      <c r="C7" s="90" t="s">
        <v>31</v>
      </c>
      <c r="D7" s="94" t="s">
        <v>104</v>
      </c>
      <c r="E7" s="89">
        <v>1644.77</v>
      </c>
      <c r="F7" s="89">
        <v>0.59899999999999998</v>
      </c>
      <c r="G7" s="93">
        <v>-14.78</v>
      </c>
      <c r="H7" s="89">
        <f>-(E7*F7-G7)</f>
        <v>-999.99722999999994</v>
      </c>
      <c r="I7" s="89">
        <f>I6+H7</f>
        <v>22908.65635858323</v>
      </c>
    </row>
    <row r="8" spans="2:9" ht="23" x14ac:dyDescent="0.15">
      <c r="B8" s="89">
        <v>20160816</v>
      </c>
      <c r="C8" s="91" t="s">
        <v>28</v>
      </c>
      <c r="D8" s="94" t="s">
        <v>103</v>
      </c>
      <c r="E8" s="89">
        <v>2921.98</v>
      </c>
      <c r="F8" s="89">
        <v>1.0266999999999999</v>
      </c>
      <c r="G8" s="93">
        <v>0</v>
      </c>
      <c r="H8" s="89">
        <f>-1*E8*F8</f>
        <v>-2999.996866</v>
      </c>
      <c r="I8" s="89">
        <f>I7+H8</f>
        <v>19908.659492583229</v>
      </c>
    </row>
    <row r="9" spans="2:9" ht="23" x14ac:dyDescent="0.3">
      <c r="B9" s="89">
        <v>20160819</v>
      </c>
      <c r="C9" s="90" t="s">
        <v>41</v>
      </c>
      <c r="D9" s="94" t="s">
        <v>96</v>
      </c>
      <c r="E9" s="89">
        <v>2000</v>
      </c>
      <c r="F9" s="89">
        <v>0.99960000000000004</v>
      </c>
      <c r="G9" s="93">
        <f>120.7/25000*2000*-1</f>
        <v>-9.6559999999999988</v>
      </c>
      <c r="H9" s="89">
        <f>E9*F9+G9</f>
        <v>1989.5440000000001</v>
      </c>
      <c r="I9" s="89">
        <f>I8+H9</f>
        <v>21898.20349258323</v>
      </c>
    </row>
    <row r="10" spans="2:9" ht="23" x14ac:dyDescent="0.15">
      <c r="B10" s="89">
        <v>20160816</v>
      </c>
      <c r="C10" s="91" t="s">
        <v>28</v>
      </c>
      <c r="D10" s="94" t="s">
        <v>96</v>
      </c>
      <c r="E10" s="89">
        <v>162.21</v>
      </c>
      <c r="F10" s="89">
        <v>1.0216000000000001</v>
      </c>
      <c r="G10" s="93">
        <v>0</v>
      </c>
      <c r="H10" s="89">
        <f>E10*F10</f>
        <v>165.71373600000001</v>
      </c>
      <c r="I10" s="89">
        <f>I9+H10</f>
        <v>22063.917228583232</v>
      </c>
    </row>
    <row r="13" spans="2:9" x14ac:dyDescent="0.15">
      <c r="B13" t="s">
        <v>110</v>
      </c>
      <c r="C13">
        <f>I10</f>
        <v>22063.917228583232</v>
      </c>
    </row>
    <row r="16" spans="2:9" x14ac:dyDescent="0.15">
      <c r="B16" t="s">
        <v>97</v>
      </c>
      <c r="C16">
        <v>20160906</v>
      </c>
    </row>
    <row r="17" spans="2:10" x14ac:dyDescent="0.15">
      <c r="B17" t="s">
        <v>95</v>
      </c>
      <c r="C17">
        <v>22063.917228583232</v>
      </c>
    </row>
    <row r="18" spans="2:10" x14ac:dyDescent="0.15">
      <c r="B18" t="s">
        <v>114</v>
      </c>
      <c r="C18">
        <f>C17*(1+0.02/12/2)</f>
        <v>22082.303826273717</v>
      </c>
    </row>
    <row r="19" spans="2:10" x14ac:dyDescent="0.15">
      <c r="B19" s="89" t="s">
        <v>73</v>
      </c>
      <c r="C19" s="89" t="s">
        <v>97</v>
      </c>
      <c r="D19" s="94" t="s">
        <v>98</v>
      </c>
      <c r="E19" s="89" t="s">
        <v>23</v>
      </c>
      <c r="F19" s="89" t="s">
        <v>99</v>
      </c>
      <c r="G19" s="93" t="s">
        <v>100</v>
      </c>
      <c r="H19" s="89" t="s">
        <v>101</v>
      </c>
      <c r="I19" s="89" t="s">
        <v>102</v>
      </c>
    </row>
    <row r="20" spans="2:10" x14ac:dyDescent="0.15">
      <c r="B20" s="89">
        <v>20160825</v>
      </c>
      <c r="C20" s="89" t="s">
        <v>38</v>
      </c>
      <c r="D20" s="94" t="s">
        <v>105</v>
      </c>
      <c r="E20" s="89">
        <v>1</v>
      </c>
      <c r="F20" s="89">
        <v>1</v>
      </c>
      <c r="G20" s="93">
        <v>0</v>
      </c>
      <c r="H20" s="89">
        <f>C18</f>
        <v>22082.303826273717</v>
      </c>
      <c r="I20" s="89">
        <f>H20</f>
        <v>22082.303826273717</v>
      </c>
    </row>
    <row r="21" spans="2:10" x14ac:dyDescent="0.15">
      <c r="B21" s="89">
        <v>20160825</v>
      </c>
      <c r="C21" s="89" t="s">
        <v>38</v>
      </c>
      <c r="D21" s="94" t="s">
        <v>111</v>
      </c>
      <c r="E21" s="89">
        <v>228.07</v>
      </c>
      <c r="F21" s="89">
        <v>1</v>
      </c>
      <c r="G21" s="93">
        <v>0</v>
      </c>
      <c r="H21" s="89">
        <f>-E21*F21</f>
        <v>-228.07</v>
      </c>
      <c r="I21" s="89">
        <f>I20+H21</f>
        <v>21854.233826273718</v>
      </c>
    </row>
    <row r="22" spans="2:10" x14ac:dyDescent="0.15">
      <c r="B22" s="89">
        <v>20160902</v>
      </c>
      <c r="C22" s="89" t="s">
        <v>38</v>
      </c>
      <c r="D22" s="94" t="s">
        <v>111</v>
      </c>
      <c r="E22" s="89">
        <v>2.29</v>
      </c>
      <c r="F22" s="89">
        <v>1</v>
      </c>
      <c r="G22" s="93">
        <v>0</v>
      </c>
      <c r="H22" s="89">
        <f>-E22*F22</f>
        <v>-2.29</v>
      </c>
      <c r="I22" s="89">
        <f>I21+H22</f>
        <v>21851.943826273717</v>
      </c>
      <c r="J22" t="s">
        <v>115</v>
      </c>
    </row>
    <row r="23" spans="2:10" x14ac:dyDescent="0.15">
      <c r="B23" s="89" t="s">
        <v>78</v>
      </c>
      <c r="C23" s="89" t="s">
        <v>38</v>
      </c>
      <c r="D23" s="94" t="s">
        <v>117</v>
      </c>
      <c r="E23" s="89">
        <v>455.71</v>
      </c>
      <c r="F23" s="89">
        <v>1</v>
      </c>
      <c r="G23" s="93">
        <v>0</v>
      </c>
      <c r="H23" s="89">
        <v>455.71</v>
      </c>
      <c r="I23" s="89">
        <f>I22+H23</f>
        <v>22307.653826273716</v>
      </c>
      <c r="J23" t="s">
        <v>118</v>
      </c>
    </row>
    <row r="24" spans="2:10" ht="23" x14ac:dyDescent="0.15">
      <c r="B24" s="89"/>
      <c r="C24" s="91"/>
      <c r="D24" s="94"/>
      <c r="E24" s="89"/>
      <c r="F24" s="89"/>
      <c r="G24" s="93"/>
      <c r="H24" s="89"/>
      <c r="I24" s="89"/>
    </row>
    <row r="27" spans="2:10" x14ac:dyDescent="0.15">
      <c r="B27" t="s">
        <v>121</v>
      </c>
      <c r="C27">
        <f>I23</f>
        <v>22307.653826273716</v>
      </c>
    </row>
    <row r="29" spans="2:10" x14ac:dyDescent="0.15">
      <c r="B29" t="s">
        <v>97</v>
      </c>
      <c r="C29">
        <v>20160921</v>
      </c>
    </row>
    <row r="30" spans="2:10" x14ac:dyDescent="0.15">
      <c r="B30" t="s">
        <v>95</v>
      </c>
      <c r="C30">
        <v>22307.653826273716</v>
      </c>
    </row>
    <row r="31" spans="2:10" x14ac:dyDescent="0.15">
      <c r="B31" t="s">
        <v>120</v>
      </c>
      <c r="C31">
        <f>C30*(1+0.02/12/2)</f>
        <v>22326.24353779561</v>
      </c>
    </row>
    <row r="32" spans="2:10" x14ac:dyDescent="0.15">
      <c r="B32" s="89" t="s">
        <v>73</v>
      </c>
      <c r="C32" s="89" t="s">
        <v>97</v>
      </c>
      <c r="D32" s="94" t="s">
        <v>98</v>
      </c>
      <c r="E32" s="89" t="s">
        <v>23</v>
      </c>
      <c r="F32" s="89" t="s">
        <v>99</v>
      </c>
      <c r="G32" s="93" t="s">
        <v>100</v>
      </c>
      <c r="H32" s="89" t="s">
        <v>101</v>
      </c>
      <c r="I32" s="89" t="s">
        <v>102</v>
      </c>
    </row>
    <row r="33" spans="2:10" x14ac:dyDescent="0.15">
      <c r="B33" s="89">
        <v>20160908</v>
      </c>
      <c r="C33" s="89" t="s">
        <v>38</v>
      </c>
      <c r="D33" s="94" t="s">
        <v>117</v>
      </c>
      <c r="E33" s="89">
        <v>173.52</v>
      </c>
      <c r="F33" s="89">
        <v>1</v>
      </c>
      <c r="G33" s="93">
        <v>0</v>
      </c>
      <c r="H33" s="89">
        <f>E33</f>
        <v>173.52</v>
      </c>
      <c r="I33" s="89">
        <f>C31+E33</f>
        <v>22499.76353779561</v>
      </c>
      <c r="J33" t="s">
        <v>122</v>
      </c>
    </row>
    <row r="34" spans="2:10" ht="23" x14ac:dyDescent="0.15">
      <c r="B34" s="89"/>
      <c r="C34" s="91"/>
      <c r="D34" s="94"/>
      <c r="E34" s="89"/>
      <c r="F34" s="89"/>
      <c r="G34" s="93"/>
      <c r="H34" s="89"/>
      <c r="I34" s="89"/>
    </row>
    <row r="37" spans="2:10" x14ac:dyDescent="0.15">
      <c r="B37" t="s">
        <v>123</v>
      </c>
      <c r="C37">
        <f>ROUND(I33,2)</f>
        <v>22499.759999999998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F24" sqref="F24"/>
    </sheetView>
  </sheetViews>
  <sheetFormatPr baseColWidth="10" defaultRowHeight="15" x14ac:dyDescent="0.15"/>
  <sheetData>
    <row r="1" spans="1:3" x14ac:dyDescent="0.15">
      <c r="A1" t="s">
        <v>83</v>
      </c>
      <c r="B1" t="s">
        <v>84</v>
      </c>
    </row>
    <row r="2" spans="1:3" x14ac:dyDescent="0.15">
      <c r="A2" t="s">
        <v>85</v>
      </c>
      <c r="B2" t="s">
        <v>86</v>
      </c>
      <c r="C2" t="s">
        <v>107</v>
      </c>
    </row>
    <row r="3" spans="1:3" x14ac:dyDescent="0.15">
      <c r="B3" t="s">
        <v>87</v>
      </c>
      <c r="C3" t="s">
        <v>108</v>
      </c>
    </row>
    <row r="4" spans="1:3" x14ac:dyDescent="0.15">
      <c r="B4" t="s">
        <v>106</v>
      </c>
      <c r="C4" t="s">
        <v>109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工作表1</vt:lpstr>
      <vt:lpstr>余额宝</vt:lpstr>
      <vt:lpstr>投资者权益表</vt:lpstr>
      <vt:lpstr>易H股ETF联接（110031）</vt:lpstr>
      <vt:lpstr>打包资产统计</vt:lpstr>
      <vt:lpstr>资产结构</vt:lpstr>
      <vt:lpstr>Operation</vt:lpstr>
      <vt:lpstr>余额宝损益表</vt:lpstr>
      <vt:lpstr>策略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2016-06-08T12:08:10Z</dcterms:created>
  <dcterms:modified xsi:type="dcterms:W3CDTF">2016-09-21T08:51:19Z</dcterms:modified>
</cp:coreProperties>
</file>