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3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and/Documents/git/tractionrec/"/>
    </mc:Choice>
  </mc:AlternateContent>
  <bookViews>
    <workbookView xWindow="0" yWindow="0" windowWidth="25600" windowHeight="16000" tabRatio="500" firstSheet="4" activeTab="4"/>
  </bookViews>
  <sheets>
    <sheet name="A" sheetId="1" state="hidden" r:id="rId1"/>
    <sheet name="HK" sheetId="2" state="hidden" r:id="rId2"/>
    <sheet name="总" sheetId="3" state="hidden" r:id="rId3"/>
    <sheet name="A股经验" sheetId="4" state="hidden" r:id="rId4"/>
    <sheet name="操作系统" sheetId="13" r:id="rId5"/>
    <sheet name="日志" sheetId="5" state="hidden" r:id="rId6"/>
    <sheet name="规则" sheetId="6" state="hidden" r:id="rId7"/>
    <sheet name="安全资产" sheetId="7" state="hidden" r:id="rId8"/>
    <sheet name="拆借" sheetId="8" state="hidden" r:id="rId9"/>
    <sheet name="仓" sheetId="14" state="hidden" r:id="rId10"/>
    <sheet name="止损" sheetId="18" r:id="rId11"/>
    <sheet name="股票交易" sheetId="19" r:id="rId12"/>
    <sheet name="逆回购交易" sheetId="23" r:id="rId13"/>
    <sheet name="提取账户" sheetId="20" r:id="rId14"/>
    <sheet name="交易账户" sheetId="22" r:id="rId15"/>
    <sheet name="权益" sheetId="17" state="hidden" r:id="rId16"/>
    <sheet name="201609交易复盘" sheetId="15" state="hidden" r:id="rId17"/>
    <sheet name="纪律" sheetId="9" r:id="rId18"/>
    <sheet name="601169 北京银行" sheetId="11" state="hidden" r:id="rId19"/>
    <sheet name="600363 联创光电" sheetId="12" state="hidden" r:id="rId20"/>
  </sheets>
  <definedNames>
    <definedName name="_xlnm._FilterDatabase" localSheetId="0" hidden="1">A!$C$1:$C$95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22" l="1"/>
  <c r="D5" i="22"/>
  <c r="F4" i="19"/>
  <c r="K13" i="18"/>
  <c r="J13" i="18"/>
  <c r="K12" i="18"/>
  <c r="J12" i="18"/>
  <c r="K11" i="18"/>
  <c r="J11" i="18"/>
  <c r="K10" i="18"/>
  <c r="J10" i="18"/>
  <c r="K9" i="18"/>
  <c r="J9" i="18"/>
  <c r="K8" i="18"/>
  <c r="J8" i="18"/>
  <c r="K7" i="18"/>
  <c r="J7" i="18"/>
  <c r="K6" i="18"/>
  <c r="J6" i="18"/>
  <c r="K5" i="18"/>
  <c r="J5" i="18"/>
  <c r="K4" i="18"/>
  <c r="J4" i="18"/>
  <c r="K42" i="14"/>
  <c r="C42" i="14"/>
  <c r="L42" i="14"/>
  <c r="P42" i="14"/>
  <c r="J42" i="14"/>
  <c r="H42" i="14"/>
  <c r="G42" i="14"/>
  <c r="C45" i="14"/>
  <c r="L45" i="14"/>
  <c r="N46" i="14"/>
  <c r="K46" i="14"/>
  <c r="C46" i="14"/>
  <c r="L46" i="14"/>
  <c r="P46" i="14"/>
  <c r="J46" i="14"/>
  <c r="H46" i="14"/>
  <c r="G46" i="14"/>
  <c r="P45" i="14"/>
  <c r="J45" i="14"/>
  <c r="H45" i="14"/>
  <c r="G45" i="14"/>
  <c r="F53" i="8"/>
  <c r="C44" i="14"/>
  <c r="L44" i="14"/>
  <c r="P44" i="14"/>
  <c r="J44" i="14"/>
  <c r="H44" i="14"/>
  <c r="G44" i="14"/>
  <c r="F52" i="8"/>
  <c r="F51" i="8"/>
  <c r="H50" i="8"/>
  <c r="F50" i="8"/>
  <c r="K43" i="14"/>
  <c r="C43" i="14"/>
  <c r="J43" i="14"/>
  <c r="H43" i="14"/>
  <c r="G43" i="14"/>
  <c r="C41" i="14"/>
  <c r="L41" i="14"/>
  <c r="N41" i="14"/>
  <c r="P41" i="14"/>
  <c r="J41" i="14"/>
  <c r="H41" i="14"/>
  <c r="G41" i="14"/>
  <c r="H49" i="8"/>
  <c r="F49" i="8"/>
  <c r="H48" i="8"/>
  <c r="H47" i="8"/>
  <c r="H46" i="8"/>
  <c r="H45" i="8"/>
  <c r="H44" i="8"/>
  <c r="H43" i="8"/>
  <c r="H42" i="8"/>
  <c r="H41" i="8"/>
  <c r="H40" i="8"/>
  <c r="H39" i="8"/>
  <c r="H38" i="8"/>
  <c r="H36" i="8"/>
  <c r="G35" i="8"/>
  <c r="H35" i="8"/>
  <c r="G34" i="8"/>
  <c r="H34" i="8"/>
  <c r="G40" i="14"/>
  <c r="C40" i="14"/>
  <c r="L40" i="14"/>
  <c r="P40" i="14"/>
  <c r="J40" i="14"/>
  <c r="H40" i="14"/>
  <c r="F48" i="8"/>
  <c r="F47" i="8"/>
  <c r="F46" i="8"/>
  <c r="C39" i="14"/>
  <c r="F45" i="8"/>
  <c r="F44" i="8"/>
  <c r="C20" i="14"/>
  <c r="L20" i="14"/>
  <c r="N21" i="14"/>
  <c r="E21" i="14"/>
  <c r="C21" i="14"/>
  <c r="K21" i="14"/>
  <c r="L21" i="14"/>
  <c r="L39" i="14"/>
  <c r="C27" i="14"/>
  <c r="L27" i="14"/>
  <c r="N27" i="14"/>
  <c r="N31" i="14"/>
  <c r="Q39" i="14"/>
  <c r="J39" i="14"/>
  <c r="H39" i="14"/>
  <c r="G39" i="14"/>
  <c r="C38" i="14"/>
  <c r="L38" i="14"/>
  <c r="J38" i="14"/>
  <c r="H38" i="14"/>
  <c r="G38" i="14"/>
  <c r="E37" i="14"/>
  <c r="F43" i="8"/>
  <c r="C37" i="14"/>
  <c r="L37" i="14"/>
  <c r="J37" i="14"/>
  <c r="H37" i="14"/>
  <c r="G37" i="14"/>
  <c r="C36" i="14"/>
  <c r="L36" i="14"/>
  <c r="J36" i="14"/>
  <c r="H36" i="14"/>
  <c r="G36" i="14"/>
  <c r="F42" i="8"/>
  <c r="C35" i="14"/>
  <c r="L35" i="14"/>
  <c r="J35" i="14"/>
  <c r="H35" i="14"/>
  <c r="G35" i="14"/>
  <c r="F41" i="8"/>
  <c r="C34" i="14"/>
  <c r="L34" i="14"/>
  <c r="J34" i="14"/>
  <c r="H34" i="14"/>
  <c r="G34" i="14"/>
  <c r="F40" i="8"/>
  <c r="G33" i="14"/>
  <c r="C33" i="14"/>
  <c r="L33" i="14"/>
  <c r="J33" i="14"/>
  <c r="H33" i="14"/>
  <c r="F39" i="8"/>
  <c r="C32" i="14"/>
  <c r="L32" i="14"/>
  <c r="J32" i="14"/>
  <c r="H32" i="14"/>
  <c r="F38" i="8"/>
  <c r="E31" i="14"/>
  <c r="C31" i="14"/>
  <c r="K31" i="14"/>
  <c r="L31" i="14"/>
  <c r="O31" i="14"/>
  <c r="Q31" i="14"/>
  <c r="R31" i="14"/>
  <c r="O27" i="14"/>
  <c r="Q27" i="14"/>
  <c r="R27" i="14"/>
  <c r="F37" i="8"/>
  <c r="C30" i="14"/>
  <c r="K28" i="14"/>
  <c r="K29" i="14"/>
  <c r="K30" i="14"/>
  <c r="L30" i="14"/>
  <c r="J30" i="14"/>
  <c r="H30" i="14"/>
  <c r="C29" i="14"/>
  <c r="H29" i="14"/>
  <c r="L29" i="14"/>
  <c r="J29" i="14"/>
  <c r="C28" i="14"/>
  <c r="L28" i="14"/>
  <c r="J28" i="14"/>
  <c r="H28" i="14"/>
  <c r="G33" i="8"/>
  <c r="F33" i="8"/>
  <c r="J27" i="14"/>
  <c r="H27" i="14"/>
  <c r="G27" i="14"/>
  <c r="F31" i="8"/>
  <c r="E26" i="14"/>
  <c r="C26" i="14"/>
  <c r="L26" i="14"/>
  <c r="J26" i="14"/>
  <c r="H26" i="14"/>
  <c r="G26" i="14"/>
  <c r="C25" i="14"/>
  <c r="L25" i="14"/>
  <c r="J25" i="14"/>
  <c r="H25" i="14"/>
  <c r="G25" i="14"/>
  <c r="E24" i="14"/>
  <c r="C24" i="14"/>
  <c r="L24" i="14"/>
  <c r="J24" i="14"/>
  <c r="H24" i="14"/>
  <c r="G24" i="14"/>
  <c r="D14" i="17"/>
  <c r="H14" i="17"/>
  <c r="H16" i="17"/>
  <c r="C16" i="17"/>
  <c r="G16" i="17"/>
  <c r="D15" i="17"/>
  <c r="D16" i="17"/>
  <c r="D10" i="17"/>
  <c r="D11" i="17"/>
  <c r="D12" i="17"/>
  <c r="F16" i="17"/>
  <c r="H15" i="17"/>
  <c r="G15" i="17"/>
  <c r="F15" i="17"/>
  <c r="G14" i="17"/>
  <c r="F14" i="17"/>
  <c r="H11" i="17"/>
  <c r="D6" i="17"/>
  <c r="D7" i="17"/>
  <c r="D8" i="17"/>
  <c r="F12" i="17"/>
  <c r="F11" i="17"/>
  <c r="F10" i="17"/>
  <c r="D2" i="17"/>
  <c r="F6" i="17"/>
  <c r="H10" i="17"/>
  <c r="H7" i="17"/>
  <c r="E23" i="14"/>
  <c r="C23" i="14"/>
  <c r="L23" i="14"/>
  <c r="J23" i="14"/>
  <c r="H23" i="14"/>
  <c r="G23" i="14"/>
  <c r="H12" i="17"/>
  <c r="C12" i="17"/>
  <c r="G12" i="17"/>
  <c r="G11" i="17"/>
  <c r="G10" i="17"/>
  <c r="H8" i="17"/>
  <c r="H4" i="17"/>
  <c r="F8" i="17"/>
  <c r="F7" i="17"/>
  <c r="D3" i="17"/>
  <c r="F3" i="17"/>
  <c r="D4" i="17"/>
  <c r="F4" i="17"/>
  <c r="F2" i="17"/>
  <c r="C8" i="17"/>
  <c r="G8" i="17"/>
  <c r="G7" i="17"/>
  <c r="G6" i="17"/>
  <c r="G3" i="17"/>
  <c r="C4" i="17"/>
  <c r="G4" i="17"/>
  <c r="G2" i="17"/>
  <c r="E22" i="14"/>
  <c r="C22" i="14"/>
  <c r="L22" i="14"/>
  <c r="J22" i="14"/>
  <c r="H22" i="14"/>
  <c r="G22" i="14"/>
  <c r="J21" i="14"/>
  <c r="H21" i="14"/>
  <c r="G21" i="14"/>
  <c r="L3" i="14"/>
  <c r="L4" i="14"/>
  <c r="C5" i="14"/>
  <c r="L5" i="14"/>
  <c r="C6" i="14"/>
  <c r="L6" i="14"/>
  <c r="C7" i="14"/>
  <c r="L7" i="14"/>
  <c r="C8" i="14"/>
  <c r="L8" i="14"/>
  <c r="C9" i="14"/>
  <c r="L9" i="14"/>
  <c r="C10" i="14"/>
  <c r="L10" i="14"/>
  <c r="C11" i="14"/>
  <c r="L11" i="14"/>
  <c r="C12" i="14"/>
  <c r="L12" i="14"/>
  <c r="C13" i="14"/>
  <c r="L13" i="14"/>
  <c r="C14" i="14"/>
  <c r="L14" i="14"/>
  <c r="C15" i="14"/>
  <c r="L15" i="14"/>
  <c r="C16" i="14"/>
  <c r="L16" i="14"/>
  <c r="C17" i="14"/>
  <c r="L17" i="14"/>
  <c r="C18" i="14"/>
  <c r="L18" i="14"/>
  <c r="F25" i="8"/>
  <c r="E19" i="14"/>
  <c r="C19" i="14"/>
  <c r="L19" i="14"/>
  <c r="L2" i="14"/>
  <c r="J20" i="14"/>
  <c r="H20" i="14"/>
  <c r="G20" i="14"/>
  <c r="J19" i="14"/>
  <c r="H19" i="14"/>
  <c r="G19" i="14"/>
  <c r="J18" i="14"/>
  <c r="H18" i="14"/>
  <c r="G18" i="14"/>
  <c r="J17" i="14"/>
  <c r="H3" i="14"/>
  <c r="G3" i="14"/>
  <c r="H4" i="14"/>
  <c r="G4" i="14"/>
  <c r="H5" i="14"/>
  <c r="G5" i="14"/>
  <c r="H6" i="14"/>
  <c r="G6" i="14"/>
  <c r="H7" i="14"/>
  <c r="G7" i="14"/>
  <c r="H8" i="14"/>
  <c r="G8" i="14"/>
  <c r="H9" i="14"/>
  <c r="G9" i="14"/>
  <c r="H10" i="14"/>
  <c r="G10" i="14"/>
  <c r="H11" i="14"/>
  <c r="G11" i="14"/>
  <c r="H12" i="14"/>
  <c r="G12" i="14"/>
  <c r="H13" i="14"/>
  <c r="G13" i="14"/>
  <c r="H14" i="14"/>
  <c r="G14" i="14"/>
  <c r="H15" i="14"/>
  <c r="G15" i="14"/>
  <c r="H16" i="14"/>
  <c r="G16" i="14"/>
  <c r="H17" i="14"/>
  <c r="G17" i="14"/>
  <c r="G2" i="14"/>
  <c r="H17" i="8"/>
  <c r="F13" i="11"/>
  <c r="F12" i="11"/>
  <c r="F4" i="11"/>
  <c r="F5" i="11"/>
  <c r="F6" i="11"/>
  <c r="F7" i="11"/>
  <c r="F8" i="11"/>
  <c r="F9" i="11"/>
  <c r="F10" i="11"/>
  <c r="F11" i="11"/>
  <c r="F3" i="11"/>
  <c r="G95" i="1"/>
  <c r="G94" i="1"/>
  <c r="H11" i="2"/>
  <c r="G93" i="1"/>
  <c r="G85" i="1"/>
  <c r="G92" i="1"/>
  <c r="G91" i="1"/>
  <c r="G86" i="1"/>
  <c r="H10" i="2"/>
  <c r="G76" i="1"/>
  <c r="G83" i="1"/>
  <c r="J31" i="14"/>
  <c r="H31" i="14"/>
  <c r="L43" i="14"/>
  <c r="P43" i="14"/>
</calcChain>
</file>

<file path=xl/sharedStrings.xml><?xml version="1.0" encoding="utf-8"?>
<sst xmlns="http://schemas.openxmlformats.org/spreadsheetml/2006/main" count="714" uniqueCount="318">
  <si>
    <t>时间</t>
  </si>
  <si>
    <t>操作</t>
  </si>
  <si>
    <t>数量</t>
  </si>
  <si>
    <t>单价</t>
  </si>
  <si>
    <t>金额</t>
  </si>
  <si>
    <t>代码</t>
  </si>
  <si>
    <t>名称</t>
  </si>
  <si>
    <t>海螺水泥</t>
  </si>
  <si>
    <t>BUY</t>
  </si>
  <si>
    <t>光大银行</t>
  </si>
  <si>
    <t>时富金融服务集团</t>
  </si>
  <si>
    <t>中国燃气</t>
  </si>
  <si>
    <t>协同通信</t>
  </si>
  <si>
    <t>收</t>
  </si>
  <si>
    <t>备注</t>
  </si>
  <si>
    <t>58K - 66K</t>
  </si>
  <si>
    <t>66K - 75K</t>
  </si>
  <si>
    <t>中国人寿</t>
  </si>
  <si>
    <t>SELL</t>
  </si>
  <si>
    <t>涨停</t>
  </si>
  <si>
    <t>安东油田服务</t>
  </si>
  <si>
    <t>港交所</t>
  </si>
  <si>
    <t>广发证券</t>
  </si>
  <si>
    <t>手</t>
  </si>
  <si>
    <t>涨2元补回交易成本</t>
  </si>
  <si>
    <t xml:space="preserve">中信证券 </t>
  </si>
  <si>
    <t>买重</t>
  </si>
  <si>
    <t>总结</t>
  </si>
  <si>
    <t>不要以高于前一天收盘价买入
注：前天收盘31.15.几次都如此</t>
  </si>
  <si>
    <t>北京银行</t>
  </si>
  <si>
    <t>中核科技</t>
  </si>
  <si>
    <t>借</t>
  </si>
  <si>
    <t>大跌，买入777</t>
  </si>
  <si>
    <t>准备补仓</t>
  </si>
  <si>
    <t>中国中车</t>
  </si>
  <si>
    <t>[BUY]  [150508 @ 13.47 - 150616 @ 14.27] [601169 sh.北京银行] 5.939 count: 27
[SELL] [150403 @ 11.07 - 150507 @ 13.47] [601169 sh.北京银行] 21.680 count: 20
如此纠结的买点。测试一下</t>
  </si>
  <si>
    <t>[BUY]  [150427 @ 34.36 - 150619 @ 20.08] [601766 sh.中国中车] -41.560 count: 16
[BUY]  [150420 @ 35.38 - 150625 @ 20.28] [601766 sh.中国中车] -42.679 count: 24
[BUY]  [150609 @ 29.38 - 150626 @ 18.26] [601766 sh.中国中车] -37.849 count: 12
买在了第二拍。或许该等下第三拍，仅差一天</t>
  </si>
  <si>
    <t>买在了第三拍，以26日的收盘价买入。是不是买多了 ？因为又跌了</t>
  </si>
  <si>
    <t>77-78K，虽然补了不少</t>
  </si>
  <si>
    <t>补仓</t>
  </si>
  <si>
    <t>吉电股份</t>
  </si>
  <si>
    <t>买了又跌</t>
  </si>
  <si>
    <t>联创光电</t>
  </si>
  <si>
    <t>上证指数在6月5日提示次日买点，目前drop track value 3,底部还早。抄底太早</t>
  </si>
  <si>
    <t>补仓777</t>
  </si>
  <si>
    <t>补仓600363</t>
  </si>
  <si>
    <t>降低成本</t>
  </si>
  <si>
    <t xml:space="preserve">海螺水泥 </t>
  </si>
  <si>
    <t>降成本。低于买入价，但高于当下成本</t>
  </si>
  <si>
    <t>涨停，出</t>
  </si>
  <si>
    <t>四连板，盈利44%。降低成本</t>
  </si>
  <si>
    <t>大盘到了SELL后，可以考虑优先处理value=6的track?</t>
  </si>
  <si>
    <t>减仓到7.8，准备买大盘股. 7月这只股票盈利12%，600左右，够了，清了</t>
  </si>
  <si>
    <t>指数hit，买卖-1？</t>
  </si>
  <si>
    <r>
      <t>[BUY]  [150625 @ 2943.99 - 150722 @ 2739.79] [000016 sh.</t>
    </r>
    <r>
      <rPr>
        <sz val="12"/>
        <color theme="1"/>
        <rFont val="宋体"/>
        <family val="2"/>
        <charset val="134"/>
      </rPr>
      <t>上证</t>
    </r>
    <r>
      <rPr>
        <sz val="12"/>
        <color theme="1"/>
        <rFont val="宋体"/>
        <family val="2"/>
        <charset val="134"/>
        <scheme val="minor"/>
      </rPr>
      <t>50] -6.936 count: 19
[SELL] [150708 @ 11040.89 - 150722 @ 13416.54] [399001 sz.</t>
    </r>
    <r>
      <rPr>
        <sz val="12"/>
        <color theme="1"/>
        <rFont val="宋体"/>
        <family val="2"/>
        <charset val="134"/>
      </rPr>
      <t>深证成指</t>
    </r>
    <r>
      <rPr>
        <sz val="12"/>
        <color theme="1"/>
        <rFont val="宋体"/>
        <family val="2"/>
        <charset val="134"/>
        <scheme val="minor"/>
      </rPr>
      <t>] 21.517 count: 10
[BUY]  [150625 @ 2943.99 - 150722 @ 2739.79] [000016 sh.</t>
    </r>
    <r>
      <rPr>
        <sz val="12"/>
        <color theme="1"/>
        <rFont val="宋体"/>
        <family val="2"/>
        <charset val="134"/>
      </rPr>
      <t>上证</t>
    </r>
    <r>
      <rPr>
        <sz val="12"/>
        <color theme="1"/>
        <rFont val="宋体"/>
        <family val="2"/>
        <charset val="134"/>
        <scheme val="minor"/>
      </rPr>
      <t xml:space="preserve">50] -6.936 count: 19
</t>
    </r>
  </si>
  <si>
    <r>
      <t>7.22</t>
    </r>
    <r>
      <rPr>
        <sz val="12"/>
        <color theme="1"/>
        <rFont val="宋体"/>
        <family val="2"/>
        <charset val="134"/>
      </rPr>
      <t>上证、深证触顶。与上证50背离
7.27 上证跌8.5%（345点），收3725</t>
    </r>
  </si>
  <si>
    <t>没有想明白</t>
  </si>
  <si>
    <t>大盘不好。响应僧哥的要求，减仓，留100股</t>
  </si>
  <si>
    <t>降成本，剩余100股</t>
  </si>
  <si>
    <t>海螺水泥，清仓，because 僧哥，自身也有降低仓位的考虑。总结了以下，发现利润玩丢了不少</t>
  </si>
  <si>
    <r>
      <t>BUY</t>
    </r>
    <r>
      <rPr>
        <sz val="12"/>
        <color theme="1"/>
        <rFont val="宋体"/>
        <family val="2"/>
        <charset val="134"/>
      </rPr>
      <t>信号</t>
    </r>
  </si>
  <si>
    <t>与现有成本没有拉开距离的话，不买，除非主动增加仓位</t>
  </si>
  <si>
    <t>止盈</t>
  </si>
  <si>
    <r>
      <t>30%</t>
    </r>
    <r>
      <rPr>
        <sz val="12"/>
        <color theme="1"/>
        <rFont val="宋体"/>
        <family val="2"/>
        <charset val="134"/>
      </rPr>
      <t>。没有仓位压力的话可以放宽，等待SELL信号</t>
    </r>
  </si>
  <si>
    <t>止损</t>
  </si>
  <si>
    <t>仓位</t>
  </si>
  <si>
    <r>
      <t>4-7</t>
    </r>
    <r>
      <rPr>
        <sz val="12"/>
        <color theme="1"/>
        <rFont val="宋体"/>
        <family val="2"/>
        <charset val="134"/>
      </rPr>
      <t>成。</t>
    </r>
  </si>
  <si>
    <t>生命线</t>
  </si>
  <si>
    <t>中的精神
成本+仓位
主动追求的是降低成本，控制仓位，盈利是副产品</t>
  </si>
  <si>
    <t>7月6日买入的200股，盈利达到30%，止盈。
[SELL] [150709 @ 21.56 - 150807 @ 30.85] [000777 sz.中核科技] 43.089 count: 21</t>
  </si>
  <si>
    <t>78-86K</t>
  </si>
  <si>
    <t>兰石重装</t>
  </si>
  <si>
    <t>成本</t>
  </si>
  <si>
    <t>价格</t>
  </si>
  <si>
    <t>市值</t>
  </si>
  <si>
    <t>民生银行</t>
  </si>
  <si>
    <t>DROP TRACK
------------------------------------------------------------
[BUY]  [150625 @ 9.40 - 150814 @ 9.06] [600016 sh.民生银行] -3.617 count: 36
[BUY]  [150630 @ 9.94 - 150814 @ 9.06] [600016 sh.民生银行] -8.853 count: 33
DROP TRACK
------------------------------------------------------------
[RUN]  [150723 @ 9.65 - 150814 @ 9.06] [600016 sh.民生银行] -6.114 value:4 count: 16
不知道是不是买的有点着急。收盘价8.96</t>
  </si>
  <si>
    <t>DROP TRACK
------------------------------------------------------------
[BUY]  [150625 @ 5.39 - 150818 @ 4.24] [601818 sh.光大银行] -21.336 count: 38
DROP TRACK
------------------------------------------------------------
[RUN]  [150710 @ 5.79 - 150818 @ 4.24] [601818 sh.光大银行] -26.770 value:7 count: 27</t>
  </si>
  <si>
    <t>交通银行</t>
  </si>
  <si>
    <t>DROP TRACK
------------------------------------------------------------
[BUY]  [150710 @ 8.50 - 150819 @ 6.37] [601328 sh.交通银行] -25.059 count: 28
DROP TRACK
------------------------------------------------------------
[RUN]  [150810 @ 7.02 - 150819 @ 6.37] [601328 sh.交通银行] -9.259 value:6 count:  7</t>
  </si>
  <si>
    <t>少于15%，不考虑买</t>
  </si>
  <si>
    <t>北京银行是个好银行</t>
  </si>
  <si>
    <t>两个涨停。稍微减仓吧</t>
  </si>
  <si>
    <t>sb..</t>
  </si>
  <si>
    <t>-</t>
  </si>
  <si>
    <t>150930 @ 25.53]</t>
  </si>
  <si>
    <t>[601628 sh.中国人寿]</t>
  </si>
  <si>
    <t>count: 10</t>
  </si>
  <si>
    <t>[BUY]  [150916 @ 27.43 - 150930 @ 25.53] [601628 sh.中国人寿] -6.927 count: 10
目标：5个点卖出200股</t>
  </si>
  <si>
    <t>清仓。。。没有任何信号，因为恐慌。。这只股票，四个月赚了525</t>
  </si>
  <si>
    <t>27元止损。</t>
  </si>
  <si>
    <t>折腾了一下，投入8k，赚了100块，呵呵</t>
  </si>
  <si>
    <t>151102 @ 6.23]</t>
  </si>
  <si>
    <t>[601328 sh.交通银行]</t>
  </si>
  <si>
    <t>count:  8</t>
  </si>
  <si>
    <t>[BUY]  [151021 @ 6.67 - 151102 @ 6.23] [601328 sh.交通银行] -6.597 count:  8</t>
  </si>
  <si>
    <t>无他。一个是止盈，4.17-4.64，涨了10%。另一个是，剩余200股的成本降低到-0.3
实际成交1392.为了平衡金额修改了</t>
  </si>
  <si>
    <t>趋势不好。港A股比例不对</t>
  </si>
  <si>
    <t>86-89K</t>
  </si>
  <si>
    <t>[BUY]  [151111 @ 10.54</t>
  </si>
  <si>
    <t>151130 @ 9.05]</t>
  </si>
  <si>
    <t>[600583 sh.海油工程]</t>
  </si>
  <si>
    <t>count: 13</t>
  </si>
  <si>
    <t>海油工程</t>
  </si>
  <si>
    <t>中国联通</t>
  </si>
  <si>
    <t>[BUY]  [151105 @ 7.07 - 151201 @ 6.21] [600050 sh.中国联通] -12.164 count: 18
[BUY]  [151109 @ 7.06 - 151201 @ 6.21] [600050 sh.中国联通] -12.040 count: 16
双杀？</t>
  </si>
  <si>
    <t>151203 @ 3584.82]</t>
  </si>
  <si>
    <t>[000001 sh.上证指数]</t>
  </si>
  <si>
    <t>count: 35</t>
  </si>
  <si>
    <t xml:space="preserve">[SELL] [151015 @ 3338.07 - 151203 @ 3584.82] [000001 sh.上证指数] 7.392 count: 35
</t>
  </si>
  <si>
    <r>
      <t>0.5</t>
    </r>
    <r>
      <rPr>
        <sz val="12"/>
        <color theme="1"/>
        <rFont val="宋体"/>
        <family val="2"/>
        <charset val="134"/>
      </rPr>
      <t>元/d/w</t>
    </r>
  </si>
  <si>
    <t>2W</t>
  </si>
  <si>
    <t>拆出</t>
  </si>
  <si>
    <t>招商银行</t>
  </si>
  <si>
    <t>[RUN]  [151021 @ 18.69 - 151210 @ 17.26] [600036 sh.招商银行] -7.651 value:7 count: 36
[RUN]  [151109 @ 19.08 - 151210 @ 17.26] [600036 sh.招商银行] -9.539 value:7 count: 23</t>
  </si>
  <si>
    <t>预计今天触底，应该是下周一买入。提前操作，合适不？
如果下周再跌，再补仓200吧。不知道是不是教训</t>
  </si>
  <si>
    <t>只看到H/A倒挂。。。套ing.交易日中继续跌</t>
  </si>
  <si>
    <t>双杀。11日冲动了，今天才是复合纪律的买入。。。</t>
  </si>
  <si>
    <t>小赚就走了。。。大盘双杀，回光返照，不亏已经谢天谢地了</t>
  </si>
  <si>
    <t>小赚就走了。。。
看不懂，为什么A股的价格比港股还低，背后到底是什么？</t>
  </si>
  <si>
    <t>没有信号。恐慌年前的行情。解套就卖了.</t>
  </si>
  <si>
    <t>1W</t>
  </si>
  <si>
    <t>起点</t>
  </si>
  <si>
    <t>每日</t>
  </si>
  <si>
    <t>ACTION</t>
  </si>
  <si>
    <t>指数SELL信号，3个交易日内不做买入</t>
  </si>
  <si>
    <t>指数BUG信号，3个交易日内不做卖出</t>
  </si>
  <si>
    <r>
      <t>[SELL] [151118 @ 12283.76 - 151221 @ 13028.31] [399001 sz.</t>
    </r>
    <r>
      <rPr>
        <sz val="12"/>
        <color theme="1"/>
        <rFont val="宋体"/>
        <family val="2"/>
        <charset val="134"/>
      </rPr>
      <t>深证成指</t>
    </r>
    <r>
      <rPr>
        <sz val="12"/>
        <color theme="1"/>
        <rFont val="宋体"/>
        <family val="2"/>
        <charset val="134"/>
        <scheme val="minor"/>
      </rPr>
      <t xml:space="preserve">] 6.061 count: 23
</t>
    </r>
  </si>
  <si>
    <t>上海石化</t>
  </si>
  <si>
    <t>东风汽车</t>
  </si>
  <si>
    <t>触发：跌到8.70卖
20151229 设定止损：8.75</t>
  </si>
  <si>
    <t>上港集团</t>
  </si>
  <si>
    <t>[BUY]  [151126 @ 7.20 - 151229 @ 6.55] [600018 sh.上港集团] -9.028 count: 23</t>
  </si>
  <si>
    <t>89-90K</t>
  </si>
  <si>
    <t>更改</t>
  </si>
  <si>
    <t>[BUY]  [151109 @ 6.03 - 151231 @ 5.58] [600019 sh.宝钢股份] -7.463 count: 38</t>
  </si>
  <si>
    <t>0.5W</t>
  </si>
  <si>
    <t>取回</t>
  </si>
  <si>
    <t>宝钢股份</t>
  </si>
  <si>
    <t>涨停，卖掉100股，降低成本，5.52</t>
  </si>
  <si>
    <t>涨停，卖掉100股，降低成本,5.46</t>
  </si>
  <si>
    <t>signal</t>
  </si>
  <si>
    <t>冲动补仓。。。不对？</t>
  </si>
  <si>
    <t>中远航运</t>
  </si>
  <si>
    <t>第一波信号。。</t>
  </si>
  <si>
    <t>清仓</t>
  </si>
  <si>
    <t>第二波</t>
  </si>
  <si>
    <t>北大荒</t>
  </si>
  <si>
    <t>第一波</t>
  </si>
  <si>
    <t>仓位接近7成。积极止盈</t>
  </si>
  <si>
    <t>致敬！上证50！</t>
  </si>
  <si>
    <t>向上证50致敬之第二次</t>
  </si>
  <si>
    <t>比亚迪</t>
  </si>
  <si>
    <t>0.1W</t>
  </si>
  <si>
    <t>0.45W</t>
  </si>
  <si>
    <t>西部证券</t>
  </si>
  <si>
    <t>满仓了。</t>
  </si>
  <si>
    <t xml:space="preserve"> 拆&amp;还</t>
  </si>
  <si>
    <t>僧哥</t>
  </si>
  <si>
    <t>成本</t>
    <rPh sb="0" eb="1">
      <t>cheng'b</t>
    </rPh>
    <phoneticPr fontId="7" type="noConversion"/>
  </si>
  <si>
    <t>数量</t>
    <rPh sb="0" eb="1">
      <t>shu'l</t>
    </rPh>
    <phoneticPr fontId="7" type="noConversion"/>
  </si>
  <si>
    <t>持仓</t>
    <rPh sb="0" eb="1">
      <t>chi'cang</t>
    </rPh>
    <phoneticPr fontId="7" type="noConversion"/>
  </si>
  <si>
    <t>2W</t>
    <phoneticPr fontId="7" type="noConversion"/>
  </si>
  <si>
    <t>SELL</t>
    <phoneticPr fontId="7" type="noConversion"/>
  </si>
  <si>
    <t>[SELL] [160615 @ 3116.37 - 160705 @ 3207.38] [000300 sh.沪深300] 2.920 count: 14
[SELL] [160510 @ 2072.38 - 160704 @ 2163.29] [000016 sh.上证50] 4.387 count: 37
[SELL] [160615 @ 2106.63 - 160705 @ 2168.85] [000016 sh.上证50] 2.954 count: 14
[SELL] [160526 @ 2822.44 - 160706 @ 3017.29] [000001 sh.上证指数] 6.904 count: 27
[SELL] [160530 @ 2822.45 - 160706 @ 3017.29] [000001 sh.上证指数] 6.903 count: 25
[SELL] [160526 @ 4979.68 - 160629 @ 5316.25] [000009 sh.上证380] 6.759 count: 22
[SELL] [160530 @ 4964.47 - 160629 @ 5316.25] [000009 sh.上证380] 7.086 count: 20</t>
    <phoneticPr fontId="7" type="noConversion"/>
  </si>
  <si>
    <t>这么密集的信号，不知道是突破还是回调</t>
    <rPh sb="0" eb="1">
      <t>zhe'me'mi'ji</t>
    </rPh>
    <rPh sb="4" eb="5">
      <t>de</t>
    </rPh>
    <rPh sb="5" eb="6">
      <t>xin'hao</t>
    </rPh>
    <rPh sb="8" eb="9">
      <t>bu'zhi'dao</t>
    </rPh>
    <rPh sb="11" eb="12">
      <t>shi</t>
    </rPh>
    <rPh sb="12" eb="13">
      <t>tu'po</t>
    </rPh>
    <rPh sb="14" eb="15">
      <t>hai'shi</t>
    </rPh>
    <rPh sb="16" eb="17">
      <t>hui'tiao</t>
    </rPh>
    <phoneticPr fontId="7" type="noConversion"/>
  </si>
  <si>
    <t>一汽轿车</t>
    <rPh sb="0" eb="1">
      <t>y'q'j'c</t>
    </rPh>
    <phoneticPr fontId="7" type="noConversion"/>
  </si>
  <si>
    <t>BUY</t>
    <phoneticPr fontId="7" type="noConversion"/>
  </si>
  <si>
    <t>联众</t>
    <rPh sb="0" eb="1">
      <t>lian'zhong</t>
    </rPh>
    <phoneticPr fontId="7" type="noConversion"/>
  </si>
  <si>
    <t>BUY</t>
    <phoneticPr fontId="7" type="noConversion"/>
  </si>
  <si>
    <t>航天信息</t>
    <rPh sb="0" eb="1">
      <t>hang'tian</t>
    </rPh>
    <rPh sb="2" eb="3">
      <t>xin'xi</t>
    </rPh>
    <phoneticPr fontId="7" type="noConversion"/>
  </si>
  <si>
    <t>BUY</t>
    <phoneticPr fontId="7" type="noConversion"/>
  </si>
  <si>
    <t>160810 @ 23.04]</t>
  </si>
  <si>
    <t>[600271 sh.航天信息]</t>
  </si>
  <si>
    <t>count: 66</t>
  </si>
  <si>
    <t>SELL</t>
    <phoneticPr fontId="7" type="noConversion"/>
  </si>
  <si>
    <t>上证380双杀，不敢等了</t>
    <rPh sb="0" eb="1">
      <t>shang'zheng</t>
    </rPh>
    <rPh sb="5" eb="6">
      <t>shuang'sha</t>
    </rPh>
    <rPh sb="8" eb="9">
      <t>bu'gan'deng</t>
    </rPh>
    <rPh sb="11" eb="12">
      <t>le</t>
    </rPh>
    <phoneticPr fontId="7" type="noConversion"/>
  </si>
  <si>
    <t>三安光电</t>
    <rPh sb="0" eb="1">
      <t>san'an'guang'd</t>
    </rPh>
    <phoneticPr fontId="7" type="noConversion"/>
  </si>
  <si>
    <t>有点早</t>
    <rPh sb="0" eb="1">
      <t>you'dian'zao</t>
    </rPh>
    <phoneticPr fontId="7" type="noConversion"/>
  </si>
  <si>
    <t>[BUY]  [160506 @ 53.10</t>
    <phoneticPr fontId="7" type="noConversion"/>
  </si>
  <si>
    <t>没有耐心，买早了，只能忍痛</t>
    <rPh sb="0" eb="1">
      <t>mei'you</t>
    </rPh>
    <rPh sb="2" eb="3">
      <t>nai'xin</t>
    </rPh>
    <rPh sb="5" eb="6">
      <t>mai'zao</t>
    </rPh>
    <rPh sb="7" eb="8">
      <t>le</t>
    </rPh>
    <rPh sb="9" eb="10">
      <t>zhi'neng</t>
    </rPh>
    <rPh sb="11" eb="12">
      <t>ren'tong</t>
    </rPh>
    <phoneticPr fontId="7" type="noConversion"/>
  </si>
  <si>
    <t>SELL</t>
    <phoneticPr fontId="7" type="noConversion"/>
  </si>
  <si>
    <t>[BUY]  [160705 @ 2168.85 - 160729 @ 2155.24] [000016 sh.上证50] -0.628 count: 18</t>
    <phoneticPr fontId="7" type="noConversion"/>
  </si>
  <si>
    <t>上证50</t>
    <rPh sb="0" eb="1">
      <t>shang'zheng</t>
    </rPh>
    <phoneticPr fontId="7" type="noConversion"/>
  </si>
  <si>
    <t>SIG</t>
    <phoneticPr fontId="7" type="noConversion"/>
  </si>
  <si>
    <t>[SELL] [160615 @ 5167.85 - 160816 @ 5676.30] [000009 sh.上证380] 9.839 count: 44</t>
    <phoneticPr fontId="7" type="noConversion"/>
  </si>
  <si>
    <t>160817 @ 5688.90]</t>
  </si>
  <si>
    <t>[000009 sh.上证380]</t>
  </si>
  <si>
    <t>count: 32</t>
  </si>
  <si>
    <t>上证380</t>
    <rPh sb="0" eb="1">
      <t>shang'zheng</t>
    </rPh>
    <phoneticPr fontId="7" type="noConversion"/>
  </si>
  <si>
    <t>[SELL] [160704 @ 5424.38 - 160817 @ 5688.90] [000009 sh.上证380] 4.877 count: 32</t>
    <phoneticPr fontId="7" type="noConversion"/>
  </si>
  <si>
    <t>[BUY]  [151026 @ 2350.02</t>
  </si>
  <si>
    <t>160121 @ 2040.98]</t>
  </si>
  <si>
    <t>[000016 sh.上证50]</t>
  </si>
  <si>
    <t>count: 62</t>
  </si>
  <si>
    <t>SIG-BUY</t>
    <phoneticPr fontId="7" type="noConversion"/>
  </si>
  <si>
    <t>3.6W</t>
    <phoneticPr fontId="7" type="noConversion"/>
  </si>
  <si>
    <t>3.10 ，止损。盈利50</t>
    <rPh sb="6" eb="7">
      <t>zhi'sun</t>
    </rPh>
    <rPh sb="9" eb="10">
      <t>ying'li</t>
    </rPh>
    <phoneticPr fontId="7" type="noConversion"/>
  </si>
  <si>
    <t>指数SELL,开启卖出窗口</t>
    <rPh sb="0" eb="1">
      <t>zhi'shu</t>
    </rPh>
    <rPh sb="7" eb="8">
      <t>kai'qi</t>
    </rPh>
    <rPh sb="9" eb="10">
      <t>mai'chu</t>
    </rPh>
    <rPh sb="11" eb="12">
      <t>chuang'k</t>
    </rPh>
    <phoneticPr fontId="7" type="noConversion"/>
  </si>
  <si>
    <t>指数BUY,开启买入窗口</t>
    <rPh sb="0" eb="1">
      <t>zhi'shu</t>
    </rPh>
    <rPh sb="6" eb="7">
      <t>kai'qi</t>
    </rPh>
    <rPh sb="8" eb="9">
      <t>mai'ru</t>
    </rPh>
    <rPh sb="10" eb="11">
      <t>chuang'k</t>
    </rPh>
    <phoneticPr fontId="7" type="noConversion"/>
  </si>
  <si>
    <t>借</t>
    <rPh sb="0" eb="1">
      <t>jie</t>
    </rPh>
    <phoneticPr fontId="7" type="noConversion"/>
  </si>
  <si>
    <t>注资，到100K</t>
    <rPh sb="0" eb="1">
      <t>zhu'zi</t>
    </rPh>
    <rPh sb="3" eb="4">
      <t>dao</t>
    </rPh>
    <phoneticPr fontId="7" type="noConversion"/>
  </si>
  <si>
    <t>4.9W</t>
    <phoneticPr fontId="7" type="noConversion"/>
  </si>
  <si>
    <t>10W</t>
    <phoneticPr fontId="7" type="noConversion"/>
  </si>
  <si>
    <t>总</t>
    <rPh sb="0" eb="1">
      <t>zong</t>
    </rPh>
    <phoneticPr fontId="7" type="noConversion"/>
  </si>
  <si>
    <t>仓位</t>
    <rPh sb="0" eb="1">
      <t>cang'wei</t>
    </rPh>
    <phoneticPr fontId="7" type="noConversion"/>
  </si>
  <si>
    <t>详细</t>
    <rPh sb="0" eb="1">
      <t>xiang'xi</t>
    </rPh>
    <phoneticPr fontId="7" type="noConversion"/>
  </si>
  <si>
    <t>股票市值</t>
    <rPh sb="0" eb="1">
      <t>gu'p</t>
    </rPh>
    <rPh sb="2" eb="3">
      <t>shi'zhi</t>
    </rPh>
    <phoneticPr fontId="7" type="noConversion"/>
  </si>
  <si>
    <t>IO</t>
    <phoneticPr fontId="7" type="noConversion"/>
  </si>
  <si>
    <t>SELL</t>
    <phoneticPr fontId="7" type="noConversion"/>
  </si>
  <si>
    <t>账户总额</t>
    <rPh sb="0" eb="1">
      <t>zhang'hu</t>
    </rPh>
    <rPh sb="2" eb="3">
      <t>zong'e</t>
    </rPh>
    <phoneticPr fontId="7" type="noConversion"/>
  </si>
  <si>
    <t>[BUY]  [151117 @ 67.88 - 160125 @ 55.00] [002594 sz.比亚迪] -18.975 count: 48
[BUY]  [151217 @ 63.80 - 160125 @ 55.00] [002594 sz.比亚迪] -13.793 count: 26</t>
    <phoneticPr fontId="7" type="noConversion"/>
  </si>
  <si>
    <t>[BUY]  [160330 @ 14.20 - 160725 @ 10.73] [000800 sz.一汽轿车] -24.437 count: 79
[BUY]  [160406 @ 13.96 - 160725 @ 10.73] [000800 sz.一汽轿车] -23.138 count: 75
[BUY]  [160527 @ 13.19 - 160725 @ 10.73] [000800 sz.一汽轿车] -18.650 count: 39
[BUY]  [160608 @ 11.64 - 160725 @ 10.73] [000800 sz.一汽轿车] -7.818 count: 31</t>
    <phoneticPr fontId="7" type="noConversion"/>
  </si>
  <si>
    <t>SIG-SELL</t>
    <phoneticPr fontId="7" type="noConversion"/>
  </si>
  <si>
    <t>拆出金额</t>
    <rPh sb="0" eb="1">
      <t>chai'chu</t>
    </rPh>
    <rPh sb="1" eb="2">
      <t>chu</t>
    </rPh>
    <rPh sb="2" eb="3">
      <t>jin'e</t>
    </rPh>
    <phoneticPr fontId="7" type="noConversion"/>
  </si>
  <si>
    <t>ACTION</t>
    <phoneticPr fontId="7" type="noConversion"/>
  </si>
  <si>
    <t>type</t>
    <phoneticPr fontId="7" type="noConversion"/>
  </si>
  <si>
    <t>UD</t>
    <phoneticPr fontId="7" type="noConversion"/>
  </si>
  <si>
    <t>UD</t>
    <phoneticPr fontId="7" type="noConversion"/>
  </si>
  <si>
    <t>BUY</t>
    <phoneticPr fontId="7" type="noConversion"/>
  </si>
  <si>
    <t>金额</t>
    <rPh sb="0" eb="1">
      <t>jin'e</t>
    </rPh>
    <phoneticPr fontId="7" type="noConversion"/>
  </si>
  <si>
    <t>MACD</t>
    <phoneticPr fontId="7" type="noConversion"/>
  </si>
  <si>
    <t>MACD</t>
    <phoneticPr fontId="7" type="noConversion"/>
  </si>
  <si>
    <t>4.7W</t>
    <phoneticPr fontId="7" type="noConversion"/>
  </si>
  <si>
    <t>买</t>
    <rPh sb="0" eb="1">
      <t>mai</t>
    </rPh>
    <phoneticPr fontId="7" type="noConversion"/>
  </si>
  <si>
    <t>指数发出买入信号</t>
    <rPh sb="0" eb="1">
      <t>zhi'shu</t>
    </rPh>
    <rPh sb="2" eb="3">
      <t>fa'chu</t>
    </rPh>
    <rPh sb="4" eb="5">
      <t>mai'ru</t>
    </rPh>
    <rPh sb="6" eb="7">
      <t>xin'hao</t>
    </rPh>
    <phoneticPr fontId="7" type="noConversion"/>
  </si>
  <si>
    <t>action</t>
    <phoneticPr fontId="7" type="noConversion"/>
  </si>
  <si>
    <t>hamar提示的买入，每日买入值最大，在份数之内的股票</t>
    <rPh sb="5" eb="6">
      <t>ti'shi</t>
    </rPh>
    <rPh sb="7" eb="8">
      <t>de</t>
    </rPh>
    <rPh sb="8" eb="9">
      <t>mai'ru</t>
    </rPh>
    <rPh sb="11" eb="12">
      <t>mei'ri</t>
    </rPh>
    <rPh sb="13" eb="14">
      <t>mai'ru</t>
    </rPh>
    <rPh sb="15" eb="16">
      <t>zhi</t>
    </rPh>
    <rPh sb="16" eb="17">
      <t>zu'di'a</t>
    </rPh>
    <rPh sb="19" eb="20">
      <t>zai</t>
    </rPh>
    <rPh sb="20" eb="21">
      <t>fen'shu</t>
    </rPh>
    <rPh sb="22" eb="23">
      <t>zhi'nei</t>
    </rPh>
    <rPh sb="24" eb="25">
      <t>de</t>
    </rPh>
    <rPh sb="25" eb="26">
      <t>gu'p</t>
    </rPh>
    <phoneticPr fontId="7" type="noConversion"/>
  </si>
  <si>
    <t>卖</t>
    <rPh sb="0" eb="1">
      <t>mai</t>
    </rPh>
    <phoneticPr fontId="7" type="noConversion"/>
  </si>
  <si>
    <t>sig</t>
    <phoneticPr fontId="7" type="noConversion"/>
  </si>
  <si>
    <t>sig</t>
    <phoneticPr fontId="7" type="noConversion"/>
  </si>
  <si>
    <t>指数发出买出信号</t>
    <rPh sb="0" eb="1">
      <t>zhi'shu</t>
    </rPh>
    <rPh sb="2" eb="3">
      <t>fa'chu</t>
    </rPh>
    <rPh sb="4" eb="5">
      <t>mai'r</t>
    </rPh>
    <rPh sb="5" eb="6">
      <t>chu</t>
    </rPh>
    <rPh sb="6" eb="7">
      <t>xin'hao</t>
    </rPh>
    <phoneticPr fontId="7" type="noConversion"/>
  </si>
  <si>
    <t>单只股票卖出信号</t>
    <rPh sb="0" eb="1">
      <t>dan'zhi</t>
    </rPh>
    <rPh sb="2" eb="3">
      <t>gu'piao</t>
    </rPh>
    <rPh sb="4" eb="5">
      <t>mai'chu</t>
    </rPh>
    <rPh sb="6" eb="7">
      <t>xin'hao</t>
    </rPh>
    <phoneticPr fontId="7" type="noConversion"/>
  </si>
  <si>
    <t>涨停后，第二天未一字板</t>
    <rPh sb="0" eb="1">
      <t>zhang'ting'hou</t>
    </rPh>
    <rPh sb="4" eb="5">
      <t>di'er't</t>
    </rPh>
    <rPh sb="7" eb="8">
      <t>wei</t>
    </rPh>
    <phoneticPr fontId="7" type="noConversion"/>
  </si>
  <si>
    <t>action</t>
    <phoneticPr fontId="7" type="noConversion"/>
  </si>
  <si>
    <t>每次卖出1/3左右</t>
    <rPh sb="0" eb="1">
      <t>mei'ci</t>
    </rPh>
    <rPh sb="2" eb="3">
      <t>mai'chu</t>
    </rPh>
    <rPh sb="7" eb="8">
      <t>zuo'you</t>
    </rPh>
    <phoneticPr fontId="7" type="noConversion"/>
  </si>
  <si>
    <t>4.2W</t>
    <phoneticPr fontId="7" type="noConversion"/>
  </si>
  <si>
    <t>3.8W</t>
    <phoneticPr fontId="7" type="noConversion"/>
  </si>
  <si>
    <t>收益</t>
    <rPh sb="0" eb="1">
      <t>shou'yi</t>
    </rPh>
    <phoneticPr fontId="7" type="noConversion"/>
  </si>
  <si>
    <t>3.4W</t>
    <phoneticPr fontId="7" type="noConversion"/>
  </si>
  <si>
    <t>2.9W</t>
    <phoneticPr fontId="7" type="noConversion"/>
  </si>
  <si>
    <t>2.6W</t>
    <phoneticPr fontId="7" type="noConversion"/>
  </si>
  <si>
    <t>2.3W</t>
    <phoneticPr fontId="7" type="noConversion"/>
  </si>
  <si>
    <t>现金总计</t>
    <rPh sb="0" eb="1">
      <t>xian'jin</t>
    </rPh>
    <rPh sb="2" eb="3">
      <t>zong'ji</t>
    </rPh>
    <phoneticPr fontId="7" type="noConversion"/>
  </si>
  <si>
    <t>6.2W</t>
    <phoneticPr fontId="7" type="noConversion"/>
  </si>
  <si>
    <t>操作份数</t>
    <rPh sb="0" eb="1">
      <t>cao'zuo</t>
    </rPh>
    <rPh sb="2" eb="3">
      <t>fen'shu</t>
    </rPh>
    <phoneticPr fontId="7" type="noConversion"/>
  </si>
  <si>
    <t>每份金额</t>
    <rPh sb="0" eb="1">
      <t>mei'fen</t>
    </rPh>
    <rPh sb="2" eb="3">
      <t>jin'e</t>
    </rPh>
    <phoneticPr fontId="7" type="noConversion"/>
  </si>
  <si>
    <t>基金份数</t>
    <rPh sb="0" eb="1">
      <t>ji'jin</t>
    </rPh>
    <rPh sb="2" eb="3">
      <t>fen'shu</t>
    </rPh>
    <phoneticPr fontId="7" type="noConversion"/>
  </si>
  <si>
    <t>基金净值</t>
    <rPh sb="0" eb="1">
      <t>ji'jin</t>
    </rPh>
    <rPh sb="2" eb="3">
      <t>jing'zhi</t>
    </rPh>
    <phoneticPr fontId="7" type="noConversion"/>
  </si>
  <si>
    <t>基金买入</t>
    <rPh sb="0" eb="1">
      <t>ji'jin</t>
    </rPh>
    <rPh sb="2" eb="3">
      <t>mai'ru</t>
    </rPh>
    <phoneticPr fontId="7" type="noConversion"/>
  </si>
  <si>
    <t>变动金额</t>
    <rPh sb="0" eb="1">
      <t>bian'dong</t>
    </rPh>
    <rPh sb="2" eb="3">
      <t>jin'e</t>
    </rPh>
    <phoneticPr fontId="7" type="noConversion"/>
  </si>
  <si>
    <t>计算基数金额</t>
    <rPh sb="0" eb="1">
      <t>ji'suan</t>
    </rPh>
    <rPh sb="2" eb="3">
      <t>ji'shu</t>
    </rPh>
    <phoneticPr fontId="7" type="noConversion"/>
  </si>
  <si>
    <t>15.3W</t>
    <phoneticPr fontId="7" type="noConversion"/>
  </si>
  <si>
    <t>买车，贷款算入这里</t>
    <rPh sb="0" eb="1">
      <t>mai'che</t>
    </rPh>
    <rPh sb="3" eb="4">
      <t>dai'kuan</t>
    </rPh>
    <rPh sb="5" eb="6">
      <t>suan'ru</t>
    </rPh>
    <rPh sb="7" eb="8">
      <t>zhe'li</t>
    </rPh>
    <phoneticPr fontId="7" type="noConversion"/>
  </si>
  <si>
    <t>备注</t>
    <rPh sb="0" eb="1">
      <t>bei'zhu</t>
    </rPh>
    <phoneticPr fontId="7" type="noConversion"/>
  </si>
  <si>
    <t>变动份数</t>
    <rPh sb="0" eb="1">
      <t>bian'dong</t>
    </rPh>
    <rPh sb="2" eb="3">
      <t>fen'shu</t>
    </rPh>
    <phoneticPr fontId="7" type="noConversion"/>
  </si>
  <si>
    <t>rand</t>
    <phoneticPr fontId="7" type="noConversion"/>
  </si>
  <si>
    <t>RJ</t>
    <phoneticPr fontId="7" type="noConversion"/>
  </si>
  <si>
    <t>净值</t>
    <rPh sb="0" eb="1">
      <t>jing'zhi</t>
    </rPh>
    <phoneticPr fontId="7" type="noConversion"/>
  </si>
  <si>
    <t>份数</t>
    <rPh sb="0" eb="1">
      <t>fen'shu</t>
    </rPh>
    <phoneticPr fontId="7" type="noConversion"/>
  </si>
  <si>
    <t>估值</t>
    <rPh sb="0" eb="1">
      <t>gu'zhi</t>
    </rPh>
    <phoneticPr fontId="7" type="noConversion"/>
  </si>
  <si>
    <t>19W</t>
    <phoneticPr fontId="7" type="noConversion"/>
  </si>
  <si>
    <t>19W</t>
    <phoneticPr fontId="7" type="noConversion"/>
  </si>
  <si>
    <t>Total</t>
    <phoneticPr fontId="7" type="noConversion"/>
  </si>
  <si>
    <t>成本</t>
    <rPh sb="0" eb="1">
      <t>cheng'ben</t>
    </rPh>
    <phoneticPr fontId="7" type="noConversion"/>
  </si>
  <si>
    <t>盈亏比例</t>
    <rPh sb="0" eb="1">
      <t>ying'kui</t>
    </rPh>
    <rPh sb="2" eb="3">
      <t>bi'li</t>
    </rPh>
    <phoneticPr fontId="7" type="noConversion"/>
  </si>
  <si>
    <t>盈亏金额</t>
    <rPh sb="0" eb="1">
      <t>ying'kui</t>
    </rPh>
    <rPh sb="2" eb="3">
      <t>jin'e</t>
    </rPh>
    <phoneticPr fontId="7" type="noConversion"/>
  </si>
  <si>
    <t>累计盈亏</t>
    <rPh sb="0" eb="1">
      <t>lei'ji</t>
    </rPh>
    <rPh sb="2" eb="3">
      <t>ying'kui</t>
    </rPh>
    <phoneticPr fontId="7" type="noConversion"/>
  </si>
  <si>
    <t>6W</t>
    <phoneticPr fontId="7" type="noConversion"/>
  </si>
  <si>
    <t>拆出还月供</t>
    <rPh sb="0" eb="1">
      <t>chai'chu</t>
    </rPh>
    <rPh sb="2" eb="3">
      <t>huan</t>
    </rPh>
    <rPh sb="3" eb="4">
      <t>yue'gong</t>
    </rPh>
    <phoneticPr fontId="7" type="noConversion"/>
  </si>
  <si>
    <t>5W</t>
    <phoneticPr fontId="7" type="noConversion"/>
  </si>
  <si>
    <t>还月供</t>
    <phoneticPr fontId="7" type="noConversion"/>
  </si>
  <si>
    <t>购买西部证券</t>
    <rPh sb="0" eb="1">
      <t>gou'mai</t>
    </rPh>
    <rPh sb="2" eb="3">
      <t>xi'bu</t>
    </rPh>
    <rPh sb="4" eb="5">
      <t>zheng'quan</t>
    </rPh>
    <phoneticPr fontId="7" type="noConversion"/>
  </si>
  <si>
    <t>还月供</t>
    <rPh sb="0" eb="1">
      <t>huan</t>
    </rPh>
    <rPh sb="1" eb="2">
      <t>yue'gong</t>
    </rPh>
    <phoneticPr fontId="7" type="noConversion"/>
  </si>
  <si>
    <t>宝信软件</t>
    <rPh sb="0" eb="1">
      <t>bao'xin'ruan'jian</t>
    </rPh>
    <phoneticPr fontId="7" type="noConversion"/>
  </si>
  <si>
    <t>金正大</t>
    <rPh sb="0" eb="1">
      <t>jin'zheng'da</t>
    </rPh>
    <phoneticPr fontId="7" type="noConversion"/>
  </si>
  <si>
    <t>关注之列的股票，发生急跌，买入或补仓</t>
    <rPh sb="0" eb="1">
      <t>guan'zhu</t>
    </rPh>
    <rPh sb="2" eb="3">
      <t>zhi'lie</t>
    </rPh>
    <rPh sb="4" eb="5">
      <t>de</t>
    </rPh>
    <rPh sb="5" eb="6">
      <t>gu'piao</t>
    </rPh>
    <rPh sb="8" eb="9">
      <t>fa'sheng</t>
    </rPh>
    <rPh sb="10" eb="11">
      <t>ji'die</t>
    </rPh>
    <rPh sb="13" eb="14">
      <t>mai'ru</t>
    </rPh>
    <rPh sb="15" eb="16">
      <t>huo</t>
    </rPh>
    <rPh sb="16" eb="17">
      <t>bu'cang</t>
    </rPh>
    <phoneticPr fontId="7" type="noConversion"/>
  </si>
  <si>
    <t>止损 5%</t>
    <rPh sb="0" eb="1">
      <t>zhi'sun</t>
    </rPh>
    <phoneticPr fontId="7" type="noConversion"/>
  </si>
  <si>
    <t>金证股份</t>
    <rPh sb="0" eb="1">
      <t>jin'zheng'gu'fen</t>
    </rPh>
    <phoneticPr fontId="7" type="noConversion"/>
  </si>
  <si>
    <t>金证股份</t>
    <rPh sb="0" eb="1">
      <t>jin'zheng'gu'f</t>
    </rPh>
    <phoneticPr fontId="7" type="noConversion"/>
  </si>
  <si>
    <t>1.5W</t>
    <phoneticPr fontId="7" type="noConversion"/>
  </si>
  <si>
    <t>国中水务</t>
    <rPh sb="0" eb="1">
      <t>guo'zhong'shui'wu</t>
    </rPh>
    <phoneticPr fontId="7" type="noConversion"/>
  </si>
  <si>
    <t>0.5W</t>
    <phoneticPr fontId="7" type="noConversion"/>
  </si>
  <si>
    <t>车供盈利</t>
    <rPh sb="2" eb="3">
      <t>ying'li</t>
    </rPh>
    <phoneticPr fontId="7" type="noConversion"/>
  </si>
  <si>
    <t>国元证券</t>
    <rPh sb="0" eb="1">
      <t>guo'yuan'zheng'quan</t>
    </rPh>
    <phoneticPr fontId="7" type="noConversion"/>
  </si>
  <si>
    <t>紫光国芯</t>
    <rPh sb="0" eb="1">
      <t>zi'guang</t>
    </rPh>
    <phoneticPr fontId="7" type="noConversion"/>
  </si>
  <si>
    <t>长生生物</t>
    <rPh sb="0" eb="1">
      <t>chang'sheng'sheng'wu</t>
    </rPh>
    <phoneticPr fontId="7" type="noConversion"/>
  </si>
  <si>
    <t>计算估值</t>
    <rPh sb="0" eb="1">
      <t>ji'suan</t>
    </rPh>
    <rPh sb="2" eb="3">
      <t>gu'zhi</t>
    </rPh>
    <phoneticPr fontId="7" type="noConversion"/>
  </si>
  <si>
    <t>1W</t>
    <phoneticPr fontId="7" type="noConversion"/>
  </si>
  <si>
    <t>还月供</t>
    <rPh sb="0" eb="1">
      <t>huan'yue'gong</t>
    </rPh>
    <phoneticPr fontId="7" type="noConversion"/>
  </si>
  <si>
    <t>盈利转入三分之一，50元</t>
    <rPh sb="0" eb="1">
      <t>ying'li</t>
    </rPh>
    <rPh sb="2" eb="3">
      <t>zhuan'ru</t>
    </rPh>
    <rPh sb="4" eb="5">
      <t>san'fen'zhi'yi</t>
    </rPh>
    <rPh sb="11" eb="12">
      <t>yuan</t>
    </rPh>
    <phoneticPr fontId="7" type="noConversion"/>
  </si>
  <si>
    <t>买房</t>
    <rPh sb="0" eb="1">
      <t>mai'fang</t>
    </rPh>
    <phoneticPr fontId="7" type="noConversion"/>
  </si>
  <si>
    <t>买房&amp;卖出宝信软件</t>
    <rPh sb="0" eb="1">
      <t>mai'fang</t>
    </rPh>
    <rPh sb="3" eb="4">
      <t>mai'chu</t>
    </rPh>
    <rPh sb="5" eb="6">
      <t>bao'xin</t>
    </rPh>
    <rPh sb="7" eb="8">
      <t>ruan'jian</t>
    </rPh>
    <phoneticPr fontId="7" type="noConversion"/>
  </si>
  <si>
    <t>拆出还车贷</t>
    <rPh sb="0" eb="1">
      <t>chai'chu</t>
    </rPh>
    <rPh sb="2" eb="3">
      <t>huan</t>
    </rPh>
    <rPh sb="3" eb="4">
      <t>che'dai</t>
    </rPh>
    <phoneticPr fontId="7" type="noConversion"/>
  </si>
  <si>
    <t>H点</t>
    <rPh sb="1" eb="2">
      <t>dian</t>
    </rPh>
    <phoneticPr fontId="7" type="noConversion"/>
  </si>
  <si>
    <t>OC高点</t>
    <rPh sb="2" eb="3">
      <t>gao'dian</t>
    </rPh>
    <phoneticPr fontId="7" type="noConversion"/>
  </si>
  <si>
    <t>H止损点</t>
    <rPh sb="1" eb="2">
      <t>zhi'sun'dian</t>
    </rPh>
    <phoneticPr fontId="7" type="noConversion"/>
  </si>
  <si>
    <t>OC止损点</t>
    <rPh sb="2" eb="3">
      <t>zhi'shun'dian</t>
    </rPh>
    <phoneticPr fontId="7" type="noConversion"/>
  </si>
  <si>
    <t>买入时间</t>
    <rPh sb="0" eb="1">
      <t>mai'ru</t>
    </rPh>
    <rPh sb="2" eb="3">
      <t>shi'jian</t>
    </rPh>
    <phoneticPr fontId="7" type="noConversion"/>
  </si>
  <si>
    <t>股数</t>
    <rPh sb="0" eb="1">
      <t>gu</t>
    </rPh>
    <rPh sb="1" eb="2">
      <t>shu</t>
    </rPh>
    <phoneticPr fontId="7" type="noConversion"/>
  </si>
  <si>
    <t>买入价格</t>
    <rPh sb="0" eb="1">
      <t>mai'ru'jia'ge</t>
    </rPh>
    <phoneticPr fontId="7" type="noConversion"/>
  </si>
  <si>
    <t>code</t>
    <phoneticPr fontId="7" type="noConversion"/>
  </si>
  <si>
    <t>Name</t>
    <phoneticPr fontId="7" type="noConversion"/>
  </si>
  <si>
    <t>国元证券</t>
    <rPh sb="0" eb="1">
      <t>guo'yuan'zheng'q</t>
    </rPh>
    <phoneticPr fontId="7" type="noConversion"/>
  </si>
  <si>
    <t>紫光国芯</t>
    <rPh sb="0" eb="1">
      <t>zi'guang'guo'x</t>
    </rPh>
    <phoneticPr fontId="7" type="noConversion"/>
  </si>
  <si>
    <t>西部证券</t>
    <rPh sb="0" eb="1">
      <t>xi'bu'zheng'q</t>
    </rPh>
    <phoneticPr fontId="7" type="noConversion"/>
  </si>
  <si>
    <t>ACTION</t>
    <phoneticPr fontId="7" type="noConversion"/>
  </si>
  <si>
    <t>ACTION_DATE</t>
    <phoneticPr fontId="7" type="noConversion"/>
  </si>
  <si>
    <t>ACTION_PRICE</t>
    <phoneticPr fontId="7" type="noConversion"/>
  </si>
  <si>
    <t>H</t>
    <phoneticPr fontId="7" type="noConversion"/>
  </si>
  <si>
    <t>有点盲目。虽然现在跌到18多，但确实不知对错</t>
    <rPh sb="0" eb="1">
      <t>you'dian</t>
    </rPh>
    <rPh sb="2" eb="3">
      <t>mang'mu</t>
    </rPh>
    <rPh sb="5" eb="6">
      <t>sui'r</t>
    </rPh>
    <rPh sb="7" eb="8">
      <t>xian'zai</t>
    </rPh>
    <rPh sb="9" eb="10">
      <t>die'dao</t>
    </rPh>
    <rPh sb="10" eb="11">
      <t>dao</t>
    </rPh>
    <rPh sb="13" eb="14">
      <t>duo</t>
    </rPh>
    <rPh sb="15" eb="16">
      <t>dan</t>
    </rPh>
    <rPh sb="16" eb="17">
      <t>que'shi</t>
    </rPh>
    <rPh sb="18" eb="19">
      <t>bu'zhi</t>
    </rPh>
    <rPh sb="20" eb="21">
      <t>dui'cuo</t>
    </rPh>
    <phoneticPr fontId="7" type="noConversion"/>
  </si>
  <si>
    <t>DATE</t>
    <phoneticPr fontId="7" type="noConversion"/>
  </si>
  <si>
    <t>code</t>
    <phoneticPr fontId="7" type="noConversion"/>
  </si>
  <si>
    <t>price</t>
    <phoneticPr fontId="7" type="noConversion"/>
  </si>
  <si>
    <t>盈亏</t>
    <rPh sb="0" eb="1">
      <t>ying'kui</t>
    </rPh>
    <phoneticPr fontId="7" type="noConversion"/>
  </si>
  <si>
    <t>提取</t>
    <rPh sb="0" eb="1">
      <t>ti'qu</t>
    </rPh>
    <phoneticPr fontId="7" type="noConversion"/>
  </si>
  <si>
    <t>TOTAL</t>
    <phoneticPr fontId="7" type="noConversion"/>
  </si>
  <si>
    <t>逆回购市值</t>
    <rPh sb="0" eb="1">
      <t>ni'hui'gou</t>
    </rPh>
    <rPh sb="3" eb="4">
      <t>shi'zhi</t>
    </rPh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</si>
</sst>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宋体"/>
      <family val="2"/>
      <charset val="134"/>
      <scheme val="minor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sz val="14"/>
      <color theme="1"/>
      <name val="Hiragino Sans GB W3"/>
      <charset val="134"/>
    </font>
    <font>
      <i/>
      <sz val="12"/>
      <color theme="1"/>
      <name val="Hiragino Sans GB W3"/>
      <charset val="134"/>
    </font>
    <font>
      <sz val="14"/>
      <color rgb="FF000000"/>
      <name val="Hiragino Sans GB W3"/>
      <charset val="134"/>
    </font>
    <font>
      <sz val="12"/>
      <color theme="1"/>
      <name val="宋体"/>
      <family val="2"/>
      <charset val="134"/>
    </font>
    <font>
      <sz val="9"/>
      <name val="宋体"/>
      <family val="2"/>
      <scheme val="minor"/>
    </font>
    <font>
      <sz val="14"/>
      <color theme="1"/>
      <name val="Abadi MT Condensed Extra Bold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6">
    <xf numFmtId="0" fontId="0" fillId="0" borderId="0" xfId="0"/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0" borderId="0" xfId="0" applyFont="1"/>
    <xf numFmtId="0" fontId="3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 vertical="center" wrapText="1"/>
    </xf>
    <xf numFmtId="0" fontId="6" fillId="0" borderId="0" xfId="0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6" fillId="0" borderId="0" xfId="0" applyFont="1" applyAlignment="1">
      <alignment horizontal="left" vertical="top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0" fillId="3" borderId="0" xfId="0" applyFill="1"/>
    <xf numFmtId="0" fontId="6" fillId="3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applyFill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/>
    </xf>
    <xf numFmtId="0" fontId="0" fillId="0" borderId="4" xfId="0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6" borderId="7" xfId="0" applyFill="1" applyBorder="1" applyAlignment="1">
      <alignment horizontal="center"/>
    </xf>
  </cellXfs>
  <cellStyles count="25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1" builtinId="9" hidden="1"/>
    <cellStyle name="已访问的超链接" xfId="252" builtinId="9" hidden="1"/>
    <cellStyle name="已访问的超链接" xfId="253" builtinId="9" hidden="1"/>
    <cellStyle name="已访问的超链接" xfId="254" builtinId="9" hidden="1"/>
    <cellStyle name="已访问的超链接" xfId="255" builtinId="9" hidden="1"/>
    <cellStyle name="已访问的超链接" xfId="256" builtinId="9" hidden="1"/>
    <cellStyle name="已访问的超链接" xfId="257" builtinId="9" hidden="1"/>
    <cellStyle name="已访问的超链接" xfId="258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P95"/>
  <sheetViews>
    <sheetView workbookViewId="0">
      <selection activeCell="I107" sqref="I107"/>
    </sheetView>
  </sheetViews>
  <sheetFormatPr baseColWidth="10" defaultRowHeight="23" x14ac:dyDescent="0.3"/>
  <cols>
    <col min="1" max="1" width="14.83203125" style="1" bestFit="1" customWidth="1"/>
    <col min="2" max="2" width="11.5" style="26" bestFit="1" customWidth="1"/>
    <col min="3" max="3" width="16.33203125" style="1" customWidth="1"/>
    <col min="4" max="4" width="24.33203125" style="1" customWidth="1"/>
    <col min="5" max="8" width="10.83203125" style="1"/>
    <col min="9" max="9" width="109" style="1" customWidth="1"/>
    <col min="10" max="10" width="31.5" style="1" bestFit="1" customWidth="1"/>
    <col min="11" max="16384" width="10.83203125" style="1"/>
  </cols>
  <sheetData>
    <row r="1" spans="1:9" ht="24" thickBot="1" x14ac:dyDescent="0.35">
      <c r="A1" s="2" t="s">
        <v>0</v>
      </c>
      <c r="B1" s="6" t="s">
        <v>5</v>
      </c>
      <c r="C1" s="3" t="s">
        <v>6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14</v>
      </c>
      <c r="I1" s="4" t="s">
        <v>27</v>
      </c>
    </row>
    <row r="2" spans="1:9" hidden="1" x14ac:dyDescent="0.3">
      <c r="A2" s="1">
        <v>20150518</v>
      </c>
      <c r="B2" s="26">
        <v>600585</v>
      </c>
      <c r="C2" s="1" t="s">
        <v>7</v>
      </c>
      <c r="D2" s="1" t="s">
        <v>8</v>
      </c>
      <c r="E2" s="1">
        <v>100</v>
      </c>
      <c r="F2" s="1">
        <v>22.89</v>
      </c>
      <c r="G2" s="1">
        <v>-2289</v>
      </c>
    </row>
    <row r="3" spans="1:9" hidden="1" x14ac:dyDescent="0.3">
      <c r="A3" s="1">
        <v>20150519</v>
      </c>
      <c r="B3" s="26">
        <v>600585</v>
      </c>
      <c r="C3" s="1" t="s">
        <v>7</v>
      </c>
      <c r="D3" s="1" t="s">
        <v>8</v>
      </c>
      <c r="E3" s="1">
        <v>200</v>
      </c>
      <c r="F3" s="1">
        <v>23.46</v>
      </c>
      <c r="G3" s="1">
        <v>-4692</v>
      </c>
    </row>
    <row r="4" spans="1:9" hidden="1" x14ac:dyDescent="0.3">
      <c r="A4" s="1">
        <v>20150519</v>
      </c>
      <c r="B4" s="1">
        <v>600818</v>
      </c>
      <c r="C4" s="1" t="s">
        <v>9</v>
      </c>
      <c r="D4" s="1" t="s">
        <v>8</v>
      </c>
      <c r="E4" s="1">
        <v>300</v>
      </c>
      <c r="F4" s="1">
        <v>5.13</v>
      </c>
      <c r="G4" s="1">
        <v>-1539</v>
      </c>
    </row>
    <row r="5" spans="1:9" hidden="1" x14ac:dyDescent="0.3">
      <c r="A5" s="1">
        <v>20150601</v>
      </c>
      <c r="B5" s="1">
        <v>601628</v>
      </c>
      <c r="C5" s="1" t="s">
        <v>17</v>
      </c>
      <c r="D5" s="1" t="s">
        <v>8</v>
      </c>
      <c r="E5" s="1">
        <v>200</v>
      </c>
      <c r="F5" s="1">
        <v>35.380000000000003</v>
      </c>
      <c r="G5" s="1">
        <v>-7076</v>
      </c>
    </row>
    <row r="6" spans="1:9" hidden="1" x14ac:dyDescent="0.3">
      <c r="A6" s="1">
        <v>20150604</v>
      </c>
      <c r="B6" s="1">
        <v>600818</v>
      </c>
      <c r="C6" s="1" t="s">
        <v>9</v>
      </c>
      <c r="D6" s="1" t="s">
        <v>18</v>
      </c>
      <c r="E6" s="1">
        <v>100</v>
      </c>
      <c r="F6" s="1">
        <v>6.13</v>
      </c>
      <c r="G6" s="1">
        <v>613</v>
      </c>
      <c r="H6" s="1" t="s">
        <v>19</v>
      </c>
    </row>
    <row r="7" spans="1:9" hidden="1" x14ac:dyDescent="0.3">
      <c r="A7" s="1">
        <v>20150616</v>
      </c>
      <c r="B7" s="1">
        <v>601628</v>
      </c>
      <c r="C7" s="1" t="s">
        <v>17</v>
      </c>
      <c r="D7" s="1" t="s">
        <v>8</v>
      </c>
      <c r="E7" s="1">
        <v>200</v>
      </c>
      <c r="F7" s="1">
        <v>35.17</v>
      </c>
      <c r="G7" s="1">
        <v>-7034</v>
      </c>
    </row>
    <row r="8" spans="1:9" hidden="1" x14ac:dyDescent="0.3">
      <c r="A8" s="1">
        <v>20150616</v>
      </c>
      <c r="B8" s="9">
        <v>600030</v>
      </c>
      <c r="C8" s="9" t="s">
        <v>25</v>
      </c>
      <c r="D8" s="9" t="s">
        <v>8</v>
      </c>
      <c r="E8" s="9">
        <v>200</v>
      </c>
      <c r="F8" s="9">
        <v>31.26</v>
      </c>
      <c r="G8" s="9">
        <v>-6252</v>
      </c>
      <c r="H8" s="9"/>
      <c r="I8" s="70" t="s">
        <v>28</v>
      </c>
    </row>
    <row r="9" spans="1:9" hidden="1" x14ac:dyDescent="0.3">
      <c r="A9" s="1">
        <v>20150616</v>
      </c>
      <c r="B9" s="9">
        <v>600030</v>
      </c>
      <c r="C9" s="9" t="s">
        <v>25</v>
      </c>
      <c r="D9" s="9" t="s">
        <v>8</v>
      </c>
      <c r="E9" s="9">
        <v>200</v>
      </c>
      <c r="F9" s="9">
        <v>31.2</v>
      </c>
      <c r="G9" s="9">
        <v>-6240</v>
      </c>
      <c r="H9" s="1" t="s">
        <v>26</v>
      </c>
      <c r="I9" s="71"/>
    </row>
    <row r="10" spans="1:9" hidden="1" x14ac:dyDescent="0.3">
      <c r="A10" s="1">
        <v>20150617</v>
      </c>
      <c r="B10" s="1">
        <v>601628</v>
      </c>
      <c r="C10" s="1" t="s">
        <v>17</v>
      </c>
      <c r="D10" s="1" t="s">
        <v>8</v>
      </c>
      <c r="E10" s="1">
        <v>200</v>
      </c>
      <c r="F10" s="1">
        <v>34.200000000000003</v>
      </c>
      <c r="G10" s="1">
        <v>-6840</v>
      </c>
    </row>
    <row r="11" spans="1:9" s="7" customFormat="1" ht="69" x14ac:dyDescent="0.15">
      <c r="A11" s="7">
        <v>20150617</v>
      </c>
      <c r="B11" s="7">
        <v>601169</v>
      </c>
      <c r="C11" s="7" t="s">
        <v>29</v>
      </c>
      <c r="D11" s="7" t="s">
        <v>8</v>
      </c>
      <c r="E11" s="7">
        <v>500</v>
      </c>
      <c r="F11" s="7">
        <v>14.26</v>
      </c>
      <c r="G11" s="7">
        <v>-7130</v>
      </c>
      <c r="I11" s="11" t="s">
        <v>35</v>
      </c>
    </row>
    <row r="12" spans="1:9" hidden="1" x14ac:dyDescent="0.3">
      <c r="A12" s="1">
        <v>20150619</v>
      </c>
      <c r="B12" s="1">
        <v>777</v>
      </c>
      <c r="C12" s="1" t="s">
        <v>30</v>
      </c>
      <c r="D12" s="1" t="s">
        <v>8</v>
      </c>
      <c r="E12" s="1">
        <v>200</v>
      </c>
      <c r="F12" s="1">
        <v>40.07</v>
      </c>
      <c r="G12" s="1">
        <v>-8019</v>
      </c>
    </row>
    <row r="13" spans="1:9" ht="115" hidden="1" x14ac:dyDescent="0.3">
      <c r="A13" s="7">
        <v>20150626</v>
      </c>
      <c r="B13" s="7">
        <v>601766</v>
      </c>
      <c r="C13" s="7" t="s">
        <v>34</v>
      </c>
      <c r="D13" s="7" t="s">
        <v>8</v>
      </c>
      <c r="E13" s="7">
        <v>300</v>
      </c>
      <c r="F13" s="7">
        <v>20.2</v>
      </c>
      <c r="G13" s="7">
        <v>-6060</v>
      </c>
      <c r="H13" s="7"/>
      <c r="I13" s="10" t="s">
        <v>36</v>
      </c>
    </row>
    <row r="14" spans="1:9" hidden="1" x14ac:dyDescent="0.3">
      <c r="A14" s="7">
        <v>20150629</v>
      </c>
      <c r="B14" s="7">
        <v>601766</v>
      </c>
      <c r="C14" s="7" t="s">
        <v>34</v>
      </c>
      <c r="D14" s="7" t="s">
        <v>8</v>
      </c>
      <c r="E14" s="7">
        <v>400</v>
      </c>
      <c r="F14" s="7">
        <v>18.260000000000002</v>
      </c>
      <c r="G14" s="7">
        <v>-7304</v>
      </c>
      <c r="H14" s="7"/>
      <c r="I14" s="10" t="s">
        <v>37</v>
      </c>
    </row>
    <row r="15" spans="1:9" hidden="1" x14ac:dyDescent="0.3">
      <c r="A15" s="1">
        <v>20150703</v>
      </c>
      <c r="B15" s="1">
        <v>875</v>
      </c>
      <c r="C15" s="1" t="s">
        <v>40</v>
      </c>
      <c r="D15" s="1" t="s">
        <v>8</v>
      </c>
      <c r="E15" s="1">
        <v>500</v>
      </c>
      <c r="F15" s="1">
        <v>9.4499999999999993</v>
      </c>
      <c r="G15" s="1">
        <v>-4725</v>
      </c>
    </row>
    <row r="16" spans="1:9" hidden="1" x14ac:dyDescent="0.3">
      <c r="A16" s="1">
        <v>20150706</v>
      </c>
      <c r="B16" s="1">
        <v>777</v>
      </c>
      <c r="C16" s="1" t="s">
        <v>30</v>
      </c>
      <c r="D16" s="1" t="s">
        <v>8</v>
      </c>
      <c r="E16" s="1">
        <v>200</v>
      </c>
      <c r="F16" s="1">
        <v>25.12</v>
      </c>
      <c r="G16" s="1">
        <v>-5024</v>
      </c>
      <c r="I16" s="1" t="s">
        <v>41</v>
      </c>
    </row>
    <row r="17" spans="1:9" hidden="1" x14ac:dyDescent="0.3">
      <c r="A17" s="1">
        <v>20150707</v>
      </c>
      <c r="B17" s="1">
        <v>600363</v>
      </c>
      <c r="C17" s="1" t="s">
        <v>42</v>
      </c>
      <c r="D17" s="1" t="s">
        <v>8</v>
      </c>
      <c r="E17" s="1">
        <v>500</v>
      </c>
      <c r="F17" s="1">
        <v>11.02</v>
      </c>
      <c r="G17" s="1">
        <v>-5510</v>
      </c>
      <c r="I17" s="1" t="s">
        <v>43</v>
      </c>
    </row>
    <row r="18" spans="1:9" hidden="1" x14ac:dyDescent="0.3">
      <c r="A18" s="1">
        <v>20150709</v>
      </c>
      <c r="B18" s="1">
        <v>601628</v>
      </c>
      <c r="C18" s="1" t="s">
        <v>17</v>
      </c>
      <c r="D18" s="1" t="s">
        <v>18</v>
      </c>
      <c r="E18" s="1">
        <v>100</v>
      </c>
      <c r="F18" s="1">
        <v>35.979999999999997</v>
      </c>
      <c r="G18" s="1">
        <v>3598</v>
      </c>
      <c r="I18" s="1" t="s">
        <v>46</v>
      </c>
    </row>
    <row r="19" spans="1:9" hidden="1" x14ac:dyDescent="0.3">
      <c r="A19" s="1">
        <v>20150710</v>
      </c>
      <c r="B19" s="26">
        <v>600585</v>
      </c>
      <c r="C19" s="1" t="s">
        <v>47</v>
      </c>
      <c r="D19" s="1" t="s">
        <v>18</v>
      </c>
      <c r="E19" s="1">
        <v>100</v>
      </c>
      <c r="F19" s="1">
        <v>22.21</v>
      </c>
      <c r="G19" s="1">
        <v>2210</v>
      </c>
      <c r="I19" s="1" t="s">
        <v>48</v>
      </c>
    </row>
    <row r="20" spans="1:9" hidden="1" x14ac:dyDescent="0.3">
      <c r="A20" s="1">
        <v>20150710</v>
      </c>
      <c r="B20" s="1">
        <v>601628</v>
      </c>
      <c r="C20" s="1" t="s">
        <v>17</v>
      </c>
      <c r="D20" s="1" t="s">
        <v>18</v>
      </c>
      <c r="E20" s="1">
        <v>100</v>
      </c>
      <c r="F20" s="1">
        <v>36.35</v>
      </c>
      <c r="G20" s="1">
        <v>3635</v>
      </c>
      <c r="I20" s="1" t="s">
        <v>46</v>
      </c>
    </row>
    <row r="21" spans="1:9" hidden="1" x14ac:dyDescent="0.3">
      <c r="A21" s="7">
        <v>20150710</v>
      </c>
      <c r="B21" s="7">
        <v>601766</v>
      </c>
      <c r="C21" s="7" t="s">
        <v>34</v>
      </c>
      <c r="D21" s="7" t="s">
        <v>18</v>
      </c>
      <c r="E21" s="7">
        <v>100</v>
      </c>
      <c r="F21" s="7">
        <v>19.45</v>
      </c>
      <c r="G21" s="7">
        <v>1945</v>
      </c>
      <c r="H21" s="7"/>
      <c r="I21" s="1" t="s">
        <v>46</v>
      </c>
    </row>
    <row r="22" spans="1:9" hidden="1" x14ac:dyDescent="0.3">
      <c r="A22" s="1">
        <v>20150713</v>
      </c>
      <c r="B22" s="1">
        <v>875</v>
      </c>
      <c r="C22" s="1" t="s">
        <v>40</v>
      </c>
      <c r="D22" s="1" t="s">
        <v>18</v>
      </c>
      <c r="E22" s="1">
        <v>100</v>
      </c>
      <c r="F22" s="1">
        <v>9.77</v>
      </c>
      <c r="G22" s="1">
        <v>977</v>
      </c>
      <c r="I22" s="1" t="s">
        <v>49</v>
      </c>
    </row>
    <row r="23" spans="1:9" hidden="1" x14ac:dyDescent="0.3">
      <c r="A23" s="1">
        <v>20150722</v>
      </c>
      <c r="B23" s="1">
        <v>600363</v>
      </c>
      <c r="C23" s="1" t="s">
        <v>42</v>
      </c>
      <c r="D23" s="1" t="s">
        <v>18</v>
      </c>
      <c r="E23" s="1">
        <v>200</v>
      </c>
      <c r="F23" s="1">
        <v>15.95</v>
      </c>
      <c r="G23" s="1">
        <v>3190</v>
      </c>
      <c r="I23" s="1" t="s">
        <v>50</v>
      </c>
    </row>
    <row r="24" spans="1:9" hidden="1" x14ac:dyDescent="0.3">
      <c r="A24" s="1">
        <v>20150727</v>
      </c>
      <c r="B24" s="1">
        <v>875</v>
      </c>
      <c r="C24" s="1" t="s">
        <v>40</v>
      </c>
      <c r="D24" s="1" t="s">
        <v>18</v>
      </c>
      <c r="E24" s="1">
        <v>400</v>
      </c>
      <c r="F24" s="1">
        <v>10.88</v>
      </c>
      <c r="G24" s="1">
        <v>4352</v>
      </c>
      <c r="I24" s="1" t="s">
        <v>52</v>
      </c>
    </row>
    <row r="25" spans="1:9" hidden="1" x14ac:dyDescent="0.3">
      <c r="A25" s="1">
        <v>20150728</v>
      </c>
      <c r="B25" s="1">
        <v>600363</v>
      </c>
      <c r="C25" s="1" t="s">
        <v>42</v>
      </c>
      <c r="D25" s="1" t="s">
        <v>18</v>
      </c>
      <c r="E25" s="1">
        <v>200</v>
      </c>
      <c r="F25" s="1">
        <v>16.350000000000001</v>
      </c>
      <c r="G25" s="1">
        <v>3270</v>
      </c>
      <c r="I25" s="1" t="s">
        <v>57</v>
      </c>
    </row>
    <row r="26" spans="1:9" hidden="1" x14ac:dyDescent="0.3">
      <c r="A26" s="1">
        <v>20150805</v>
      </c>
      <c r="B26" s="26">
        <v>600585</v>
      </c>
      <c r="C26" s="1" t="s">
        <v>47</v>
      </c>
      <c r="D26" s="1" t="s">
        <v>18</v>
      </c>
      <c r="E26" s="1">
        <v>100</v>
      </c>
      <c r="F26" s="1">
        <v>21.53</v>
      </c>
      <c r="G26" s="1">
        <v>2153</v>
      </c>
      <c r="I26" s="1" t="s">
        <v>58</v>
      </c>
    </row>
    <row r="27" spans="1:9" hidden="1" x14ac:dyDescent="0.3">
      <c r="A27" s="1">
        <v>20150805</v>
      </c>
      <c r="B27" s="26">
        <v>600585</v>
      </c>
      <c r="C27" s="1" t="s">
        <v>47</v>
      </c>
      <c r="D27" s="1" t="s">
        <v>18</v>
      </c>
      <c r="E27" s="1">
        <v>100</v>
      </c>
      <c r="F27" s="1">
        <v>21.21</v>
      </c>
      <c r="G27" s="1">
        <v>2121</v>
      </c>
      <c r="I27" s="1" t="s">
        <v>59</v>
      </c>
    </row>
    <row r="28" spans="1:9" s="7" customFormat="1" ht="46" hidden="1" x14ac:dyDescent="0.15">
      <c r="A28" s="7">
        <v>20150810</v>
      </c>
      <c r="B28" s="7">
        <v>777</v>
      </c>
      <c r="C28" s="7" t="s">
        <v>30</v>
      </c>
      <c r="D28" s="7" t="s">
        <v>18</v>
      </c>
      <c r="E28" s="7">
        <v>200</v>
      </c>
      <c r="F28" s="7">
        <v>33.1</v>
      </c>
      <c r="G28" s="7">
        <v>6610</v>
      </c>
      <c r="I28" s="11" t="s">
        <v>69</v>
      </c>
    </row>
    <row r="29" spans="1:9" s="7" customFormat="1" ht="183" hidden="1" customHeight="1" x14ac:dyDescent="0.15">
      <c r="A29" s="7">
        <v>20150818</v>
      </c>
      <c r="B29" s="7">
        <v>600016</v>
      </c>
      <c r="C29" s="7" t="s">
        <v>75</v>
      </c>
      <c r="D29" s="7" t="s">
        <v>8</v>
      </c>
      <c r="E29" s="7">
        <v>200</v>
      </c>
      <c r="F29" s="7">
        <v>9</v>
      </c>
      <c r="G29" s="7">
        <v>-1800</v>
      </c>
      <c r="I29" s="11" t="s">
        <v>76</v>
      </c>
    </row>
    <row r="30" spans="1:9" s="7" customFormat="1" ht="161" hidden="1" x14ac:dyDescent="0.15">
      <c r="A30" s="7">
        <v>20150819</v>
      </c>
      <c r="B30" s="7">
        <v>600818</v>
      </c>
      <c r="C30" s="7" t="s">
        <v>9</v>
      </c>
      <c r="D30" s="7" t="s">
        <v>8</v>
      </c>
      <c r="E30" s="7">
        <v>300</v>
      </c>
      <c r="F30" s="7">
        <v>4.18</v>
      </c>
      <c r="G30" s="7">
        <v>-1254</v>
      </c>
      <c r="I30" s="11" t="s">
        <v>77</v>
      </c>
    </row>
    <row r="31" spans="1:9" s="7" customFormat="1" ht="161" hidden="1" x14ac:dyDescent="0.15">
      <c r="A31" s="7">
        <v>20150820</v>
      </c>
      <c r="B31" s="7">
        <v>601328</v>
      </c>
      <c r="C31" s="7" t="s">
        <v>78</v>
      </c>
      <c r="D31" s="7" t="s">
        <v>8</v>
      </c>
      <c r="E31" s="7">
        <v>300</v>
      </c>
      <c r="F31" s="7">
        <v>6.34</v>
      </c>
      <c r="G31" s="7">
        <v>-1902</v>
      </c>
      <c r="I31" s="11" t="s">
        <v>79</v>
      </c>
    </row>
    <row r="32" spans="1:9" hidden="1" x14ac:dyDescent="0.3">
      <c r="A32" s="1">
        <v>20150819</v>
      </c>
      <c r="B32" s="1">
        <v>600818</v>
      </c>
      <c r="C32" s="1" t="s">
        <v>9</v>
      </c>
      <c r="D32" s="1" t="s">
        <v>8</v>
      </c>
      <c r="E32" s="1">
        <v>300</v>
      </c>
      <c r="F32" s="1">
        <v>4.18</v>
      </c>
      <c r="G32" s="1">
        <v>-1253</v>
      </c>
    </row>
    <row r="33" spans="1:16" s="7" customFormat="1" x14ac:dyDescent="0.15">
      <c r="A33" s="7">
        <v>20150825</v>
      </c>
      <c r="B33" s="7">
        <v>601169</v>
      </c>
      <c r="C33" s="7" t="s">
        <v>29</v>
      </c>
      <c r="D33" s="7" t="s">
        <v>8</v>
      </c>
      <c r="E33" s="7">
        <v>200</v>
      </c>
      <c r="F33" s="7">
        <v>7.18</v>
      </c>
      <c r="G33" s="7">
        <v>-1436</v>
      </c>
      <c r="I33" s="11" t="s">
        <v>81</v>
      </c>
    </row>
    <row r="34" spans="1:16" hidden="1" x14ac:dyDescent="0.3">
      <c r="B34" s="1"/>
    </row>
    <row r="35" spans="1:16" s="7" customFormat="1" x14ac:dyDescent="0.15">
      <c r="A35" s="7">
        <v>20150828</v>
      </c>
      <c r="B35" s="7">
        <v>601169</v>
      </c>
      <c r="C35" s="7" t="s">
        <v>29</v>
      </c>
      <c r="D35" s="7" t="s">
        <v>18</v>
      </c>
      <c r="E35" s="7">
        <v>100</v>
      </c>
      <c r="F35" s="7">
        <v>8.7100000000000009</v>
      </c>
      <c r="G35" s="7">
        <v>870</v>
      </c>
      <c r="I35" s="11" t="s">
        <v>82</v>
      </c>
    </row>
    <row r="36" spans="1:16" s="7" customFormat="1" x14ac:dyDescent="0.15">
      <c r="A36" s="7">
        <v>20150831</v>
      </c>
      <c r="B36" s="7">
        <v>601169</v>
      </c>
      <c r="C36" s="7" t="s">
        <v>29</v>
      </c>
      <c r="D36" s="7" t="s">
        <v>18</v>
      </c>
      <c r="E36" s="7">
        <v>100</v>
      </c>
      <c r="F36" s="7">
        <v>8.6199999999999992</v>
      </c>
      <c r="G36" s="7">
        <v>862</v>
      </c>
      <c r="I36" s="11" t="s">
        <v>83</v>
      </c>
    </row>
    <row r="37" spans="1:16" ht="46" hidden="1" x14ac:dyDescent="0.3">
      <c r="A37" s="1">
        <v>20151008</v>
      </c>
      <c r="B37" s="1">
        <v>601628</v>
      </c>
      <c r="C37" s="1" t="s">
        <v>17</v>
      </c>
      <c r="D37" s="1" t="s">
        <v>8</v>
      </c>
      <c r="E37" s="1">
        <v>300</v>
      </c>
      <c r="F37" s="1">
        <v>26.67</v>
      </c>
      <c r="G37" s="1">
        <v>-8002</v>
      </c>
      <c r="I37" s="10" t="s">
        <v>88</v>
      </c>
      <c r="J37" s="1" t="s">
        <v>84</v>
      </c>
      <c r="K37" s="1" t="s">
        <v>85</v>
      </c>
      <c r="L37" s="1" t="s">
        <v>86</v>
      </c>
      <c r="M37" s="1">
        <v>-6.9269999999999996</v>
      </c>
      <c r="N37" s="1" t="s">
        <v>87</v>
      </c>
    </row>
    <row r="38" spans="1:16" s="7" customFormat="1" hidden="1" x14ac:dyDescent="0.15">
      <c r="A38" s="7">
        <v>20151014</v>
      </c>
      <c r="B38" s="7">
        <v>777</v>
      </c>
      <c r="C38" s="7" t="s">
        <v>30</v>
      </c>
      <c r="D38" s="7" t="s">
        <v>18</v>
      </c>
      <c r="E38" s="7">
        <v>200</v>
      </c>
      <c r="F38" s="7">
        <v>34.79</v>
      </c>
      <c r="G38" s="7">
        <v>6958</v>
      </c>
      <c r="I38" s="11" t="s">
        <v>89</v>
      </c>
    </row>
    <row r="39" spans="1:16" hidden="1" x14ac:dyDescent="0.3">
      <c r="A39" s="1">
        <v>20151020</v>
      </c>
      <c r="B39" s="1">
        <v>601628</v>
      </c>
      <c r="C39" s="1" t="s">
        <v>17</v>
      </c>
      <c r="D39" s="1" t="s">
        <v>18</v>
      </c>
      <c r="E39" s="1">
        <v>200</v>
      </c>
      <c r="F39" s="1">
        <v>26.98</v>
      </c>
      <c r="G39" s="1">
        <v>5396</v>
      </c>
      <c r="I39" s="10" t="s">
        <v>90</v>
      </c>
      <c r="J39" s="1" t="s">
        <v>84</v>
      </c>
      <c r="K39" s="1" t="s">
        <v>85</v>
      </c>
      <c r="L39" s="1" t="s">
        <v>86</v>
      </c>
      <c r="M39" s="1">
        <v>-6.9269999999999996</v>
      </c>
      <c r="N39" s="1" t="s">
        <v>87</v>
      </c>
    </row>
    <row r="40" spans="1:16" hidden="1" x14ac:dyDescent="0.3">
      <c r="A40" s="1">
        <v>20151021</v>
      </c>
      <c r="B40" s="1">
        <v>601628</v>
      </c>
      <c r="C40" s="1" t="s">
        <v>17</v>
      </c>
      <c r="D40" s="1" t="s">
        <v>18</v>
      </c>
      <c r="E40" s="1">
        <v>100</v>
      </c>
      <c r="F40" s="1">
        <v>27.25</v>
      </c>
      <c r="G40" s="1">
        <v>2725</v>
      </c>
      <c r="I40" s="10" t="s">
        <v>91</v>
      </c>
      <c r="J40" s="1" t="s">
        <v>84</v>
      </c>
      <c r="K40" s="1" t="s">
        <v>85</v>
      </c>
      <c r="L40" s="1" t="s">
        <v>86</v>
      </c>
      <c r="M40" s="1">
        <v>-6.9269999999999996</v>
      </c>
      <c r="N40" s="1" t="s">
        <v>87</v>
      </c>
    </row>
    <row r="41" spans="1:16" s="7" customFormat="1" hidden="1" x14ac:dyDescent="0.15">
      <c r="A41" s="7">
        <v>20151103</v>
      </c>
      <c r="B41" s="7">
        <v>601328</v>
      </c>
      <c r="C41" s="7" t="s">
        <v>78</v>
      </c>
      <c r="D41" s="7" t="s">
        <v>8</v>
      </c>
      <c r="E41" s="7">
        <v>300</v>
      </c>
      <c r="F41" s="7">
        <v>6.19</v>
      </c>
      <c r="G41" s="7">
        <v>-1857</v>
      </c>
      <c r="I41" s="11" t="s">
        <v>95</v>
      </c>
      <c r="J41" s="7" t="s">
        <v>84</v>
      </c>
      <c r="K41" s="7" t="s">
        <v>92</v>
      </c>
      <c r="L41" s="7" t="s">
        <v>93</v>
      </c>
      <c r="M41" s="7">
        <v>-6.5970000000000004</v>
      </c>
      <c r="N41" s="7" t="s">
        <v>94</v>
      </c>
    </row>
    <row r="42" spans="1:16" ht="46" hidden="1" x14ac:dyDescent="0.3">
      <c r="A42" s="1">
        <v>20151109</v>
      </c>
      <c r="B42" s="1">
        <v>600818</v>
      </c>
      <c r="C42" s="1" t="s">
        <v>9</v>
      </c>
      <c r="D42" s="1" t="s">
        <v>18</v>
      </c>
      <c r="E42" s="1">
        <v>300</v>
      </c>
      <c r="F42" s="1">
        <v>4.6399999999999997</v>
      </c>
      <c r="G42" s="1">
        <v>3500</v>
      </c>
      <c r="I42" s="21" t="s">
        <v>96</v>
      </c>
    </row>
    <row r="43" spans="1:16" s="7" customFormat="1" hidden="1" x14ac:dyDescent="0.15">
      <c r="A43" s="7">
        <v>20151112</v>
      </c>
      <c r="B43" s="7">
        <v>601328</v>
      </c>
      <c r="C43" s="7" t="s">
        <v>78</v>
      </c>
      <c r="D43" s="7" t="s">
        <v>18</v>
      </c>
      <c r="E43" s="7">
        <v>500</v>
      </c>
      <c r="F43" s="7">
        <v>6.75</v>
      </c>
      <c r="G43" s="7">
        <v>3375</v>
      </c>
      <c r="I43" s="11" t="s">
        <v>97</v>
      </c>
      <c r="J43" s="7" t="s">
        <v>84</v>
      </c>
      <c r="K43" s="7" t="s">
        <v>92</v>
      </c>
      <c r="L43" s="7" t="s">
        <v>93</v>
      </c>
      <c r="M43" s="7">
        <v>-6.5970000000000004</v>
      </c>
      <c r="N43" s="7" t="s">
        <v>94</v>
      </c>
    </row>
    <row r="44" spans="1:16" hidden="1" x14ac:dyDescent="0.3">
      <c r="A44" s="1">
        <v>20151201</v>
      </c>
      <c r="B44" s="1">
        <v>600583</v>
      </c>
      <c r="C44" s="1" t="s">
        <v>103</v>
      </c>
      <c r="D44" s="1" t="s">
        <v>8</v>
      </c>
      <c r="E44" s="1">
        <v>200</v>
      </c>
      <c r="F44" s="1">
        <v>9.1300000000000008</v>
      </c>
      <c r="G44" s="1">
        <v>-1826</v>
      </c>
      <c r="I44" s="1" t="s">
        <v>99</v>
      </c>
      <c r="J44" s="1" t="s">
        <v>84</v>
      </c>
      <c r="K44" s="1" t="s">
        <v>100</v>
      </c>
      <c r="L44" s="1" t="s">
        <v>101</v>
      </c>
      <c r="M44" s="1">
        <v>-14.137</v>
      </c>
      <c r="N44" s="1" t="s">
        <v>102</v>
      </c>
    </row>
    <row r="45" spans="1:16" s="7" customFormat="1" ht="69" hidden="1" x14ac:dyDescent="0.15">
      <c r="A45" s="7">
        <v>20151202</v>
      </c>
      <c r="B45" s="7">
        <v>600050</v>
      </c>
      <c r="C45" s="7" t="s">
        <v>104</v>
      </c>
      <c r="D45" s="7" t="s">
        <v>8</v>
      </c>
      <c r="E45" s="7">
        <v>300</v>
      </c>
      <c r="F45" s="7">
        <v>6.22</v>
      </c>
      <c r="G45" s="7">
        <v>-1866</v>
      </c>
      <c r="I45" s="22" t="s">
        <v>105</v>
      </c>
    </row>
    <row r="46" spans="1:16" ht="46" hidden="1" x14ac:dyDescent="0.3">
      <c r="A46" s="1">
        <v>20151204</v>
      </c>
      <c r="B46" s="1">
        <v>600583</v>
      </c>
      <c r="C46" s="23" t="s">
        <v>103</v>
      </c>
      <c r="D46" s="1" t="s">
        <v>18</v>
      </c>
      <c r="E46" s="1">
        <v>200</v>
      </c>
      <c r="F46" s="1">
        <v>9.3699999999999992</v>
      </c>
      <c r="G46" s="1">
        <v>1874</v>
      </c>
      <c r="I46" s="21" t="s">
        <v>109</v>
      </c>
      <c r="J46" s="1" t="s">
        <v>84</v>
      </c>
      <c r="K46" s="1" t="s">
        <v>106</v>
      </c>
      <c r="L46" s="1" t="s">
        <v>107</v>
      </c>
      <c r="M46" s="1">
        <v>7.3920000000000003</v>
      </c>
      <c r="N46" s="1" t="s">
        <v>108</v>
      </c>
    </row>
    <row r="47" spans="1:16" s="7" customFormat="1" hidden="1" x14ac:dyDescent="0.15">
      <c r="A47" s="7">
        <v>20151204</v>
      </c>
      <c r="B47" s="7">
        <v>600050</v>
      </c>
      <c r="C47" s="7" t="s">
        <v>104</v>
      </c>
      <c r="D47" s="7" t="s">
        <v>18</v>
      </c>
      <c r="E47" s="7">
        <v>300</v>
      </c>
      <c r="F47" s="7">
        <v>6.35</v>
      </c>
      <c r="G47" s="7">
        <v>1905</v>
      </c>
      <c r="I47" s="22"/>
    </row>
    <row r="48" spans="1:16" s="7" customFormat="1" ht="46" hidden="1" x14ac:dyDescent="0.15">
      <c r="A48" s="7">
        <v>20151211</v>
      </c>
      <c r="B48" s="7">
        <v>600036</v>
      </c>
      <c r="C48" s="7" t="s">
        <v>113</v>
      </c>
      <c r="D48" s="7" t="s">
        <v>8</v>
      </c>
      <c r="E48" s="7">
        <v>200</v>
      </c>
      <c r="F48" s="7">
        <v>16.920000000000002</v>
      </c>
      <c r="G48" s="7">
        <v>-3394</v>
      </c>
      <c r="I48" s="22" t="s">
        <v>114</v>
      </c>
      <c r="K48" s="68" t="s">
        <v>115</v>
      </c>
      <c r="L48" s="69"/>
      <c r="M48" s="69"/>
      <c r="N48" s="69"/>
      <c r="O48" s="69"/>
      <c r="P48" s="69"/>
    </row>
    <row r="49" spans="1:16" hidden="1" x14ac:dyDescent="0.3">
      <c r="A49" s="23">
        <v>20151211</v>
      </c>
      <c r="B49" s="26">
        <v>600585</v>
      </c>
      <c r="C49" s="1" t="s">
        <v>7</v>
      </c>
      <c r="D49" s="1" t="s">
        <v>8</v>
      </c>
      <c r="E49" s="1">
        <v>300</v>
      </c>
      <c r="F49" s="1">
        <v>16.82</v>
      </c>
      <c r="G49" s="1">
        <v>-5046</v>
      </c>
      <c r="I49" s="1" t="s">
        <v>116</v>
      </c>
    </row>
    <row r="50" spans="1:16" s="23" customFormat="1" hidden="1" x14ac:dyDescent="0.15">
      <c r="A50" s="23">
        <v>20151214</v>
      </c>
      <c r="B50" s="23">
        <v>600036</v>
      </c>
      <c r="C50" s="23" t="s">
        <v>113</v>
      </c>
      <c r="D50" s="23" t="s">
        <v>8</v>
      </c>
      <c r="E50" s="23">
        <v>300</v>
      </c>
      <c r="F50" s="23">
        <v>16.53</v>
      </c>
      <c r="G50" s="23">
        <v>-4959</v>
      </c>
      <c r="I50" s="24" t="s">
        <v>117</v>
      </c>
      <c r="K50" s="68"/>
      <c r="L50" s="69"/>
      <c r="M50" s="69"/>
      <c r="N50" s="69"/>
      <c r="O50" s="69"/>
      <c r="P50" s="69"/>
    </row>
    <row r="51" spans="1:16" ht="46" hidden="1" x14ac:dyDescent="0.3">
      <c r="A51" s="26">
        <v>20151215</v>
      </c>
      <c r="B51" s="26">
        <v>600585</v>
      </c>
      <c r="C51" s="1" t="s">
        <v>7</v>
      </c>
      <c r="D51" s="1" t="s">
        <v>18</v>
      </c>
      <c r="E51" s="1">
        <v>300</v>
      </c>
      <c r="F51" s="1">
        <v>16.989999999999998</v>
      </c>
      <c r="G51" s="1">
        <v>5097</v>
      </c>
      <c r="I51" s="25" t="s">
        <v>119</v>
      </c>
    </row>
    <row r="52" spans="1:16" s="26" customFormat="1" hidden="1" x14ac:dyDescent="0.15">
      <c r="A52" s="26">
        <v>20151214</v>
      </c>
      <c r="B52" s="26">
        <v>600036</v>
      </c>
      <c r="C52" s="26" t="s">
        <v>113</v>
      </c>
      <c r="D52" s="26" t="s">
        <v>18</v>
      </c>
      <c r="E52" s="26">
        <v>500</v>
      </c>
      <c r="F52" s="26">
        <v>16.98</v>
      </c>
      <c r="G52" s="26">
        <v>8490</v>
      </c>
      <c r="I52" s="25" t="s">
        <v>118</v>
      </c>
      <c r="K52" s="68"/>
      <c r="L52" s="69"/>
      <c r="M52" s="69"/>
      <c r="N52" s="69"/>
      <c r="O52" s="69"/>
      <c r="P52" s="69"/>
    </row>
    <row r="53" spans="1:16" s="27" customFormat="1" hidden="1" x14ac:dyDescent="0.15">
      <c r="A53" s="27">
        <v>20151218</v>
      </c>
      <c r="B53" s="27">
        <v>600016</v>
      </c>
      <c r="C53" s="27" t="s">
        <v>75</v>
      </c>
      <c r="D53" s="27" t="s">
        <v>18</v>
      </c>
      <c r="E53" s="27">
        <v>200</v>
      </c>
      <c r="F53" s="27">
        <v>9.3800000000000008</v>
      </c>
      <c r="G53" s="27">
        <v>1876</v>
      </c>
      <c r="I53" s="11" t="s">
        <v>120</v>
      </c>
    </row>
    <row r="54" spans="1:16" hidden="1" x14ac:dyDescent="0.3">
      <c r="A54" s="1">
        <v>20151223</v>
      </c>
      <c r="B54" s="26">
        <v>600668</v>
      </c>
      <c r="C54" s="1" t="s">
        <v>128</v>
      </c>
      <c r="D54" s="1" t="s">
        <v>8</v>
      </c>
      <c r="E54" s="1">
        <v>600</v>
      </c>
      <c r="F54" s="1">
        <v>6.79</v>
      </c>
      <c r="G54" s="1">
        <v>-4074</v>
      </c>
    </row>
    <row r="55" spans="1:16" hidden="1" x14ac:dyDescent="0.3">
      <c r="A55" s="1">
        <v>20151225</v>
      </c>
      <c r="B55" s="28">
        <v>600668</v>
      </c>
      <c r="C55" s="1" t="s">
        <v>128</v>
      </c>
      <c r="D55" s="1" t="s">
        <v>18</v>
      </c>
      <c r="E55" s="1">
        <v>600</v>
      </c>
      <c r="F55" s="1">
        <v>6.86</v>
      </c>
      <c r="G55" s="1">
        <v>4116</v>
      </c>
    </row>
    <row r="56" spans="1:16" ht="46" hidden="1" x14ac:dyDescent="0.3">
      <c r="A56" s="1">
        <v>20151225</v>
      </c>
      <c r="B56" s="28">
        <v>600006</v>
      </c>
      <c r="C56" s="1" t="s">
        <v>129</v>
      </c>
      <c r="D56" s="1" t="s">
        <v>8</v>
      </c>
      <c r="E56" s="1">
        <v>300</v>
      </c>
      <c r="F56" s="1">
        <v>8.64</v>
      </c>
      <c r="G56" s="1">
        <v>-2592</v>
      </c>
      <c r="I56" s="21" t="s">
        <v>130</v>
      </c>
    </row>
    <row r="57" spans="1:16" hidden="1" x14ac:dyDescent="0.3">
      <c r="A57" s="1">
        <v>20151229</v>
      </c>
      <c r="B57" s="26">
        <v>600018</v>
      </c>
      <c r="C57" s="1" t="s">
        <v>131</v>
      </c>
      <c r="D57" s="1" t="s">
        <v>8</v>
      </c>
      <c r="E57" s="1">
        <v>300</v>
      </c>
      <c r="F57" s="1">
        <v>6.54</v>
      </c>
      <c r="G57" s="1">
        <v>-2012</v>
      </c>
      <c r="I57" s="21" t="s">
        <v>132</v>
      </c>
    </row>
    <row r="58" spans="1:16" hidden="1" x14ac:dyDescent="0.3">
      <c r="A58" s="1">
        <v>20161014</v>
      </c>
      <c r="B58" s="26">
        <v>600019</v>
      </c>
      <c r="C58" s="1" t="s">
        <v>138</v>
      </c>
      <c r="D58" s="1" t="s">
        <v>8</v>
      </c>
      <c r="E58" s="1">
        <v>400</v>
      </c>
      <c r="F58" s="1">
        <v>5.61</v>
      </c>
      <c r="G58" s="1">
        <v>-2240</v>
      </c>
      <c r="I58" s="21" t="s">
        <v>135</v>
      </c>
    </row>
    <row r="59" spans="1:16" hidden="1" x14ac:dyDescent="0.3">
      <c r="A59" s="1">
        <v>20160106</v>
      </c>
      <c r="B59" s="30">
        <v>600006</v>
      </c>
      <c r="C59" s="1" t="s">
        <v>129</v>
      </c>
      <c r="D59" s="1" t="s">
        <v>8</v>
      </c>
      <c r="E59" s="1">
        <v>300</v>
      </c>
      <c r="F59" s="1">
        <v>7.82</v>
      </c>
      <c r="G59" s="1">
        <v>-2346</v>
      </c>
      <c r="I59" s="21"/>
    </row>
    <row r="60" spans="1:16" hidden="1" x14ac:dyDescent="0.3">
      <c r="A60" s="1">
        <v>20160106</v>
      </c>
      <c r="B60" s="30">
        <v>600019</v>
      </c>
      <c r="C60" s="1" t="s">
        <v>138</v>
      </c>
      <c r="D60" s="1" t="s">
        <v>18</v>
      </c>
      <c r="E60" s="1">
        <v>100</v>
      </c>
      <c r="F60" s="1">
        <v>5.97</v>
      </c>
      <c r="G60" s="1">
        <v>597</v>
      </c>
      <c r="I60" s="21" t="s">
        <v>139</v>
      </c>
    </row>
    <row r="61" spans="1:16" hidden="1" x14ac:dyDescent="0.3">
      <c r="A61" s="1">
        <v>20160111</v>
      </c>
      <c r="B61" s="31">
        <v>600019</v>
      </c>
      <c r="C61" s="1" t="s">
        <v>138</v>
      </c>
      <c r="D61" s="1" t="s">
        <v>18</v>
      </c>
      <c r="E61" s="1">
        <v>100</v>
      </c>
      <c r="F61" s="1">
        <v>5.72</v>
      </c>
      <c r="G61" s="1">
        <v>572</v>
      </c>
      <c r="I61" s="21" t="s">
        <v>140</v>
      </c>
    </row>
    <row r="62" spans="1:16" hidden="1" x14ac:dyDescent="0.3">
      <c r="A62" s="1">
        <v>20160111</v>
      </c>
      <c r="B62" s="31">
        <v>600006</v>
      </c>
      <c r="C62" s="1" t="s">
        <v>129</v>
      </c>
      <c r="D62" s="1" t="s">
        <v>8</v>
      </c>
      <c r="E62" s="1">
        <v>300</v>
      </c>
      <c r="F62" s="1">
        <v>7.77</v>
      </c>
      <c r="G62" s="1">
        <v>-2331</v>
      </c>
      <c r="I62" s="21" t="s">
        <v>141</v>
      </c>
    </row>
    <row r="63" spans="1:16" hidden="1" x14ac:dyDescent="0.3">
      <c r="A63" s="1">
        <v>20160112</v>
      </c>
      <c r="B63" s="32">
        <v>600006</v>
      </c>
      <c r="C63" s="1" t="s">
        <v>129</v>
      </c>
      <c r="D63" s="1" t="s">
        <v>8</v>
      </c>
      <c r="E63" s="1">
        <v>300</v>
      </c>
      <c r="F63" s="1">
        <v>6.5</v>
      </c>
      <c r="G63" s="1">
        <v>-1950</v>
      </c>
      <c r="I63" s="21" t="s">
        <v>142</v>
      </c>
    </row>
    <row r="64" spans="1:16" hidden="1" x14ac:dyDescent="0.3">
      <c r="A64" s="1">
        <v>20160111</v>
      </c>
      <c r="B64" s="26">
        <v>600428</v>
      </c>
      <c r="C64" s="1" t="s">
        <v>143</v>
      </c>
      <c r="D64" s="1" t="s">
        <v>8</v>
      </c>
      <c r="E64" s="1">
        <v>300</v>
      </c>
      <c r="F64" s="1">
        <v>7.77</v>
      </c>
      <c r="G64" s="1">
        <v>-2331</v>
      </c>
    </row>
    <row r="65" spans="1:16" hidden="1" x14ac:dyDescent="0.3">
      <c r="A65" s="1">
        <v>20160113</v>
      </c>
      <c r="B65" s="26">
        <v>600363</v>
      </c>
      <c r="C65" s="1" t="s">
        <v>42</v>
      </c>
      <c r="D65" s="1" t="s">
        <v>8</v>
      </c>
      <c r="E65" s="1">
        <v>300</v>
      </c>
      <c r="F65" s="1">
        <v>15.02</v>
      </c>
      <c r="G65" s="1">
        <v>-4506</v>
      </c>
      <c r="I65" s="1" t="s">
        <v>144</v>
      </c>
    </row>
    <row r="66" spans="1:16" hidden="1" x14ac:dyDescent="0.3">
      <c r="A66" s="1">
        <v>20160113</v>
      </c>
      <c r="B66" s="33">
        <v>600019</v>
      </c>
      <c r="C66" s="1" t="s">
        <v>138</v>
      </c>
      <c r="D66" s="1" t="s">
        <v>18</v>
      </c>
      <c r="E66" s="1">
        <v>200</v>
      </c>
      <c r="F66" s="1">
        <v>5.72</v>
      </c>
      <c r="G66" s="1">
        <v>1144</v>
      </c>
      <c r="I66" s="21" t="s">
        <v>145</v>
      </c>
    </row>
    <row r="67" spans="1:16" hidden="1" x14ac:dyDescent="0.3">
      <c r="A67" s="1">
        <v>20160114</v>
      </c>
      <c r="B67" s="34">
        <v>600363</v>
      </c>
      <c r="C67" s="1" t="s">
        <v>42</v>
      </c>
      <c r="D67" s="1" t="s">
        <v>8</v>
      </c>
      <c r="E67" s="1">
        <v>300</v>
      </c>
      <c r="F67" s="1">
        <v>12.75</v>
      </c>
      <c r="G67" s="1">
        <v>-3825</v>
      </c>
      <c r="I67" s="1" t="s">
        <v>146</v>
      </c>
    </row>
    <row r="68" spans="1:16" hidden="1" x14ac:dyDescent="0.3">
      <c r="A68" s="1">
        <v>20160119</v>
      </c>
      <c r="B68" s="26">
        <v>600598</v>
      </c>
      <c r="C68" s="1" t="s">
        <v>147</v>
      </c>
      <c r="D68" s="1" t="s">
        <v>8</v>
      </c>
      <c r="E68" s="1">
        <v>300</v>
      </c>
      <c r="F68" s="1">
        <v>11.28</v>
      </c>
      <c r="G68" s="1">
        <v>-3384</v>
      </c>
      <c r="I68" s="1" t="s">
        <v>148</v>
      </c>
    </row>
    <row r="69" spans="1:16" hidden="1" x14ac:dyDescent="0.3">
      <c r="A69" s="1">
        <v>20160120</v>
      </c>
      <c r="B69" s="34">
        <v>600598</v>
      </c>
      <c r="C69" s="1" t="s">
        <v>147</v>
      </c>
      <c r="D69" s="1" t="s">
        <v>18</v>
      </c>
      <c r="E69" s="1">
        <v>300</v>
      </c>
      <c r="F69" s="1">
        <v>11.46</v>
      </c>
      <c r="G69" s="1">
        <v>3438</v>
      </c>
      <c r="I69" s="69" t="s">
        <v>149</v>
      </c>
    </row>
    <row r="70" spans="1:16" hidden="1" x14ac:dyDescent="0.3">
      <c r="A70" s="1">
        <v>20160120</v>
      </c>
      <c r="B70" s="34">
        <v>600363</v>
      </c>
      <c r="C70" s="1" t="s">
        <v>42</v>
      </c>
      <c r="D70" s="1" t="s">
        <v>18</v>
      </c>
      <c r="E70" s="1">
        <v>300</v>
      </c>
      <c r="F70" s="1">
        <v>14.49</v>
      </c>
      <c r="G70" s="1">
        <v>4347</v>
      </c>
      <c r="I70" s="69"/>
    </row>
    <row r="71" spans="1:16" hidden="1" x14ac:dyDescent="0.3">
      <c r="A71" s="1">
        <v>20160121</v>
      </c>
      <c r="B71" s="52">
        <v>16</v>
      </c>
      <c r="C71" s="1" t="s">
        <v>183</v>
      </c>
      <c r="D71" s="1" t="s">
        <v>195</v>
      </c>
      <c r="I71" s="52" t="s">
        <v>191</v>
      </c>
      <c r="J71" s="1" t="s">
        <v>84</v>
      </c>
      <c r="K71" s="1" t="s">
        <v>192</v>
      </c>
      <c r="L71" s="1" t="s">
        <v>193</v>
      </c>
      <c r="M71" s="1">
        <v>-13.151</v>
      </c>
      <c r="N71" s="1" t="s">
        <v>194</v>
      </c>
    </row>
    <row r="72" spans="1:16" hidden="1" x14ac:dyDescent="0.3">
      <c r="A72" s="1">
        <v>20160122</v>
      </c>
      <c r="B72" s="36">
        <v>600598</v>
      </c>
      <c r="C72" s="1" t="s">
        <v>147</v>
      </c>
      <c r="D72" s="1" t="s">
        <v>8</v>
      </c>
      <c r="E72" s="1">
        <v>800</v>
      </c>
      <c r="F72" s="1">
        <v>11</v>
      </c>
      <c r="G72" s="1">
        <v>8800</v>
      </c>
      <c r="I72" s="1" t="s">
        <v>150</v>
      </c>
    </row>
    <row r="73" spans="1:16" s="36" customFormat="1" hidden="1" x14ac:dyDescent="0.15">
      <c r="A73" s="36">
        <v>20160125</v>
      </c>
      <c r="B73" s="36">
        <v>600036</v>
      </c>
      <c r="C73" s="36" t="s">
        <v>113</v>
      </c>
      <c r="D73" s="36" t="s">
        <v>8</v>
      </c>
      <c r="E73" s="36">
        <v>400</v>
      </c>
      <c r="F73" s="36">
        <v>15.27</v>
      </c>
      <c r="G73" s="36">
        <v>-6108</v>
      </c>
      <c r="I73" s="35" t="s">
        <v>151</v>
      </c>
      <c r="K73" s="68"/>
      <c r="L73" s="69"/>
      <c r="M73" s="69"/>
      <c r="N73" s="69"/>
      <c r="O73" s="69"/>
      <c r="P73" s="69"/>
    </row>
    <row r="74" spans="1:16" s="38" customFormat="1" ht="46" hidden="1" x14ac:dyDescent="0.15">
      <c r="A74" s="38">
        <v>20160126</v>
      </c>
      <c r="B74" s="38">
        <v>2594</v>
      </c>
      <c r="C74" s="38" t="s">
        <v>152</v>
      </c>
      <c r="D74" s="38" t="s">
        <v>8</v>
      </c>
      <c r="E74" s="38">
        <v>100</v>
      </c>
      <c r="F74" s="38">
        <v>53.27</v>
      </c>
      <c r="G74" s="38">
        <v>-5327</v>
      </c>
      <c r="I74" s="37" t="s">
        <v>211</v>
      </c>
    </row>
    <row r="75" spans="1:16" hidden="1" x14ac:dyDescent="0.3">
      <c r="A75" s="38">
        <v>20160127</v>
      </c>
      <c r="B75" s="26">
        <v>2673</v>
      </c>
      <c r="C75" s="1" t="s">
        <v>155</v>
      </c>
      <c r="D75" s="1" t="s">
        <v>8</v>
      </c>
      <c r="E75" s="1">
        <v>200</v>
      </c>
      <c r="F75" s="1">
        <v>23.27</v>
      </c>
      <c r="G75" s="1">
        <v>-4654</v>
      </c>
      <c r="I75" s="1" t="s">
        <v>156</v>
      </c>
    </row>
    <row r="76" spans="1:16" hidden="1" x14ac:dyDescent="0.3">
      <c r="A76" s="49">
        <v>20160128</v>
      </c>
      <c r="B76" s="49">
        <v>2673</v>
      </c>
      <c r="C76" s="1" t="s">
        <v>155</v>
      </c>
      <c r="D76" s="1" t="s">
        <v>163</v>
      </c>
      <c r="E76" s="1">
        <v>200</v>
      </c>
      <c r="F76" s="1">
        <v>23.89</v>
      </c>
      <c r="G76" s="1">
        <f>E76*F76</f>
        <v>4778</v>
      </c>
    </row>
    <row r="77" spans="1:16" s="39" customFormat="1" x14ac:dyDescent="0.15">
      <c r="A77" s="39">
        <v>20150831</v>
      </c>
      <c r="B77" s="39">
        <v>601169</v>
      </c>
      <c r="C77" s="39" t="s">
        <v>29</v>
      </c>
      <c r="D77" s="39" t="s">
        <v>18</v>
      </c>
      <c r="E77" s="39">
        <v>100</v>
      </c>
      <c r="F77" s="39">
        <v>8.6199999999999992</v>
      </c>
      <c r="G77" s="39">
        <v>862</v>
      </c>
      <c r="I77" s="11" t="s">
        <v>83</v>
      </c>
    </row>
    <row r="78" spans="1:16" s="39" customFormat="1" x14ac:dyDescent="0.15">
      <c r="A78" s="39">
        <v>20160204</v>
      </c>
      <c r="B78" s="39">
        <v>601169</v>
      </c>
      <c r="C78" s="39" t="s">
        <v>29</v>
      </c>
      <c r="D78" s="39" t="s">
        <v>8</v>
      </c>
      <c r="E78" s="39">
        <v>500</v>
      </c>
      <c r="F78" s="39">
        <v>9.6</v>
      </c>
      <c r="G78" s="39">
        <v>-4800</v>
      </c>
      <c r="I78" s="11" t="s">
        <v>83</v>
      </c>
    </row>
    <row r="79" spans="1:16" s="41" customFormat="1" hidden="1" x14ac:dyDescent="0.15">
      <c r="A79" s="41">
        <v>20160224</v>
      </c>
      <c r="B79" s="41">
        <v>2594</v>
      </c>
      <c r="C79" s="41" t="s">
        <v>152</v>
      </c>
      <c r="D79" s="41" t="s">
        <v>18</v>
      </c>
      <c r="E79" s="41">
        <v>100</v>
      </c>
      <c r="F79" s="41">
        <v>54.6</v>
      </c>
      <c r="G79" s="41">
        <v>5460</v>
      </c>
      <c r="I79" s="40" t="s">
        <v>158</v>
      </c>
    </row>
    <row r="80" spans="1:16" hidden="1" x14ac:dyDescent="0.3">
      <c r="A80" s="1">
        <v>20160413</v>
      </c>
      <c r="B80" s="46">
        <v>600428</v>
      </c>
      <c r="C80" s="1" t="s">
        <v>143</v>
      </c>
      <c r="D80" s="1" t="s">
        <v>163</v>
      </c>
      <c r="E80" s="1">
        <v>300</v>
      </c>
      <c r="F80" s="1">
        <v>8.01</v>
      </c>
      <c r="G80" s="1">
        <v>2403</v>
      </c>
    </row>
    <row r="81" spans="1:14" hidden="1" x14ac:dyDescent="0.3">
      <c r="A81" s="1">
        <v>20160630</v>
      </c>
      <c r="B81" s="46">
        <v>600363</v>
      </c>
      <c r="C81" s="1" t="s">
        <v>42</v>
      </c>
      <c r="D81" s="1" t="s">
        <v>18</v>
      </c>
      <c r="E81" s="1">
        <v>100</v>
      </c>
      <c r="F81" s="1">
        <v>17.600000000000001</v>
      </c>
      <c r="G81" s="1">
        <v>1760</v>
      </c>
      <c r="H81" s="1">
        <v>300</v>
      </c>
      <c r="I81" s="45"/>
      <c r="J81"/>
    </row>
    <row r="82" spans="1:14" s="47" customFormat="1" ht="161" hidden="1" x14ac:dyDescent="0.15">
      <c r="A82" s="47">
        <v>20160705</v>
      </c>
      <c r="B82" s="47">
        <v>600363</v>
      </c>
      <c r="C82" s="47" t="s">
        <v>42</v>
      </c>
      <c r="D82" s="47" t="s">
        <v>18</v>
      </c>
      <c r="E82" s="47">
        <v>100</v>
      </c>
      <c r="F82" s="47">
        <v>18.23</v>
      </c>
      <c r="G82" s="47">
        <v>1823</v>
      </c>
      <c r="H82" s="47">
        <v>200</v>
      </c>
      <c r="I82" s="11" t="s">
        <v>164</v>
      </c>
      <c r="J82" s="48" t="s">
        <v>165</v>
      </c>
    </row>
    <row r="83" spans="1:14" s="55" customFormat="1" ht="92" hidden="1" x14ac:dyDescent="0.15">
      <c r="A83" s="55">
        <v>20160726</v>
      </c>
      <c r="B83" s="55">
        <v>800</v>
      </c>
      <c r="C83" s="55" t="s">
        <v>166</v>
      </c>
      <c r="D83" s="55" t="s">
        <v>167</v>
      </c>
      <c r="E83" s="55">
        <v>300</v>
      </c>
      <c r="F83" s="55">
        <v>10.88</v>
      </c>
      <c r="G83" s="55">
        <f>F83*E83*-1</f>
        <v>-3264.0000000000005</v>
      </c>
      <c r="I83" s="54" t="s">
        <v>212</v>
      </c>
    </row>
    <row r="84" spans="1:14" hidden="1" x14ac:dyDescent="0.3">
      <c r="A84" s="1">
        <v>20160729</v>
      </c>
      <c r="B84" s="52">
        <v>16</v>
      </c>
      <c r="C84" s="1" t="s">
        <v>183</v>
      </c>
      <c r="D84" s="1" t="s">
        <v>195</v>
      </c>
      <c r="I84" s="21" t="s">
        <v>182</v>
      </c>
    </row>
    <row r="85" spans="1:14" hidden="1" x14ac:dyDescent="0.3">
      <c r="A85" s="1">
        <v>20160802</v>
      </c>
      <c r="B85" s="51">
        <v>600703</v>
      </c>
      <c r="C85" s="1" t="s">
        <v>177</v>
      </c>
      <c r="D85" s="1" t="s">
        <v>167</v>
      </c>
      <c r="E85" s="1">
        <v>300</v>
      </c>
      <c r="F85" s="1">
        <v>12.13</v>
      </c>
      <c r="G85" s="1">
        <f>F85*E85*-1</f>
        <v>-3639.0000000000005</v>
      </c>
      <c r="I85" s="21" t="s">
        <v>178</v>
      </c>
    </row>
    <row r="86" spans="1:14" hidden="1" x14ac:dyDescent="0.3">
      <c r="A86" s="1">
        <v>20160812</v>
      </c>
      <c r="B86" s="26">
        <v>600271</v>
      </c>
      <c r="C86" s="1" t="s">
        <v>170</v>
      </c>
      <c r="D86" s="1" t="s">
        <v>171</v>
      </c>
      <c r="E86" s="1">
        <v>300</v>
      </c>
      <c r="F86" s="1">
        <v>22.56</v>
      </c>
      <c r="G86" s="1">
        <f>F86*E86*-1</f>
        <v>-6768</v>
      </c>
      <c r="I86" s="1" t="s">
        <v>179</v>
      </c>
      <c r="J86" s="1" t="s">
        <v>84</v>
      </c>
      <c r="K86" s="1" t="s">
        <v>172</v>
      </c>
      <c r="L86" s="1" t="s">
        <v>173</v>
      </c>
      <c r="M86" s="1">
        <v>-56.61</v>
      </c>
      <c r="N86" s="1" t="s">
        <v>174</v>
      </c>
    </row>
    <row r="87" spans="1:14" hidden="1" x14ac:dyDescent="0.3">
      <c r="A87" s="1">
        <v>20160816</v>
      </c>
      <c r="B87" s="26">
        <v>9</v>
      </c>
      <c r="C87" s="1" t="s">
        <v>189</v>
      </c>
      <c r="D87" s="1" t="s">
        <v>184</v>
      </c>
      <c r="I87" s="1" t="s">
        <v>185</v>
      </c>
    </row>
    <row r="88" spans="1:14" s="50" customFormat="1" x14ac:dyDescent="0.15">
      <c r="A88" s="50">
        <v>20160816</v>
      </c>
      <c r="B88" s="50">
        <v>601169</v>
      </c>
      <c r="C88" s="50" t="s">
        <v>29</v>
      </c>
      <c r="D88" s="50" t="s">
        <v>175</v>
      </c>
      <c r="E88" s="50">
        <v>100</v>
      </c>
      <c r="F88" s="50">
        <v>8.98</v>
      </c>
      <c r="G88" s="50">
        <v>898</v>
      </c>
      <c r="I88" s="11"/>
    </row>
    <row r="89" spans="1:14" hidden="1" x14ac:dyDescent="0.3">
      <c r="A89" s="50">
        <v>20160816</v>
      </c>
      <c r="B89" s="1">
        <v>600818</v>
      </c>
      <c r="C89" s="1" t="s">
        <v>9</v>
      </c>
      <c r="D89" s="1" t="s">
        <v>18</v>
      </c>
      <c r="E89" s="1">
        <v>100</v>
      </c>
      <c r="F89" s="1">
        <v>4.13</v>
      </c>
      <c r="G89" s="1">
        <v>413</v>
      </c>
      <c r="I89" s="21"/>
    </row>
    <row r="90" spans="1:14" hidden="1" x14ac:dyDescent="0.3">
      <c r="A90" s="1">
        <v>20160816</v>
      </c>
      <c r="B90" s="52">
        <v>9</v>
      </c>
      <c r="C90" s="1" t="s">
        <v>189</v>
      </c>
      <c r="D90" s="1" t="s">
        <v>213</v>
      </c>
      <c r="I90" s="21" t="s">
        <v>190</v>
      </c>
      <c r="J90" s="1" t="s">
        <v>84</v>
      </c>
      <c r="K90" s="1" t="s">
        <v>186</v>
      </c>
      <c r="L90" s="1" t="s">
        <v>187</v>
      </c>
      <c r="M90" s="1">
        <v>4.8769999999999998</v>
      </c>
      <c r="N90" s="1" t="s">
        <v>188</v>
      </c>
    </row>
    <row r="91" spans="1:14" hidden="1" x14ac:dyDescent="0.3">
      <c r="A91" s="1">
        <v>20160819</v>
      </c>
      <c r="B91" s="51">
        <v>600271</v>
      </c>
      <c r="C91" s="1" t="s">
        <v>170</v>
      </c>
      <c r="D91" s="1" t="s">
        <v>175</v>
      </c>
      <c r="E91" s="1">
        <v>300</v>
      </c>
      <c r="F91" s="1">
        <v>23.28</v>
      </c>
      <c r="G91" s="1">
        <f>F91*E91</f>
        <v>6984</v>
      </c>
      <c r="I91" s="1" t="s">
        <v>176</v>
      </c>
      <c r="J91" s="1" t="s">
        <v>84</v>
      </c>
      <c r="K91" s="1" t="s">
        <v>172</v>
      </c>
      <c r="L91" s="1" t="s">
        <v>173</v>
      </c>
      <c r="M91" s="1">
        <v>-56.61</v>
      </c>
      <c r="N91" s="1" t="s">
        <v>174</v>
      </c>
    </row>
    <row r="92" spans="1:14" hidden="1" x14ac:dyDescent="0.3">
      <c r="A92" s="1">
        <v>20160819</v>
      </c>
      <c r="B92" s="51">
        <v>800</v>
      </c>
      <c r="C92" s="1" t="s">
        <v>166</v>
      </c>
      <c r="D92" s="1" t="s">
        <v>175</v>
      </c>
      <c r="E92" s="1">
        <v>300</v>
      </c>
      <c r="F92" s="1">
        <v>10.8</v>
      </c>
      <c r="G92" s="1">
        <f>F92*E92</f>
        <v>3240</v>
      </c>
      <c r="I92" s="21" t="s">
        <v>180</v>
      </c>
    </row>
    <row r="93" spans="1:14" hidden="1" x14ac:dyDescent="0.3">
      <c r="A93" s="1">
        <v>20160819</v>
      </c>
      <c r="B93" s="51">
        <v>600703</v>
      </c>
      <c r="C93" s="1" t="s">
        <v>177</v>
      </c>
      <c r="D93" s="1" t="s">
        <v>181</v>
      </c>
      <c r="E93" s="1">
        <v>300</v>
      </c>
      <c r="F93" s="1">
        <v>12.18</v>
      </c>
      <c r="G93" s="1">
        <f>F93*E93</f>
        <v>3654</v>
      </c>
      <c r="I93" s="21" t="s">
        <v>178</v>
      </c>
    </row>
    <row r="94" spans="1:14" s="53" customFormat="1" hidden="1" x14ac:dyDescent="0.15">
      <c r="A94" s="53">
        <v>20150906</v>
      </c>
      <c r="B94" s="53">
        <v>601328</v>
      </c>
      <c r="C94" s="53" t="s">
        <v>78</v>
      </c>
      <c r="D94" s="53" t="s">
        <v>209</v>
      </c>
      <c r="E94" s="53">
        <v>100</v>
      </c>
      <c r="F94" s="53">
        <v>5.79</v>
      </c>
      <c r="G94" s="53">
        <f>E94*F94</f>
        <v>579</v>
      </c>
      <c r="I94" s="11"/>
    </row>
    <row r="95" spans="1:14" s="55" customFormat="1" x14ac:dyDescent="0.15">
      <c r="A95" s="55">
        <v>20160907</v>
      </c>
      <c r="B95" s="55">
        <v>601169</v>
      </c>
      <c r="C95" s="55" t="s">
        <v>29</v>
      </c>
      <c r="D95" s="55" t="s">
        <v>163</v>
      </c>
      <c r="E95" s="55">
        <v>100</v>
      </c>
      <c r="F95" s="55">
        <v>9.16</v>
      </c>
      <c r="G95" s="55">
        <f>E95*F95</f>
        <v>916</v>
      </c>
      <c r="I95" s="11"/>
    </row>
  </sheetData>
  <autoFilter ref="C1:C95">
    <filterColumn colId="0">
      <filters>
        <filter val="北京银行"/>
      </filters>
    </filterColumn>
  </autoFilter>
  <mergeCells count="6">
    <mergeCell ref="K73:P73"/>
    <mergeCell ref="I8:I9"/>
    <mergeCell ref="K48:P48"/>
    <mergeCell ref="K50:P50"/>
    <mergeCell ref="K52:P52"/>
    <mergeCell ref="I69:I70"/>
  </mergeCells>
  <phoneticPr fontId="7" type="noConversion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>
      <pane ySplit="1" topLeftCell="A24" activePane="bottomLeft" state="frozen"/>
      <selection pane="bottomLeft" activeCell="G50" sqref="G50"/>
    </sheetView>
  </sheetViews>
  <sheetFormatPr baseColWidth="10" defaultRowHeight="15" x14ac:dyDescent="0.15"/>
  <cols>
    <col min="3" max="3" width="17.5" customWidth="1"/>
    <col min="4" max="4" width="14" customWidth="1"/>
    <col min="7" max="7" width="13" customWidth="1"/>
    <col min="8" max="8" width="16.1640625" customWidth="1"/>
    <col min="10" max="13" width="13.5" customWidth="1"/>
  </cols>
  <sheetData>
    <row r="1" spans="1:16" s="1" customFormat="1" ht="24" thickBot="1" x14ac:dyDescent="0.35">
      <c r="A1" s="2" t="s">
        <v>0</v>
      </c>
      <c r="B1" s="3" t="s">
        <v>204</v>
      </c>
      <c r="C1" s="3" t="s">
        <v>206</v>
      </c>
      <c r="D1" s="3" t="s">
        <v>210</v>
      </c>
      <c r="E1" s="3" t="s">
        <v>214</v>
      </c>
      <c r="F1" s="3" t="s">
        <v>207</v>
      </c>
      <c r="G1" s="3" t="s">
        <v>243</v>
      </c>
      <c r="H1" s="3" t="s">
        <v>205</v>
      </c>
      <c r="I1" s="3" t="s">
        <v>245</v>
      </c>
      <c r="J1" s="3" t="s">
        <v>246</v>
      </c>
      <c r="K1" s="3" t="s">
        <v>247</v>
      </c>
      <c r="L1" s="3" t="s">
        <v>248</v>
      </c>
      <c r="M1" s="3" t="s">
        <v>254</v>
      </c>
      <c r="N1" s="3" t="s">
        <v>255</v>
      </c>
      <c r="P1" s="1" t="s">
        <v>283</v>
      </c>
    </row>
    <row r="2" spans="1:16" s="19" customFormat="1" x14ac:dyDescent="0.15">
      <c r="A2" s="19">
        <v>20160831</v>
      </c>
      <c r="B2" s="19" t="s">
        <v>203</v>
      </c>
      <c r="C2" s="19">
        <v>100000</v>
      </c>
      <c r="G2" s="19">
        <f>C2*(10-H2)/10</f>
        <v>54000</v>
      </c>
      <c r="H2" s="19">
        <v>4.5999999999999996</v>
      </c>
      <c r="I2" s="19">
        <v>50</v>
      </c>
      <c r="J2" s="19">
        <v>2000</v>
      </c>
      <c r="K2" s="19">
        <v>100000</v>
      </c>
      <c r="L2" s="19">
        <f>C2/K2</f>
        <v>1</v>
      </c>
    </row>
    <row r="3" spans="1:16" s="19" customFormat="1" x14ac:dyDescent="0.15">
      <c r="A3" s="19">
        <v>20160905</v>
      </c>
      <c r="B3" s="19" t="s">
        <v>203</v>
      </c>
      <c r="C3" s="19">
        <v>100115</v>
      </c>
      <c r="F3" s="19">
        <v>45667.199999999997</v>
      </c>
      <c r="G3" s="19">
        <f t="shared" ref="G3:G17" si="0">C3*(10-H3)/10</f>
        <v>54447.8</v>
      </c>
      <c r="H3" s="19">
        <f t="shared" ref="H3:H8" si="1">F3/C3*10</f>
        <v>4.5614743045497672</v>
      </c>
      <c r="I3" s="19">
        <v>50</v>
      </c>
      <c r="J3" s="19">
        <v>2000</v>
      </c>
      <c r="K3" s="19">
        <v>100000</v>
      </c>
      <c r="L3" s="19">
        <f t="shared" ref="L3:L20" si="2">C3/K3</f>
        <v>1.00115</v>
      </c>
    </row>
    <row r="4" spans="1:16" s="19" customFormat="1" x14ac:dyDescent="0.15">
      <c r="A4" s="19">
        <v>20160905</v>
      </c>
      <c r="B4" s="19" t="s">
        <v>203</v>
      </c>
      <c r="C4" s="19">
        <v>100114.7</v>
      </c>
      <c r="F4" s="19">
        <v>45667.199999999997</v>
      </c>
      <c r="G4" s="19">
        <f t="shared" si="0"/>
        <v>54447.500000000015</v>
      </c>
      <c r="H4" s="19">
        <f t="shared" si="1"/>
        <v>4.5614879732946303</v>
      </c>
      <c r="I4" s="19">
        <v>50</v>
      </c>
      <c r="J4" s="19">
        <v>2000</v>
      </c>
      <c r="K4" s="19">
        <v>100000</v>
      </c>
      <c r="L4" s="19">
        <f t="shared" si="2"/>
        <v>1.001147</v>
      </c>
    </row>
    <row r="5" spans="1:16" s="19" customFormat="1" x14ac:dyDescent="0.15">
      <c r="A5" s="19">
        <v>20160906</v>
      </c>
      <c r="B5" s="19" t="s">
        <v>203</v>
      </c>
      <c r="C5" s="19">
        <f t="shared" ref="C5:C10" si="3">D5+E5</f>
        <v>99649.3</v>
      </c>
      <c r="D5" s="19">
        <v>50323</v>
      </c>
      <c r="E5" s="19">
        <v>49326.3</v>
      </c>
      <c r="F5" s="19">
        <v>45166.8</v>
      </c>
      <c r="G5" s="19">
        <f t="shared" si="0"/>
        <v>54482.5</v>
      </c>
      <c r="H5" s="19">
        <f t="shared" si="1"/>
        <v>4.5325757431311615</v>
      </c>
      <c r="I5" s="19">
        <v>50</v>
      </c>
      <c r="J5" s="19">
        <v>2000</v>
      </c>
      <c r="K5" s="19">
        <v>100000</v>
      </c>
      <c r="L5" s="19">
        <f t="shared" si="2"/>
        <v>0.99649300000000007</v>
      </c>
    </row>
    <row r="6" spans="1:16" s="19" customFormat="1" x14ac:dyDescent="0.15">
      <c r="A6" s="19">
        <v>20160908</v>
      </c>
      <c r="B6" s="19" t="s">
        <v>203</v>
      </c>
      <c r="C6" s="19">
        <f t="shared" si="3"/>
        <v>99871.3</v>
      </c>
      <c r="D6" s="19">
        <v>50517</v>
      </c>
      <c r="E6" s="19">
        <v>49354.3</v>
      </c>
      <c r="F6" s="19">
        <v>43217</v>
      </c>
      <c r="G6" s="19">
        <f t="shared" si="0"/>
        <v>56654.3</v>
      </c>
      <c r="H6" s="19">
        <f t="shared" si="1"/>
        <v>4.3272691954545497</v>
      </c>
      <c r="I6" s="19">
        <v>50</v>
      </c>
      <c r="J6" s="19">
        <v>2000</v>
      </c>
      <c r="K6" s="19">
        <v>100000</v>
      </c>
      <c r="L6" s="19">
        <f t="shared" si="2"/>
        <v>0.99871300000000007</v>
      </c>
    </row>
    <row r="7" spans="1:16" s="19" customFormat="1" x14ac:dyDescent="0.15">
      <c r="A7" s="19">
        <v>20160909</v>
      </c>
      <c r="B7" s="19" t="s">
        <v>203</v>
      </c>
      <c r="C7" s="19">
        <f t="shared" si="3"/>
        <v>99830.3</v>
      </c>
      <c r="D7" s="19">
        <v>50476</v>
      </c>
      <c r="E7" s="19">
        <v>49354.3</v>
      </c>
      <c r="F7" s="19">
        <v>43217</v>
      </c>
      <c r="G7" s="19">
        <f t="shared" si="0"/>
        <v>56613.3</v>
      </c>
      <c r="H7" s="19">
        <f t="shared" si="1"/>
        <v>4.3290463917267603</v>
      </c>
      <c r="I7" s="19">
        <v>50</v>
      </c>
      <c r="J7" s="19">
        <v>2000</v>
      </c>
      <c r="K7" s="19">
        <v>100000</v>
      </c>
      <c r="L7" s="19">
        <f t="shared" si="2"/>
        <v>0.99830300000000005</v>
      </c>
    </row>
    <row r="8" spans="1:16" s="19" customFormat="1" x14ac:dyDescent="0.15">
      <c r="A8" s="19">
        <v>20160921</v>
      </c>
      <c r="B8" s="19" t="s">
        <v>203</v>
      </c>
      <c r="C8" s="19">
        <f t="shared" si="3"/>
        <v>99093.9</v>
      </c>
      <c r="D8" s="19">
        <v>51714.9</v>
      </c>
      <c r="E8" s="19">
        <v>47379</v>
      </c>
      <c r="F8" s="19">
        <v>48469</v>
      </c>
      <c r="G8" s="19">
        <f t="shared" si="0"/>
        <v>50624.899999999987</v>
      </c>
      <c r="H8" s="19">
        <f t="shared" si="1"/>
        <v>4.8912193384254739</v>
      </c>
      <c r="I8" s="19">
        <v>30</v>
      </c>
      <c r="J8" s="19">
        <v>3300</v>
      </c>
      <c r="K8" s="19">
        <v>100000</v>
      </c>
      <c r="L8" s="19">
        <f t="shared" si="2"/>
        <v>0.9909389999999999</v>
      </c>
    </row>
    <row r="9" spans="1:16" s="19" customFormat="1" x14ac:dyDescent="0.15">
      <c r="A9" s="19">
        <v>20160926</v>
      </c>
      <c r="B9" s="19" t="s">
        <v>203</v>
      </c>
      <c r="C9" s="19">
        <f t="shared" si="3"/>
        <v>99641.83</v>
      </c>
      <c r="D9" s="19">
        <v>57250.83</v>
      </c>
      <c r="E9" s="19">
        <v>42391</v>
      </c>
      <c r="F9" s="19">
        <v>55308.2</v>
      </c>
      <c r="G9" s="19">
        <f t="shared" si="0"/>
        <v>44333.630000000012</v>
      </c>
      <c r="H9" s="19">
        <f t="shared" ref="H9" si="4">F9/C9*10</f>
        <v>5.5507009455767715</v>
      </c>
      <c r="I9" s="19">
        <v>30</v>
      </c>
      <c r="J9" s="19">
        <v>3300</v>
      </c>
      <c r="K9" s="19">
        <v>100000</v>
      </c>
      <c r="L9" s="19">
        <f t="shared" si="2"/>
        <v>0.99641829999999998</v>
      </c>
    </row>
    <row r="10" spans="1:16" s="19" customFormat="1" x14ac:dyDescent="0.15">
      <c r="A10" s="19">
        <v>20160927</v>
      </c>
      <c r="B10" s="19" t="s">
        <v>203</v>
      </c>
      <c r="C10" s="19">
        <f t="shared" si="3"/>
        <v>99582.03</v>
      </c>
      <c r="D10" s="19">
        <v>61189.03</v>
      </c>
      <c r="E10" s="19">
        <v>38393</v>
      </c>
      <c r="F10" s="19">
        <v>59513</v>
      </c>
      <c r="G10" s="19">
        <f t="shared" si="0"/>
        <v>40069.030000000006</v>
      </c>
      <c r="H10" s="19">
        <f t="shared" ref="H10" si="5">F10/C10*10</f>
        <v>5.9762790535601651</v>
      </c>
      <c r="I10" s="19">
        <v>25</v>
      </c>
      <c r="J10" s="19">
        <v>4000</v>
      </c>
      <c r="K10" s="19">
        <v>100000</v>
      </c>
      <c r="L10" s="19">
        <f t="shared" si="2"/>
        <v>0.99582029999999999</v>
      </c>
    </row>
    <row r="11" spans="1:16" s="19" customFormat="1" x14ac:dyDescent="0.15">
      <c r="A11" s="19">
        <v>20160928</v>
      </c>
      <c r="B11" s="19" t="s">
        <v>203</v>
      </c>
      <c r="C11" s="19">
        <f t="shared" ref="C11" si="6">D11+E11</f>
        <v>99516.03</v>
      </c>
      <c r="D11" s="19">
        <v>65121.03</v>
      </c>
      <c r="E11" s="19">
        <v>34395</v>
      </c>
      <c r="F11" s="19">
        <v>59445.2</v>
      </c>
      <c r="G11" s="19">
        <f t="shared" si="0"/>
        <v>40070.83</v>
      </c>
      <c r="H11" s="19">
        <f t="shared" ref="H11" si="7">F11/C11*10</f>
        <v>5.9734296072703064</v>
      </c>
      <c r="I11" s="19">
        <v>25</v>
      </c>
      <c r="J11" s="19">
        <v>4000</v>
      </c>
      <c r="K11" s="19">
        <v>100000</v>
      </c>
      <c r="L11" s="19">
        <f t="shared" si="2"/>
        <v>0.9951603</v>
      </c>
    </row>
    <row r="12" spans="1:16" s="19" customFormat="1" x14ac:dyDescent="0.15">
      <c r="A12" s="19">
        <v>20160928</v>
      </c>
      <c r="B12" s="19" t="s">
        <v>203</v>
      </c>
      <c r="C12" s="19">
        <f t="shared" ref="C12" si="8">D12+E12</f>
        <v>99880.65</v>
      </c>
      <c r="D12" s="19">
        <v>70481.649999999994</v>
      </c>
      <c r="E12" s="19">
        <v>29399</v>
      </c>
      <c r="F12" s="19">
        <v>68442</v>
      </c>
      <c r="G12" s="19">
        <f t="shared" si="0"/>
        <v>31438.649999999987</v>
      </c>
      <c r="H12" s="19">
        <f t="shared" ref="H12" si="9">F12/C12*10</f>
        <v>6.8523783135171836</v>
      </c>
      <c r="I12" s="19">
        <v>25</v>
      </c>
      <c r="J12" s="19">
        <v>4000</v>
      </c>
      <c r="K12" s="19">
        <v>100000</v>
      </c>
      <c r="L12" s="19">
        <f t="shared" si="2"/>
        <v>0.99880649999999993</v>
      </c>
    </row>
    <row r="13" spans="1:16" s="19" customFormat="1" x14ac:dyDescent="0.15">
      <c r="A13" s="19">
        <v>20161012</v>
      </c>
      <c r="B13" s="19" t="s">
        <v>203</v>
      </c>
      <c r="C13" s="19">
        <f t="shared" ref="C13" si="10">D13+E13</f>
        <v>101270.37</v>
      </c>
      <c r="D13" s="19">
        <v>74853.37</v>
      </c>
      <c r="E13" s="19">
        <v>26417</v>
      </c>
      <c r="F13" s="19">
        <v>74046</v>
      </c>
      <c r="G13" s="19">
        <f t="shared" si="0"/>
        <v>27224.369999999995</v>
      </c>
      <c r="H13" s="19">
        <f t="shared" ref="H13" si="11">F13/C13*10</f>
        <v>7.3117141766145419</v>
      </c>
      <c r="I13" s="19">
        <v>25</v>
      </c>
      <c r="J13" s="19">
        <v>4000</v>
      </c>
      <c r="K13" s="19">
        <v>100000</v>
      </c>
      <c r="L13" s="19">
        <f t="shared" si="2"/>
        <v>1.0127036999999999</v>
      </c>
    </row>
    <row r="14" spans="1:16" s="19" customFormat="1" x14ac:dyDescent="0.15">
      <c r="A14" s="19">
        <v>20161013</v>
      </c>
      <c r="B14" s="19" t="s">
        <v>203</v>
      </c>
      <c r="C14" s="19">
        <f t="shared" ref="C14:C19" si="12">D14+E14</f>
        <v>101294.57</v>
      </c>
      <c r="D14" s="19">
        <v>77876.570000000007</v>
      </c>
      <c r="E14" s="19">
        <v>23418</v>
      </c>
      <c r="F14" s="19">
        <v>77665</v>
      </c>
      <c r="G14" s="19">
        <f t="shared" si="0"/>
        <v>23629.57</v>
      </c>
      <c r="H14" s="19">
        <f t="shared" ref="H14" si="13">F14/C14*10</f>
        <v>7.6672421828731787</v>
      </c>
      <c r="I14" s="19">
        <v>25</v>
      </c>
      <c r="J14" s="19">
        <v>4000</v>
      </c>
      <c r="K14" s="19">
        <v>100000</v>
      </c>
      <c r="L14" s="19">
        <f t="shared" si="2"/>
        <v>1.0129457000000002</v>
      </c>
    </row>
    <row r="15" spans="1:16" s="19" customFormat="1" x14ac:dyDescent="0.15">
      <c r="A15" s="19">
        <v>20161014</v>
      </c>
      <c r="B15" s="19" t="s">
        <v>203</v>
      </c>
      <c r="C15" s="19">
        <f t="shared" si="12"/>
        <v>101278</v>
      </c>
      <c r="D15" s="19">
        <v>77860</v>
      </c>
      <c r="E15" s="19">
        <v>23418</v>
      </c>
      <c r="F15" s="19">
        <v>61226</v>
      </c>
      <c r="G15" s="19">
        <f t="shared" si="0"/>
        <v>40052</v>
      </c>
      <c r="H15" s="19">
        <f t="shared" ref="H15" si="14">F15/C15*10</f>
        <v>6.0453405477991273</v>
      </c>
      <c r="I15" s="19">
        <v>25</v>
      </c>
      <c r="J15" s="19">
        <v>4000</v>
      </c>
      <c r="K15" s="19">
        <v>100000</v>
      </c>
      <c r="L15" s="19">
        <f t="shared" si="2"/>
        <v>1.01278</v>
      </c>
    </row>
    <row r="16" spans="1:16" s="19" customFormat="1" x14ac:dyDescent="0.15">
      <c r="A16" s="19">
        <v>20161017</v>
      </c>
      <c r="B16" s="19" t="s">
        <v>203</v>
      </c>
      <c r="C16" s="19">
        <f t="shared" si="12"/>
        <v>101097.11</v>
      </c>
      <c r="D16" s="19">
        <v>77679.11</v>
      </c>
      <c r="E16" s="19">
        <v>23418</v>
      </c>
      <c r="F16" s="19">
        <v>46249.2</v>
      </c>
      <c r="G16" s="19">
        <f t="shared" si="0"/>
        <v>54847.909999999996</v>
      </c>
      <c r="H16" s="19">
        <f t="shared" ref="H16" si="15">F16/C16*10</f>
        <v>4.5747301777469209</v>
      </c>
      <c r="I16" s="19">
        <v>25</v>
      </c>
      <c r="J16" s="19">
        <v>4000</v>
      </c>
      <c r="K16" s="19">
        <v>100000</v>
      </c>
      <c r="L16" s="19">
        <f t="shared" si="2"/>
        <v>1.0109710999999999</v>
      </c>
    </row>
    <row r="17" spans="1:18" s="19" customFormat="1" x14ac:dyDescent="0.15">
      <c r="A17" s="19">
        <v>20161018</v>
      </c>
      <c r="B17" s="19" t="s">
        <v>203</v>
      </c>
      <c r="C17" s="19">
        <f t="shared" si="12"/>
        <v>101437</v>
      </c>
      <c r="D17" s="19">
        <v>78019</v>
      </c>
      <c r="E17" s="19">
        <v>23418</v>
      </c>
      <c r="F17" s="19">
        <v>44857</v>
      </c>
      <c r="G17" s="19">
        <f t="shared" si="0"/>
        <v>56580</v>
      </c>
      <c r="H17" s="19">
        <f t="shared" ref="H17" si="16">F17/C17*10</f>
        <v>4.4221536520204658</v>
      </c>
      <c r="I17" s="19">
        <v>25</v>
      </c>
      <c r="J17" s="19">
        <f t="shared" ref="J17:J22" si="17">C17/I17</f>
        <v>4057.48</v>
      </c>
      <c r="K17" s="19">
        <v>100000</v>
      </c>
      <c r="L17" s="19">
        <f t="shared" si="2"/>
        <v>1.01437</v>
      </c>
    </row>
    <row r="18" spans="1:18" s="19" customFormat="1" x14ac:dyDescent="0.15">
      <c r="A18" s="19">
        <v>20161020</v>
      </c>
      <c r="B18" s="19" t="s">
        <v>203</v>
      </c>
      <c r="C18" s="19">
        <f t="shared" si="12"/>
        <v>100887</v>
      </c>
      <c r="D18" s="19">
        <v>77469</v>
      </c>
      <c r="E18" s="19">
        <v>23418</v>
      </c>
      <c r="F18" s="19">
        <v>39194</v>
      </c>
      <c r="G18" s="19">
        <f t="shared" ref="G18" si="18">C18*(10-H18)/10</f>
        <v>61693</v>
      </c>
      <c r="H18" s="19">
        <f t="shared" ref="H18" si="19">F18/C18*10</f>
        <v>3.8849405770812888</v>
      </c>
      <c r="I18" s="19">
        <v>25</v>
      </c>
      <c r="J18" s="19">
        <f t="shared" si="17"/>
        <v>4035.48</v>
      </c>
      <c r="K18" s="19">
        <v>100000</v>
      </c>
      <c r="L18" s="19">
        <f t="shared" si="2"/>
        <v>1.0088699999999999</v>
      </c>
    </row>
    <row r="19" spans="1:18" s="19" customFormat="1" x14ac:dyDescent="0.15">
      <c r="A19" s="19">
        <v>20161026</v>
      </c>
      <c r="B19" s="19" t="s">
        <v>203</v>
      </c>
      <c r="C19" s="19">
        <f t="shared" si="12"/>
        <v>101326.76000000001</v>
      </c>
      <c r="D19" s="19">
        <v>38894.76</v>
      </c>
      <c r="E19" s="19">
        <f>拆借!F25</f>
        <v>62432</v>
      </c>
      <c r="F19" s="19">
        <v>37002.400000000001</v>
      </c>
      <c r="G19" s="19">
        <f t="shared" ref="G19" si="20">C19*(10-H19)/10</f>
        <v>64324.360000000008</v>
      </c>
      <c r="H19" s="19">
        <f t="shared" ref="H19" si="21">F19/C19*10</f>
        <v>3.6517895173989574</v>
      </c>
      <c r="I19" s="19">
        <v>25</v>
      </c>
      <c r="J19" s="19">
        <f t="shared" si="17"/>
        <v>4053.0704000000005</v>
      </c>
      <c r="K19" s="19">
        <v>100000</v>
      </c>
      <c r="L19" s="19">
        <f t="shared" si="2"/>
        <v>1.0132676</v>
      </c>
    </row>
    <row r="20" spans="1:18" s="19" customFormat="1" x14ac:dyDescent="0.15">
      <c r="A20" s="19">
        <v>20161031</v>
      </c>
      <c r="B20" s="19" t="s">
        <v>203</v>
      </c>
      <c r="C20" s="19">
        <f t="shared" ref="C20" si="22">D20+E20</f>
        <v>101147.36</v>
      </c>
      <c r="D20" s="19">
        <v>38715.360000000001</v>
      </c>
      <c r="E20" s="19">
        <v>62432</v>
      </c>
      <c r="F20" s="19">
        <v>36829.4</v>
      </c>
      <c r="G20" s="19">
        <f t="shared" ref="G20" si="23">C20*(10-H20)/10</f>
        <v>64317.96</v>
      </c>
      <c r="H20" s="19">
        <f t="shared" ref="H20" si="24">F20/C20*10</f>
        <v>3.6411627550140708</v>
      </c>
      <c r="I20" s="19">
        <v>25</v>
      </c>
      <c r="J20" s="19">
        <f t="shared" si="17"/>
        <v>4045.8944000000001</v>
      </c>
      <c r="K20" s="19">
        <v>100000</v>
      </c>
      <c r="L20" s="19">
        <f t="shared" si="2"/>
        <v>1.0114736</v>
      </c>
    </row>
    <row r="21" spans="1:18" s="57" customFormat="1" x14ac:dyDescent="0.15">
      <c r="A21" s="57">
        <v>20161031</v>
      </c>
      <c r="B21" s="57" t="s">
        <v>261</v>
      </c>
      <c r="C21" s="57">
        <f t="shared" ref="C21" si="25">D21+E21</f>
        <v>192147.36</v>
      </c>
      <c r="D21" s="57">
        <v>38715.360000000001</v>
      </c>
      <c r="E21" s="57">
        <f>拆借!F26</f>
        <v>153432</v>
      </c>
      <c r="F21" s="57">
        <v>36829.4</v>
      </c>
      <c r="G21" s="57">
        <f t="shared" ref="G21" si="26">C21*(10-H21)/10</f>
        <v>155317.95999999996</v>
      </c>
      <c r="H21" s="57">
        <f t="shared" ref="H21" si="27">F21/C21*10</f>
        <v>1.9167268288255432</v>
      </c>
      <c r="I21" s="57">
        <v>48</v>
      </c>
      <c r="J21" s="57">
        <f t="shared" si="17"/>
        <v>4003.0699999999997</v>
      </c>
      <c r="K21" s="57">
        <f>K20+N21</f>
        <v>189967.7460687061</v>
      </c>
      <c r="L21" s="57">
        <f t="shared" ref="L21" si="28">C21/K21</f>
        <v>1.0114736</v>
      </c>
      <c r="N21" s="57">
        <f>91000/L20</f>
        <v>89967.746068706096</v>
      </c>
    </row>
    <row r="22" spans="1:18" s="19" customFormat="1" x14ac:dyDescent="0.15">
      <c r="A22" s="19">
        <v>20161103</v>
      </c>
      <c r="B22" s="19" t="s">
        <v>262</v>
      </c>
      <c r="C22" s="19">
        <f t="shared" ref="C22" si="29">D22+E22</f>
        <v>192321</v>
      </c>
      <c r="D22" s="19">
        <v>38844</v>
      </c>
      <c r="E22" s="19">
        <f>拆借!F27</f>
        <v>153477</v>
      </c>
      <c r="F22" s="19">
        <v>35658.400000000001</v>
      </c>
      <c r="G22" s="19">
        <f t="shared" ref="G22" si="30">C22*(10-H22)/10</f>
        <v>156662.59999999998</v>
      </c>
      <c r="H22" s="19">
        <f t="shared" ref="H22" si="31">F22/C22*10</f>
        <v>1.8541084956920981</v>
      </c>
      <c r="I22" s="19">
        <v>48</v>
      </c>
      <c r="J22" s="19">
        <f t="shared" si="17"/>
        <v>4006.6875</v>
      </c>
      <c r="K22">
        <v>189967.7460687061</v>
      </c>
      <c r="L22" s="19">
        <f t="shared" ref="L22" si="32">C22/K22</f>
        <v>1.012387649903699</v>
      </c>
    </row>
    <row r="23" spans="1:18" s="19" customFormat="1" x14ac:dyDescent="0.15">
      <c r="A23" s="19">
        <v>20161117</v>
      </c>
      <c r="B23" s="19" t="s">
        <v>262</v>
      </c>
      <c r="C23" s="19">
        <f t="shared" ref="C23" si="33">D23+E23</f>
        <v>193620.41</v>
      </c>
      <c r="D23" s="19">
        <v>40053.410000000003</v>
      </c>
      <c r="E23" s="19">
        <f>拆借!F28</f>
        <v>153567</v>
      </c>
      <c r="F23" s="19">
        <v>33319</v>
      </c>
      <c r="G23" s="19">
        <f t="shared" ref="G23" si="34">C23*(10-H23)/10</f>
        <v>160301.41</v>
      </c>
      <c r="H23" s="19">
        <f t="shared" ref="H23" si="35">F23/C23*10</f>
        <v>1.7208413100664335</v>
      </c>
      <c r="I23" s="19">
        <v>48</v>
      </c>
      <c r="J23" s="19">
        <f t="shared" ref="J23" si="36">C23/I23</f>
        <v>4033.7585416666666</v>
      </c>
      <c r="K23">
        <v>189967.7460687061</v>
      </c>
      <c r="L23" s="19">
        <f t="shared" ref="L23" si="37">C23/K23</f>
        <v>1.0192278110725852</v>
      </c>
    </row>
    <row r="24" spans="1:18" s="19" customFormat="1" x14ac:dyDescent="0.15">
      <c r="A24" s="19">
        <v>20161121</v>
      </c>
      <c r="B24" s="19" t="s">
        <v>262</v>
      </c>
      <c r="C24" s="19">
        <f t="shared" ref="C24" si="38">D24+E24</f>
        <v>194741.21</v>
      </c>
      <c r="D24" s="19">
        <v>41144.21</v>
      </c>
      <c r="E24" s="19">
        <f>拆借!F29</f>
        <v>153597</v>
      </c>
      <c r="F24" s="19">
        <v>34409.800000000003</v>
      </c>
      <c r="G24" s="19">
        <f t="shared" ref="G24" si="39">C24*(10-H24)/10</f>
        <v>160331.40999999997</v>
      </c>
      <c r="H24" s="19">
        <f t="shared" ref="H24" si="40">F24/C24*10</f>
        <v>1.7669500975165966</v>
      </c>
      <c r="I24" s="19">
        <v>48</v>
      </c>
      <c r="J24" s="19">
        <f t="shared" ref="J24" si="41">C24/I24</f>
        <v>4057.1085416666665</v>
      </c>
      <c r="K24">
        <v>189967.7460687061</v>
      </c>
      <c r="L24" s="19">
        <f t="shared" ref="L24" si="42">C24/K24</f>
        <v>1.0251277600017819</v>
      </c>
    </row>
    <row r="25" spans="1:18" s="19" customFormat="1" x14ac:dyDescent="0.15">
      <c r="A25" s="19">
        <v>20161129</v>
      </c>
      <c r="B25" s="19" t="s">
        <v>262</v>
      </c>
      <c r="C25" s="19">
        <f t="shared" ref="C25" si="43">D25+E25</f>
        <v>196539.61</v>
      </c>
      <c r="D25" s="19">
        <v>42852.61</v>
      </c>
      <c r="E25" s="19">
        <v>153687</v>
      </c>
      <c r="F25" s="19">
        <v>36118.199999999997</v>
      </c>
      <c r="G25" s="19">
        <f t="shared" ref="G25" si="44">C25*(10-H25)/10</f>
        <v>160421.40999999997</v>
      </c>
      <c r="H25" s="19">
        <f t="shared" ref="H25" si="45">F25/C25*10</f>
        <v>1.8377058955189747</v>
      </c>
      <c r="I25" s="19">
        <v>48</v>
      </c>
      <c r="J25" s="19">
        <f t="shared" ref="J25" si="46">C25/I25</f>
        <v>4094.5752083333332</v>
      </c>
      <c r="K25">
        <v>189967.7460687061</v>
      </c>
      <c r="L25" s="19">
        <f t="shared" ref="L25" si="47">C25/K25</f>
        <v>1.0345946302322133</v>
      </c>
    </row>
    <row r="26" spans="1:18" s="57" customFormat="1" x14ac:dyDescent="0.15">
      <c r="A26" s="57">
        <v>20161129</v>
      </c>
      <c r="B26" s="57" t="s">
        <v>262</v>
      </c>
      <c r="C26" s="57">
        <f t="shared" ref="C26" si="48">D26+E26</f>
        <v>196539.61</v>
      </c>
      <c r="D26" s="57">
        <v>136152.60999999999</v>
      </c>
      <c r="E26" s="57">
        <f>153687-93300</f>
        <v>60387</v>
      </c>
      <c r="F26" s="57">
        <v>36118.199999999997</v>
      </c>
      <c r="G26" s="57">
        <f t="shared" ref="G26" si="49">C26*(10-H26)/10</f>
        <v>160421.40999999997</v>
      </c>
      <c r="H26" s="57">
        <f t="shared" ref="H26" si="50">F26/C26*10</f>
        <v>1.8377058955189747</v>
      </c>
      <c r="I26" s="57">
        <v>48</v>
      </c>
      <c r="J26" s="57">
        <f t="shared" ref="J26" si="51">C26/I26</f>
        <v>4094.5752083333332</v>
      </c>
      <c r="K26" s="61">
        <v>189967.7460687061</v>
      </c>
      <c r="L26" s="57">
        <f t="shared" ref="L26" si="52">C26/K26</f>
        <v>1.0345946302322133</v>
      </c>
    </row>
    <row r="27" spans="1:18" s="63" customFormat="1" x14ac:dyDescent="0.15">
      <c r="A27" s="63">
        <v>20161130</v>
      </c>
      <c r="B27" s="63" t="s">
        <v>261</v>
      </c>
      <c r="C27" s="63">
        <f t="shared" ref="C27" si="53">D27+E27</f>
        <v>196733.81</v>
      </c>
      <c r="D27" s="63">
        <v>136393.81</v>
      </c>
      <c r="E27" s="63">
        <v>60340</v>
      </c>
      <c r="F27" s="63">
        <v>136362.4</v>
      </c>
      <c r="G27" s="63">
        <f t="shared" ref="G27" si="54">C27*(10-H27)/10</f>
        <v>60371.410000000011</v>
      </c>
      <c r="H27" s="63">
        <f t="shared" ref="H27" si="55">F27/C27*10</f>
        <v>6.9313149580135711</v>
      </c>
      <c r="I27" s="63">
        <v>48</v>
      </c>
      <c r="J27" s="63">
        <f t="shared" ref="J27" si="56">C27/I27</f>
        <v>4098.6210416666663</v>
      </c>
      <c r="K27" s="65">
        <v>189967.7460687061</v>
      </c>
      <c r="L27" s="63">
        <f t="shared" ref="L27" si="57">C27/K27</f>
        <v>1.035616909034899</v>
      </c>
      <c r="M27" s="63" t="s">
        <v>269</v>
      </c>
      <c r="N27" s="63">
        <f>8333/L27</f>
        <v>8046.4116868906667</v>
      </c>
      <c r="O27" s="63">
        <f>N27*L27</f>
        <v>8333</v>
      </c>
      <c r="P27" s="63">
        <v>194.26700397862459</v>
      </c>
      <c r="Q27" s="63">
        <f>P27/O27</f>
        <v>2.3312972996354805E-2</v>
      </c>
      <c r="R27" s="63">
        <f>Q27*12</f>
        <v>0.27975567595625767</v>
      </c>
    </row>
    <row r="28" spans="1:18" s="63" customFormat="1" x14ac:dyDescent="0.15">
      <c r="A28" s="63">
        <v>20161215</v>
      </c>
      <c r="B28" s="63" t="s">
        <v>261</v>
      </c>
      <c r="C28" s="63">
        <f t="shared" ref="C28" si="58">D28+E28</f>
        <v>186193.7</v>
      </c>
      <c r="D28" s="63">
        <v>134151.20000000001</v>
      </c>
      <c r="E28" s="63">
        <v>52042.5</v>
      </c>
      <c r="F28" s="63">
        <v>134021.4</v>
      </c>
      <c r="G28" s="63">
        <v>129.80000000000001</v>
      </c>
      <c r="H28" s="63">
        <f t="shared" ref="H28" si="59">F28/C28*10</f>
        <v>7.1979556773403175</v>
      </c>
      <c r="I28" s="63">
        <v>48</v>
      </c>
      <c r="J28" s="63">
        <f t="shared" ref="J28" si="60">C28/I28</f>
        <v>3879.0354166666671</v>
      </c>
      <c r="K28" s="65">
        <f>K27-N27</f>
        <v>181921.33438181542</v>
      </c>
      <c r="L28" s="63">
        <f t="shared" ref="L28" si="61">C28/K28</f>
        <v>1.0234846871187619</v>
      </c>
    </row>
    <row r="29" spans="1:18" s="63" customFormat="1" x14ac:dyDescent="0.15">
      <c r="A29" s="63">
        <v>20161229</v>
      </c>
      <c r="B29" s="63" t="s">
        <v>261</v>
      </c>
      <c r="C29" s="63">
        <f t="shared" ref="C29:C35" si="62">D29+E29</f>
        <v>186040.16</v>
      </c>
      <c r="D29" s="63">
        <v>133962.66</v>
      </c>
      <c r="E29" s="63">
        <v>52077.5</v>
      </c>
      <c r="F29" s="63">
        <v>133701.4</v>
      </c>
      <c r="G29" s="63">
        <v>261.26</v>
      </c>
      <c r="H29" s="63">
        <f t="shared" ref="H29:H35" si="63">F29/C29*10</f>
        <v>7.1866956037879124</v>
      </c>
      <c r="I29" s="63">
        <v>30</v>
      </c>
      <c r="J29" s="63">
        <f t="shared" ref="J29" si="64">C29/I29</f>
        <v>6201.3386666666665</v>
      </c>
      <c r="K29" s="65">
        <f>K28-N28</f>
        <v>181921.33438181542</v>
      </c>
      <c r="L29" s="63">
        <f t="shared" ref="L29" si="65">C29/K29</f>
        <v>1.022640695947953</v>
      </c>
    </row>
    <row r="30" spans="1:18" s="63" customFormat="1" x14ac:dyDescent="0.15">
      <c r="A30" s="63">
        <v>20161230</v>
      </c>
      <c r="B30" s="63" t="s">
        <v>261</v>
      </c>
      <c r="C30" s="63">
        <f t="shared" si="62"/>
        <v>186243.72</v>
      </c>
      <c r="D30" s="63">
        <v>140163.72</v>
      </c>
      <c r="E30" s="63">
        <v>46080</v>
      </c>
      <c r="F30" s="63">
        <v>140117.20000000001</v>
      </c>
      <c r="G30" s="63">
        <v>46.52</v>
      </c>
      <c r="H30" s="63">
        <f t="shared" si="63"/>
        <v>7.5233248133145114</v>
      </c>
      <c r="I30" s="63">
        <v>30</v>
      </c>
      <c r="J30" s="63">
        <f t="shared" ref="J30" si="66">C30/I30</f>
        <v>6208.1239999999998</v>
      </c>
      <c r="K30" s="65">
        <f>K29-N29</f>
        <v>181921.33438181542</v>
      </c>
      <c r="L30" s="63">
        <f t="shared" ref="L30" si="67">C30/K30</f>
        <v>1.0237596411266023</v>
      </c>
    </row>
    <row r="31" spans="1:18" s="63" customFormat="1" x14ac:dyDescent="0.15">
      <c r="A31" s="63">
        <v>20161230</v>
      </c>
      <c r="B31" s="63" t="s">
        <v>261</v>
      </c>
      <c r="C31" s="63">
        <f t="shared" si="62"/>
        <v>177910.72</v>
      </c>
      <c r="D31" s="63">
        <v>140163.72</v>
      </c>
      <c r="E31" s="63">
        <f>46080-8333</f>
        <v>37747</v>
      </c>
      <c r="F31" s="63">
        <v>140117.20000000001</v>
      </c>
      <c r="G31" s="63">
        <v>46.52</v>
      </c>
      <c r="H31" s="63">
        <f t="shared" si="63"/>
        <v>7.8757030492597648</v>
      </c>
      <c r="I31" s="63">
        <v>35</v>
      </c>
      <c r="J31" s="63">
        <f t="shared" ref="J31" si="68">C31/I31</f>
        <v>5083.163428571429</v>
      </c>
      <c r="K31" s="65">
        <f>181921.3344-N31</f>
        <v>173783.63908749999</v>
      </c>
      <c r="L31" s="63">
        <f t="shared" ref="L31" si="69">C31/K31</f>
        <v>1.0237483858329266</v>
      </c>
      <c r="M31" s="63" t="s">
        <v>269</v>
      </c>
      <c r="N31" s="63">
        <f>8333/1.024</f>
        <v>8137.6953125</v>
      </c>
      <c r="O31" s="63">
        <f>N31*L31</f>
        <v>8330.9524405720476</v>
      </c>
      <c r="P31" s="63">
        <v>99.888467134548421</v>
      </c>
      <c r="Q31" s="63">
        <f>P31/O31</f>
        <v>1.1990041696563754E-2</v>
      </c>
      <c r="R31" s="63">
        <f>Q31*6</f>
        <v>7.194025017938252E-2</v>
      </c>
    </row>
    <row r="32" spans="1:18" s="63" customFormat="1" x14ac:dyDescent="0.15">
      <c r="A32" s="63">
        <v>20170103</v>
      </c>
      <c r="B32" s="63" t="s">
        <v>261</v>
      </c>
      <c r="C32" s="63">
        <f t="shared" si="62"/>
        <v>178783.01</v>
      </c>
      <c r="D32" s="63">
        <v>146528.01</v>
      </c>
      <c r="E32" s="63">
        <v>32255</v>
      </c>
      <c r="F32" s="63">
        <v>146350.6</v>
      </c>
      <c r="G32" s="63">
        <v>177.41</v>
      </c>
      <c r="H32" s="63">
        <f t="shared" si="63"/>
        <v>8.1859344464555104</v>
      </c>
      <c r="I32" s="63">
        <v>35</v>
      </c>
      <c r="J32" s="63">
        <f t="shared" ref="J32" si="70">C32/I32</f>
        <v>5108.0860000000002</v>
      </c>
      <c r="K32" s="65">
        <v>173783.63908749999</v>
      </c>
      <c r="L32" s="63">
        <f t="shared" ref="L32" si="71">C32/K32</f>
        <v>1.0287677881459418</v>
      </c>
    </row>
    <row r="33" spans="1:17" s="63" customFormat="1" x14ac:dyDescent="0.15">
      <c r="A33" s="63">
        <v>20170109</v>
      </c>
      <c r="B33" s="63" t="s">
        <v>261</v>
      </c>
      <c r="C33" s="63">
        <f t="shared" si="62"/>
        <v>179205.2</v>
      </c>
      <c r="D33" s="63">
        <v>152441.20000000001</v>
      </c>
      <c r="E33" s="63">
        <v>26764</v>
      </c>
      <c r="F33" s="63">
        <v>152281.20000000001</v>
      </c>
      <c r="G33" s="63">
        <f t="shared" ref="G33:G38" si="72">D33-F33</f>
        <v>160</v>
      </c>
      <c r="H33" s="63">
        <f t="shared" si="63"/>
        <v>8.4975882396269746</v>
      </c>
      <c r="I33" s="63">
        <v>35</v>
      </c>
      <c r="J33" s="63">
        <f t="shared" ref="J33" si="73">C33/I33</f>
        <v>5120.1485714285718</v>
      </c>
      <c r="K33" s="65">
        <v>173783.63908749999</v>
      </c>
      <c r="L33" s="63">
        <f t="shared" ref="L33" si="74">C33/K33</f>
        <v>1.0311971883024631</v>
      </c>
    </row>
    <row r="34" spans="1:17" s="63" customFormat="1" ht="29" customHeight="1" x14ac:dyDescent="0.15">
      <c r="A34" s="63">
        <v>20170112</v>
      </c>
      <c r="B34" s="63" t="s">
        <v>261</v>
      </c>
      <c r="C34" s="63">
        <f t="shared" si="62"/>
        <v>178764.4</v>
      </c>
      <c r="D34" s="63">
        <v>156994.9</v>
      </c>
      <c r="E34" s="63">
        <v>21769.5</v>
      </c>
      <c r="F34" s="63">
        <v>156815</v>
      </c>
      <c r="G34" s="63">
        <f t="shared" si="72"/>
        <v>179.89999999999418</v>
      </c>
      <c r="H34" s="63">
        <f t="shared" si="63"/>
        <v>8.7721604525285795</v>
      </c>
      <c r="I34" s="63">
        <v>35</v>
      </c>
      <c r="J34" s="63">
        <f t="shared" ref="J34" si="75">C34/I34</f>
        <v>5107.5542857142855</v>
      </c>
      <c r="K34" s="65">
        <v>173783.63908749999</v>
      </c>
      <c r="L34" s="63">
        <f t="shared" ref="L34" si="76">C34/K34</f>
        <v>1.0286607009650213</v>
      </c>
      <c r="M34" s="63" t="s">
        <v>279</v>
      </c>
    </row>
    <row r="35" spans="1:17" s="63" customFormat="1" x14ac:dyDescent="0.15">
      <c r="A35" s="63">
        <v>20170113</v>
      </c>
      <c r="B35" s="63" t="s">
        <v>261</v>
      </c>
      <c r="C35" s="63">
        <f t="shared" si="62"/>
        <v>178684.2</v>
      </c>
      <c r="D35" s="63">
        <v>161913.70000000001</v>
      </c>
      <c r="E35" s="63">
        <v>16770.5</v>
      </c>
      <c r="F35" s="63">
        <v>161817.79999999999</v>
      </c>
      <c r="G35" s="63">
        <f t="shared" si="72"/>
        <v>95.900000000023283</v>
      </c>
      <c r="H35" s="63">
        <f t="shared" si="63"/>
        <v>9.0560777058072279</v>
      </c>
      <c r="I35" s="63">
        <v>35</v>
      </c>
      <c r="J35" s="63">
        <f t="shared" ref="J35" si="77">C35/I35</f>
        <v>5105.2628571428577</v>
      </c>
      <c r="K35" s="65">
        <v>173783.63908749999</v>
      </c>
      <c r="L35" s="63">
        <f t="shared" ref="L35" si="78">C35/K35</f>
        <v>1.0281992075792163</v>
      </c>
    </row>
    <row r="36" spans="1:17" s="63" customFormat="1" x14ac:dyDescent="0.15">
      <c r="A36" s="63">
        <v>20170116</v>
      </c>
      <c r="B36" s="63" t="s">
        <v>261</v>
      </c>
      <c r="C36" s="63">
        <f t="shared" ref="C36" si="79">D36+E36</f>
        <v>176071.34</v>
      </c>
      <c r="D36" s="63">
        <v>164798.59</v>
      </c>
      <c r="E36" s="63">
        <v>11272.75</v>
      </c>
      <c r="F36" s="63">
        <v>164729.79999999999</v>
      </c>
      <c r="G36" s="63">
        <f t="shared" si="72"/>
        <v>68.790000000008149</v>
      </c>
      <c r="H36" s="63">
        <f t="shared" ref="H36" si="80">F36/C36*10</f>
        <v>9.3558554163329468</v>
      </c>
      <c r="I36" s="63">
        <v>35</v>
      </c>
      <c r="J36" s="63">
        <f t="shared" ref="J36" si="81">C36/I36</f>
        <v>5030.6097142857143</v>
      </c>
      <c r="K36" s="65">
        <v>173783.63908749999</v>
      </c>
      <c r="L36" s="63">
        <f t="shared" ref="L36" si="82">C36/K36</f>
        <v>1.0131640753094608</v>
      </c>
      <c r="M36" s="63" t="s">
        <v>281</v>
      </c>
    </row>
    <row r="37" spans="1:17" s="63" customFormat="1" x14ac:dyDescent="0.15">
      <c r="A37" s="63">
        <v>20170117</v>
      </c>
      <c r="B37" s="63" t="s">
        <v>261</v>
      </c>
      <c r="C37" s="63">
        <f t="shared" ref="C37" si="83">D37+E37</f>
        <v>178282.89</v>
      </c>
      <c r="D37" s="63">
        <v>172509.89</v>
      </c>
      <c r="E37" s="63">
        <f>11272.75+0.25-5500</f>
        <v>5773</v>
      </c>
      <c r="F37" s="63">
        <v>171776.2</v>
      </c>
      <c r="G37" s="66">
        <f t="shared" si="72"/>
        <v>733.69000000000233</v>
      </c>
      <c r="H37" s="63">
        <f t="shared" ref="H37" si="84">F37/C37*10</f>
        <v>9.6350356447553658</v>
      </c>
      <c r="I37" s="63">
        <v>35</v>
      </c>
      <c r="J37" s="63">
        <f t="shared" ref="J37" si="85">C37/I37</f>
        <v>5093.7968571428573</v>
      </c>
      <c r="K37" s="65">
        <v>173783.63908749999</v>
      </c>
      <c r="L37" s="63">
        <f t="shared" ref="L37" si="86">C37/K37</f>
        <v>1.0258899568228896</v>
      </c>
      <c r="M37" s="63" t="s">
        <v>281</v>
      </c>
    </row>
    <row r="38" spans="1:17" s="63" customFormat="1" x14ac:dyDescent="0.15">
      <c r="A38" s="63">
        <v>20170119</v>
      </c>
      <c r="B38" s="63" t="s">
        <v>261</v>
      </c>
      <c r="C38" s="63">
        <f t="shared" ref="C38" si="87">D38+E38</f>
        <v>177681.89</v>
      </c>
      <c r="D38" s="63">
        <v>183408.89</v>
      </c>
      <c r="E38" s="63">
        <v>-5727</v>
      </c>
      <c r="F38" s="63">
        <v>182628.2</v>
      </c>
      <c r="G38" s="67">
        <f t="shared" si="72"/>
        <v>780.69000000000233</v>
      </c>
      <c r="H38" s="63">
        <f t="shared" ref="H38" si="88">F38/C38*10</f>
        <v>10.27838008701956</v>
      </c>
      <c r="I38" s="63">
        <v>35</v>
      </c>
      <c r="J38" s="63">
        <f t="shared" ref="J38" si="89">C38/I38</f>
        <v>5076.6254285714285</v>
      </c>
      <c r="K38" s="65">
        <v>173783.63908749999</v>
      </c>
      <c r="L38" s="63">
        <f t="shared" ref="L38:L44" si="90">C38/K38</f>
        <v>1.0224316335701618</v>
      </c>
      <c r="M38" s="63" t="s">
        <v>281</v>
      </c>
    </row>
    <row r="39" spans="1:17" s="63" customFormat="1" x14ac:dyDescent="0.15">
      <c r="A39" s="63">
        <v>20170123</v>
      </c>
      <c r="B39" s="63" t="s">
        <v>261</v>
      </c>
      <c r="C39" s="63">
        <f t="shared" ref="C39" si="91">D39+E39</f>
        <v>179417.2</v>
      </c>
      <c r="D39" s="63">
        <v>189651.20000000001</v>
      </c>
      <c r="E39" s="63">
        <v>-10234</v>
      </c>
      <c r="F39" s="63">
        <v>188529.6</v>
      </c>
      <c r="G39" s="67">
        <f t="shared" ref="G39:G40" si="92">D39-F39</f>
        <v>1121.6000000000058</v>
      </c>
      <c r="H39" s="63">
        <f t="shared" ref="H39" si="93">F39/C39*10</f>
        <v>10.50788887575996</v>
      </c>
      <c r="I39" s="63">
        <v>35</v>
      </c>
      <c r="J39" s="63">
        <f t="shared" ref="J39" si="94">C39/I39</f>
        <v>5126.2057142857147</v>
      </c>
      <c r="K39" s="65">
        <v>173783.63908749999</v>
      </c>
      <c r="L39" s="63">
        <f t="shared" si="90"/>
        <v>1.0324170960055885</v>
      </c>
      <c r="Q39" s="63">
        <f>(N21-N27-N31)*(L39-1)</f>
        <v>2391.8513113516892</v>
      </c>
    </row>
    <row r="40" spans="1:17" s="63" customFormat="1" x14ac:dyDescent="0.15">
      <c r="A40" s="63">
        <v>20170124</v>
      </c>
      <c r="B40" s="63" t="s">
        <v>261</v>
      </c>
      <c r="C40" s="63">
        <f t="shared" ref="C40" si="95">D40+E40</f>
        <v>178911.4</v>
      </c>
      <c r="D40" s="63">
        <v>189147.4</v>
      </c>
      <c r="E40" s="63">
        <v>-10236</v>
      </c>
      <c r="F40" s="63">
        <v>188025.8</v>
      </c>
      <c r="G40" s="67">
        <f t="shared" si="92"/>
        <v>1121.6000000000058</v>
      </c>
      <c r="H40" s="63">
        <f t="shared" ref="H40" si="96">F40/C40*10</f>
        <v>10.509436514386451</v>
      </c>
      <c r="I40" s="63">
        <v>35</v>
      </c>
      <c r="J40" s="63">
        <f t="shared" ref="J40" si="97">C40/I40</f>
        <v>5111.7542857142853</v>
      </c>
      <c r="K40" s="65">
        <v>173783.63908749999</v>
      </c>
      <c r="L40" s="63">
        <f t="shared" si="90"/>
        <v>1.0295065803629431</v>
      </c>
      <c r="P40" s="63">
        <f>(N22-N28-N32)*(L40-1)</f>
        <v>0</v>
      </c>
    </row>
    <row r="41" spans="1:17" s="63" customFormat="1" x14ac:dyDescent="0.15">
      <c r="A41" s="63">
        <v>20170203</v>
      </c>
      <c r="B41" s="63" t="s">
        <v>261</v>
      </c>
      <c r="C41" s="63">
        <f t="shared" ref="C41" si="98">D41+E41</f>
        <v>178989.52</v>
      </c>
      <c r="D41" s="63">
        <v>189245.52</v>
      </c>
      <c r="E41" s="63">
        <v>-10256</v>
      </c>
      <c r="F41" s="63">
        <v>187810.4</v>
      </c>
      <c r="G41" s="67">
        <f t="shared" ref="G41" si="99">D41-F41</f>
        <v>1435.1199999999953</v>
      </c>
      <c r="H41" s="63">
        <f t="shared" ref="H41" si="100">F41/C41*10</f>
        <v>10.492815445284172</v>
      </c>
      <c r="I41" s="63">
        <v>35</v>
      </c>
      <c r="J41" s="63">
        <f t="shared" ref="J41" si="101">C41/I41</f>
        <v>5113.9862857142853</v>
      </c>
      <c r="K41" s="65">
        <v>173783.63908749999</v>
      </c>
      <c r="L41" s="63">
        <f t="shared" si="90"/>
        <v>1.0299561048429815</v>
      </c>
      <c r="M41" s="63" t="s">
        <v>269</v>
      </c>
      <c r="N41" s="63">
        <f>8333/L41</f>
        <v>8090.636058000141</v>
      </c>
      <c r="P41" s="63">
        <f t="shared" ref="P41:P46" si="102">N41*(L41-1)</f>
        <v>242.36394199985878</v>
      </c>
    </row>
    <row r="42" spans="1:17" s="63" customFormat="1" x14ac:dyDescent="0.15">
      <c r="A42" s="63">
        <v>20170203</v>
      </c>
      <c r="B42" s="63" t="s">
        <v>261</v>
      </c>
      <c r="C42" s="63">
        <f t="shared" ref="C42" si="103">D42+E42</f>
        <v>178989.52</v>
      </c>
      <c r="D42" s="63">
        <v>189245.52</v>
      </c>
      <c r="E42" s="63">
        <v>-10256</v>
      </c>
      <c r="F42" s="63">
        <v>187810.4</v>
      </c>
      <c r="G42" s="67">
        <f t="shared" ref="G42" si="104">D42-F42</f>
        <v>1435.1199999999953</v>
      </c>
      <c r="H42" s="63">
        <f t="shared" ref="H42" si="105">F42/C42*10</f>
        <v>10.492815445284172</v>
      </c>
      <c r="I42" s="63">
        <v>35</v>
      </c>
      <c r="J42" s="63">
        <f t="shared" ref="J42" si="106">C42/I42</f>
        <v>5113.9862857142853</v>
      </c>
      <c r="K42" s="65">
        <f>K41-N41</f>
        <v>165693.00302949984</v>
      </c>
      <c r="L42" s="63">
        <f t="shared" ref="L42" si="107">C42/K42</f>
        <v>1.0802479086466485</v>
      </c>
      <c r="M42" s="63" t="s">
        <v>269</v>
      </c>
      <c r="P42" s="63">
        <f t="shared" si="102"/>
        <v>0</v>
      </c>
    </row>
    <row r="43" spans="1:17" s="63" customFormat="1" x14ac:dyDescent="0.15">
      <c r="A43" s="63">
        <v>20170215</v>
      </c>
      <c r="B43" s="63" t="s">
        <v>261</v>
      </c>
      <c r="C43" s="63">
        <f t="shared" ref="C43" si="108">D43+E43</f>
        <v>173902.72</v>
      </c>
      <c r="D43" s="63">
        <v>192491.72</v>
      </c>
      <c r="E43" s="63">
        <v>-18589</v>
      </c>
      <c r="F43" s="63">
        <v>190051.6</v>
      </c>
      <c r="G43" s="67">
        <f t="shared" ref="G43" si="109">D43-F43</f>
        <v>2440.1199999999953</v>
      </c>
      <c r="H43" s="63">
        <f t="shared" ref="H43" si="110">F43/C43*10</f>
        <v>10.928615722629296</v>
      </c>
      <c r="I43" s="63">
        <v>30</v>
      </c>
      <c r="J43" s="63">
        <f t="shared" ref="J43" si="111">C43/I43</f>
        <v>5796.757333333333</v>
      </c>
      <c r="K43" s="65">
        <f>K41-8090.63505</f>
        <v>165693.00403749998</v>
      </c>
      <c r="L43" s="63">
        <f t="shared" si="90"/>
        <v>1.049547752545074</v>
      </c>
      <c r="P43" s="63">
        <f t="shared" si="102"/>
        <v>0</v>
      </c>
    </row>
    <row r="44" spans="1:17" s="63" customFormat="1" x14ac:dyDescent="0.15">
      <c r="A44" s="63">
        <v>20170220</v>
      </c>
      <c r="B44" s="63" t="s">
        <v>261</v>
      </c>
      <c r="C44" s="63">
        <f t="shared" ref="C44" si="112">D44+E44</f>
        <v>174246.81</v>
      </c>
      <c r="D44" s="63">
        <v>89838.31</v>
      </c>
      <c r="E44" s="63">
        <v>84408.5</v>
      </c>
      <c r="F44" s="63">
        <v>83589.8</v>
      </c>
      <c r="G44" s="67">
        <f t="shared" ref="G44" si="113">D44-F44</f>
        <v>6248.5099999999948</v>
      </c>
      <c r="H44" s="63">
        <f t="shared" ref="H44" si="114">F44/C44*10</f>
        <v>4.7972069043903875</v>
      </c>
      <c r="I44" s="63">
        <v>30</v>
      </c>
      <c r="J44" s="63">
        <f t="shared" ref="J44" si="115">C44/I44</f>
        <v>5808.2269999999999</v>
      </c>
      <c r="K44" s="65">
        <v>165693.00403749998</v>
      </c>
      <c r="L44" s="63">
        <f t="shared" si="90"/>
        <v>1.0516244244118123</v>
      </c>
      <c r="M44" s="63" t="s">
        <v>292</v>
      </c>
      <c r="P44" s="63">
        <f t="shared" si="102"/>
        <v>0</v>
      </c>
    </row>
    <row r="45" spans="1:17" s="63" customFormat="1" x14ac:dyDescent="0.15">
      <c r="A45" s="63">
        <v>20170222</v>
      </c>
      <c r="B45" s="63" t="s">
        <v>261</v>
      </c>
      <c r="C45" s="63">
        <f t="shared" ref="C45" si="116">D45+E45</f>
        <v>174809.61</v>
      </c>
      <c r="D45" s="63">
        <v>90384.11</v>
      </c>
      <c r="E45" s="63">
        <v>84425.5</v>
      </c>
      <c r="F45" s="63">
        <v>84135.6</v>
      </c>
      <c r="G45" s="67">
        <f t="shared" ref="G45" si="117">D45-F45</f>
        <v>6248.5099999999948</v>
      </c>
      <c r="H45" s="63">
        <f t="shared" ref="H45" si="118">F45/C45*10</f>
        <v>4.8129848238892592</v>
      </c>
      <c r="I45" s="63">
        <v>30</v>
      </c>
      <c r="J45" s="63">
        <f t="shared" ref="J45" si="119">C45/I45</f>
        <v>5826.9869999999992</v>
      </c>
      <c r="K45" s="65">
        <v>165693.00403749998</v>
      </c>
      <c r="L45" s="63">
        <f t="shared" ref="L45" si="120">C45/K45</f>
        <v>1.0550210675185581</v>
      </c>
      <c r="M45" s="63" t="s">
        <v>260</v>
      </c>
      <c r="P45" s="63">
        <f t="shared" si="102"/>
        <v>0</v>
      </c>
    </row>
    <row r="46" spans="1:17" s="63" customFormat="1" x14ac:dyDescent="0.15">
      <c r="A46" s="63">
        <v>20170222</v>
      </c>
      <c r="B46" s="63" t="s">
        <v>261</v>
      </c>
      <c r="C46" s="63">
        <f t="shared" ref="C46" si="121">D46+E46</f>
        <v>174809.61</v>
      </c>
      <c r="D46" s="63">
        <v>90384.11</v>
      </c>
      <c r="E46" s="63">
        <v>84425.5</v>
      </c>
      <c r="F46" s="63">
        <v>84135.6</v>
      </c>
      <c r="G46" s="67">
        <f t="shared" ref="G46" si="122">D46-F46</f>
        <v>6248.5099999999948</v>
      </c>
      <c r="H46" s="63">
        <f t="shared" ref="H46" si="123">F46/C46*10</f>
        <v>4.8129848238892592</v>
      </c>
      <c r="I46" s="63">
        <v>30</v>
      </c>
      <c r="J46" s="63">
        <f t="shared" ref="J46" si="124">C46/I46</f>
        <v>5826.9869999999992</v>
      </c>
      <c r="K46" s="65">
        <f>K45-N46</f>
        <v>157794.58356368</v>
      </c>
      <c r="L46" s="63">
        <f t="shared" ref="L46" si="125">C46/K46</f>
        <v>1.1078302312541251</v>
      </c>
      <c r="M46" s="63" t="s">
        <v>293</v>
      </c>
      <c r="N46" s="63">
        <f>8333/L45</f>
        <v>7898.4204738199887</v>
      </c>
      <c r="P46" s="63">
        <f t="shared" si="102"/>
        <v>851.68850623432536</v>
      </c>
    </row>
  </sheetData>
  <phoneticPr fontId="7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O13"/>
  <sheetViews>
    <sheetView workbookViewId="0">
      <selection activeCell="G6" sqref="G6"/>
    </sheetView>
  </sheetViews>
  <sheetFormatPr baseColWidth="10" defaultRowHeight="15" x14ac:dyDescent="0.15"/>
  <cols>
    <col min="1" max="12" width="10.83203125" style="67"/>
    <col min="13" max="13" width="12.5" style="67" bestFit="1" customWidth="1"/>
    <col min="14" max="14" width="13.5" style="67" bestFit="1" customWidth="1"/>
    <col min="15" max="15" width="47.6640625" style="67" customWidth="1"/>
    <col min="16" max="16384" width="10.83203125" style="67"/>
  </cols>
  <sheetData>
    <row r="3" spans="3:15" x14ac:dyDescent="0.15">
      <c r="C3" s="73" t="s">
        <v>301</v>
      </c>
      <c r="D3" s="73" t="s">
        <v>302</v>
      </c>
      <c r="E3" s="73" t="s">
        <v>298</v>
      </c>
      <c r="F3" s="73" t="s">
        <v>299</v>
      </c>
      <c r="G3" s="73" t="s">
        <v>300</v>
      </c>
      <c r="H3" s="73" t="s">
        <v>294</v>
      </c>
      <c r="I3" s="73" t="s">
        <v>295</v>
      </c>
      <c r="J3" s="74" t="s">
        <v>296</v>
      </c>
      <c r="K3" s="75" t="s">
        <v>297</v>
      </c>
      <c r="L3" s="73" t="s">
        <v>306</v>
      </c>
      <c r="M3" s="73" t="s">
        <v>307</v>
      </c>
      <c r="N3" s="73" t="s">
        <v>308</v>
      </c>
      <c r="O3" s="73" t="s">
        <v>254</v>
      </c>
    </row>
    <row r="4" spans="3:15" x14ac:dyDescent="0.15">
      <c r="C4" s="67">
        <v>600187</v>
      </c>
      <c r="D4" s="67" t="s">
        <v>281</v>
      </c>
      <c r="E4" s="67">
        <v>20170116</v>
      </c>
      <c r="F4" s="67">
        <v>1100</v>
      </c>
      <c r="G4" s="67">
        <v>5.0199999999999996</v>
      </c>
      <c r="H4" s="67">
        <v>6.09</v>
      </c>
      <c r="I4" s="67">
        <v>5.76</v>
      </c>
      <c r="J4" s="67">
        <f>H4*0.9</f>
        <v>5.4809999999999999</v>
      </c>
      <c r="K4" s="67">
        <f>I4*0.9</f>
        <v>5.1840000000000002</v>
      </c>
    </row>
    <row r="5" spans="3:15" x14ac:dyDescent="0.15">
      <c r="C5" s="67">
        <v>600187</v>
      </c>
      <c r="D5" s="67" t="s">
        <v>281</v>
      </c>
      <c r="E5" s="67">
        <v>20170117</v>
      </c>
      <c r="F5" s="67">
        <v>1000</v>
      </c>
      <c r="G5" s="67">
        <v>4.83</v>
      </c>
      <c r="H5" s="67">
        <v>6.09</v>
      </c>
      <c r="I5" s="67">
        <v>5.76</v>
      </c>
      <c r="J5" s="67">
        <f>H5*0.9</f>
        <v>5.4809999999999999</v>
      </c>
      <c r="K5" s="67">
        <f>I5*0.9</f>
        <v>5.1840000000000002</v>
      </c>
    </row>
    <row r="6" spans="3:15" x14ac:dyDescent="0.15">
      <c r="C6" s="67">
        <v>728</v>
      </c>
      <c r="D6" s="67" t="s">
        <v>303</v>
      </c>
      <c r="E6" s="67">
        <v>20170118</v>
      </c>
      <c r="F6" s="67">
        <v>300</v>
      </c>
      <c r="G6" s="67">
        <v>18.190000000000001</v>
      </c>
      <c r="H6" s="67">
        <v>21.52</v>
      </c>
      <c r="I6" s="67">
        <v>21.17</v>
      </c>
      <c r="J6" s="67">
        <f>H6*0.9</f>
        <v>19.367999999999999</v>
      </c>
      <c r="K6" s="67">
        <f>I6*0.9</f>
        <v>19.053000000000001</v>
      </c>
    </row>
    <row r="7" spans="3:15" x14ac:dyDescent="0.15">
      <c r="C7" s="67">
        <v>2049</v>
      </c>
      <c r="D7" s="67" t="s">
        <v>304</v>
      </c>
      <c r="E7" s="67">
        <v>20170119</v>
      </c>
      <c r="F7" s="67">
        <v>200</v>
      </c>
      <c r="G7" s="67">
        <v>29.93</v>
      </c>
      <c r="H7" s="67">
        <v>31.94</v>
      </c>
      <c r="I7" s="67">
        <v>31.5</v>
      </c>
      <c r="J7" s="67">
        <f>H7*0.9</f>
        <v>28.746000000000002</v>
      </c>
      <c r="K7" s="67">
        <f>I7*0.9</f>
        <v>28.35</v>
      </c>
    </row>
    <row r="8" spans="3:15" x14ac:dyDescent="0.15">
      <c r="C8" s="67">
        <v>2680</v>
      </c>
      <c r="D8" s="67" t="s">
        <v>286</v>
      </c>
      <c r="E8" s="67">
        <v>20170113</v>
      </c>
      <c r="F8" s="67">
        <v>300</v>
      </c>
      <c r="G8" s="67">
        <v>16.93</v>
      </c>
      <c r="H8" s="67">
        <v>17.5</v>
      </c>
      <c r="I8" s="67">
        <v>17.190000000000001</v>
      </c>
      <c r="J8" s="67">
        <f>H8*0.9</f>
        <v>15.75</v>
      </c>
      <c r="K8" s="67">
        <f>I8*0.9</f>
        <v>15.471000000000002</v>
      </c>
    </row>
    <row r="9" spans="3:15" x14ac:dyDescent="0.15">
      <c r="C9" s="67">
        <v>2470</v>
      </c>
      <c r="D9" s="67" t="s">
        <v>275</v>
      </c>
      <c r="E9" s="67">
        <v>20170109</v>
      </c>
      <c r="F9" s="67">
        <v>700</v>
      </c>
      <c r="G9" s="67">
        <v>7.88</v>
      </c>
      <c r="H9" s="67">
        <v>8.0399999999999991</v>
      </c>
      <c r="I9" s="67">
        <v>7.95</v>
      </c>
      <c r="J9" s="67">
        <f>H9*0.9</f>
        <v>7.2359999999999998</v>
      </c>
      <c r="K9" s="67">
        <f>I9*0.9</f>
        <v>7.1550000000000002</v>
      </c>
    </row>
    <row r="10" spans="3:15" x14ac:dyDescent="0.15">
      <c r="C10" s="67">
        <v>600446</v>
      </c>
      <c r="D10" s="67" t="s">
        <v>279</v>
      </c>
      <c r="E10" s="67">
        <v>20170112</v>
      </c>
      <c r="F10" s="67">
        <v>200</v>
      </c>
      <c r="G10" s="67">
        <v>24.87</v>
      </c>
      <c r="H10" s="67">
        <v>25.04</v>
      </c>
      <c r="I10" s="67">
        <v>24.85</v>
      </c>
      <c r="J10" s="67">
        <f>H10*0.9</f>
        <v>22.536000000000001</v>
      </c>
      <c r="K10" s="67">
        <f>I10*0.9</f>
        <v>22.365000000000002</v>
      </c>
    </row>
    <row r="11" spans="3:15" x14ac:dyDescent="0.15">
      <c r="C11" s="67">
        <v>600446</v>
      </c>
      <c r="D11" s="67" t="s">
        <v>279</v>
      </c>
      <c r="E11" s="67">
        <v>20170120</v>
      </c>
      <c r="F11" s="67">
        <v>200</v>
      </c>
      <c r="G11" s="67">
        <v>23.27</v>
      </c>
      <c r="H11" s="67">
        <v>24.57</v>
      </c>
      <c r="I11" s="67">
        <v>24.01</v>
      </c>
      <c r="J11" s="67">
        <f>H11*0.9</f>
        <v>22.113</v>
      </c>
      <c r="K11" s="67">
        <f>I11*0.9</f>
        <v>21.609000000000002</v>
      </c>
    </row>
    <row r="12" spans="3:15" x14ac:dyDescent="0.15">
      <c r="C12" s="67">
        <v>2673</v>
      </c>
      <c r="D12" s="67" t="s">
        <v>305</v>
      </c>
      <c r="E12" s="67">
        <v>20161230</v>
      </c>
      <c r="F12" s="67">
        <v>300</v>
      </c>
      <c r="G12" s="67">
        <v>20.89</v>
      </c>
      <c r="H12" s="67">
        <v>21.06</v>
      </c>
      <c r="I12" s="67">
        <v>21.05</v>
      </c>
      <c r="J12" s="67">
        <f>H12*0.9</f>
        <v>18.954000000000001</v>
      </c>
      <c r="K12" s="67">
        <f>I12*0.9</f>
        <v>18.945</v>
      </c>
    </row>
    <row r="13" spans="3:15" x14ac:dyDescent="0.15">
      <c r="C13" s="67">
        <v>600845</v>
      </c>
      <c r="D13" s="67" t="s">
        <v>274</v>
      </c>
      <c r="E13" s="67">
        <v>20170103</v>
      </c>
      <c r="F13" s="67">
        <v>300</v>
      </c>
      <c r="G13" s="67">
        <v>17.88</v>
      </c>
      <c r="H13" s="67">
        <v>21.45</v>
      </c>
      <c r="I13" s="67">
        <v>20.56</v>
      </c>
      <c r="J13" s="67">
        <f>H13*0.9</f>
        <v>19.305</v>
      </c>
      <c r="K13" s="67">
        <f>I13*0.9</f>
        <v>18.503999999999998</v>
      </c>
      <c r="L13" s="67" t="s">
        <v>309</v>
      </c>
      <c r="M13" s="67">
        <v>20170120</v>
      </c>
      <c r="N13" s="67">
        <v>19.25</v>
      </c>
      <c r="O13" s="67" t="s">
        <v>310</v>
      </c>
    </row>
  </sheetData>
  <phoneticPr fontId="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"/>
  <sheetViews>
    <sheetView workbookViewId="0">
      <selection activeCell="H10" sqref="H10"/>
    </sheetView>
  </sheetViews>
  <sheetFormatPr baseColWidth="10" defaultRowHeight="15" x14ac:dyDescent="0.15"/>
  <sheetData>
    <row r="2" spans="2:7" x14ac:dyDescent="0.15">
      <c r="B2" t="s">
        <v>311</v>
      </c>
      <c r="C2" t="s">
        <v>312</v>
      </c>
      <c r="D2" t="s">
        <v>313</v>
      </c>
      <c r="E2" t="s">
        <v>299</v>
      </c>
      <c r="F2" t="s">
        <v>314</v>
      </c>
      <c r="G2" t="s">
        <v>315</v>
      </c>
    </row>
    <row r="3" spans="2:7" x14ac:dyDescent="0.15">
      <c r="B3">
        <v>20170214</v>
      </c>
      <c r="C3">
        <v>728</v>
      </c>
      <c r="D3">
        <v>19.96</v>
      </c>
      <c r="E3">
        <v>100</v>
      </c>
      <c r="F3">
        <v>177</v>
      </c>
      <c r="G3">
        <v>50</v>
      </c>
    </row>
    <row r="4" spans="2:7" x14ac:dyDescent="0.15">
      <c r="B4">
        <v>20170220</v>
      </c>
      <c r="C4">
        <v>600845</v>
      </c>
      <c r="D4">
        <v>19.25</v>
      </c>
      <c r="E4">
        <v>300</v>
      </c>
      <c r="F4">
        <f>(19.25-17.88)*300</f>
        <v>411.00000000000028</v>
      </c>
      <c r="G4">
        <v>100</v>
      </c>
    </row>
  </sheetData>
  <phoneticPr fontId="7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15"/>
  <sheetData/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"/>
  <sheetViews>
    <sheetView workbookViewId="0">
      <selection activeCell="B5" sqref="B5"/>
    </sheetView>
  </sheetViews>
  <sheetFormatPr baseColWidth="10" defaultRowHeight="15" x14ac:dyDescent="0.15"/>
  <sheetData>
    <row r="4" spans="2:2" x14ac:dyDescent="0.15">
      <c r="B4">
        <v>150</v>
      </c>
    </row>
  </sheetData>
  <phoneticPr fontId="7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5"/>
  <sheetViews>
    <sheetView workbookViewId="0">
      <selection activeCell="D16" sqref="D16"/>
    </sheetView>
  </sheetViews>
  <sheetFormatPr baseColWidth="10" defaultRowHeight="15" x14ac:dyDescent="0.15"/>
  <cols>
    <col min="4" max="4" width="13.33203125" customWidth="1"/>
  </cols>
  <sheetData>
    <row r="4" spans="3:6" x14ac:dyDescent="0.15">
      <c r="C4" t="s">
        <v>316</v>
      </c>
      <c r="D4" t="s">
        <v>207</v>
      </c>
      <c r="E4" t="s">
        <v>317</v>
      </c>
      <c r="F4" t="s">
        <v>205</v>
      </c>
    </row>
    <row r="5" spans="3:6" x14ac:dyDescent="0.15">
      <c r="C5">
        <v>200000</v>
      </c>
      <c r="D5">
        <f>36009.6+47311</f>
        <v>83320.600000000006</v>
      </c>
      <c r="E5">
        <v>0</v>
      </c>
      <c r="F5">
        <f>D5/C5</f>
        <v>0.41660300000000006</v>
      </c>
    </row>
  </sheetData>
  <phoneticPr fontId="7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A17" sqref="A17:XFD22"/>
    </sheetView>
  </sheetViews>
  <sheetFormatPr baseColWidth="10" defaultRowHeight="15" x14ac:dyDescent="0.15"/>
  <cols>
    <col min="1" max="1" width="20" customWidth="1"/>
    <col min="3" max="3" width="16.83203125" customWidth="1"/>
  </cols>
  <sheetData>
    <row r="1" spans="1:8" ht="24" thickBot="1" x14ac:dyDescent="0.35">
      <c r="A1" s="3">
        <v>20161031</v>
      </c>
      <c r="B1" s="3" t="s">
        <v>258</v>
      </c>
      <c r="C1" s="3" t="s">
        <v>259</v>
      </c>
      <c r="D1" s="3" t="s">
        <v>260</v>
      </c>
      <c r="E1" s="58" t="s">
        <v>264</v>
      </c>
      <c r="F1" s="58" t="s">
        <v>266</v>
      </c>
      <c r="G1" s="58" t="s">
        <v>265</v>
      </c>
      <c r="H1" s="58" t="s">
        <v>267</v>
      </c>
    </row>
    <row r="2" spans="1:8" x14ac:dyDescent="0.15">
      <c r="A2" t="s">
        <v>256</v>
      </c>
      <c r="B2">
        <v>1.0114736</v>
      </c>
      <c r="C2" s="19">
        <v>100000</v>
      </c>
      <c r="D2">
        <f>C2*B2</f>
        <v>101147.36</v>
      </c>
      <c r="E2">
        <v>100000</v>
      </c>
      <c r="F2">
        <f>D2-E2</f>
        <v>1147.3600000000006</v>
      </c>
      <c r="G2">
        <f>(B2*C2)/E2*100 -100</f>
        <v>1.1473599999999919</v>
      </c>
      <c r="H2">
        <v>1147.3600000000006</v>
      </c>
    </row>
    <row r="3" spans="1:8" x14ac:dyDescent="0.15">
      <c r="A3" t="s">
        <v>257</v>
      </c>
      <c r="B3">
        <v>1.0114736</v>
      </c>
      <c r="C3">
        <v>89967.746068706096</v>
      </c>
      <c r="D3">
        <f>C3*B3</f>
        <v>91000</v>
      </c>
      <c r="E3">
        <v>91000</v>
      </c>
      <c r="F3">
        <f t="shared" ref="F3:F4" si="0">D3-E3</f>
        <v>0</v>
      </c>
      <c r="G3">
        <f t="shared" ref="G3:G4" si="1">(B3*C3)/E3*100 -100</f>
        <v>0</v>
      </c>
      <c r="H3">
        <v>0</v>
      </c>
    </row>
    <row r="4" spans="1:8" ht="16" thickBot="1" x14ac:dyDescent="0.2">
      <c r="A4" t="s">
        <v>263</v>
      </c>
      <c r="B4">
        <v>1.0114736</v>
      </c>
      <c r="C4">
        <f>C3+C2</f>
        <v>189967.7460687061</v>
      </c>
      <c r="D4">
        <f>D2+D3</f>
        <v>192147.36</v>
      </c>
      <c r="E4">
        <v>191000</v>
      </c>
      <c r="F4">
        <f t="shared" si="0"/>
        <v>1147.359999999986</v>
      </c>
      <c r="G4">
        <f t="shared" si="1"/>
        <v>0.60071204188480465</v>
      </c>
      <c r="H4">
        <f>H2</f>
        <v>1147.3600000000006</v>
      </c>
    </row>
    <row r="5" spans="1:8" ht="24" thickBot="1" x14ac:dyDescent="0.35">
      <c r="A5" s="2">
        <v>20161103</v>
      </c>
      <c r="B5" s="3" t="s">
        <v>258</v>
      </c>
      <c r="C5" s="3" t="s">
        <v>259</v>
      </c>
      <c r="D5" s="3" t="s">
        <v>260</v>
      </c>
      <c r="E5" s="59" t="s">
        <v>264</v>
      </c>
      <c r="F5" s="59" t="s">
        <v>266</v>
      </c>
      <c r="G5" s="60" t="s">
        <v>265</v>
      </c>
      <c r="H5" s="60" t="s">
        <v>267</v>
      </c>
    </row>
    <row r="6" spans="1:8" x14ac:dyDescent="0.15">
      <c r="A6" t="s">
        <v>256</v>
      </c>
      <c r="B6">
        <v>1.012387649903699</v>
      </c>
      <c r="C6" s="19">
        <v>100000</v>
      </c>
      <c r="D6">
        <f>C6*B6</f>
        <v>101238.76499036991</v>
      </c>
      <c r="E6">
        <v>100000</v>
      </c>
      <c r="F6">
        <f>D6-D2</f>
        <v>91.404990369905136</v>
      </c>
      <c r="G6">
        <f>(B6*C6)/E6*100 -100</f>
        <v>1.2387649903699014</v>
      </c>
      <c r="H6">
        <v>1238.7649903699057</v>
      </c>
    </row>
    <row r="7" spans="1:8" x14ac:dyDescent="0.15">
      <c r="A7" t="s">
        <v>257</v>
      </c>
      <c r="B7">
        <v>1.012387649903699</v>
      </c>
      <c r="C7">
        <v>89967.746068706096</v>
      </c>
      <c r="D7">
        <f>C7*B7</f>
        <v>91082.235009630123</v>
      </c>
      <c r="E7">
        <v>91000</v>
      </c>
      <c r="F7">
        <f t="shared" ref="F7:F8" si="2">D7-E7</f>
        <v>82.235009630123386</v>
      </c>
      <c r="G7">
        <f t="shared" ref="G7:G8" si="3">(B7*C7)/E7*100 -100</f>
        <v>9.0368142450685696E-2</v>
      </c>
      <c r="H7">
        <f>D7-E7</f>
        <v>82.235009630123386</v>
      </c>
    </row>
    <row r="8" spans="1:8" ht="16" thickBot="1" x14ac:dyDescent="0.2">
      <c r="A8" t="s">
        <v>263</v>
      </c>
      <c r="B8">
        <v>1.012387649903699</v>
      </c>
      <c r="C8">
        <f>C7+C6</f>
        <v>189967.7460687061</v>
      </c>
      <c r="D8">
        <f>D6+D7</f>
        <v>192321.00000000003</v>
      </c>
      <c r="E8">
        <v>191000</v>
      </c>
      <c r="F8">
        <f t="shared" si="2"/>
        <v>1321.0000000000291</v>
      </c>
      <c r="G8">
        <f t="shared" si="3"/>
        <v>0.69162303664921865</v>
      </c>
      <c r="H8">
        <f>H6</f>
        <v>1238.7649903699057</v>
      </c>
    </row>
    <row r="9" spans="1:8" ht="24" thickBot="1" x14ac:dyDescent="0.35">
      <c r="A9" s="2">
        <v>20161117</v>
      </c>
      <c r="B9" s="3" t="s">
        <v>258</v>
      </c>
      <c r="C9" s="3" t="s">
        <v>259</v>
      </c>
      <c r="D9" s="3" t="s">
        <v>260</v>
      </c>
      <c r="E9" s="59" t="s">
        <v>264</v>
      </c>
      <c r="F9" s="59" t="s">
        <v>266</v>
      </c>
      <c r="G9" s="60" t="s">
        <v>265</v>
      </c>
      <c r="H9" s="60" t="s">
        <v>267</v>
      </c>
    </row>
    <row r="10" spans="1:8" x14ac:dyDescent="0.15">
      <c r="A10" t="s">
        <v>256</v>
      </c>
      <c r="B10">
        <v>1.0192278110725852</v>
      </c>
      <c r="C10" s="19">
        <v>100000</v>
      </c>
      <c r="D10">
        <f>C10*B10</f>
        <v>101922.78110725852</v>
      </c>
      <c r="E10">
        <v>100000</v>
      </c>
      <c r="F10">
        <f>D10-D6</f>
        <v>684.01611688861158</v>
      </c>
      <c r="G10">
        <f>(B10*C10)/E10*100 -100</f>
        <v>1.9227811072585155</v>
      </c>
      <c r="H10">
        <f>D10-E10</f>
        <v>1922.7811072585173</v>
      </c>
    </row>
    <row r="11" spans="1:8" x14ac:dyDescent="0.15">
      <c r="A11" t="s">
        <v>257</v>
      </c>
      <c r="B11">
        <v>1.0192278110725852</v>
      </c>
      <c r="C11">
        <v>89967.746068706096</v>
      </c>
      <c r="D11">
        <f>C11*B11</f>
        <v>91697.628892741501</v>
      </c>
      <c r="E11">
        <v>91000</v>
      </c>
      <c r="F11">
        <f>D11-D7</f>
        <v>615.39388311137736</v>
      </c>
      <c r="G11">
        <f t="shared" ref="G11:G12" si="4">(B11*C11)/E11*100 -100</f>
        <v>0.76662515685879384</v>
      </c>
      <c r="H11">
        <f>D11-E11</f>
        <v>697.62889274150075</v>
      </c>
    </row>
    <row r="12" spans="1:8" ht="16" thickBot="1" x14ac:dyDescent="0.2">
      <c r="A12" t="s">
        <v>263</v>
      </c>
      <c r="B12">
        <v>1.0192278110725852</v>
      </c>
      <c r="C12">
        <f>C11+C10</f>
        <v>189967.7460687061</v>
      </c>
      <c r="D12">
        <f>D10+D11</f>
        <v>193620.41000000003</v>
      </c>
      <c r="E12">
        <v>191000</v>
      </c>
      <c r="F12">
        <f>D12-D8</f>
        <v>1299.4100000000035</v>
      </c>
      <c r="G12">
        <f t="shared" si="4"/>
        <v>1.3719424083769667</v>
      </c>
      <c r="H12">
        <f>H10</f>
        <v>1922.7811072585173</v>
      </c>
    </row>
    <row r="13" spans="1:8" ht="24" thickBot="1" x14ac:dyDescent="0.35">
      <c r="A13" s="2">
        <v>20161121</v>
      </c>
      <c r="B13" s="3" t="s">
        <v>258</v>
      </c>
      <c r="C13" s="3" t="s">
        <v>259</v>
      </c>
      <c r="D13" s="3" t="s">
        <v>260</v>
      </c>
      <c r="E13" s="59" t="s">
        <v>264</v>
      </c>
      <c r="F13" s="59" t="s">
        <v>266</v>
      </c>
      <c r="G13" s="60" t="s">
        <v>265</v>
      </c>
      <c r="H13" s="60" t="s">
        <v>267</v>
      </c>
    </row>
    <row r="14" spans="1:8" x14ac:dyDescent="0.15">
      <c r="A14" t="s">
        <v>256</v>
      </c>
      <c r="B14">
        <v>1.0192278110725852</v>
      </c>
      <c r="C14" s="19">
        <v>100000</v>
      </c>
      <c r="D14">
        <f>C14*B14</f>
        <v>101922.78110725852</v>
      </c>
      <c r="E14">
        <v>100000</v>
      </c>
      <c r="F14">
        <f>D14-D10</f>
        <v>0</v>
      </c>
      <c r="G14">
        <f>(B14*C14)/E14*100 -100</f>
        <v>1.9227811072585155</v>
      </c>
      <c r="H14">
        <f>D14-E14</f>
        <v>1922.7811072585173</v>
      </c>
    </row>
    <row r="15" spans="1:8" x14ac:dyDescent="0.15">
      <c r="A15" t="s">
        <v>257</v>
      </c>
      <c r="B15">
        <v>1.0192278110725852</v>
      </c>
      <c r="C15">
        <v>89967.746068706096</v>
      </c>
      <c r="D15">
        <f>C15*B15</f>
        <v>91697.628892741501</v>
      </c>
      <c r="E15">
        <v>91000</v>
      </c>
      <c r="F15">
        <f>D15-D11</f>
        <v>0</v>
      </c>
      <c r="G15">
        <f t="shared" ref="G15:G16" si="5">(B15*C15)/E15*100 -100</f>
        <v>0.76662515685879384</v>
      </c>
      <c r="H15">
        <f>D15-E15</f>
        <v>697.62889274150075</v>
      </c>
    </row>
    <row r="16" spans="1:8" x14ac:dyDescent="0.15">
      <c r="A16" t="s">
        <v>263</v>
      </c>
      <c r="B16">
        <v>1.0192278110725852</v>
      </c>
      <c r="C16">
        <f>C15+C14</f>
        <v>189967.7460687061</v>
      </c>
      <c r="D16">
        <f>D14+D15</f>
        <v>193620.41000000003</v>
      </c>
      <c r="E16">
        <v>191000</v>
      </c>
      <c r="F16">
        <f>D16-D12</f>
        <v>0</v>
      </c>
      <c r="G16">
        <f t="shared" si="5"/>
        <v>1.3719424083769667</v>
      </c>
      <c r="H16">
        <f>H14</f>
        <v>1922.7811072585173</v>
      </c>
    </row>
  </sheetData>
  <phoneticPr fontId="7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5" x14ac:dyDescent="0.15"/>
  <sheetData/>
  <phoneticPr fontId="7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9" sqref="L29"/>
    </sheetView>
  </sheetViews>
  <sheetFormatPr baseColWidth="10" defaultRowHeight="15" x14ac:dyDescent="0.15"/>
  <sheetData>
    <row r="1" spans="1:1" x14ac:dyDescent="0.15">
      <c r="A1">
        <v>1</v>
      </c>
    </row>
  </sheetData>
  <phoneticPr fontId="7" type="noConversion"/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workbookViewId="0">
      <selection activeCell="K29" sqref="K29"/>
    </sheetView>
  </sheetViews>
  <sheetFormatPr baseColWidth="10" defaultRowHeight="15" x14ac:dyDescent="0.15"/>
  <sheetData>
    <row r="2" spans="1:6" s="43" customFormat="1" x14ac:dyDescent="0.15">
      <c r="B2" s="43" t="s">
        <v>216</v>
      </c>
      <c r="C2" s="43" t="s">
        <v>215</v>
      </c>
      <c r="D2" s="43" t="s">
        <v>159</v>
      </c>
      <c r="E2" s="43" t="s">
        <v>160</v>
      </c>
      <c r="F2" s="43" t="s">
        <v>220</v>
      </c>
    </row>
    <row r="3" spans="1:6" s="43" customFormat="1" x14ac:dyDescent="0.15">
      <c r="A3" s="43">
        <v>160304</v>
      </c>
      <c r="B3" s="43" t="s">
        <v>217</v>
      </c>
      <c r="C3" s="43" t="s">
        <v>163</v>
      </c>
      <c r="D3" s="43">
        <v>-8.31</v>
      </c>
      <c r="E3" s="43">
        <v>100</v>
      </c>
      <c r="F3" s="43">
        <f>D3*E3</f>
        <v>-831</v>
      </c>
    </row>
    <row r="4" spans="1:6" x14ac:dyDescent="0.15">
      <c r="A4">
        <v>160309</v>
      </c>
      <c r="B4" s="43" t="s">
        <v>217</v>
      </c>
      <c r="C4" s="43" t="s">
        <v>163</v>
      </c>
      <c r="D4">
        <v>-8.26</v>
      </c>
      <c r="E4" s="43">
        <v>100</v>
      </c>
      <c r="F4" s="43">
        <f t="shared" ref="F4:F13" si="0">D4*E4</f>
        <v>-826</v>
      </c>
    </row>
    <row r="5" spans="1:6" x14ac:dyDescent="0.15">
      <c r="A5">
        <v>160425</v>
      </c>
      <c r="B5" s="43" t="s">
        <v>217</v>
      </c>
      <c r="C5" s="43" t="s">
        <v>163</v>
      </c>
      <c r="D5">
        <v>-8.51</v>
      </c>
      <c r="E5" s="43">
        <v>100</v>
      </c>
      <c r="F5" s="43">
        <f t="shared" si="0"/>
        <v>-851</v>
      </c>
    </row>
    <row r="6" spans="1:6" x14ac:dyDescent="0.15">
      <c r="A6">
        <v>160629</v>
      </c>
      <c r="B6" s="43" t="s">
        <v>217</v>
      </c>
      <c r="C6" s="43" t="s">
        <v>163</v>
      </c>
      <c r="D6">
        <v>-10.38</v>
      </c>
      <c r="E6" s="43">
        <v>100</v>
      </c>
      <c r="F6" s="43">
        <f t="shared" si="0"/>
        <v>-1038</v>
      </c>
    </row>
    <row r="7" spans="1:6" x14ac:dyDescent="0.15">
      <c r="A7">
        <v>160704</v>
      </c>
      <c r="B7" s="43" t="s">
        <v>217</v>
      </c>
      <c r="C7" s="43" t="s">
        <v>163</v>
      </c>
      <c r="D7">
        <v>-8.44</v>
      </c>
      <c r="E7" s="43">
        <v>100</v>
      </c>
      <c r="F7" s="43">
        <f t="shared" si="0"/>
        <v>-844</v>
      </c>
    </row>
    <row r="8" spans="1:6" x14ac:dyDescent="0.15">
      <c r="A8">
        <v>160815</v>
      </c>
      <c r="B8" s="43" t="s">
        <v>217</v>
      </c>
      <c r="C8" s="43" t="s">
        <v>163</v>
      </c>
      <c r="D8">
        <v>-8.99</v>
      </c>
      <c r="E8" s="43">
        <v>100</v>
      </c>
      <c r="F8" s="43">
        <f t="shared" si="0"/>
        <v>-899</v>
      </c>
    </row>
    <row r="9" spans="1:6" x14ac:dyDescent="0.15">
      <c r="A9">
        <v>160907</v>
      </c>
      <c r="B9" s="43" t="s">
        <v>217</v>
      </c>
      <c r="C9" s="43" t="s">
        <v>163</v>
      </c>
      <c r="D9">
        <v>-9.17</v>
      </c>
      <c r="E9" s="43">
        <v>100</v>
      </c>
      <c r="F9" s="43">
        <f t="shared" si="0"/>
        <v>-917</v>
      </c>
    </row>
    <row r="10" spans="1:6" x14ac:dyDescent="0.15">
      <c r="A10">
        <v>160128</v>
      </c>
      <c r="B10" s="43" t="s">
        <v>218</v>
      </c>
      <c r="C10" s="43" t="s">
        <v>219</v>
      </c>
      <c r="D10">
        <v>7.59</v>
      </c>
      <c r="E10" s="43">
        <v>300</v>
      </c>
      <c r="F10" s="43">
        <f t="shared" si="0"/>
        <v>2277</v>
      </c>
    </row>
    <row r="11" spans="1:6" x14ac:dyDescent="0.15">
      <c r="A11">
        <v>160407</v>
      </c>
      <c r="B11" s="43" t="s">
        <v>218</v>
      </c>
      <c r="C11" s="43" t="s">
        <v>219</v>
      </c>
      <c r="D11">
        <v>8.1</v>
      </c>
      <c r="E11" s="43">
        <v>300</v>
      </c>
      <c r="F11" s="43">
        <f t="shared" si="0"/>
        <v>2430</v>
      </c>
    </row>
    <row r="12" spans="1:6" x14ac:dyDescent="0.15">
      <c r="A12">
        <v>160217</v>
      </c>
      <c r="B12" s="43" t="s">
        <v>221</v>
      </c>
      <c r="C12" s="43" t="s">
        <v>219</v>
      </c>
      <c r="D12">
        <v>7.75</v>
      </c>
      <c r="E12" s="43">
        <v>300</v>
      </c>
      <c r="F12" s="43">
        <f t="shared" si="0"/>
        <v>2325</v>
      </c>
    </row>
    <row r="13" spans="1:6" x14ac:dyDescent="0.15">
      <c r="A13">
        <v>160324</v>
      </c>
      <c r="B13" s="43" t="s">
        <v>222</v>
      </c>
      <c r="C13" s="43" t="s">
        <v>163</v>
      </c>
      <c r="D13">
        <v>-8.2100000000000009</v>
      </c>
      <c r="E13" s="43">
        <v>100</v>
      </c>
      <c r="F13" s="43">
        <f t="shared" si="0"/>
        <v>-821.00000000000011</v>
      </c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C17" sqref="C17"/>
    </sheetView>
  </sheetViews>
  <sheetFormatPr baseColWidth="10" defaultRowHeight="15" x14ac:dyDescent="0.15"/>
  <cols>
    <col min="1" max="1" width="14.83203125" bestFit="1" customWidth="1"/>
    <col min="2" max="2" width="11.5" bestFit="1" customWidth="1"/>
    <col min="3" max="3" width="20.1640625" bestFit="1" customWidth="1"/>
    <col min="8" max="8" width="14.1640625" customWidth="1"/>
    <col min="9" max="9" width="23" customWidth="1"/>
  </cols>
  <sheetData>
    <row r="1" spans="1:9" ht="24" thickBot="1" x14ac:dyDescent="0.35">
      <c r="A1" s="2" t="s">
        <v>0</v>
      </c>
      <c r="B1" s="3" t="s">
        <v>5</v>
      </c>
      <c r="C1" s="3" t="s">
        <v>6</v>
      </c>
      <c r="D1" s="3" t="s">
        <v>1</v>
      </c>
      <c r="E1" s="3" t="s">
        <v>23</v>
      </c>
      <c r="F1" s="3" t="s">
        <v>2</v>
      </c>
      <c r="G1" s="3" t="s">
        <v>3</v>
      </c>
      <c r="H1" s="3" t="s">
        <v>4</v>
      </c>
      <c r="I1" s="4" t="s">
        <v>14</v>
      </c>
    </row>
    <row r="2" spans="1:9" ht="23" x14ac:dyDescent="0.3">
      <c r="A2" s="1">
        <v>20150522</v>
      </c>
      <c r="B2" s="1">
        <v>1613</v>
      </c>
      <c r="C2" s="1" t="s">
        <v>12</v>
      </c>
      <c r="D2" s="1" t="s">
        <v>8</v>
      </c>
      <c r="E2" s="1">
        <v>2</v>
      </c>
      <c r="F2" s="1">
        <v>8000</v>
      </c>
      <c r="G2" s="1">
        <v>0.59</v>
      </c>
      <c r="H2" s="1">
        <v>-4720</v>
      </c>
      <c r="I2" s="8"/>
    </row>
    <row r="3" spans="1:9" ht="23" x14ac:dyDescent="0.3">
      <c r="A3" s="1">
        <v>20150527</v>
      </c>
      <c r="B3" s="1">
        <v>510</v>
      </c>
      <c r="C3" s="1" t="s">
        <v>10</v>
      </c>
      <c r="D3" s="1" t="s">
        <v>8</v>
      </c>
      <c r="E3" s="1">
        <v>3</v>
      </c>
      <c r="F3" s="1">
        <v>6000</v>
      </c>
      <c r="G3" s="1">
        <v>0.82</v>
      </c>
      <c r="H3" s="1">
        <v>-4920</v>
      </c>
      <c r="I3" s="8"/>
    </row>
    <row r="4" spans="1:9" ht="23" x14ac:dyDescent="0.3">
      <c r="A4" s="1">
        <v>20150527</v>
      </c>
      <c r="B4" s="1">
        <v>384</v>
      </c>
      <c r="C4" s="1" t="s">
        <v>11</v>
      </c>
      <c r="D4" s="1" t="s">
        <v>8</v>
      </c>
      <c r="E4" s="1">
        <v>1</v>
      </c>
      <c r="F4" s="1">
        <v>2000</v>
      </c>
      <c r="G4" s="1">
        <v>13.12</v>
      </c>
      <c r="H4" s="1">
        <v>-26240</v>
      </c>
      <c r="I4" s="8"/>
    </row>
    <row r="5" spans="1:9" ht="23" x14ac:dyDescent="0.3">
      <c r="A5" s="1">
        <v>20150601</v>
      </c>
      <c r="B5" s="1">
        <v>1613</v>
      </c>
      <c r="C5" s="1" t="s">
        <v>12</v>
      </c>
      <c r="D5" s="1" t="s">
        <v>8</v>
      </c>
      <c r="E5" s="1">
        <v>4</v>
      </c>
      <c r="F5" s="1">
        <v>16000</v>
      </c>
      <c r="G5" s="1">
        <v>0.57999999999999996</v>
      </c>
      <c r="H5" s="1">
        <v>-9280</v>
      </c>
      <c r="I5" s="8"/>
    </row>
    <row r="6" spans="1:9" ht="23" x14ac:dyDescent="0.3">
      <c r="A6" s="1">
        <v>20150604</v>
      </c>
      <c r="B6" s="1">
        <v>3337</v>
      </c>
      <c r="C6" s="1" t="s">
        <v>20</v>
      </c>
      <c r="D6" s="1" t="s">
        <v>8</v>
      </c>
      <c r="E6" s="1">
        <v>3</v>
      </c>
      <c r="F6" s="1">
        <v>6000</v>
      </c>
      <c r="G6" s="1">
        <v>1.74</v>
      </c>
      <c r="H6" s="1">
        <v>-10440</v>
      </c>
      <c r="I6" s="8"/>
    </row>
    <row r="7" spans="1:9" ht="23" x14ac:dyDescent="0.3">
      <c r="A7" s="1">
        <v>20150604</v>
      </c>
      <c r="B7" s="1">
        <v>388</v>
      </c>
      <c r="C7" s="1" t="s">
        <v>21</v>
      </c>
      <c r="D7" s="1" t="s">
        <v>8</v>
      </c>
      <c r="E7" s="1">
        <v>2</v>
      </c>
      <c r="F7" s="1">
        <v>200</v>
      </c>
      <c r="G7" s="1">
        <v>296.8</v>
      </c>
      <c r="H7" s="1">
        <v>-59360</v>
      </c>
      <c r="I7" s="8"/>
    </row>
    <row r="8" spans="1:9" ht="23" x14ac:dyDescent="0.3">
      <c r="A8" s="1">
        <v>20150605</v>
      </c>
      <c r="B8" s="1">
        <v>388</v>
      </c>
      <c r="C8" s="1" t="s">
        <v>21</v>
      </c>
      <c r="D8" s="1" t="s">
        <v>8</v>
      </c>
      <c r="E8" s="1">
        <v>1</v>
      </c>
      <c r="F8" s="1">
        <v>100</v>
      </c>
      <c r="G8" s="1">
        <v>294</v>
      </c>
      <c r="H8" s="1">
        <v>-29400</v>
      </c>
      <c r="I8" s="8"/>
    </row>
    <row r="9" spans="1:9" ht="23" x14ac:dyDescent="0.3">
      <c r="A9" s="1">
        <v>20150612</v>
      </c>
      <c r="B9" s="1">
        <v>1776</v>
      </c>
      <c r="C9" s="1" t="s">
        <v>22</v>
      </c>
      <c r="D9" s="1" t="s">
        <v>8</v>
      </c>
      <c r="E9" s="1">
        <v>1</v>
      </c>
      <c r="F9" s="1">
        <v>200</v>
      </c>
      <c r="G9" s="1">
        <v>23.1</v>
      </c>
      <c r="H9" s="1">
        <v>-4620</v>
      </c>
      <c r="I9" s="8" t="s">
        <v>24</v>
      </c>
    </row>
    <row r="10" spans="1:9" ht="23" x14ac:dyDescent="0.3">
      <c r="A10" s="1">
        <v>20160726</v>
      </c>
      <c r="B10" s="1">
        <v>6899</v>
      </c>
      <c r="C10" s="1" t="s">
        <v>168</v>
      </c>
      <c r="D10" s="1" t="s">
        <v>169</v>
      </c>
      <c r="E10" s="1">
        <v>1</v>
      </c>
      <c r="F10" s="1">
        <v>1000</v>
      </c>
      <c r="G10" s="1">
        <v>2.93</v>
      </c>
      <c r="H10" s="1">
        <f>-(F10*G10+58.73)</f>
        <v>-2988.73</v>
      </c>
      <c r="I10" s="8"/>
    </row>
    <row r="11" spans="1:9" ht="23" x14ac:dyDescent="0.3">
      <c r="A11" s="1">
        <v>20160823</v>
      </c>
      <c r="B11" s="1">
        <v>6899</v>
      </c>
      <c r="C11" s="1" t="s">
        <v>168</v>
      </c>
      <c r="D11" s="1" t="s">
        <v>175</v>
      </c>
      <c r="E11" s="1">
        <v>1</v>
      </c>
      <c r="F11" s="1">
        <v>1000</v>
      </c>
      <c r="G11" s="1">
        <v>3.1</v>
      </c>
      <c r="H11" s="1">
        <f>(F11*G11+58.73)</f>
        <v>3158.73</v>
      </c>
      <c r="I11" s="8" t="s">
        <v>197</v>
      </c>
    </row>
    <row r="12" spans="1:9" ht="23" x14ac:dyDescent="0.3">
      <c r="A12" s="1"/>
      <c r="B12" s="1"/>
      <c r="C12" s="1"/>
      <c r="D12" s="1"/>
      <c r="E12" s="1"/>
      <c r="F12" s="1"/>
      <c r="G12" s="1"/>
      <c r="H12" s="1"/>
      <c r="I12" s="8"/>
    </row>
    <row r="13" spans="1:9" ht="23" x14ac:dyDescent="0.3">
      <c r="A13" s="1"/>
      <c r="B13" s="1"/>
      <c r="C13" s="1"/>
      <c r="D13" s="1"/>
      <c r="E13" s="1"/>
      <c r="F13" s="1"/>
      <c r="G13" s="1"/>
      <c r="H13" s="1"/>
      <c r="I13" s="8"/>
    </row>
    <row r="14" spans="1:9" ht="23" x14ac:dyDescent="0.3">
      <c r="A14" s="1"/>
      <c r="B14" s="1"/>
      <c r="C14" s="1"/>
      <c r="D14" s="1"/>
      <c r="E14" s="1"/>
      <c r="F14" s="1"/>
      <c r="G14" s="1"/>
      <c r="H14" s="1"/>
      <c r="I14" s="8"/>
    </row>
    <row r="15" spans="1:9" ht="23" x14ac:dyDescent="0.3">
      <c r="A15" s="1"/>
      <c r="B15" s="1"/>
      <c r="C15" s="1"/>
      <c r="D15" s="1"/>
      <c r="E15" s="1"/>
      <c r="F15" s="1"/>
      <c r="G15" s="1"/>
      <c r="H15" s="1"/>
      <c r="I15" s="8"/>
    </row>
    <row r="16" spans="1:9" ht="23" x14ac:dyDescent="0.3">
      <c r="A16" s="1"/>
      <c r="B16" s="1"/>
      <c r="C16" s="1"/>
      <c r="D16" s="1"/>
      <c r="E16" s="1"/>
      <c r="F16" s="1"/>
      <c r="G16" s="1"/>
      <c r="H16" s="1"/>
      <c r="I16" s="8"/>
    </row>
    <row r="17" spans="1:9" ht="23" x14ac:dyDescent="0.3">
      <c r="A17" s="1"/>
      <c r="B17" s="1"/>
      <c r="C17" s="1"/>
      <c r="D17" s="1"/>
      <c r="E17" s="1"/>
      <c r="F17" s="1"/>
      <c r="G17" s="1"/>
      <c r="H17" s="1"/>
      <c r="I17" s="8"/>
    </row>
    <row r="18" spans="1:9" ht="23" x14ac:dyDescent="0.3">
      <c r="A18" s="1"/>
      <c r="B18" s="1"/>
      <c r="C18" s="1"/>
      <c r="D18" s="1"/>
      <c r="E18" s="1"/>
      <c r="F18" s="1"/>
      <c r="G18" s="1"/>
      <c r="H18" s="1"/>
      <c r="I18" s="8"/>
    </row>
    <row r="19" spans="1:9" ht="23" x14ac:dyDescent="0.3">
      <c r="A19" s="1"/>
      <c r="B19" s="1"/>
      <c r="C19" s="1"/>
      <c r="D19" s="1"/>
      <c r="E19" s="1"/>
      <c r="F19" s="1"/>
      <c r="G19" s="1"/>
      <c r="H19" s="1"/>
      <c r="I19" s="8"/>
    </row>
    <row r="20" spans="1:9" ht="23" x14ac:dyDescent="0.3">
      <c r="A20" s="1"/>
      <c r="B20" s="1"/>
      <c r="C20" s="1"/>
      <c r="D20" s="1"/>
      <c r="E20" s="1"/>
      <c r="F20" s="1"/>
      <c r="G20" s="1"/>
      <c r="H20" s="1"/>
      <c r="I20" s="8"/>
    </row>
    <row r="21" spans="1:9" ht="23" x14ac:dyDescent="0.3">
      <c r="A21" s="1"/>
      <c r="B21" s="1"/>
      <c r="C21" s="1"/>
      <c r="D21" s="1"/>
      <c r="E21" s="1"/>
      <c r="F21" s="1"/>
      <c r="G21" s="1"/>
      <c r="H21" s="1"/>
      <c r="I21" s="8"/>
    </row>
    <row r="22" spans="1:9" ht="23" x14ac:dyDescent="0.3">
      <c r="A22" s="1"/>
      <c r="B22" s="1"/>
      <c r="C22" s="1"/>
      <c r="D22" s="1"/>
      <c r="E22" s="1"/>
      <c r="F22" s="1"/>
      <c r="G22" s="1"/>
      <c r="H22" s="1"/>
      <c r="I22" s="8"/>
    </row>
    <row r="23" spans="1:9" ht="23" x14ac:dyDescent="0.3">
      <c r="A23" s="1"/>
      <c r="B23" s="1"/>
      <c r="C23" s="1"/>
      <c r="D23" s="1"/>
      <c r="E23" s="1"/>
      <c r="F23" s="1"/>
      <c r="G23" s="1"/>
      <c r="H23" s="1"/>
      <c r="I23" s="8"/>
    </row>
    <row r="24" spans="1:9" ht="23" x14ac:dyDescent="0.3">
      <c r="A24" s="1"/>
      <c r="B24" s="1"/>
      <c r="C24" s="1"/>
      <c r="D24" s="1"/>
      <c r="E24" s="1"/>
      <c r="F24" s="1"/>
      <c r="G24" s="1"/>
      <c r="H24" s="1"/>
    </row>
    <row r="25" spans="1:9" ht="23" x14ac:dyDescent="0.3">
      <c r="A25" s="1"/>
      <c r="B25" s="1"/>
      <c r="C25" s="1"/>
      <c r="D25" s="1"/>
      <c r="E25" s="1"/>
      <c r="F25" s="1"/>
      <c r="G25" s="1"/>
      <c r="H25" s="1"/>
    </row>
    <row r="26" spans="1:9" ht="23" x14ac:dyDescent="0.3">
      <c r="A26" s="1"/>
      <c r="B26" s="1"/>
      <c r="C26" s="1"/>
      <c r="D26" s="1"/>
      <c r="E26" s="1"/>
      <c r="F26" s="1"/>
      <c r="G26" s="1"/>
      <c r="H26" s="1"/>
    </row>
    <row r="27" spans="1:9" ht="23" x14ac:dyDescent="0.3">
      <c r="A27" s="1"/>
      <c r="B27" s="1"/>
      <c r="C27" s="1"/>
      <c r="D27" s="1"/>
      <c r="E27" s="1"/>
      <c r="F27" s="1"/>
      <c r="G27" s="1"/>
      <c r="H27" s="1"/>
    </row>
    <row r="28" spans="1:9" ht="23" x14ac:dyDescent="0.3">
      <c r="A28" s="1"/>
      <c r="B28" s="1"/>
      <c r="C28" s="1"/>
      <c r="D28" s="1"/>
      <c r="E28" s="1"/>
      <c r="F28" s="1"/>
      <c r="G28" s="1"/>
      <c r="H28" s="1"/>
    </row>
    <row r="29" spans="1:9" ht="23" x14ac:dyDescent="0.3">
      <c r="A29" s="1"/>
      <c r="B29" s="1"/>
      <c r="C29" s="1"/>
      <c r="D29" s="1"/>
      <c r="E29" s="1"/>
      <c r="F29" s="1"/>
      <c r="G29" s="1"/>
      <c r="H29" s="1"/>
    </row>
    <row r="30" spans="1:9" ht="23" x14ac:dyDescent="0.3">
      <c r="A30" s="1"/>
      <c r="B30" s="1"/>
      <c r="C30" s="1"/>
      <c r="D30" s="1"/>
      <c r="E30" s="1"/>
      <c r="F30" s="1"/>
      <c r="G30" s="1"/>
      <c r="H30" s="1"/>
    </row>
    <row r="31" spans="1:9" ht="23" x14ac:dyDescent="0.3">
      <c r="A31" s="1"/>
      <c r="B31" s="1"/>
      <c r="C31" s="1"/>
      <c r="D31" s="1"/>
      <c r="E31" s="1"/>
      <c r="F31" s="1"/>
      <c r="G31" s="1"/>
      <c r="H31" s="1"/>
    </row>
  </sheetData>
  <phoneticPr fontId="7" type="noConversion"/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A8" sqref="A8:XFD9"/>
    </sheetView>
  </sheetViews>
  <sheetFormatPr baseColWidth="10" defaultRowHeight="15" x14ac:dyDescent="0.15"/>
  <cols>
    <col min="1" max="1" width="13.83203125" bestFit="1" customWidth="1"/>
    <col min="8" max="8" width="9.33203125" customWidth="1"/>
    <col min="9" max="9" width="10.1640625" style="43" bestFit="1" customWidth="1"/>
    <col min="10" max="10" width="85" bestFit="1" customWidth="1"/>
  </cols>
  <sheetData>
    <row r="1" spans="1:10" s="1" customFormat="1" ht="24" thickBot="1" x14ac:dyDescent="0.35">
      <c r="A1" s="2" t="s">
        <v>0</v>
      </c>
      <c r="B1" s="6" t="s">
        <v>5</v>
      </c>
      <c r="C1" s="3" t="s">
        <v>6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161</v>
      </c>
      <c r="I1" s="44" t="s">
        <v>159</v>
      </c>
      <c r="J1" s="4" t="s">
        <v>27</v>
      </c>
    </row>
    <row r="2" spans="1:10" s="1" customFormat="1" ht="23" x14ac:dyDescent="0.3">
      <c r="A2" s="1">
        <v>20150707</v>
      </c>
      <c r="B2" s="1">
        <v>600363</v>
      </c>
      <c r="C2" s="1" t="s">
        <v>42</v>
      </c>
      <c r="D2" s="1" t="s">
        <v>8</v>
      </c>
      <c r="E2" s="1">
        <v>500</v>
      </c>
      <c r="F2" s="1">
        <v>11.02</v>
      </c>
      <c r="G2" s="1">
        <v>-5510</v>
      </c>
      <c r="H2" s="1">
        <v>500</v>
      </c>
      <c r="I2" s="45"/>
      <c r="J2" s="1" t="s">
        <v>43</v>
      </c>
    </row>
    <row r="3" spans="1:10" s="1" customFormat="1" ht="23" x14ac:dyDescent="0.3">
      <c r="A3" s="1">
        <v>20150722</v>
      </c>
      <c r="B3" s="1">
        <v>600363</v>
      </c>
      <c r="C3" s="1" t="s">
        <v>42</v>
      </c>
      <c r="D3" s="1" t="s">
        <v>18</v>
      </c>
      <c r="E3" s="1">
        <v>200</v>
      </c>
      <c r="F3" s="1">
        <v>15.95</v>
      </c>
      <c r="G3" s="1">
        <v>3190</v>
      </c>
      <c r="H3" s="1">
        <v>300</v>
      </c>
      <c r="I3" s="45"/>
      <c r="J3" s="1" t="s">
        <v>50</v>
      </c>
    </row>
    <row r="4" spans="1:10" s="1" customFormat="1" ht="23" x14ac:dyDescent="0.3">
      <c r="A4" s="1">
        <v>20150728</v>
      </c>
      <c r="B4" s="1">
        <v>600363</v>
      </c>
      <c r="C4" s="1" t="s">
        <v>42</v>
      </c>
      <c r="D4" s="1" t="s">
        <v>18</v>
      </c>
      <c r="E4" s="1">
        <v>200</v>
      </c>
      <c r="F4" s="1">
        <v>16.350000000000001</v>
      </c>
      <c r="G4" s="1">
        <v>3270</v>
      </c>
      <c r="H4" s="1">
        <v>100</v>
      </c>
      <c r="I4" s="45"/>
      <c r="J4" s="1" t="s">
        <v>57</v>
      </c>
    </row>
    <row r="5" spans="1:10" s="1" customFormat="1" ht="23" x14ac:dyDescent="0.3">
      <c r="A5" s="1">
        <v>20160113</v>
      </c>
      <c r="B5" s="42">
        <v>600363</v>
      </c>
      <c r="C5" s="1" t="s">
        <v>42</v>
      </c>
      <c r="D5" s="1" t="s">
        <v>8</v>
      </c>
      <c r="E5" s="1">
        <v>300</v>
      </c>
      <c r="F5" s="1">
        <v>15.82</v>
      </c>
      <c r="G5" s="1">
        <v>-4506</v>
      </c>
      <c r="H5" s="1">
        <v>400</v>
      </c>
      <c r="I5" s="45"/>
      <c r="J5" s="1" t="s">
        <v>144</v>
      </c>
    </row>
    <row r="6" spans="1:10" s="1" customFormat="1" ht="23" x14ac:dyDescent="0.3">
      <c r="A6" s="1">
        <v>20160114</v>
      </c>
      <c r="B6" s="42">
        <v>600363</v>
      </c>
      <c r="C6" s="1" t="s">
        <v>42</v>
      </c>
      <c r="D6" s="1" t="s">
        <v>8</v>
      </c>
      <c r="E6" s="1">
        <v>300</v>
      </c>
      <c r="F6" s="1">
        <v>12.75</v>
      </c>
      <c r="G6" s="1">
        <v>-3825</v>
      </c>
      <c r="H6" s="1">
        <v>700</v>
      </c>
      <c r="I6" s="45"/>
      <c r="J6" s="1" t="s">
        <v>146</v>
      </c>
    </row>
    <row r="7" spans="1:10" s="1" customFormat="1" ht="23" x14ac:dyDescent="0.3">
      <c r="A7" s="1">
        <v>20160120</v>
      </c>
      <c r="B7" s="42">
        <v>600363</v>
      </c>
      <c r="C7" s="1" t="s">
        <v>42</v>
      </c>
      <c r="D7" s="1" t="s">
        <v>18</v>
      </c>
      <c r="E7" s="1">
        <v>300</v>
      </c>
      <c r="F7" s="1">
        <v>14.49</v>
      </c>
      <c r="G7" s="1">
        <v>4347</v>
      </c>
      <c r="H7" s="1">
        <v>400</v>
      </c>
      <c r="I7" s="45"/>
      <c r="J7"/>
    </row>
    <row r="8" spans="1:10" s="1" customFormat="1" ht="23" x14ac:dyDescent="0.3">
      <c r="A8" s="1">
        <v>20160630</v>
      </c>
      <c r="B8" s="42">
        <v>600363</v>
      </c>
      <c r="C8" s="1" t="s">
        <v>42</v>
      </c>
      <c r="D8" s="1" t="s">
        <v>18</v>
      </c>
      <c r="E8" s="1">
        <v>100</v>
      </c>
      <c r="F8" s="1">
        <v>17.600000000000001</v>
      </c>
      <c r="G8" s="1">
        <v>1760</v>
      </c>
      <c r="H8" s="1">
        <v>300</v>
      </c>
      <c r="I8" s="45"/>
      <c r="J8"/>
    </row>
    <row r="9" spans="1:10" s="1" customFormat="1" ht="23" x14ac:dyDescent="0.3">
      <c r="A9" s="1">
        <v>20160705</v>
      </c>
      <c r="B9" s="42">
        <v>600363</v>
      </c>
      <c r="C9" s="1" t="s">
        <v>42</v>
      </c>
      <c r="D9" s="1" t="s">
        <v>18</v>
      </c>
      <c r="E9" s="1">
        <v>100</v>
      </c>
      <c r="F9" s="1">
        <v>18.23</v>
      </c>
      <c r="G9" s="1">
        <v>1823</v>
      </c>
      <c r="H9" s="1">
        <v>200</v>
      </c>
      <c r="I9" s="45">
        <v>-2.5089999999999999</v>
      </c>
      <c r="J9"/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A16" sqref="A16"/>
    </sheetView>
  </sheetViews>
  <sheetFormatPr baseColWidth="10" defaultRowHeight="23" x14ac:dyDescent="0.3"/>
  <cols>
    <col min="1" max="1" width="16.5" style="1" bestFit="1" customWidth="1"/>
    <col min="2" max="2" width="10.83203125" style="7"/>
    <col min="3" max="3" width="11.1640625" style="1" bestFit="1" customWidth="1"/>
    <col min="4" max="4" width="30" style="1" customWidth="1"/>
    <col min="5" max="16384" width="10.83203125" style="5"/>
  </cols>
  <sheetData>
    <row r="1" spans="1:4" ht="24" thickBot="1" x14ac:dyDescent="0.35">
      <c r="A1" s="2" t="s">
        <v>0</v>
      </c>
      <c r="B1" s="6" t="s">
        <v>1</v>
      </c>
      <c r="C1" s="3" t="s">
        <v>4</v>
      </c>
      <c r="D1" s="3" t="s">
        <v>14</v>
      </c>
    </row>
    <row r="2" spans="1:4" x14ac:dyDescent="0.3">
      <c r="A2" s="1">
        <v>20150430</v>
      </c>
      <c r="B2" s="7" t="s">
        <v>13</v>
      </c>
      <c r="C2" s="1">
        <v>0.7</v>
      </c>
      <c r="D2" s="1" t="s">
        <v>15</v>
      </c>
    </row>
    <row r="3" spans="1:4" x14ac:dyDescent="0.3">
      <c r="A3" s="1">
        <v>20150529</v>
      </c>
      <c r="B3" s="7" t="s">
        <v>13</v>
      </c>
      <c r="C3" s="1">
        <v>0.9</v>
      </c>
      <c r="D3" s="1" t="s">
        <v>16</v>
      </c>
    </row>
    <row r="4" spans="1:4" x14ac:dyDescent="0.3">
      <c r="A4" s="1">
        <v>20150619</v>
      </c>
      <c r="B4" s="7" t="s">
        <v>31</v>
      </c>
      <c r="C4" s="1">
        <v>-1</v>
      </c>
      <c r="D4" s="1" t="s">
        <v>32</v>
      </c>
    </row>
    <row r="5" spans="1:4" x14ac:dyDescent="0.3">
      <c r="A5" s="1">
        <v>20150622</v>
      </c>
      <c r="B5" s="7" t="s">
        <v>31</v>
      </c>
      <c r="C5" s="1">
        <v>-6</v>
      </c>
      <c r="D5" s="1" t="s">
        <v>33</v>
      </c>
    </row>
    <row r="6" spans="1:4" x14ac:dyDescent="0.3">
      <c r="A6" s="1">
        <v>20150629</v>
      </c>
      <c r="B6" s="7" t="s">
        <v>31</v>
      </c>
      <c r="C6" s="1">
        <v>-7</v>
      </c>
      <c r="D6" s="1" t="s">
        <v>33</v>
      </c>
    </row>
    <row r="7" spans="1:4" x14ac:dyDescent="0.3">
      <c r="A7" s="1">
        <v>20150701</v>
      </c>
      <c r="B7" s="7" t="s">
        <v>13</v>
      </c>
      <c r="C7" s="1">
        <v>0.1</v>
      </c>
      <c r="D7" s="1" t="s">
        <v>38</v>
      </c>
    </row>
    <row r="8" spans="1:4" x14ac:dyDescent="0.3">
      <c r="A8" s="1">
        <v>20150703</v>
      </c>
      <c r="B8" s="7" t="s">
        <v>31</v>
      </c>
      <c r="C8" s="1">
        <v>-6</v>
      </c>
      <c r="D8" s="1" t="s">
        <v>39</v>
      </c>
    </row>
    <row r="9" spans="1:4" x14ac:dyDescent="0.3">
      <c r="A9" s="1">
        <v>20150706</v>
      </c>
      <c r="B9" s="7" t="s">
        <v>31</v>
      </c>
      <c r="C9" s="1">
        <v>-5</v>
      </c>
      <c r="D9" s="1" t="s">
        <v>44</v>
      </c>
    </row>
    <row r="10" spans="1:4" x14ac:dyDescent="0.3">
      <c r="A10" s="1">
        <v>20150707</v>
      </c>
      <c r="B10" s="7" t="s">
        <v>31</v>
      </c>
      <c r="C10" s="1">
        <v>-5</v>
      </c>
      <c r="D10" s="1" t="s">
        <v>45</v>
      </c>
    </row>
    <row r="11" spans="1:4" x14ac:dyDescent="0.3">
      <c r="A11" s="1">
        <v>20150731</v>
      </c>
      <c r="B11" s="7" t="s">
        <v>13</v>
      </c>
      <c r="C11" s="1">
        <v>0.8</v>
      </c>
      <c r="D11" s="1" t="s">
        <v>70</v>
      </c>
    </row>
    <row r="12" spans="1:4" x14ac:dyDescent="0.3">
      <c r="A12" s="1">
        <v>201501127</v>
      </c>
      <c r="B12" s="7" t="s">
        <v>13</v>
      </c>
      <c r="C12" s="1">
        <v>0.3</v>
      </c>
      <c r="D12" s="1" t="s">
        <v>98</v>
      </c>
    </row>
    <row r="13" spans="1:4" x14ac:dyDescent="0.3">
      <c r="A13" s="1">
        <v>201501231</v>
      </c>
      <c r="B13" s="7" t="s">
        <v>13</v>
      </c>
      <c r="C13" s="1">
        <v>0.1</v>
      </c>
      <c r="D13" s="1" t="s">
        <v>133</v>
      </c>
    </row>
    <row r="14" spans="1:4" x14ac:dyDescent="0.3">
      <c r="A14" s="1">
        <v>20160831</v>
      </c>
      <c r="B14" s="7" t="s">
        <v>200</v>
      </c>
      <c r="C14" s="1">
        <v>13.265000000000001</v>
      </c>
      <c r="D14" s="1" t="s">
        <v>201</v>
      </c>
    </row>
  </sheetData>
  <phoneticPr fontId="7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"/>
  <sheetViews>
    <sheetView workbookViewId="0">
      <selection activeCell="B23" sqref="B23"/>
    </sheetView>
  </sheetViews>
  <sheetFormatPr baseColWidth="10" defaultRowHeight="15" x14ac:dyDescent="0.15"/>
  <cols>
    <col min="2" max="2" width="55" customWidth="1"/>
    <col min="3" max="3" width="18.1640625" bestFit="1" customWidth="1"/>
  </cols>
  <sheetData>
    <row r="1" spans="2:3" x14ac:dyDescent="0.15">
      <c r="B1" s="12" t="s">
        <v>51</v>
      </c>
      <c r="C1" s="12" t="s">
        <v>53</v>
      </c>
    </row>
  </sheetData>
  <phoneticPr fontId="7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2"/>
  <sheetViews>
    <sheetView tabSelected="1" workbookViewId="0">
      <selection activeCell="C18" sqref="C18"/>
    </sheetView>
  </sheetViews>
  <sheetFormatPr baseColWidth="10" defaultRowHeight="15" x14ac:dyDescent="0.15"/>
  <cols>
    <col min="3" max="3" width="26.5" customWidth="1"/>
  </cols>
  <sheetData>
    <row r="2" spans="2:3" x14ac:dyDescent="0.15">
      <c r="B2" t="s">
        <v>224</v>
      </c>
    </row>
    <row r="3" spans="2:3" x14ac:dyDescent="0.15">
      <c r="B3" t="s">
        <v>230</v>
      </c>
      <c r="C3" t="s">
        <v>225</v>
      </c>
    </row>
    <row r="4" spans="2:3" x14ac:dyDescent="0.15">
      <c r="B4" t="s">
        <v>226</v>
      </c>
      <c r="C4" t="s">
        <v>227</v>
      </c>
    </row>
    <row r="5" spans="2:3" x14ac:dyDescent="0.15">
      <c r="C5" t="s">
        <v>276</v>
      </c>
    </row>
    <row r="7" spans="2:3" x14ac:dyDescent="0.15">
      <c r="B7" t="s">
        <v>228</v>
      </c>
    </row>
    <row r="8" spans="2:3" x14ac:dyDescent="0.15">
      <c r="B8" t="s">
        <v>229</v>
      </c>
      <c r="C8" t="s">
        <v>231</v>
      </c>
    </row>
    <row r="9" spans="2:3" x14ac:dyDescent="0.15">
      <c r="C9" t="s">
        <v>232</v>
      </c>
    </row>
    <row r="10" spans="2:3" x14ac:dyDescent="0.15">
      <c r="C10" t="s">
        <v>233</v>
      </c>
    </row>
    <row r="11" spans="2:3" x14ac:dyDescent="0.15">
      <c r="B11" t="s">
        <v>234</v>
      </c>
      <c r="C11" t="s">
        <v>235</v>
      </c>
    </row>
    <row r="12" spans="2:3" x14ac:dyDescent="0.15">
      <c r="C12" t="s">
        <v>277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A26" sqref="A26"/>
    </sheetView>
  </sheetViews>
  <sheetFormatPr baseColWidth="10" defaultRowHeight="15" x14ac:dyDescent="0.15"/>
  <cols>
    <col min="1" max="1" width="114.33203125" customWidth="1"/>
    <col min="2" max="2" width="40.6640625" customWidth="1"/>
  </cols>
  <sheetData>
    <row r="1" spans="1:3" s="14" customFormat="1" ht="60" x14ac:dyDescent="0.15">
      <c r="A1" s="13" t="s">
        <v>54</v>
      </c>
      <c r="B1" s="13" t="s">
        <v>55</v>
      </c>
      <c r="C1" s="15" t="s">
        <v>56</v>
      </c>
    </row>
  </sheetData>
  <phoneticPr fontId="7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"/>
  <sheetViews>
    <sheetView workbookViewId="0">
      <selection activeCell="C17" sqref="C17"/>
    </sheetView>
  </sheetViews>
  <sheetFormatPr baseColWidth="10" defaultRowHeight="15" x14ac:dyDescent="0.15"/>
  <cols>
    <col min="2" max="2" width="8.5" bestFit="1" customWidth="1"/>
    <col min="3" max="3" width="75.1640625" customWidth="1"/>
    <col min="4" max="4" width="28.33203125" customWidth="1"/>
  </cols>
  <sheetData>
    <row r="2" spans="1:4" x14ac:dyDescent="0.15">
      <c r="C2" t="s">
        <v>198</v>
      </c>
    </row>
    <row r="3" spans="1:4" x14ac:dyDescent="0.15">
      <c r="C3" t="s">
        <v>199</v>
      </c>
    </row>
    <row r="7" spans="1:4" s="16" customFormat="1" ht="45" x14ac:dyDescent="0.15">
      <c r="A7" s="16">
        <v>0</v>
      </c>
      <c r="B7" s="17" t="s">
        <v>67</v>
      </c>
      <c r="C7" s="18" t="s">
        <v>68</v>
      </c>
    </row>
    <row r="8" spans="1:4" x14ac:dyDescent="0.15">
      <c r="A8">
        <v>1</v>
      </c>
      <c r="B8" t="s">
        <v>60</v>
      </c>
      <c r="C8" s="12" t="s">
        <v>61</v>
      </c>
      <c r="D8" s="12" t="s">
        <v>80</v>
      </c>
    </row>
    <row r="9" spans="1:4" x14ac:dyDescent="0.15">
      <c r="A9">
        <v>2</v>
      </c>
      <c r="B9" t="s">
        <v>18</v>
      </c>
    </row>
    <row r="10" spans="1:4" x14ac:dyDescent="0.15">
      <c r="A10">
        <v>3</v>
      </c>
      <c r="B10" s="12" t="s">
        <v>62</v>
      </c>
      <c r="C10" t="s">
        <v>63</v>
      </c>
    </row>
    <row r="11" spans="1:4" x14ac:dyDescent="0.15">
      <c r="A11">
        <v>4</v>
      </c>
      <c r="B11" s="12" t="s">
        <v>64</v>
      </c>
    </row>
    <row r="12" spans="1:4" x14ac:dyDescent="0.15">
      <c r="A12">
        <v>5</v>
      </c>
      <c r="B12" s="12" t="s">
        <v>65</v>
      </c>
      <c r="C12" t="s">
        <v>66</v>
      </c>
    </row>
    <row r="13" spans="1:4" s="16" customFormat="1" ht="75" x14ac:dyDescent="0.15">
      <c r="C13" s="17" t="s">
        <v>125</v>
      </c>
      <c r="D13" s="29" t="s">
        <v>127</v>
      </c>
    </row>
    <row r="14" spans="1:4" x14ac:dyDescent="0.15">
      <c r="C14" s="12" t="s">
        <v>126</v>
      </c>
    </row>
  </sheetData>
  <phoneticPr fontId="7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9"/>
  <sheetViews>
    <sheetView workbookViewId="0">
      <selection activeCell="G11" sqref="G11"/>
    </sheetView>
  </sheetViews>
  <sheetFormatPr baseColWidth="10" defaultRowHeight="15" x14ac:dyDescent="0.15"/>
  <sheetData>
    <row r="1" spans="2:7" ht="16" thickBot="1" x14ac:dyDescent="0.2"/>
    <row r="2" spans="2:7" ht="24" thickBot="1" x14ac:dyDescent="0.2">
      <c r="B2" s="6" t="s">
        <v>5</v>
      </c>
      <c r="C2" s="6" t="s">
        <v>6</v>
      </c>
      <c r="D2" s="6" t="s">
        <v>2</v>
      </c>
      <c r="E2" s="6" t="s">
        <v>72</v>
      </c>
      <c r="F2" s="6" t="s">
        <v>73</v>
      </c>
      <c r="G2" s="6" t="s">
        <v>74</v>
      </c>
    </row>
    <row r="3" spans="2:7" x14ac:dyDescent="0.15">
      <c r="B3" s="19">
        <v>603169</v>
      </c>
      <c r="C3" s="20" t="s">
        <v>71</v>
      </c>
      <c r="D3" s="19">
        <v>200</v>
      </c>
      <c r="E3" s="19">
        <v>-9.1</v>
      </c>
      <c r="F3" s="19">
        <v>21.3</v>
      </c>
      <c r="G3" s="19">
        <v>4260</v>
      </c>
    </row>
    <row r="4" spans="2:7" x14ac:dyDescent="0.15">
      <c r="B4" s="19">
        <v>601818</v>
      </c>
      <c r="C4" s="20" t="s">
        <v>9</v>
      </c>
      <c r="D4" s="19">
        <v>200</v>
      </c>
      <c r="E4" s="19">
        <v>0.52</v>
      </c>
      <c r="F4" s="19">
        <v>4.53</v>
      </c>
      <c r="G4" s="19">
        <v>906</v>
      </c>
    </row>
    <row r="5" spans="2:7" x14ac:dyDescent="0.15">
      <c r="B5" s="19">
        <v>600363</v>
      </c>
      <c r="C5" s="20" t="s">
        <v>42</v>
      </c>
      <c r="D5" s="19">
        <v>100</v>
      </c>
      <c r="E5" s="19">
        <v>-9.3000000000000007</v>
      </c>
      <c r="F5" s="19">
        <v>17.16</v>
      </c>
      <c r="G5" s="19">
        <v>1716</v>
      </c>
    </row>
    <row r="6" spans="2:7" x14ac:dyDescent="0.15">
      <c r="B6" s="19"/>
      <c r="C6" s="19"/>
      <c r="D6" s="19"/>
      <c r="E6" s="19"/>
      <c r="F6" s="19"/>
      <c r="G6" s="19"/>
    </row>
    <row r="7" spans="2:7" x14ac:dyDescent="0.15">
      <c r="B7" s="19"/>
      <c r="C7" s="19"/>
      <c r="D7" s="19"/>
      <c r="E7" s="19"/>
      <c r="F7" s="19"/>
      <c r="G7" s="19"/>
    </row>
    <row r="8" spans="2:7" x14ac:dyDescent="0.15">
      <c r="B8" s="19"/>
      <c r="C8" s="19"/>
      <c r="D8" s="19"/>
      <c r="E8" s="19"/>
      <c r="F8" s="19"/>
      <c r="G8" s="19"/>
    </row>
    <row r="9" spans="2:7" x14ac:dyDescent="0.15">
      <c r="B9" s="19"/>
      <c r="C9" s="19"/>
      <c r="D9" s="19"/>
      <c r="E9" s="19"/>
      <c r="F9" s="19"/>
      <c r="G9" s="19"/>
    </row>
    <row r="10" spans="2:7" x14ac:dyDescent="0.15">
      <c r="B10" s="19"/>
      <c r="C10" s="19"/>
      <c r="D10" s="19"/>
      <c r="E10" s="19"/>
      <c r="F10" s="19"/>
      <c r="G10" s="19"/>
    </row>
    <row r="11" spans="2:7" x14ac:dyDescent="0.15">
      <c r="B11" s="19"/>
      <c r="C11" s="19"/>
      <c r="D11" s="19"/>
      <c r="E11" s="19"/>
      <c r="F11" s="19"/>
      <c r="G11" s="19"/>
    </row>
    <row r="12" spans="2:7" x14ac:dyDescent="0.15">
      <c r="B12" s="19"/>
      <c r="C12" s="19"/>
      <c r="D12" s="19"/>
      <c r="E12" s="19"/>
      <c r="F12" s="19"/>
      <c r="G12" s="19"/>
    </row>
    <row r="13" spans="2:7" x14ac:dyDescent="0.15">
      <c r="B13" s="19"/>
      <c r="C13" s="19"/>
      <c r="D13" s="19"/>
      <c r="E13" s="19"/>
      <c r="F13" s="19"/>
      <c r="G13" s="19"/>
    </row>
    <row r="14" spans="2:7" x14ac:dyDescent="0.15">
      <c r="B14" s="19"/>
      <c r="C14" s="19"/>
      <c r="D14" s="19"/>
      <c r="E14" s="19"/>
      <c r="F14" s="19"/>
      <c r="G14" s="19"/>
    </row>
    <row r="15" spans="2:7" x14ac:dyDescent="0.15">
      <c r="B15" s="19"/>
      <c r="C15" s="19"/>
      <c r="D15" s="19"/>
      <c r="E15" s="19"/>
      <c r="F15" s="19"/>
      <c r="G15" s="19"/>
    </row>
    <row r="16" spans="2:7" x14ac:dyDescent="0.15">
      <c r="B16" s="19"/>
      <c r="C16" s="19"/>
      <c r="D16" s="19"/>
      <c r="E16" s="19"/>
      <c r="F16" s="19"/>
      <c r="G16" s="19"/>
    </row>
    <row r="17" spans="2:7" x14ac:dyDescent="0.15">
      <c r="B17" s="19"/>
      <c r="C17" s="19"/>
      <c r="D17" s="19"/>
      <c r="E17" s="19"/>
      <c r="F17" s="19"/>
      <c r="G17" s="19"/>
    </row>
    <row r="18" spans="2:7" x14ac:dyDescent="0.15">
      <c r="B18" s="19"/>
      <c r="C18" s="19"/>
      <c r="D18" s="19"/>
      <c r="E18" s="19"/>
      <c r="F18" s="19"/>
      <c r="G18" s="19"/>
    </row>
    <row r="19" spans="2:7" x14ac:dyDescent="0.15">
      <c r="B19" s="19"/>
      <c r="C19" s="19"/>
      <c r="D19" s="19"/>
      <c r="E19" s="19"/>
      <c r="F19" s="19"/>
      <c r="G19" s="19"/>
    </row>
  </sheetData>
  <phoneticPr fontId="7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3"/>
  <sheetViews>
    <sheetView topLeftCell="A33" zoomScale="125" zoomScaleNormal="125" zoomScalePageLayoutView="125" workbookViewId="0">
      <selection activeCell="F53" sqref="F53"/>
    </sheetView>
  </sheetViews>
  <sheetFormatPr baseColWidth="10" defaultRowHeight="15" x14ac:dyDescent="0.15"/>
  <cols>
    <col min="2" max="2" width="15.33203125" customWidth="1"/>
    <col min="6" max="6" width="10" customWidth="1"/>
    <col min="9" max="9" width="42.83203125" customWidth="1"/>
  </cols>
  <sheetData>
    <row r="2" spans="1:9" ht="16" thickBot="1" x14ac:dyDescent="0.2">
      <c r="A2" s="72" t="s">
        <v>110</v>
      </c>
      <c r="B2" s="72"/>
      <c r="C2" s="72"/>
      <c r="D2" s="72"/>
      <c r="E2" s="72"/>
      <c r="F2" s="72"/>
    </row>
    <row r="3" spans="1:9" s="1" customFormat="1" ht="24" thickBot="1" x14ac:dyDescent="0.35">
      <c r="A3" s="2" t="s">
        <v>0</v>
      </c>
      <c r="B3" s="3" t="s">
        <v>251</v>
      </c>
      <c r="C3" s="3" t="s">
        <v>124</v>
      </c>
      <c r="D3" s="3" t="s">
        <v>250</v>
      </c>
      <c r="E3" s="3" t="s">
        <v>208</v>
      </c>
      <c r="F3" s="3" t="s">
        <v>122</v>
      </c>
      <c r="G3" s="3" t="s">
        <v>123</v>
      </c>
      <c r="H3" s="56" t="s">
        <v>238</v>
      </c>
      <c r="I3" s="4" t="s">
        <v>14</v>
      </c>
    </row>
    <row r="4" spans="1:9" s="19" customFormat="1" hidden="1" x14ac:dyDescent="0.15">
      <c r="A4" s="19">
        <v>20151207</v>
      </c>
      <c r="B4" s="19" t="s">
        <v>111</v>
      </c>
      <c r="C4" s="20" t="s">
        <v>112</v>
      </c>
      <c r="D4" s="20"/>
      <c r="E4" s="20"/>
      <c r="F4" s="19">
        <v>20000</v>
      </c>
      <c r="G4" s="19">
        <v>1</v>
      </c>
    </row>
    <row r="5" spans="1:9" s="19" customFormat="1" hidden="1" x14ac:dyDescent="0.15">
      <c r="A5" s="19">
        <v>20151218</v>
      </c>
      <c r="B5" s="19" t="s">
        <v>121</v>
      </c>
      <c r="C5" s="20" t="s">
        <v>112</v>
      </c>
      <c r="D5" s="20"/>
      <c r="E5" s="20"/>
      <c r="F5" s="19">
        <v>30011</v>
      </c>
      <c r="G5" s="19">
        <v>1.5</v>
      </c>
    </row>
    <row r="6" spans="1:9" hidden="1" x14ac:dyDescent="0.15">
      <c r="A6" s="19">
        <v>20151231</v>
      </c>
      <c r="B6" s="19"/>
      <c r="C6" s="20" t="s">
        <v>134</v>
      </c>
      <c r="D6" s="20"/>
      <c r="E6" s="20"/>
      <c r="F6" s="19">
        <v>29930</v>
      </c>
      <c r="G6" s="19">
        <v>1.5</v>
      </c>
      <c r="H6" s="19"/>
    </row>
    <row r="7" spans="1:9" hidden="1" x14ac:dyDescent="0.15">
      <c r="A7" s="19">
        <v>20160106</v>
      </c>
      <c r="B7" s="19" t="s">
        <v>136</v>
      </c>
      <c r="C7" s="20" t="s">
        <v>137</v>
      </c>
      <c r="D7" s="20"/>
      <c r="E7" s="20"/>
      <c r="F7" s="19">
        <v>24939</v>
      </c>
      <c r="G7" s="19">
        <v>1.25</v>
      </c>
      <c r="H7" s="19"/>
    </row>
    <row r="8" spans="1:9" hidden="1" x14ac:dyDescent="0.15">
      <c r="A8" s="19">
        <v>20160113</v>
      </c>
      <c r="B8" s="19" t="s">
        <v>136</v>
      </c>
      <c r="C8" s="20" t="s">
        <v>137</v>
      </c>
      <c r="D8" s="20"/>
      <c r="E8" s="20"/>
      <c r="F8" s="19">
        <v>19948</v>
      </c>
      <c r="G8" s="19">
        <v>1</v>
      </c>
      <c r="H8" s="19"/>
    </row>
    <row r="9" spans="1:9" hidden="1" x14ac:dyDescent="0.15">
      <c r="A9" s="19">
        <v>20160119</v>
      </c>
      <c r="B9" s="19" t="s">
        <v>136</v>
      </c>
      <c r="C9" s="20" t="s">
        <v>137</v>
      </c>
      <c r="D9" s="20"/>
      <c r="E9" s="20"/>
      <c r="F9" s="19">
        <v>14954</v>
      </c>
      <c r="G9" s="19">
        <v>0.75</v>
      </c>
      <c r="H9" s="19"/>
    </row>
    <row r="10" spans="1:9" hidden="1" x14ac:dyDescent="0.15">
      <c r="A10" s="19">
        <v>20160122</v>
      </c>
      <c r="B10" s="19" t="s">
        <v>121</v>
      </c>
      <c r="C10" s="20" t="s">
        <v>137</v>
      </c>
      <c r="D10" s="20"/>
      <c r="E10" s="20"/>
      <c r="F10" s="19">
        <v>4956</v>
      </c>
      <c r="G10" s="19">
        <v>0.25</v>
      </c>
      <c r="H10" s="19"/>
    </row>
    <row r="11" spans="1:9" hidden="1" x14ac:dyDescent="0.15">
      <c r="A11" s="19">
        <v>20160126</v>
      </c>
      <c r="B11" s="19" t="s">
        <v>153</v>
      </c>
      <c r="C11" s="20" t="s">
        <v>137</v>
      </c>
      <c r="D11" s="20"/>
      <c r="E11" s="20"/>
      <c r="F11" s="19">
        <v>3957</v>
      </c>
      <c r="G11" s="19">
        <v>0.2</v>
      </c>
      <c r="H11" s="19"/>
    </row>
    <row r="12" spans="1:9" hidden="1" x14ac:dyDescent="0.15">
      <c r="A12" s="19">
        <v>20160127</v>
      </c>
      <c r="B12" s="19" t="s">
        <v>154</v>
      </c>
      <c r="C12" s="20" t="s">
        <v>137</v>
      </c>
      <c r="D12" s="20"/>
      <c r="E12" s="20"/>
      <c r="F12" s="19">
        <v>-502.8</v>
      </c>
      <c r="G12" s="19">
        <v>-0.05</v>
      </c>
      <c r="H12" s="19"/>
    </row>
    <row r="13" spans="1:9" hidden="1" x14ac:dyDescent="0.15">
      <c r="A13" s="19">
        <v>20160202</v>
      </c>
      <c r="B13" s="19" t="s">
        <v>121</v>
      </c>
      <c r="C13" s="20" t="s">
        <v>157</v>
      </c>
      <c r="D13" s="20"/>
      <c r="E13" s="20"/>
      <c r="F13" s="19">
        <v>9496.7999999999993</v>
      </c>
      <c r="G13" s="19">
        <v>1</v>
      </c>
      <c r="H13" s="19"/>
    </row>
    <row r="14" spans="1:9" x14ac:dyDescent="0.15">
      <c r="A14" s="19">
        <v>20160711</v>
      </c>
      <c r="B14" s="19" t="s">
        <v>162</v>
      </c>
      <c r="C14" s="20" t="s">
        <v>112</v>
      </c>
      <c r="D14" s="20"/>
      <c r="E14" s="20"/>
      <c r="F14" s="19">
        <v>20000</v>
      </c>
      <c r="G14" s="19">
        <v>1</v>
      </c>
      <c r="H14" s="19">
        <v>0</v>
      </c>
    </row>
    <row r="15" spans="1:9" x14ac:dyDescent="0.15">
      <c r="A15" s="19">
        <v>20160823</v>
      </c>
      <c r="B15" s="19" t="s">
        <v>196</v>
      </c>
      <c r="C15" s="20" t="s">
        <v>112</v>
      </c>
      <c r="D15" s="20"/>
      <c r="E15" s="20"/>
      <c r="F15" s="19">
        <v>36042</v>
      </c>
      <c r="G15" s="19">
        <v>1.8</v>
      </c>
      <c r="H15" s="19">
        <v>42</v>
      </c>
    </row>
    <row r="16" spans="1:9" x14ac:dyDescent="0.15">
      <c r="A16" s="19">
        <v>20160908</v>
      </c>
      <c r="B16" s="19" t="s">
        <v>202</v>
      </c>
      <c r="C16" s="20" t="s">
        <v>112</v>
      </c>
      <c r="D16" s="20"/>
      <c r="E16" s="20"/>
      <c r="F16" s="19">
        <v>49311.5</v>
      </c>
      <c r="G16" s="19">
        <v>2.5</v>
      </c>
      <c r="H16" s="19">
        <v>69.5</v>
      </c>
    </row>
    <row r="17" spans="1:9" x14ac:dyDescent="0.15">
      <c r="A17" s="19">
        <v>20160909</v>
      </c>
      <c r="B17" s="19" t="s">
        <v>202</v>
      </c>
      <c r="C17" s="20" t="s">
        <v>112</v>
      </c>
      <c r="D17" s="20"/>
      <c r="E17" s="20"/>
      <c r="F17" s="19">
        <v>49354</v>
      </c>
      <c r="G17" s="19">
        <v>2.5</v>
      </c>
      <c r="H17" s="19">
        <f>F17-F16</f>
        <v>42.5</v>
      </c>
    </row>
    <row r="18" spans="1:9" x14ac:dyDescent="0.15">
      <c r="A18" s="19">
        <v>20160920</v>
      </c>
      <c r="B18" s="19" t="s">
        <v>223</v>
      </c>
      <c r="C18" s="20"/>
      <c r="D18" s="20"/>
      <c r="E18" s="20"/>
      <c r="F18" s="19">
        <v>47379</v>
      </c>
      <c r="G18" s="19">
        <v>2</v>
      </c>
      <c r="H18" s="19">
        <v>25</v>
      </c>
    </row>
    <row r="19" spans="1:9" x14ac:dyDescent="0.15">
      <c r="A19" s="19">
        <v>20160926</v>
      </c>
      <c r="B19" s="19" t="s">
        <v>236</v>
      </c>
      <c r="C19" s="20"/>
      <c r="D19" s="20"/>
      <c r="E19" s="20"/>
      <c r="F19" s="19">
        <v>42391</v>
      </c>
      <c r="G19" s="19">
        <v>2</v>
      </c>
      <c r="H19" s="19">
        <v>12</v>
      </c>
    </row>
    <row r="20" spans="1:9" x14ac:dyDescent="0.15">
      <c r="A20" s="19">
        <v>20160927</v>
      </c>
      <c r="B20" s="19" t="s">
        <v>237</v>
      </c>
      <c r="C20" s="20"/>
      <c r="D20" s="20"/>
      <c r="E20" s="20"/>
      <c r="F20" s="19">
        <v>38393</v>
      </c>
      <c r="G20" s="19">
        <v>2</v>
      </c>
      <c r="H20" s="19">
        <v>2</v>
      </c>
    </row>
    <row r="21" spans="1:9" x14ac:dyDescent="0.15">
      <c r="A21" s="19">
        <v>20160928</v>
      </c>
      <c r="B21" s="19" t="s">
        <v>239</v>
      </c>
      <c r="C21" s="20"/>
      <c r="D21" s="20"/>
      <c r="E21" s="20"/>
      <c r="F21" s="19">
        <v>34395</v>
      </c>
      <c r="G21" s="19">
        <v>1.5</v>
      </c>
      <c r="H21" s="19">
        <v>2</v>
      </c>
    </row>
    <row r="22" spans="1:9" x14ac:dyDescent="0.15">
      <c r="A22" s="19">
        <v>20160930</v>
      </c>
      <c r="B22" s="19" t="s">
        <v>240</v>
      </c>
      <c r="C22" s="20"/>
      <c r="D22" s="20"/>
      <c r="E22" s="20"/>
      <c r="F22" s="19">
        <v>29399</v>
      </c>
      <c r="G22" s="19">
        <v>1.5</v>
      </c>
      <c r="H22" s="19">
        <v>17</v>
      </c>
    </row>
    <row r="23" spans="1:9" x14ac:dyDescent="0.15">
      <c r="A23" s="19">
        <v>20161012</v>
      </c>
      <c r="B23" s="19" t="s">
        <v>241</v>
      </c>
      <c r="C23" s="20"/>
      <c r="D23" s="20"/>
      <c r="E23" s="20"/>
      <c r="F23" s="19">
        <v>26417</v>
      </c>
      <c r="G23" s="19">
        <v>1</v>
      </c>
      <c r="H23" s="19">
        <v>1</v>
      </c>
    </row>
    <row r="24" spans="1:9" x14ac:dyDescent="0.15">
      <c r="A24" s="19">
        <v>20161013</v>
      </c>
      <c r="B24" s="19" t="s">
        <v>242</v>
      </c>
      <c r="C24" s="20"/>
      <c r="D24" s="20"/>
      <c r="E24" s="20"/>
      <c r="F24" s="19">
        <v>23418</v>
      </c>
      <c r="G24" s="19">
        <v>1</v>
      </c>
      <c r="H24" s="19">
        <v>14</v>
      </c>
    </row>
    <row r="25" spans="1:9" x14ac:dyDescent="0.15">
      <c r="A25" s="19">
        <v>20161031</v>
      </c>
      <c r="B25" s="19" t="s">
        <v>244</v>
      </c>
      <c r="C25" s="20"/>
      <c r="D25" s="20"/>
      <c r="E25" s="20"/>
      <c r="F25" s="19">
        <f>F24+H24+39000</f>
        <v>62432</v>
      </c>
      <c r="G25" s="19">
        <v>3</v>
      </c>
      <c r="H25" s="19">
        <v>0</v>
      </c>
    </row>
    <row r="26" spans="1:9" x14ac:dyDescent="0.15">
      <c r="A26" s="19">
        <v>20161031</v>
      </c>
      <c r="B26" s="19" t="s">
        <v>252</v>
      </c>
      <c r="C26" s="20" t="s">
        <v>249</v>
      </c>
      <c r="D26" s="20">
        <v>91000</v>
      </c>
      <c r="E26" s="20"/>
      <c r="F26" s="19">
        <v>153432</v>
      </c>
      <c r="G26" s="19">
        <v>7.5</v>
      </c>
      <c r="H26" s="19">
        <v>45</v>
      </c>
      <c r="I26" t="s">
        <v>253</v>
      </c>
    </row>
    <row r="27" spans="1:9" x14ac:dyDescent="0.15">
      <c r="A27" s="19">
        <v>20161105</v>
      </c>
      <c r="B27" s="19" t="s">
        <v>252</v>
      </c>
      <c r="C27" s="20" t="s">
        <v>249</v>
      </c>
      <c r="D27" s="20">
        <v>91000</v>
      </c>
      <c r="E27" s="20"/>
      <c r="F27" s="19">
        <v>153477</v>
      </c>
      <c r="G27" s="19">
        <v>7.5</v>
      </c>
      <c r="H27" s="19">
        <v>90</v>
      </c>
      <c r="I27" t="s">
        <v>253</v>
      </c>
    </row>
    <row r="28" spans="1:9" x14ac:dyDescent="0.15">
      <c r="A28" s="19">
        <v>20161117</v>
      </c>
      <c r="B28" s="19" t="s">
        <v>252</v>
      </c>
      <c r="C28" s="20"/>
      <c r="D28" s="20"/>
      <c r="E28" s="20"/>
      <c r="F28" s="19">
        <v>153567</v>
      </c>
      <c r="G28" s="19">
        <v>7.5</v>
      </c>
      <c r="H28" s="19">
        <v>30</v>
      </c>
    </row>
    <row r="29" spans="1:9" x14ac:dyDescent="0.15">
      <c r="A29" s="19">
        <v>20161117</v>
      </c>
      <c r="B29" s="19" t="s">
        <v>252</v>
      </c>
      <c r="C29" s="20"/>
      <c r="D29" s="20"/>
      <c r="E29" s="20"/>
      <c r="F29" s="19">
        <v>153597</v>
      </c>
      <c r="G29" s="19">
        <v>7.5</v>
      </c>
      <c r="H29" s="19">
        <v>90</v>
      </c>
    </row>
    <row r="30" spans="1:9" x14ac:dyDescent="0.15">
      <c r="A30" s="19">
        <v>20161129</v>
      </c>
      <c r="B30" s="19" t="s">
        <v>252</v>
      </c>
      <c r="C30" s="20"/>
      <c r="D30" s="20"/>
      <c r="E30" s="20"/>
      <c r="F30" s="19">
        <v>153687</v>
      </c>
      <c r="G30" s="19">
        <v>7.5</v>
      </c>
      <c r="H30" s="19">
        <v>0</v>
      </c>
    </row>
    <row r="31" spans="1:9" s="61" customFormat="1" x14ac:dyDescent="0.15">
      <c r="A31" s="57">
        <v>20161129</v>
      </c>
      <c r="B31" s="57" t="s">
        <v>268</v>
      </c>
      <c r="C31" s="62"/>
      <c r="D31" s="62"/>
      <c r="E31" s="62"/>
      <c r="F31" s="57">
        <f>153687-93300</f>
        <v>60387</v>
      </c>
      <c r="G31" s="57">
        <v>3</v>
      </c>
      <c r="H31" s="57">
        <v>3</v>
      </c>
    </row>
    <row r="32" spans="1:9" s="65" customFormat="1" x14ac:dyDescent="0.15">
      <c r="A32" s="63">
        <v>20161130</v>
      </c>
      <c r="B32" s="63" t="s">
        <v>268</v>
      </c>
      <c r="C32" s="64"/>
      <c r="D32" s="64"/>
      <c r="E32" s="64"/>
      <c r="F32" s="63">
        <v>60340</v>
      </c>
      <c r="G32" s="63">
        <v>3</v>
      </c>
      <c r="H32" s="63">
        <v>0</v>
      </c>
    </row>
    <row r="33" spans="1:10" s="65" customFormat="1" x14ac:dyDescent="0.15">
      <c r="A33" s="63">
        <v>20161130</v>
      </c>
      <c r="B33" s="63" t="s">
        <v>270</v>
      </c>
      <c r="C33" s="64"/>
      <c r="D33" s="64"/>
      <c r="E33" s="64"/>
      <c r="F33" s="63">
        <f>F32-8333</f>
        <v>52007</v>
      </c>
      <c r="G33" s="63">
        <f>0.5*5</f>
        <v>2.5</v>
      </c>
      <c r="H33" s="63">
        <v>32.5</v>
      </c>
      <c r="I33" s="65" t="s">
        <v>271</v>
      </c>
    </row>
    <row r="34" spans="1:10" s="65" customFormat="1" x14ac:dyDescent="0.15">
      <c r="A34" s="63">
        <v>20161215</v>
      </c>
      <c r="B34" s="63" t="s">
        <v>270</v>
      </c>
      <c r="C34" s="64"/>
      <c r="D34" s="64"/>
      <c r="E34" s="64"/>
      <c r="F34" s="63">
        <v>52042.5</v>
      </c>
      <c r="G34" s="63">
        <f>0.5*5</f>
        <v>2.5</v>
      </c>
      <c r="H34" s="63">
        <f>G34*15</f>
        <v>37.5</v>
      </c>
    </row>
    <row r="35" spans="1:10" s="65" customFormat="1" x14ac:dyDescent="0.15">
      <c r="A35" s="63">
        <v>20161229</v>
      </c>
      <c r="B35" s="63" t="s">
        <v>270</v>
      </c>
      <c r="C35" s="64"/>
      <c r="D35" s="64"/>
      <c r="E35" s="64"/>
      <c r="F35" s="63">
        <v>52077.5</v>
      </c>
      <c r="G35" s="63">
        <f>0.5*5</f>
        <v>2.5</v>
      </c>
      <c r="H35" s="63">
        <f>G35*14</f>
        <v>35</v>
      </c>
    </row>
    <row r="36" spans="1:10" s="65" customFormat="1" x14ac:dyDescent="0.15">
      <c r="A36" s="63">
        <v>20161230</v>
      </c>
      <c r="B36" s="63">
        <v>4.5</v>
      </c>
      <c r="C36" s="64"/>
      <c r="D36" s="64"/>
      <c r="E36" s="64"/>
      <c r="F36" s="63">
        <v>46080</v>
      </c>
      <c r="G36" s="63">
        <v>2</v>
      </c>
      <c r="H36" s="63">
        <f>G36*1</f>
        <v>2</v>
      </c>
      <c r="I36" s="65" t="s">
        <v>272</v>
      </c>
      <c r="J36" s="63">
        <v>0</v>
      </c>
    </row>
    <row r="37" spans="1:10" s="65" customFormat="1" x14ac:dyDescent="0.15">
      <c r="A37" s="63">
        <v>20161230</v>
      </c>
      <c r="B37" s="63">
        <v>4.5</v>
      </c>
      <c r="C37" s="64"/>
      <c r="D37" s="64"/>
      <c r="E37" s="64"/>
      <c r="F37" s="63">
        <f>46080-8333</f>
        <v>37747</v>
      </c>
      <c r="G37" s="63">
        <v>2</v>
      </c>
      <c r="H37" s="63">
        <v>0</v>
      </c>
      <c r="I37" s="65" t="s">
        <v>273</v>
      </c>
    </row>
    <row r="38" spans="1:10" s="65" customFormat="1" x14ac:dyDescent="0.15">
      <c r="A38" s="63">
        <v>20170103</v>
      </c>
      <c r="B38" s="63">
        <v>3.95</v>
      </c>
      <c r="C38" s="64"/>
      <c r="D38" s="64"/>
      <c r="E38" s="64"/>
      <c r="F38" s="63">
        <f>46080-8333-5500+8</f>
        <v>32255</v>
      </c>
      <c r="G38" s="63">
        <v>1.5</v>
      </c>
      <c r="H38" s="63">
        <f>G38*4</f>
        <v>6</v>
      </c>
      <c r="I38" s="65" t="s">
        <v>274</v>
      </c>
      <c r="J38" s="65">
        <v>0</v>
      </c>
    </row>
    <row r="39" spans="1:10" s="65" customFormat="1" x14ac:dyDescent="0.15">
      <c r="A39" s="63">
        <v>20170109</v>
      </c>
      <c r="B39" s="63" t="s">
        <v>239</v>
      </c>
      <c r="C39" s="64"/>
      <c r="D39" s="64"/>
      <c r="E39" s="64"/>
      <c r="F39" s="63">
        <f>32255-5500+9</f>
        <v>26764</v>
      </c>
      <c r="G39" s="63">
        <v>1.5</v>
      </c>
      <c r="H39" s="63">
        <f>G39*6</f>
        <v>9</v>
      </c>
      <c r="I39" s="65" t="s">
        <v>275</v>
      </c>
      <c r="J39" s="65">
        <v>0</v>
      </c>
    </row>
    <row r="40" spans="1:10" s="65" customFormat="1" x14ac:dyDescent="0.15">
      <c r="A40" s="63">
        <v>20170112</v>
      </c>
      <c r="B40" s="63" t="s">
        <v>239</v>
      </c>
      <c r="C40" s="64"/>
      <c r="D40" s="64"/>
      <c r="E40" s="64"/>
      <c r="F40" s="63">
        <f>26764-4999+4.5</f>
        <v>21769.5</v>
      </c>
      <c r="G40" s="63">
        <v>1</v>
      </c>
      <c r="H40" s="63">
        <f>G40*3</f>
        <v>3</v>
      </c>
      <c r="I40" s="65" t="s">
        <v>278</v>
      </c>
      <c r="J40" s="65">
        <v>0</v>
      </c>
    </row>
    <row r="41" spans="1:10" s="65" customFormat="1" x14ac:dyDescent="0.15">
      <c r="A41" s="63">
        <v>20170113</v>
      </c>
      <c r="B41" s="63" t="s">
        <v>280</v>
      </c>
      <c r="C41" s="64"/>
      <c r="D41" s="64"/>
      <c r="E41" s="64"/>
      <c r="F41" s="63">
        <f>21769.5-5000+1</f>
        <v>16770.5</v>
      </c>
      <c r="G41" s="63">
        <v>0.75</v>
      </c>
      <c r="H41" s="63">
        <f>G41*1</f>
        <v>0.75</v>
      </c>
      <c r="I41" s="65" t="s">
        <v>286</v>
      </c>
      <c r="J41" s="65">
        <v>0</v>
      </c>
    </row>
    <row r="42" spans="1:10" s="65" customFormat="1" x14ac:dyDescent="0.15">
      <c r="A42" s="63">
        <v>20170116</v>
      </c>
      <c r="B42" s="63" t="s">
        <v>280</v>
      </c>
      <c r="C42" s="64"/>
      <c r="D42" s="64"/>
      <c r="E42" s="64"/>
      <c r="F42" s="63">
        <f>16770.5+0.75*3-5500</f>
        <v>11272.75</v>
      </c>
      <c r="G42" s="63">
        <v>0.5</v>
      </c>
      <c r="H42" s="63">
        <f>G42*3</f>
        <v>1.5</v>
      </c>
      <c r="I42" s="65" t="s">
        <v>281</v>
      </c>
      <c r="J42" s="65">
        <v>0</v>
      </c>
    </row>
    <row r="43" spans="1:10" s="65" customFormat="1" x14ac:dyDescent="0.15">
      <c r="A43" s="63">
        <v>20170117</v>
      </c>
      <c r="B43" s="63" t="s">
        <v>282</v>
      </c>
      <c r="C43" s="64"/>
      <c r="D43" s="64"/>
      <c r="E43" s="64"/>
      <c r="F43" s="63">
        <f>11272.75+0.25-5500</f>
        <v>5773</v>
      </c>
      <c r="G43" s="63">
        <v>0.25</v>
      </c>
      <c r="H43" s="63">
        <f>G43*1</f>
        <v>0.25</v>
      </c>
      <c r="I43" s="65" t="s">
        <v>281</v>
      </c>
      <c r="J43" s="65">
        <v>0</v>
      </c>
    </row>
    <row r="44" spans="1:10" s="65" customFormat="1" x14ac:dyDescent="0.15">
      <c r="A44" s="63">
        <v>20170118</v>
      </c>
      <c r="B44" s="63" t="s">
        <v>282</v>
      </c>
      <c r="C44" s="64"/>
      <c r="D44" s="64"/>
      <c r="E44" s="64"/>
      <c r="F44" s="63">
        <f>5773+0.25-6000</f>
        <v>-226.75</v>
      </c>
      <c r="G44" s="63">
        <v>-0.25</v>
      </c>
      <c r="H44" s="63">
        <f>G44*1</f>
        <v>-0.25</v>
      </c>
      <c r="I44" s="65" t="s">
        <v>284</v>
      </c>
      <c r="J44" s="65">
        <v>0</v>
      </c>
    </row>
    <row r="45" spans="1:10" s="65" customFormat="1" x14ac:dyDescent="0.15">
      <c r="A45" s="63">
        <v>20170119</v>
      </c>
      <c r="B45" s="63" t="s">
        <v>282</v>
      </c>
      <c r="C45" s="64"/>
      <c r="D45" s="64"/>
      <c r="E45" s="64"/>
      <c r="F45" s="63">
        <f>-226.75-0.25-5000</f>
        <v>-5227</v>
      </c>
      <c r="G45" s="63">
        <v>-1</v>
      </c>
      <c r="H45" s="63">
        <f>G45*1</f>
        <v>-1</v>
      </c>
      <c r="I45" s="65" t="s">
        <v>285</v>
      </c>
      <c r="J45" s="65">
        <v>0</v>
      </c>
    </row>
    <row r="46" spans="1:10" s="65" customFormat="1" x14ac:dyDescent="0.15">
      <c r="A46" s="63">
        <v>20170120</v>
      </c>
      <c r="B46" s="63" t="s">
        <v>282</v>
      </c>
      <c r="C46" s="64"/>
      <c r="D46" s="64"/>
      <c r="E46" s="64"/>
      <c r="F46" s="63">
        <f>-5227-5000-1</f>
        <v>-10228</v>
      </c>
      <c r="G46" s="63">
        <v>-2</v>
      </c>
      <c r="H46" s="63">
        <f>G46*1</f>
        <v>-2</v>
      </c>
      <c r="I46" s="65" t="s">
        <v>285</v>
      </c>
      <c r="J46" s="65">
        <v>0</v>
      </c>
    </row>
    <row r="47" spans="1:10" s="65" customFormat="1" x14ac:dyDescent="0.15">
      <c r="A47" s="63">
        <v>20170123</v>
      </c>
      <c r="B47" s="63" t="s">
        <v>282</v>
      </c>
      <c r="C47" s="64"/>
      <c r="D47" s="64"/>
      <c r="E47" s="64"/>
      <c r="F47" s="63">
        <f>-10228-6</f>
        <v>-10234</v>
      </c>
      <c r="G47" s="63">
        <v>-2</v>
      </c>
      <c r="H47" s="63">
        <f>G47*3</f>
        <v>-6</v>
      </c>
      <c r="I47" s="65" t="s">
        <v>278</v>
      </c>
      <c r="J47" s="65">
        <v>0</v>
      </c>
    </row>
    <row r="48" spans="1:10" s="65" customFormat="1" x14ac:dyDescent="0.15">
      <c r="A48" s="63">
        <v>20170124</v>
      </c>
      <c r="B48" s="63" t="s">
        <v>282</v>
      </c>
      <c r="C48" s="64"/>
      <c r="D48" s="64"/>
      <c r="E48" s="64"/>
      <c r="F48" s="63">
        <f>-10228-6-2</f>
        <v>-10236</v>
      </c>
      <c r="G48" s="63">
        <v>-2</v>
      </c>
      <c r="H48" s="63">
        <f>G48</f>
        <v>-2</v>
      </c>
      <c r="I48" s="65" t="s">
        <v>278</v>
      </c>
      <c r="J48" s="65">
        <v>0</v>
      </c>
    </row>
    <row r="49" spans="1:10" s="65" customFormat="1" x14ac:dyDescent="0.15">
      <c r="A49" s="63">
        <v>20170203</v>
      </c>
      <c r="B49" s="63" t="s">
        <v>288</v>
      </c>
      <c r="C49" s="64"/>
      <c r="D49" s="64"/>
      <c r="E49" s="64"/>
      <c r="F49" s="63">
        <f>-10228-6-2+H49</f>
        <v>-10256</v>
      </c>
      <c r="G49" s="63">
        <v>-2</v>
      </c>
      <c r="H49" s="63">
        <f>G49*10</f>
        <v>-20</v>
      </c>
      <c r="I49" s="65" t="s">
        <v>287</v>
      </c>
      <c r="J49" s="65">
        <v>0</v>
      </c>
    </row>
    <row r="50" spans="1:10" s="65" customFormat="1" x14ac:dyDescent="0.15">
      <c r="A50" s="63">
        <v>20170203</v>
      </c>
      <c r="B50" s="63" t="s">
        <v>282</v>
      </c>
      <c r="C50" s="64"/>
      <c r="D50" s="64"/>
      <c r="E50" s="64"/>
      <c r="F50" s="63">
        <f>-10256-8333</f>
        <v>-18589</v>
      </c>
      <c r="G50" s="63">
        <v>-3.5</v>
      </c>
      <c r="H50" s="63">
        <f>G50*12</f>
        <v>-42</v>
      </c>
      <c r="I50" s="65" t="s">
        <v>289</v>
      </c>
      <c r="J50" s="65">
        <v>0</v>
      </c>
    </row>
    <row r="51" spans="1:10" s="65" customFormat="1" x14ac:dyDescent="0.15">
      <c r="A51" s="63">
        <v>20170215</v>
      </c>
      <c r="B51" s="63" t="s">
        <v>282</v>
      </c>
      <c r="C51" s="64"/>
      <c r="D51" s="64"/>
      <c r="E51" s="64"/>
      <c r="F51" s="63">
        <f>-18589-42+50</f>
        <v>-18581</v>
      </c>
      <c r="G51" s="63">
        <v>-3.5</v>
      </c>
      <c r="H51" s="63">
        <v>0</v>
      </c>
      <c r="I51" s="65" t="s">
        <v>290</v>
      </c>
      <c r="J51" s="65">
        <v>0</v>
      </c>
    </row>
    <row r="52" spans="1:10" s="65" customFormat="1" x14ac:dyDescent="0.15">
      <c r="A52" s="63">
        <v>20170220</v>
      </c>
      <c r="B52" s="63" t="s">
        <v>282</v>
      </c>
      <c r="C52" s="64"/>
      <c r="D52" s="64"/>
      <c r="E52" s="64"/>
      <c r="F52" s="63">
        <f>-18581+103000-3.5*3</f>
        <v>84408.5</v>
      </c>
      <c r="G52" s="63">
        <v>8.5</v>
      </c>
      <c r="H52" s="63">
        <v>0</v>
      </c>
      <c r="I52" s="65" t="s">
        <v>291</v>
      </c>
      <c r="J52" s="65">
        <v>0</v>
      </c>
    </row>
    <row r="53" spans="1:10" s="65" customFormat="1" x14ac:dyDescent="0.15">
      <c r="A53" s="63">
        <v>20170222</v>
      </c>
      <c r="B53" s="63" t="s">
        <v>282</v>
      </c>
      <c r="C53" s="64"/>
      <c r="D53" s="64"/>
      <c r="E53" s="64"/>
      <c r="F53" s="63">
        <f>84408.5+8.5*2</f>
        <v>84425.5</v>
      </c>
      <c r="G53" s="63">
        <v>8.5</v>
      </c>
      <c r="H53" s="63">
        <v>0</v>
      </c>
      <c r="I53" s="65" t="s">
        <v>260</v>
      </c>
      <c r="J53" s="65">
        <v>0</v>
      </c>
    </row>
  </sheetData>
  <mergeCells count="1">
    <mergeCell ref="A2:F2"/>
  </mergeCells>
  <phoneticPr fontId="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A</vt:lpstr>
      <vt:lpstr>HK</vt:lpstr>
      <vt:lpstr>总</vt:lpstr>
      <vt:lpstr>A股经验</vt:lpstr>
      <vt:lpstr>操作系统</vt:lpstr>
      <vt:lpstr>日志</vt:lpstr>
      <vt:lpstr>规则</vt:lpstr>
      <vt:lpstr>安全资产</vt:lpstr>
      <vt:lpstr>拆借</vt:lpstr>
      <vt:lpstr>仓</vt:lpstr>
      <vt:lpstr>止损</vt:lpstr>
      <vt:lpstr>股票交易</vt:lpstr>
      <vt:lpstr>逆回购交易</vt:lpstr>
      <vt:lpstr>提取账户</vt:lpstr>
      <vt:lpstr>交易账户</vt:lpstr>
      <vt:lpstr>权益</vt:lpstr>
      <vt:lpstr>201609交易复盘</vt:lpstr>
      <vt:lpstr>纪律</vt:lpstr>
      <vt:lpstr>601169 北京银行</vt:lpstr>
      <vt:lpstr>600363 联创光电</vt:lpstr>
    </vt:vector>
  </TitlesOfParts>
  <Company>QQ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rand</dc:creator>
  <cp:lastModifiedBy>Microsoft Office 用户</cp:lastModifiedBy>
  <dcterms:created xsi:type="dcterms:W3CDTF">2015-05-25T09:09:39Z</dcterms:created>
  <dcterms:modified xsi:type="dcterms:W3CDTF">2017-03-03T16:37:06Z</dcterms:modified>
</cp:coreProperties>
</file>