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180" tabRatio="500" activeTab="2"/>
  </bookViews>
  <sheets>
    <sheet name="工作表1" sheetId="1" r:id="rId1"/>
    <sheet name="余额宝" sheetId="7" r:id="rId2"/>
    <sheet name="投资者权益表" sheetId="6" r:id="rId3"/>
    <sheet name="易H股ETF联接（110031）" sheetId="2" state="hidden" r:id="rId4"/>
    <sheet name="打包资产统计" sheetId="3" state="hidden" r:id="rId5"/>
    <sheet name="资产结构" sheetId="8" r:id="rId6"/>
    <sheet name="策略" sheetId="10" r:id="rId7"/>
    <sheet name="Operation" sheetId="9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8" l="1"/>
  <c r="F42" i="8"/>
  <c r="I39" i="8"/>
  <c r="D37" i="8"/>
  <c r="I37" i="8"/>
  <c r="H38" i="8"/>
  <c r="I38" i="8"/>
  <c r="D38" i="8"/>
  <c r="E10" i="7"/>
  <c r="I41" i="8"/>
  <c r="D43" i="8"/>
  <c r="C39" i="6"/>
  <c r="C37" i="6"/>
  <c r="D27" i="8"/>
  <c r="D32" i="8"/>
  <c r="D33" i="8"/>
  <c r="C31" i="6"/>
  <c r="D6" i="8"/>
  <c r="D7" i="8"/>
  <c r="D8" i="8"/>
  <c r="D9" i="8"/>
  <c r="D10" i="8"/>
  <c r="C22" i="6"/>
  <c r="C20" i="6"/>
  <c r="J20" i="6"/>
  <c r="J22" i="6"/>
  <c r="K20" i="6"/>
  <c r="D29" i="6"/>
  <c r="C29" i="6"/>
  <c r="J29" i="6"/>
  <c r="E37" i="6"/>
  <c r="G37" i="6"/>
  <c r="H37" i="6"/>
  <c r="J37" i="6"/>
  <c r="L37" i="6"/>
  <c r="O37" i="6"/>
  <c r="C38" i="6"/>
  <c r="J38" i="6"/>
  <c r="O38" i="6"/>
  <c r="H39" i="6"/>
  <c r="J39" i="6"/>
  <c r="L39" i="6"/>
  <c r="O39" i="6"/>
  <c r="H42" i="8"/>
  <c r="H39" i="8"/>
  <c r="H40" i="8"/>
  <c r="I40" i="8"/>
  <c r="H41" i="8"/>
  <c r="H37" i="8"/>
  <c r="N39" i="6"/>
  <c r="M37" i="6"/>
  <c r="M38" i="6"/>
  <c r="N38" i="6"/>
  <c r="M20" i="6"/>
  <c r="N20" i="6"/>
  <c r="N37" i="6"/>
  <c r="D17" i="8"/>
  <c r="G18" i="2"/>
  <c r="D18" i="2"/>
  <c r="G22" i="2"/>
  <c r="D22" i="2"/>
  <c r="C21" i="6"/>
  <c r="J21" i="6"/>
  <c r="K21" i="6"/>
  <c r="D30" i="6"/>
  <c r="C30" i="6"/>
  <c r="J30" i="6"/>
  <c r="E38" i="6"/>
  <c r="L31" i="6"/>
  <c r="M39" i="6"/>
  <c r="K39" i="6"/>
  <c r="G38" i="6"/>
  <c r="G39" i="6"/>
  <c r="E39" i="6"/>
  <c r="F39" i="6"/>
  <c r="K38" i="6"/>
  <c r="F38" i="6"/>
  <c r="K37" i="6"/>
  <c r="F37" i="6"/>
  <c r="F10" i="7"/>
  <c r="E43" i="8"/>
  <c r="E42" i="8"/>
  <c r="E41" i="8"/>
  <c r="E40" i="8"/>
  <c r="E39" i="8"/>
  <c r="E38" i="8"/>
  <c r="E37" i="8"/>
  <c r="E22" i="2"/>
  <c r="J31" i="6"/>
  <c r="K31" i="6"/>
  <c r="K30" i="6"/>
  <c r="K29" i="6"/>
  <c r="H31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L30" i="6"/>
  <c r="G6" i="7"/>
  <c r="F6" i="7"/>
  <c r="H6" i="7"/>
  <c r="N31" i="6"/>
  <c r="M29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M21" i="6"/>
  <c r="M22" i="6"/>
  <c r="L21" i="6"/>
  <c r="L22" i="6"/>
  <c r="L20" i="6"/>
  <c r="K22" i="6"/>
  <c r="H22" i="6"/>
  <c r="E20" i="6"/>
  <c r="G20" i="6"/>
  <c r="E21" i="6"/>
  <c r="G21" i="6"/>
  <c r="G22" i="6"/>
  <c r="F14" i="6"/>
  <c r="F15" i="6"/>
  <c r="F13" i="6"/>
  <c r="F21" i="6"/>
  <c r="E22" i="6"/>
  <c r="F22" i="6"/>
  <c r="F20" i="6"/>
  <c r="N22" i="6"/>
  <c r="N21" i="6"/>
  <c r="D20" i="6"/>
  <c r="D21" i="6"/>
  <c r="J13" i="6"/>
  <c r="M25" i="6"/>
  <c r="L14" i="6"/>
  <c r="M14" i="6"/>
  <c r="M24" i="6"/>
  <c r="H15" i="6"/>
  <c r="L15" i="6"/>
  <c r="J14" i="6"/>
  <c r="D12" i="8"/>
  <c r="E12" i="8"/>
  <c r="E11" i="8"/>
  <c r="E10" i="8"/>
  <c r="E9" i="8"/>
  <c r="E8" i="8"/>
  <c r="E7" i="8"/>
  <c r="E6" i="8"/>
  <c r="E15" i="6"/>
  <c r="C14" i="6"/>
  <c r="D14" i="6"/>
  <c r="E14" i="6"/>
  <c r="C13" i="6"/>
  <c r="D13" i="6"/>
  <c r="E13" i="6"/>
  <c r="D8" i="6"/>
  <c r="J15" i="6"/>
  <c r="M15" i="6"/>
  <c r="L13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K14" i="6"/>
  <c r="G14" i="6"/>
  <c r="K13" i="6"/>
  <c r="G13" i="6"/>
</calcChain>
</file>

<file path=xl/sharedStrings.xml><?xml version="1.0" encoding="utf-8"?>
<sst xmlns="http://schemas.openxmlformats.org/spreadsheetml/2006/main" count="225" uniqueCount="95">
  <si>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</si>
  <si>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</si>
  <si>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</si>
  <si>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</si>
  <si>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</si>
  <si>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</si>
  <si>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</si>
  <si>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</si>
  <si>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</si>
  <si>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</si>
  <si>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</si>
  <si>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</si>
  <si>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</si>
  <si>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</si>
  <si>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</si>
  <si>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</si>
  <si>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</si>
  <si>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</si>
  <si>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</si>
  <si>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</si>
  <si>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</si>
  <si>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</si>
  <si>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</si>
  <si>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</si>
  <si>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</si>
  <si>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</si>
  <si>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</si>
  <si>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</si>
  <si>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</si>
  <si>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</si>
  <si>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</si>
  <si>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</si>
  <si>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</si>
  <si>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</si>
  <si>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</si>
  <si>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</si>
  <si>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</si>
  <si>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</si>
  <si>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</si>
  <si>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</si>
  <si>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</si>
  <si>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</si>
  <si>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</si>
  <si>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</si>
  <si>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</si>
  <si>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</si>
  <si>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</si>
  <si>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</si>
  <si>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</si>
  <si>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</si>
  <si>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</si>
  <si>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</si>
  <si>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</si>
  <si>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</si>
  <si>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</si>
  <si>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</si>
  <si>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</si>
  <si>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</si>
  <si>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</si>
  <si>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</si>
  <si>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</si>
  <si>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</si>
  <si>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</si>
  <si>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</si>
  <si>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</si>
  <si>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</si>
  <si>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</si>
  <si>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</si>
  <si>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</si>
  <si>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</si>
  <si>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</si>
  <si>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</si>
  <si>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</si>
  <si>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</si>
  <si>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</si>
  <si>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</si>
  <si>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</si>
  <si>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</si>
  <si>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</si>
  <si>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</si>
  <si>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</si>
  <si>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</si>
  <si>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</si>
  <si>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</si>
  <si>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</si>
  <si>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</si>
  <si>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</si>
  <si>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</si>
  <si>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</si>
  <si>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</si>
  <si>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</si>
  <si>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</si>
  <si>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</si>
  <si>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20160816 申购3000元</t>
    <rPh sb="9" eb="10">
      <t>shen'gou</t>
    </rPh>
    <rPh sb="15" eb="16">
      <t>yuan</t>
    </rPh>
    <phoneticPr fontId="2" type="noConversion"/>
  </si>
  <si>
    <t>20160819 卖出2000 0.9996</t>
    <rPh sb="9" eb="10">
      <t>mai'chu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</si>
</sst>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;[Red]0.00"/>
    <numFmt numFmtId="177" formatCode="0.00_ "/>
    <numFmt numFmtId="178" formatCode="0.000_ "/>
    <numFmt numFmtId="179" formatCode="#,##0.000_ ;[Red]\-#,##0.000\ "/>
  </numFmts>
  <fonts count="9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" fontId="4" fillId="0" borderId="0" xfId="0" applyNumberFormat="1" applyFo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90" t="s">
        <v>0</v>
      </c>
      <c r="C17" s="90" t="s">
        <v>1</v>
      </c>
      <c r="D17" s="90">
        <v>7000</v>
      </c>
      <c r="E17" s="91">
        <v>7013.3</v>
      </c>
      <c r="F17" s="4"/>
      <c r="G17" s="89">
        <v>7058.1</v>
      </c>
      <c r="H17" s="89"/>
      <c r="I17" s="89"/>
    </row>
    <row r="18" spans="2:9" ht="18" x14ac:dyDescent="0.2">
      <c r="B18" s="90"/>
      <c r="C18" s="90"/>
      <c r="D18" s="90"/>
      <c r="E18" s="91"/>
      <c r="F18" s="4"/>
      <c r="G18" s="89"/>
      <c r="H18" s="89"/>
      <c r="I18" s="89"/>
    </row>
    <row r="19" spans="2:9" ht="18" x14ac:dyDescent="0.2">
      <c r="B19" s="90" t="s">
        <v>2</v>
      </c>
      <c r="C19" s="90" t="s">
        <v>3</v>
      </c>
      <c r="D19" s="90">
        <v>10000</v>
      </c>
      <c r="E19" s="91">
        <v>10623.79</v>
      </c>
      <c r="F19" s="4"/>
      <c r="G19" s="89"/>
      <c r="H19" s="89"/>
      <c r="I19" s="89"/>
    </row>
    <row r="20" spans="2:9" ht="18" x14ac:dyDescent="0.2">
      <c r="B20" s="90"/>
      <c r="C20" s="90"/>
      <c r="D20" s="90"/>
      <c r="E20" s="91"/>
      <c r="F20" s="4"/>
      <c r="G20" s="89"/>
      <c r="H20" s="89"/>
      <c r="I20" s="89"/>
    </row>
    <row r="21" spans="2:9" ht="18" x14ac:dyDescent="0.2">
      <c r="B21" s="90" t="s">
        <v>4</v>
      </c>
      <c r="C21" s="90" t="s">
        <v>3</v>
      </c>
      <c r="D21" s="90">
        <v>10000</v>
      </c>
      <c r="E21" s="91">
        <v>10065.91</v>
      </c>
      <c r="F21" s="4"/>
      <c r="G21" s="89"/>
      <c r="H21" s="89"/>
      <c r="I21" s="89"/>
    </row>
    <row r="22" spans="2:9" ht="18" x14ac:dyDescent="0.2">
      <c r="B22" s="90"/>
      <c r="C22" s="90"/>
      <c r="D22" s="90"/>
      <c r="E22" s="91"/>
      <c r="F22" s="4"/>
      <c r="G22" s="89"/>
      <c r="H22" s="89"/>
      <c r="I22" s="89"/>
    </row>
    <row r="23" spans="2:9" ht="18" x14ac:dyDescent="0.2">
      <c r="B23" s="90" t="s">
        <v>5</v>
      </c>
      <c r="C23" s="90" t="s">
        <v>1</v>
      </c>
      <c r="D23" s="90">
        <v>10000</v>
      </c>
      <c r="E23" s="91">
        <v>10809.31</v>
      </c>
      <c r="F23" s="4"/>
      <c r="G23" s="89"/>
      <c r="H23" s="89"/>
      <c r="I23" s="89"/>
    </row>
    <row r="24" spans="2:9" ht="18" x14ac:dyDescent="0.2">
      <c r="B24" s="90"/>
      <c r="C24" s="90"/>
      <c r="D24" s="90"/>
      <c r="E24" s="91"/>
      <c r="F24" s="4"/>
      <c r="G24" s="89"/>
      <c r="H24" s="89"/>
      <c r="I24" s="89"/>
    </row>
    <row r="25" spans="2:9" ht="18" x14ac:dyDescent="0.2">
      <c r="B25" s="90" t="s">
        <v>6</v>
      </c>
      <c r="C25" s="90" t="s">
        <v>1</v>
      </c>
      <c r="D25" s="90">
        <v>1000</v>
      </c>
      <c r="E25" s="91">
        <v>1053.7</v>
      </c>
      <c r="F25" s="4"/>
      <c r="G25" s="89"/>
      <c r="H25" s="89"/>
      <c r="I25" s="89"/>
    </row>
    <row r="26" spans="2:9" ht="18" x14ac:dyDescent="0.2">
      <c r="B26" s="90"/>
      <c r="C26" s="90"/>
      <c r="D26" s="90"/>
      <c r="E26" s="91"/>
      <c r="F26" s="4"/>
      <c r="G26" s="89"/>
      <c r="H26" s="89"/>
      <c r="I26" s="89"/>
    </row>
    <row r="27" spans="2:9" ht="18" x14ac:dyDescent="0.2">
      <c r="B27" s="90" t="s">
        <v>7</v>
      </c>
      <c r="C27" s="90" t="s">
        <v>8</v>
      </c>
      <c r="D27" s="90">
        <v>22000</v>
      </c>
      <c r="E27" s="91">
        <v>21825.21</v>
      </c>
      <c r="F27" s="4"/>
      <c r="G27" s="89"/>
      <c r="H27" s="89"/>
      <c r="I27" s="89"/>
    </row>
    <row r="28" spans="2:9" ht="18" x14ac:dyDescent="0.2">
      <c r="B28" s="90"/>
      <c r="C28" s="90"/>
      <c r="D28" s="90"/>
      <c r="E28" s="91"/>
      <c r="F28" s="4"/>
      <c r="G28" s="89"/>
      <c r="H28" s="89"/>
      <c r="I28" s="89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H17:H18"/>
    <mergeCell ref="I17:I18"/>
    <mergeCell ref="B17:B18"/>
    <mergeCell ref="C17:C18"/>
    <mergeCell ref="D17:D18"/>
    <mergeCell ref="E17:E18"/>
    <mergeCell ref="G17:G18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27:I28"/>
    <mergeCell ref="B27:B28"/>
    <mergeCell ref="C27:C28"/>
    <mergeCell ref="D27:D28"/>
    <mergeCell ref="E27:E28"/>
    <mergeCell ref="G27:G28"/>
    <mergeCell ref="H27:H2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J6" sqref="J6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92">
        <v>20160708</v>
      </c>
      <c r="G4" s="92"/>
      <c r="H4" s="92">
        <v>20160712</v>
      </c>
      <c r="I4" s="92"/>
      <c r="J4" s="92">
        <v>20160808</v>
      </c>
      <c r="K4" s="92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92">
        <v>20160810</v>
      </c>
      <c r="F8" s="92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23888.746299999999</v>
      </c>
      <c r="E10" s="81">
        <f>19888.7462999999*(1+0.024/12)</f>
        <v>19928.523792599899</v>
      </c>
      <c r="F10" s="81">
        <f>E10-D10</f>
        <v>-3960.2225074000999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40"/>
  <sheetViews>
    <sheetView tabSelected="1" topLeftCell="A27" zoomScale="75" zoomScaleNormal="75" zoomScalePageLayoutView="75" workbookViewId="0">
      <selection activeCell="F47" sqref="F47"/>
    </sheetView>
  </sheetViews>
  <sheetFormatPr baseColWidth="10" defaultRowHeight="23" x14ac:dyDescent="0.3"/>
  <cols>
    <col min="1" max="1" width="10.83203125" style="9"/>
    <col min="2" max="2" width="10.83203125" style="10"/>
    <col min="3" max="3" width="16.6640625" style="9" bestFit="1" customWidth="1"/>
    <col min="4" max="4" width="16" style="9" bestFit="1" customWidth="1"/>
    <col min="5" max="5" width="24.1640625" style="9" customWidth="1"/>
    <col min="6" max="6" width="16" style="9" customWidth="1"/>
    <col min="7" max="9" width="15.6640625" style="9" customWidth="1"/>
    <col min="10" max="10" width="23" style="9" customWidth="1"/>
    <col min="11" max="11" width="15.66406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92">
        <v>201605</v>
      </c>
      <c r="D4" s="92"/>
      <c r="E4" s="92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96">
        <v>20160608</v>
      </c>
      <c r="D11" s="97"/>
      <c r="E11" s="97"/>
      <c r="F11" s="97"/>
      <c r="G11" s="97"/>
      <c r="H11" s="97"/>
      <c r="I11" s="97"/>
      <c r="J11" s="97"/>
      <c r="K11" s="97"/>
      <c r="L11" s="97"/>
      <c r="M11" s="98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93">
        <v>20160708</v>
      </c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93">
        <v>20160808</v>
      </c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5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67">
        <f>J29/J31</f>
        <v>0.66509358314575606</v>
      </c>
      <c r="L29" s="66">
        <v>289.99299999999999</v>
      </c>
      <c r="M29" s="66">
        <f>C29+L29-40000</f>
        <v>1517.1153275836696</v>
      </c>
      <c r="N29" s="65">
        <f>M29/40000</f>
        <v>3.7927883189591741E-2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67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2243.1393000000135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93">
        <v>20160910</v>
      </c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5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41952.42966639893</v>
      </c>
      <c r="D37" s="66">
        <v>0.66500000000000004</v>
      </c>
      <c r="E37" s="66">
        <f>C37-J29</f>
        <v>792.43733881525986</v>
      </c>
      <c r="F37" s="66">
        <f>E37/C37</f>
        <v>1.8888949820466509E-2</v>
      </c>
      <c r="G37" s="66">
        <f>E37*0.2</f>
        <v>158.487467763052</v>
      </c>
      <c r="H37" s="85">
        <f>ROUND(G37,2)</f>
        <v>158.49</v>
      </c>
      <c r="I37" s="66">
        <v>0</v>
      </c>
      <c r="J37" s="66">
        <f>C37-H37</f>
        <v>41793.939666398932</v>
      </c>
      <c r="K37" s="67">
        <f>J37/J39</f>
        <v>0.66415626971543773</v>
      </c>
      <c r="L37" s="66">
        <f>289.93+H37</f>
        <v>448.42</v>
      </c>
      <c r="M37" s="66">
        <f>J37+L37-40000</f>
        <v>2242.3596663989301</v>
      </c>
      <c r="N37" s="64">
        <f>M37/40000</f>
        <v>5.6058991659973252E-2</v>
      </c>
      <c r="O37" s="19">
        <f t="shared" ref="O37:O38" si="10">J37+L37</f>
        <v>42242.35966639893</v>
      </c>
    </row>
    <row r="38" spans="2:16" x14ac:dyDescent="0.3">
      <c r="B38" s="40" t="s">
        <v>32</v>
      </c>
      <c r="C38" s="66">
        <f>C39*D38</f>
        <v>21133.930734200967</v>
      </c>
      <c r="D38" s="66">
        <v>0.33500000000000002</v>
      </c>
      <c r="E38" s="66">
        <f>C38-J30</f>
        <v>407.90676178462309</v>
      </c>
      <c r="F38" s="66">
        <f t="shared" ref="F38:F39" si="11">E38/C38</f>
        <v>1.9301036182753688E-2</v>
      </c>
      <c r="G38" s="66">
        <f>E38*0.2</f>
        <v>81.581352356924626</v>
      </c>
      <c r="H38" s="66">
        <v>0</v>
      </c>
      <c r="I38" s="66">
        <v>0</v>
      </c>
      <c r="J38" s="66">
        <f t="shared" ref="J38" si="12">C38-H38</f>
        <v>21133.930734200967</v>
      </c>
      <c r="K38" s="67">
        <f>J38/J39</f>
        <v>0.33584373028456238</v>
      </c>
      <c r="L38" s="66">
        <v>0</v>
      </c>
      <c r="M38" s="66">
        <f>C38-20000</f>
        <v>1133.930734200967</v>
      </c>
      <c r="N38" s="64">
        <f>M38/20000</f>
        <v>5.6696536710048352E-2</v>
      </c>
      <c r="O38" s="19">
        <f t="shared" si="10"/>
        <v>21133.930734200967</v>
      </c>
    </row>
    <row r="39" spans="2:16" ht="24" thickBot="1" x14ac:dyDescent="0.35">
      <c r="B39" s="73" t="s">
        <v>43</v>
      </c>
      <c r="C39" s="68">
        <f>资产结构!D43</f>
        <v>63086.360400599893</v>
      </c>
      <c r="D39" s="68">
        <v>1</v>
      </c>
      <c r="E39" s="69">
        <f>SUM(E37:E38)</f>
        <v>1200.3441005998829</v>
      </c>
      <c r="F39" s="69">
        <f t="shared" si="11"/>
        <v>1.9026998751832714E-2</v>
      </c>
      <c r="G39" s="69">
        <f>G37+G38</f>
        <v>240.06882011997664</v>
      </c>
      <c r="H39" s="69">
        <f>SUM(H37:H38)</f>
        <v>158.49</v>
      </c>
      <c r="I39" s="69">
        <v>0</v>
      </c>
      <c r="J39" s="69">
        <f>C39-H39</f>
        <v>62927.870400599895</v>
      </c>
      <c r="K39" s="70">
        <f>J39/J39</f>
        <v>1</v>
      </c>
      <c r="L39" s="69">
        <f>L37+L38</f>
        <v>448.42</v>
      </c>
      <c r="M39" s="69">
        <f>M37+M38</f>
        <v>3376.2904005998971</v>
      </c>
      <c r="N39" s="87">
        <f>(J39+L39)/60000-1</f>
        <v>5.6271506676664806E-2</v>
      </c>
      <c r="O39" s="22">
        <f>J39+L39</f>
        <v>63376.290400599893</v>
      </c>
    </row>
    <row r="40" spans="2:16" x14ac:dyDescent="0.3">
      <c r="K40" s="83"/>
      <c r="O40" s="84" t="s">
        <v>67</v>
      </c>
      <c r="P40" s="39">
        <v>60800</v>
      </c>
    </row>
  </sheetData>
  <mergeCells count="5"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02" t="s">
        <v>46</v>
      </c>
      <c r="D1" s="102"/>
      <c r="E1" s="102"/>
      <c r="F1" s="102"/>
    </row>
    <row r="3" spans="3:12" ht="24" thickBot="1" x14ac:dyDescent="0.35"/>
    <row r="4" spans="3:12" x14ac:dyDescent="0.3">
      <c r="C4" s="107" t="s">
        <v>25</v>
      </c>
      <c r="D4" s="94"/>
      <c r="E4" s="94"/>
      <c r="F4" s="95"/>
      <c r="G4" s="103"/>
      <c r="H4" s="103"/>
      <c r="I4" s="103"/>
      <c r="J4" s="103"/>
      <c r="K4" s="103"/>
      <c r="L4" s="103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04" t="s">
        <v>47</v>
      </c>
      <c r="D8" s="105"/>
      <c r="E8" s="105"/>
      <c r="F8" s="106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04" t="s">
        <v>68</v>
      </c>
      <c r="D12" s="105"/>
      <c r="E12" s="105"/>
      <c r="F12" s="106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04" t="s">
        <v>77</v>
      </c>
      <c r="D16" s="105"/>
      <c r="E16" s="105"/>
      <c r="F16" s="106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99" t="s">
        <v>69</v>
      </c>
      <c r="D20" s="100"/>
      <c r="E20" s="100"/>
      <c r="F20" s="100"/>
      <c r="G20" s="101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1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96" t="s">
        <v>27</v>
      </c>
      <c r="E4" s="97"/>
      <c r="F4" s="97"/>
      <c r="G4" s="97"/>
      <c r="H4" s="96" t="s">
        <v>48</v>
      </c>
      <c r="I4" s="97"/>
      <c r="J4" s="97"/>
      <c r="K4" s="97"/>
      <c r="L4" s="97"/>
      <c r="M4" s="98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12">
        <f>SUM(D6:D9)</f>
        <v>28756.7</v>
      </c>
      <c r="F6" s="28">
        <f>D6-C6</f>
        <v>13.300000000000182</v>
      </c>
      <c r="G6" s="110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12">
        <f>J6+J7+J8+J9</f>
        <v>-382.68999999999915</v>
      </c>
      <c r="L6" s="112">
        <f>SUM(H6:H9)</f>
        <v>28374.010000000002</v>
      </c>
      <c r="M6" s="108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12"/>
      <c r="F7" s="28">
        <f>D7-C7</f>
        <v>53.700000000000045</v>
      </c>
      <c r="G7" s="110"/>
      <c r="H7" s="25">
        <v>1078.76</v>
      </c>
      <c r="I7" s="24">
        <f>H7-C7</f>
        <v>78.759999999999991</v>
      </c>
      <c r="J7" s="28">
        <f>H7-D7</f>
        <v>25.059999999999945</v>
      </c>
      <c r="K7" s="112"/>
      <c r="L7" s="112"/>
      <c r="M7" s="108"/>
    </row>
    <row r="8" spans="2:13" x14ac:dyDescent="0.3">
      <c r="B8" s="10" t="s">
        <v>30</v>
      </c>
      <c r="C8" s="10">
        <v>10000</v>
      </c>
      <c r="D8" s="25">
        <v>10065.91</v>
      </c>
      <c r="E8" s="112"/>
      <c r="F8" s="28">
        <f>D8-C8</f>
        <v>65.909999999999854</v>
      </c>
      <c r="G8" s="110"/>
      <c r="H8" s="25">
        <v>9985.2000000000007</v>
      </c>
      <c r="I8" s="24">
        <f>H8-C8</f>
        <v>-14.799999999999272</v>
      </c>
      <c r="J8" s="28">
        <f>H8-D8</f>
        <v>-80.709999999999127</v>
      </c>
      <c r="K8" s="112"/>
      <c r="L8" s="112"/>
      <c r="M8" s="108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13"/>
      <c r="F9" s="31">
        <f>D9-C9</f>
        <v>623.79000000000087</v>
      </c>
      <c r="G9" s="111"/>
      <c r="H9" s="26">
        <v>10251.950000000001</v>
      </c>
      <c r="I9" s="32">
        <f>H9-C9</f>
        <v>251.95000000000073</v>
      </c>
      <c r="J9" s="31">
        <f>H9-D9</f>
        <v>-371.84000000000015</v>
      </c>
      <c r="K9" s="113"/>
      <c r="L9" s="113"/>
      <c r="M9" s="109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96" t="s">
        <v>63</v>
      </c>
      <c r="E13" s="97"/>
      <c r="F13" s="97"/>
      <c r="G13" s="97"/>
      <c r="H13" s="97"/>
      <c r="I13" s="98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14">
        <f>F15+F16+F17+F18</f>
        <v>-873.43000000000166</v>
      </c>
      <c r="H15" s="114">
        <f>SUM(D15:D18)</f>
        <v>27883.269999999997</v>
      </c>
      <c r="I15" s="117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15"/>
      <c r="H16" s="115"/>
      <c r="I16" s="118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15"/>
      <c r="H17" s="115"/>
      <c r="I17" s="118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16"/>
      <c r="H18" s="116"/>
      <c r="I18" s="119"/>
    </row>
  </sheetData>
  <mergeCells count="11">
    <mergeCell ref="D13:I13"/>
    <mergeCell ref="G15:G18"/>
    <mergeCell ref="H15:H18"/>
    <mergeCell ref="I15:I18"/>
    <mergeCell ref="L6:L9"/>
    <mergeCell ref="D4:G4"/>
    <mergeCell ref="M6:M9"/>
    <mergeCell ref="H4:M4"/>
    <mergeCell ref="G6:G9"/>
    <mergeCell ref="K6:K9"/>
    <mergeCell ref="E6:E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43"/>
  <sheetViews>
    <sheetView topLeftCell="A30" workbookViewId="0">
      <selection activeCell="G42" sqref="G42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9" customWidth="1"/>
    <col min="7" max="7" width="10.83203125" style="9"/>
    <col min="8" max="8" width="20.33203125" style="9" customWidth="1"/>
    <col min="9" max="9" width="17.5" style="9" customWidth="1"/>
    <col min="10" max="10" width="36.6640625" style="9" customWidth="1"/>
    <col min="11" max="16384" width="10.83203125" style="9"/>
  </cols>
  <sheetData>
    <row r="3" spans="3:5" ht="24" thickBot="1" x14ac:dyDescent="0.35"/>
    <row r="4" spans="3:5" x14ac:dyDescent="0.3">
      <c r="D4" s="120">
        <v>20160622</v>
      </c>
      <c r="E4" s="121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20">
        <v>20160713</v>
      </c>
      <c r="E15" s="121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9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20">
        <v>20160808</v>
      </c>
      <c r="E25" s="121"/>
    </row>
    <row r="26" spans="3:8" ht="24" thickBot="1" x14ac:dyDescent="0.35">
      <c r="D26" s="29" t="s">
        <v>24</v>
      </c>
      <c r="E26" s="80" t="s">
        <v>42</v>
      </c>
      <c r="F26" s="9" t="s">
        <v>23</v>
      </c>
      <c r="G26" s="9" t="s">
        <v>75</v>
      </c>
      <c r="H26" s="9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39">
        <v>10860</v>
      </c>
      <c r="G27" s="9">
        <v>0.95250000000000001</v>
      </c>
      <c r="H27" s="9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9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9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20">
        <v>20160908</v>
      </c>
      <c r="E35" s="121"/>
    </row>
    <row r="36" spans="3:10" ht="24" thickBot="1" x14ac:dyDescent="0.35">
      <c r="D36" s="29" t="s">
        <v>24</v>
      </c>
      <c r="E36" s="82" t="s">
        <v>42</v>
      </c>
      <c r="F36" s="9" t="s">
        <v>23</v>
      </c>
      <c r="G36" s="9" t="s">
        <v>82</v>
      </c>
      <c r="H36" s="9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8856.4560000000001</v>
      </c>
      <c r="E37" s="53">
        <f>D37/D43</f>
        <v>0.14038622522778765</v>
      </c>
      <c r="F37" s="9">
        <v>8860</v>
      </c>
      <c r="G37" s="9">
        <v>0.99960000000000004</v>
      </c>
      <c r="H37" s="9">
        <f>F37*G37</f>
        <v>8856.4560000000001</v>
      </c>
      <c r="I37" s="9">
        <f>933+D37-10000</f>
        <v>-210.54399999999987</v>
      </c>
      <c r="J37" s="9" t="s">
        <v>94</v>
      </c>
    </row>
    <row r="38" spans="3:10" x14ac:dyDescent="0.3">
      <c r="C38" s="59" t="s">
        <v>28</v>
      </c>
      <c r="D38" s="78">
        <f>H38</f>
        <v>10215.670608</v>
      </c>
      <c r="E38" s="53">
        <f>D38/D43</f>
        <v>0.16193152597693461</v>
      </c>
      <c r="F38" s="122">
        <v>9921.98</v>
      </c>
      <c r="G38" s="9">
        <v>1.0296000000000001</v>
      </c>
      <c r="H38" s="9">
        <f t="shared" ref="H38:H42" si="0">F38*G38</f>
        <v>10215.670608</v>
      </c>
      <c r="I38" s="9">
        <f>H38-10000</f>
        <v>215.67060800000036</v>
      </c>
      <c r="J38" s="9" t="s">
        <v>93</v>
      </c>
    </row>
    <row r="39" spans="3:10" x14ac:dyDescent="0.3">
      <c r="C39" s="60" t="s">
        <v>29</v>
      </c>
      <c r="D39" s="56">
        <v>173.79</v>
      </c>
      <c r="E39" s="53">
        <f>D39/D43</f>
        <v>2.7547951553462484E-3</v>
      </c>
      <c r="F39" s="9">
        <v>193.32</v>
      </c>
      <c r="G39" s="9">
        <v>0.90800000000000003</v>
      </c>
      <c r="H39" s="9">
        <f t="shared" si="0"/>
        <v>175.53456</v>
      </c>
      <c r="I39" s="9">
        <f>-1000+944+H39-4.67</f>
        <v>114.86456</v>
      </c>
    </row>
    <row r="40" spans="3:10" x14ac:dyDescent="0.3">
      <c r="C40" s="60" t="s">
        <v>30</v>
      </c>
      <c r="D40" s="56">
        <v>10331.1</v>
      </c>
      <c r="E40" s="53">
        <f>D40/D43</f>
        <v>0.16376123038953697</v>
      </c>
      <c r="F40" s="9">
        <v>11530.25</v>
      </c>
      <c r="G40" s="9">
        <v>0.91</v>
      </c>
      <c r="H40" s="9">
        <f t="shared" si="0"/>
        <v>10492.5275</v>
      </c>
      <c r="I40" s="9">
        <f>H40-10000</f>
        <v>492.52750000000015</v>
      </c>
    </row>
    <row r="41" spans="3:10" x14ac:dyDescent="0.3">
      <c r="C41" s="60" t="s">
        <v>31</v>
      </c>
      <c r="D41" s="56">
        <v>11591.3</v>
      </c>
      <c r="E41" s="53">
        <f>D41/D43</f>
        <v>0.18373702217713889</v>
      </c>
      <c r="F41" s="9">
        <v>19351.080000000002</v>
      </c>
      <c r="G41" s="9">
        <v>0.60699999999999998</v>
      </c>
      <c r="H41" s="9">
        <f t="shared" si="0"/>
        <v>11746.10556</v>
      </c>
      <c r="I41" s="9">
        <f>F41*G41-11000</f>
        <v>746.10555999999997</v>
      </c>
      <c r="J41" s="9" t="s">
        <v>89</v>
      </c>
    </row>
    <row r="42" spans="3:10" x14ac:dyDescent="0.3">
      <c r="C42" s="60" t="s">
        <v>59</v>
      </c>
      <c r="D42" s="88">
        <f>H42</f>
        <v>21918.043792599899</v>
      </c>
      <c r="E42" s="53">
        <f>D42/D43</f>
        <v>0.34742920107325576</v>
      </c>
      <c r="F42" s="88">
        <f>19888.7462999999*(1+0.024/12)+2000*0.9996-121/25000*2000</f>
        <v>21918.043792599899</v>
      </c>
      <c r="G42" s="9">
        <v>1</v>
      </c>
      <c r="H42" s="9">
        <f t="shared" si="0"/>
        <v>21918.043792599899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63086.360400599893</v>
      </c>
      <c r="E43" s="54">
        <f>D43/D43</f>
        <v>1</v>
      </c>
    </row>
  </sheetData>
  <mergeCells count="4">
    <mergeCell ref="D4:E4"/>
    <mergeCell ref="D15:E15"/>
    <mergeCell ref="D25:E25"/>
    <mergeCell ref="D35:E3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baseColWidth="10" defaultRowHeight="15" x14ac:dyDescent="0.15"/>
  <sheetData>
    <row r="1" spans="1:2" x14ac:dyDescent="0.15">
      <c r="A1" t="s">
        <v>83</v>
      </c>
      <c r="B1" t="s">
        <v>84</v>
      </c>
    </row>
    <row r="2" spans="1:2" x14ac:dyDescent="0.15">
      <c r="A2" t="s">
        <v>85</v>
      </c>
      <c r="B2" t="s">
        <v>86</v>
      </c>
    </row>
    <row r="3" spans="1:2" x14ac:dyDescent="0.15">
      <c r="B3" t="s">
        <v>87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G5" sqref="G5"/>
    </sheetView>
  </sheetViews>
  <sheetFormatPr baseColWidth="10" defaultRowHeight="15" x14ac:dyDescent="0.15"/>
  <cols>
    <col min="2" max="2" width="35.83203125" customWidth="1"/>
    <col min="7" max="7" width="37.1640625" customWidth="1"/>
  </cols>
  <sheetData>
    <row r="2" spans="1:7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66</v>
      </c>
    </row>
    <row r="3" spans="1:7" ht="23" x14ac:dyDescent="0.3">
      <c r="A3">
        <v>20160722</v>
      </c>
      <c r="B3" s="58" t="s">
        <v>41</v>
      </c>
      <c r="C3" t="s">
        <v>70</v>
      </c>
      <c r="D3">
        <v>1000</v>
      </c>
      <c r="G3" t="s">
        <v>72</v>
      </c>
    </row>
    <row r="4" spans="1:7" ht="23" x14ac:dyDescent="0.3">
      <c r="A4">
        <v>20160816</v>
      </c>
      <c r="B4" s="60" t="s">
        <v>31</v>
      </c>
      <c r="C4" t="s">
        <v>91</v>
      </c>
      <c r="D4">
        <v>1000</v>
      </c>
    </row>
    <row r="5" spans="1:7" ht="23" x14ac:dyDescent="0.15">
      <c r="A5">
        <v>20160816</v>
      </c>
      <c r="B5" s="59" t="s">
        <v>28</v>
      </c>
      <c r="C5" t="s">
        <v>91</v>
      </c>
      <c r="D5">
        <v>3000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余额宝</vt:lpstr>
      <vt:lpstr>投资者权益表</vt:lpstr>
      <vt:lpstr>易H股ETF联接（110031）</vt:lpstr>
      <vt:lpstr>打包资产统计</vt:lpstr>
      <vt:lpstr>资产结构</vt:lpstr>
      <vt:lpstr>策略</vt:lpstr>
      <vt:lpstr>Operation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2016-08-19T04:04:49Z</dcterms:modified>
</cp:coreProperties>
</file>