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40" tabRatio="500" firstSheet="3" activeTab="7"/>
  </bookViews>
  <sheets>
    <sheet name="工作表1" sheetId="1" state="hidden" r:id="rId1"/>
    <sheet name="余额宝" sheetId="7" state="hidden" r:id="rId2"/>
    <sheet name="投资者权益表" sheetId="6" state="hidden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记录" sheetId="20" r:id="rId9"/>
    <sheet name="分红选择" sheetId="15" state="hidden" r:id="rId10"/>
    <sheet name="易H股ETF联接（110031）" sheetId="2" state="hidden" r:id="rId11"/>
    <sheet name="打包资产统计" sheetId="3" state="hidden" r:id="rId12"/>
    <sheet name="资产结构" sheetId="8" r:id="rId13"/>
    <sheet name="用户资产" sheetId="14" state="hidden" r:id="rId14"/>
    <sheet name="Operation" sheetId="9" r:id="rId15"/>
    <sheet name="余额宝损益表" sheetId="11" r:id="rId16"/>
    <sheet name="待确认" sheetId="19" r:id="rId17"/>
    <sheet name="策略" sheetId="10" state="hidden" r:id="rId18"/>
    <sheet name="投资记录" sheetId="21" r:id="rId19"/>
  </sheets>
  <definedNames>
    <definedName name="_xlnm._FilterDatabase" localSheetId="6" hidden="1">rand资产报告!$C$3:$C$25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7" l="1"/>
  <c r="L24" i="17"/>
  <c r="M25" i="12"/>
  <c r="E68" i="11"/>
  <c r="D10" i="20"/>
  <c r="D26" i="12"/>
  <c r="F26" i="12"/>
  <c r="L26" i="12"/>
  <c r="G26" i="12"/>
  <c r="F207" i="8"/>
  <c r="D207" i="8"/>
  <c r="H208" i="8"/>
  <c r="D208" i="8"/>
  <c r="H209" i="8"/>
  <c r="D209" i="8"/>
  <c r="D211" i="8"/>
  <c r="E211" i="8"/>
  <c r="E210" i="8"/>
  <c r="E209" i="8"/>
  <c r="E208" i="8"/>
  <c r="H207" i="8"/>
  <c r="E207" i="8"/>
  <c r="C8" i="20"/>
  <c r="I67" i="11"/>
  <c r="E6" i="20"/>
  <c r="E5" i="20"/>
  <c r="H26" i="16"/>
  <c r="F26" i="16"/>
  <c r="I24" i="17"/>
  <c r="K24" i="17"/>
  <c r="H24" i="17"/>
  <c r="G24" i="17"/>
  <c r="F24" i="17"/>
  <c r="D6" i="20"/>
  <c r="C6" i="20"/>
  <c r="G25" i="12"/>
  <c r="D25" i="12"/>
  <c r="F25" i="12"/>
  <c r="L25" i="12"/>
  <c r="K25" i="12"/>
  <c r="F200" i="8"/>
  <c r="D200" i="8"/>
  <c r="H201" i="8"/>
  <c r="D201" i="8"/>
  <c r="H202" i="8"/>
  <c r="D202" i="8"/>
  <c r="D204" i="8"/>
  <c r="E204" i="8"/>
  <c r="E203" i="8"/>
  <c r="E202" i="8"/>
  <c r="E201" i="8"/>
  <c r="H200" i="8"/>
  <c r="E200" i="8"/>
  <c r="H22" i="17"/>
  <c r="F23" i="17"/>
  <c r="G23" i="17"/>
  <c r="H23" i="17"/>
  <c r="I23" i="17"/>
  <c r="J23" i="17"/>
  <c r="F24" i="12"/>
  <c r="L24" i="12"/>
  <c r="J24" i="12"/>
  <c r="K24" i="12"/>
  <c r="G24" i="12"/>
  <c r="D24" i="12"/>
  <c r="F192" i="8"/>
  <c r="D192" i="8"/>
  <c r="H193" i="8"/>
  <c r="D193" i="8"/>
  <c r="H194" i="8"/>
  <c r="D194" i="8"/>
  <c r="D195" i="8"/>
  <c r="D196" i="8"/>
  <c r="E196" i="8"/>
  <c r="H195" i="8"/>
  <c r="F195" i="8"/>
  <c r="E195" i="8"/>
  <c r="E194" i="8"/>
  <c r="E193" i="8"/>
  <c r="H192" i="8"/>
  <c r="E192" i="8"/>
  <c r="H187" i="8"/>
  <c r="F187" i="8"/>
  <c r="D187" i="8"/>
  <c r="I66" i="11"/>
  <c r="F18" i="17"/>
  <c r="H25" i="16"/>
  <c r="H24" i="16"/>
  <c r="F25" i="16"/>
  <c r="I22" i="17"/>
  <c r="J22" i="17"/>
  <c r="G22" i="17"/>
  <c r="H21" i="17"/>
  <c r="F22" i="17"/>
  <c r="F23" i="12"/>
  <c r="L23" i="12"/>
  <c r="J23" i="12"/>
  <c r="K23" i="12"/>
  <c r="G23" i="12"/>
  <c r="D23" i="12"/>
  <c r="H23" i="16"/>
  <c r="F24" i="16"/>
  <c r="H186" i="8"/>
  <c r="D186" i="8"/>
  <c r="D184" i="8"/>
  <c r="H185" i="8"/>
  <c r="D185" i="8"/>
  <c r="D188" i="8"/>
  <c r="E184" i="8"/>
  <c r="I21" i="17"/>
  <c r="J21" i="17"/>
  <c r="G21" i="17"/>
  <c r="H20" i="17"/>
  <c r="F21" i="17"/>
  <c r="F22" i="12"/>
  <c r="L22" i="12"/>
  <c r="J22" i="12"/>
  <c r="K22" i="12"/>
  <c r="G22" i="12"/>
  <c r="D22" i="12"/>
  <c r="I65" i="11"/>
  <c r="J188" i="8"/>
  <c r="F184" i="8"/>
  <c r="E188" i="8"/>
  <c r="E187" i="8"/>
  <c r="E186" i="8"/>
  <c r="E185" i="8"/>
  <c r="H184" i="8"/>
  <c r="H22" i="16"/>
  <c r="F23" i="16"/>
  <c r="I20" i="17"/>
  <c r="J20" i="17"/>
  <c r="G20" i="17"/>
  <c r="H19" i="17"/>
  <c r="F20" i="17"/>
  <c r="F21" i="12"/>
  <c r="L21" i="12"/>
  <c r="J21" i="12"/>
  <c r="K21" i="12"/>
  <c r="G21" i="12"/>
  <c r="D21" i="12"/>
  <c r="F177" i="8"/>
  <c r="D177" i="8"/>
  <c r="H178" i="8"/>
  <c r="D178" i="8"/>
  <c r="H179" i="8"/>
  <c r="D179" i="8"/>
  <c r="D181" i="8"/>
  <c r="E181" i="8"/>
  <c r="E180" i="8"/>
  <c r="E179" i="8"/>
  <c r="E178" i="8"/>
  <c r="H177" i="8"/>
  <c r="E177" i="8"/>
  <c r="E64" i="11"/>
  <c r="I64" i="11"/>
  <c r="E63" i="11"/>
  <c r="J130" i="8"/>
  <c r="K179" i="8"/>
  <c r="J181" i="8"/>
  <c r="H28" i="12"/>
  <c r="F20" i="12"/>
  <c r="D20" i="12"/>
  <c r="L20" i="12"/>
  <c r="J20" i="12"/>
  <c r="K20" i="12"/>
  <c r="G20" i="12"/>
  <c r="F170" i="8"/>
  <c r="D170" i="8"/>
  <c r="H171" i="8"/>
  <c r="D171" i="8"/>
  <c r="H172" i="8"/>
  <c r="D172" i="8"/>
  <c r="D174" i="8"/>
  <c r="E174" i="8"/>
  <c r="E173" i="8"/>
  <c r="E172" i="8"/>
  <c r="I171" i="8"/>
  <c r="E171" i="8"/>
  <c r="H170" i="8"/>
  <c r="E170" i="8"/>
  <c r="I164" i="8"/>
  <c r="F163" i="8"/>
  <c r="D163" i="8"/>
  <c r="F164" i="8"/>
  <c r="H164" i="8"/>
  <c r="D164" i="8"/>
  <c r="F165" i="8"/>
  <c r="H165" i="8"/>
  <c r="D165" i="8"/>
  <c r="D167" i="8"/>
  <c r="E167" i="8"/>
  <c r="E166" i="8"/>
  <c r="E165" i="8"/>
  <c r="E164" i="8"/>
  <c r="H163" i="8"/>
  <c r="E163" i="8"/>
  <c r="H21" i="16"/>
  <c r="F22" i="16"/>
  <c r="I19" i="17"/>
  <c r="H18" i="17"/>
  <c r="K18" i="17"/>
  <c r="L18" i="17"/>
  <c r="J19" i="17"/>
  <c r="G19" i="17"/>
  <c r="F19" i="17"/>
  <c r="I61" i="11"/>
  <c r="I18" i="17"/>
  <c r="J18" i="17"/>
  <c r="G18" i="17"/>
  <c r="N5" i="12"/>
  <c r="M19" i="12"/>
  <c r="D19" i="12"/>
  <c r="L19" i="12"/>
  <c r="J19" i="12"/>
  <c r="K19" i="12"/>
  <c r="G19" i="12"/>
  <c r="L17" i="17"/>
  <c r="H17" i="17"/>
  <c r="I17" i="17"/>
  <c r="J17" i="17"/>
  <c r="G17" i="17"/>
  <c r="H16" i="17"/>
  <c r="F17" i="17"/>
  <c r="G20" i="16"/>
  <c r="H20" i="16"/>
  <c r="F21" i="16"/>
  <c r="F18" i="12"/>
  <c r="L18" i="12"/>
  <c r="J18" i="12"/>
  <c r="K18" i="12"/>
  <c r="G18" i="12"/>
  <c r="D18" i="12"/>
  <c r="F156" i="8"/>
  <c r="D156" i="8"/>
  <c r="F157" i="8"/>
  <c r="H157" i="8"/>
  <c r="D157" i="8"/>
  <c r="F158" i="8"/>
  <c r="H158" i="8"/>
  <c r="D158" i="8"/>
  <c r="D160" i="8"/>
  <c r="E160" i="8"/>
  <c r="E159" i="8"/>
  <c r="E158" i="8"/>
  <c r="E157" i="8"/>
  <c r="H156" i="8"/>
  <c r="E156" i="8"/>
  <c r="C13" i="12"/>
  <c r="F12" i="12"/>
  <c r="E13" i="12"/>
  <c r="F13" i="12"/>
  <c r="E14" i="12"/>
  <c r="F14" i="12"/>
  <c r="E15" i="12"/>
  <c r="F15" i="12"/>
  <c r="E16" i="12"/>
  <c r="F16" i="12"/>
  <c r="E17" i="12"/>
  <c r="F17" i="12"/>
  <c r="L17" i="12"/>
  <c r="J17" i="12"/>
  <c r="K17" i="12"/>
  <c r="G17" i="12"/>
  <c r="D17" i="12"/>
  <c r="F148" i="8"/>
  <c r="D148" i="8"/>
  <c r="F149" i="8"/>
  <c r="H149" i="8"/>
  <c r="D149" i="8"/>
  <c r="F150" i="8"/>
  <c r="H150" i="8"/>
  <c r="D150" i="8"/>
  <c r="D153" i="8"/>
  <c r="E153" i="8"/>
  <c r="E152" i="8"/>
  <c r="E150" i="8"/>
  <c r="E149" i="8"/>
  <c r="H148" i="8"/>
  <c r="E148" i="8"/>
  <c r="J20" i="16"/>
  <c r="H19" i="16"/>
  <c r="F20" i="16"/>
  <c r="H18" i="16"/>
  <c r="F19" i="16"/>
  <c r="L16" i="17"/>
  <c r="I16" i="17"/>
  <c r="J16" i="17"/>
  <c r="G16" i="17"/>
  <c r="H15" i="17"/>
  <c r="F16" i="17"/>
  <c r="L16" i="12"/>
  <c r="J16" i="12"/>
  <c r="K16" i="12"/>
  <c r="G16" i="12"/>
  <c r="D16" i="12"/>
  <c r="F140" i="8"/>
  <c r="D140" i="8"/>
  <c r="F141" i="8"/>
  <c r="H141" i="8"/>
  <c r="D141" i="8"/>
  <c r="F142" i="8"/>
  <c r="H142" i="8"/>
  <c r="D142" i="8"/>
  <c r="D145" i="8"/>
  <c r="E145" i="8"/>
  <c r="E144" i="8"/>
  <c r="E142" i="8"/>
  <c r="E141" i="8"/>
  <c r="H140" i="8"/>
  <c r="E140" i="8"/>
  <c r="I55" i="11"/>
  <c r="I56" i="11"/>
  <c r="I57" i="11"/>
  <c r="I58" i="11"/>
  <c r="I59" i="11"/>
  <c r="E59" i="11"/>
  <c r="E50" i="11"/>
  <c r="H17" i="16"/>
  <c r="F18" i="16"/>
  <c r="L15" i="17"/>
  <c r="I15" i="17"/>
  <c r="J15" i="17"/>
  <c r="G15" i="17"/>
  <c r="H14" i="17"/>
  <c r="F15" i="17"/>
  <c r="L15" i="12"/>
  <c r="J15" i="12"/>
  <c r="K15" i="12"/>
  <c r="G15" i="12"/>
  <c r="D15" i="12"/>
  <c r="D14" i="12"/>
  <c r="G14" i="12"/>
  <c r="J14" i="12"/>
  <c r="K14" i="12"/>
  <c r="L14" i="12"/>
  <c r="F133" i="8"/>
  <c r="F132" i="8"/>
  <c r="H132" i="8"/>
  <c r="D132" i="8"/>
  <c r="F131" i="8"/>
  <c r="D131" i="8"/>
  <c r="H133" i="8"/>
  <c r="D133" i="8"/>
  <c r="D136" i="8"/>
  <c r="E135" i="8"/>
  <c r="D14" i="9"/>
  <c r="D13" i="9"/>
  <c r="E136" i="8"/>
  <c r="E133" i="8"/>
  <c r="E132" i="8"/>
  <c r="H131" i="8"/>
  <c r="E131" i="8"/>
  <c r="F15" i="16"/>
  <c r="L14" i="17"/>
  <c r="I14" i="17"/>
  <c r="J14" i="17"/>
  <c r="G14" i="17"/>
  <c r="E13" i="17"/>
  <c r="H13" i="17"/>
  <c r="F14" i="17"/>
  <c r="J17" i="16"/>
  <c r="L13" i="12"/>
  <c r="J13" i="12"/>
  <c r="K13" i="12"/>
  <c r="G13" i="12"/>
  <c r="D13" i="12"/>
  <c r="H54" i="11"/>
  <c r="F123" i="8"/>
  <c r="D122" i="8"/>
  <c r="H123" i="8"/>
  <c r="D123" i="8"/>
  <c r="H124" i="8"/>
  <c r="D124" i="8"/>
  <c r="H125" i="8"/>
  <c r="D125" i="8"/>
  <c r="D127" i="8"/>
  <c r="E127" i="8"/>
  <c r="E126" i="8"/>
  <c r="E125" i="8"/>
  <c r="E124" i="8"/>
  <c r="E123" i="8"/>
  <c r="H122" i="8"/>
  <c r="E122" i="8"/>
  <c r="D113" i="8"/>
  <c r="F114" i="8"/>
  <c r="H114" i="8"/>
  <c r="D114" i="8"/>
  <c r="H115" i="8"/>
  <c r="D115" i="8"/>
  <c r="H116" i="8"/>
  <c r="D116" i="8"/>
  <c r="D118" i="8"/>
  <c r="E118" i="8"/>
  <c r="E117" i="8"/>
  <c r="E116" i="8"/>
  <c r="E115" i="8"/>
  <c r="E114" i="8"/>
  <c r="H113" i="8"/>
  <c r="E113" i="8"/>
  <c r="J16" i="16"/>
  <c r="H16" i="16"/>
  <c r="J15" i="16"/>
  <c r="G15" i="16"/>
  <c r="H15" i="16"/>
  <c r="D37" i="18"/>
  <c r="D38" i="18"/>
  <c r="D39" i="18"/>
  <c r="I39" i="18"/>
  <c r="F39" i="18"/>
  <c r="G39" i="18"/>
  <c r="H39" i="18"/>
  <c r="C39" i="18"/>
  <c r="I38" i="18"/>
  <c r="E38" i="18"/>
  <c r="I37" i="18"/>
  <c r="H37" i="18"/>
  <c r="E37" i="18"/>
  <c r="F10" i="12"/>
  <c r="E13" i="16"/>
  <c r="L13" i="17"/>
  <c r="I13" i="17"/>
  <c r="J13" i="17"/>
  <c r="G13" i="17"/>
  <c r="F11" i="12"/>
  <c r="E12" i="17"/>
  <c r="H12" i="17"/>
  <c r="F13" i="17"/>
  <c r="L12" i="12"/>
  <c r="J12" i="12"/>
  <c r="K12" i="12"/>
  <c r="G12" i="12"/>
  <c r="D12" i="12"/>
  <c r="H53" i="11"/>
  <c r="D104" i="8"/>
  <c r="F105" i="8"/>
  <c r="H105" i="8"/>
  <c r="D105" i="8"/>
  <c r="H106" i="8"/>
  <c r="D106" i="8"/>
  <c r="H107" i="8"/>
  <c r="D107" i="8"/>
  <c r="D109" i="8"/>
  <c r="E109" i="8"/>
  <c r="E108" i="8"/>
  <c r="E107" i="8"/>
  <c r="E106" i="8"/>
  <c r="E105" i="8"/>
  <c r="H104" i="8"/>
  <c r="E104" i="8"/>
  <c r="G9" i="16"/>
  <c r="D10" i="16"/>
  <c r="G10" i="16"/>
  <c r="D11" i="16"/>
  <c r="G11" i="16"/>
  <c r="H14" i="16"/>
  <c r="L12" i="17"/>
  <c r="I12" i="17"/>
  <c r="J12" i="17"/>
  <c r="G12" i="17"/>
  <c r="E11" i="17"/>
  <c r="H11" i="17"/>
  <c r="F12" i="17"/>
  <c r="D5" i="12"/>
  <c r="D6" i="12"/>
  <c r="D7" i="12"/>
  <c r="D8" i="12"/>
  <c r="D9" i="12"/>
  <c r="D10" i="12"/>
  <c r="D11" i="12"/>
  <c r="D4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I11" i="17"/>
  <c r="J11" i="17"/>
  <c r="G11" i="17"/>
  <c r="F9" i="12"/>
  <c r="E10" i="17"/>
  <c r="H10" i="17"/>
  <c r="F11" i="17"/>
  <c r="E12" i="16"/>
  <c r="H13" i="16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H9" i="17"/>
  <c r="F10" i="17"/>
  <c r="D12" i="16"/>
  <c r="H12" i="16"/>
  <c r="F8" i="12"/>
  <c r="L9" i="12"/>
  <c r="J9" i="12"/>
  <c r="K9" i="12"/>
  <c r="G9" i="12"/>
  <c r="H8" i="17"/>
  <c r="F9" i="17"/>
  <c r="F6" i="12"/>
  <c r="E7" i="17"/>
  <c r="D7" i="17"/>
  <c r="H7" i="17"/>
  <c r="F8" i="17"/>
  <c r="L9" i="17"/>
  <c r="I9" i="17"/>
  <c r="J9" i="17"/>
  <c r="G9" i="17"/>
  <c r="F7" i="12"/>
  <c r="L8" i="12"/>
  <c r="J8" i="12"/>
  <c r="K8" i="12"/>
  <c r="G8" i="12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H52" i="11"/>
  <c r="H10" i="16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F4" i="12"/>
  <c r="F3" i="12"/>
  <c r="G4" i="12"/>
  <c r="H4" i="12"/>
  <c r="J4" i="12"/>
  <c r="G7" i="12"/>
  <c r="L7" i="12"/>
  <c r="J7" i="12"/>
  <c r="K7" i="12"/>
  <c r="E8" i="16"/>
  <c r="D8" i="16"/>
  <c r="H8" i="16"/>
  <c r="O7" i="17"/>
  <c r="G7" i="17"/>
  <c r="G8" i="16"/>
  <c r="K8" i="16"/>
  <c r="F5" i="12"/>
  <c r="L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C43" i="11"/>
  <c r="I45" i="11"/>
  <c r="I46" i="11"/>
  <c r="F72" i="8"/>
  <c r="H46" i="11"/>
  <c r="H15" i="18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J5" i="12"/>
  <c r="K5" i="12"/>
  <c r="K4" i="12"/>
  <c r="L5" i="12"/>
  <c r="G5" i="12"/>
  <c r="I7" i="18"/>
  <c r="I6" i="18"/>
  <c r="H8" i="18"/>
  <c r="H6" i="18"/>
  <c r="F8" i="18"/>
  <c r="G8" i="18"/>
  <c r="D7" i="18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F6" i="16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58" i="8"/>
  <c r="F59" i="8"/>
  <c r="H59" i="8"/>
  <c r="D59" i="8"/>
  <c r="H60" i="8"/>
  <c r="D60" i="8"/>
  <c r="H61" i="8"/>
  <c r="D61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47" i="8"/>
  <c r="F48" i="8"/>
  <c r="H48" i="8"/>
  <c r="D48" i="8"/>
  <c r="H49" i="8"/>
  <c r="D49" i="8"/>
  <c r="H50" i="8"/>
  <c r="D50" i="8"/>
  <c r="H51" i="8"/>
  <c r="D51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37" i="8"/>
  <c r="F38" i="8"/>
  <c r="H38" i="8"/>
  <c r="D38" i="8"/>
  <c r="H39" i="8"/>
  <c r="D39" i="8"/>
  <c r="H40" i="8"/>
  <c r="D40" i="8"/>
  <c r="H41" i="8"/>
  <c r="D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J3" i="12"/>
  <c r="E7" i="14"/>
  <c r="I7" i="14"/>
  <c r="I6" i="14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<sst xmlns="http://schemas.openxmlformats.org/spreadsheetml/2006/main" count="869" uniqueCount="218">
  <si>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</si>
  <si>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</si>
  <si>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</si>
  <si>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</si>
  <si>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</si>
  <si>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</si>
  <si>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</si>
  <si>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</si>
  <si>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</si>
  <si>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</si>
  <si>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</si>
  <si>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</si>
  <si>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</si>
  <si>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</si>
  <si>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</si>
  <si>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</si>
  <si>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</si>
  <si>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</si>
  <si>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</si>
  <si>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</si>
  <si>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</si>
  <si>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</si>
  <si>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</si>
  <si>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</si>
  <si>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</si>
  <si>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</si>
  <si>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</si>
  <si>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</si>
  <si>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</si>
  <si>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</si>
  <si>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</si>
  <si>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</si>
  <si>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</si>
  <si>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</si>
  <si>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</si>
  <si>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</si>
  <si>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</si>
  <si>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</si>
  <si>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</si>
  <si>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</si>
  <si>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</si>
  <si>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</si>
  <si>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</si>
  <si>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</si>
  <si>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</si>
  <si>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</si>
  <si>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</si>
  <si>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</si>
  <si>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</si>
  <si>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</si>
  <si>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</si>
  <si>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</si>
  <si>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</si>
  <si>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</si>
  <si>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</si>
  <si>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</si>
  <si>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</si>
  <si>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</si>
  <si>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</si>
  <si>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</si>
  <si>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</si>
  <si>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</si>
  <si>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</si>
  <si>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</si>
  <si>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</si>
  <si>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</si>
  <si>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</si>
  <si>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</si>
  <si>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</si>
  <si>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</si>
  <si>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</si>
  <si>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</si>
  <si>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</si>
  <si>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</si>
  <si>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</si>
  <si>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</si>
  <si>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</si>
  <si>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</si>
  <si>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</si>
  <si>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</si>
  <si>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</si>
  <si>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</si>
  <si>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</si>
  <si>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</si>
  <si>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</si>
  <si>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</si>
  <si>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</si>
  <si>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</si>
  <si>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</si>
  <si>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</si>
  <si>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</si>
  <si>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</si>
  <si>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</si>
  <si>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</si>
  <si>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</si>
  <si>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</si>
  <si>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</si>
  <si>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</si>
  <si>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</si>
  <si>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</si>
  <si>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</si>
  <si>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</si>
  <si>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</si>
  <si>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</si>
  <si>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</si>
  <si>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</si>
  <si>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</si>
  <si>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</si>
  <si>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</si>
  <si>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</si>
  <si>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</si>
  <si>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</si>
  <si>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</si>
  <si>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</si>
  <si>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</si>
  <si>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</si>
  <si>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</si>
  <si>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</si>
  <si>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</si>
  <si>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</si>
  <si>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</si>
  <si>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</si>
  <si>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</si>
  <si>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</si>
  <si>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</si>
  <si>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</si>
  <si>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</si>
  <si>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</si>
  <si>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</si>
  <si>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</si>
  <si>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</si>
  <si>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</si>
  <si>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</si>
  <si>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</si>
  <si>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</si>
  <si>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</si>
  <si>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</si>
  <si>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</si>
  <si>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</si>
  <si>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</si>
  <si>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</si>
  <si>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</si>
  <si>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</si>
  <si>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</si>
  <si>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</si>
  <si>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</si>
  <si>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</si>
  <si>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</si>
  <si>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</si>
  <si>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</si>
  <si>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</si>
  <si>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</si>
  <si>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</si>
  <si>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</si>
  <si>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</si>
  <si>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</si>
  <si>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</si>
  <si>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</si>
  <si>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</si>
  <si>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</si>
  <si>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</si>
  <si>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</si>
  <si>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</si>
  <si>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</si>
  <si>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</si>
  <si>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</si>
  <si>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</si>
  <si>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</si>
  <si>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</si>
  <si>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</si>
  <si>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</si>
  <si>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</si>
  <si>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</si>
  <si>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</si>
  <si>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</si>
  <si>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</si>
  <si>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</si>
  <si>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</si>
  <si>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</si>
  <si>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</si>
  <si>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</si>
  <si>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</si>
  <si>
    <t>rand认购5000</t>
    <rPh sb="4" eb="5">
      <t>ren'gou</t>
    </rPh>
    <phoneticPr fontId="2" type="noConversion"/>
  </si>
  <si>
    <t>统计</t>
    <rPh sb="0" eb="1">
      <t>tong'ji</t>
    </rPh>
    <phoneticPr fontId="2" type="noConversion"/>
  </si>
  <si>
    <t>买入4000，等待成交</t>
    <rPh sb="0" eb="1">
      <t>mai'ru</t>
    </rPh>
    <rPh sb="7" eb="8">
      <t>deng'dai</t>
    </rPh>
    <rPh sb="9" eb="10">
      <t>cheng'jiao</t>
    </rPh>
    <phoneticPr fontId="2" type="noConversion"/>
  </si>
  <si>
    <t>购买港股基金4000</t>
    <rPh sb="0" eb="1">
      <t>gou'mai</t>
    </rPh>
    <rPh sb="2" eb="3">
      <t>gang'gu</t>
    </rPh>
    <rPh sb="4" eb="5">
      <t>ji'jin</t>
    </rPh>
    <phoneticPr fontId="2" type="noConversion"/>
  </si>
  <si>
    <t>IN</t>
    <phoneticPr fontId="2" type="noConversion"/>
  </si>
  <si>
    <t>华宝油气，全部赎回</t>
    <rPh sb="0" eb="1">
      <t>hua'bao</t>
    </rPh>
    <rPh sb="2" eb="3">
      <t>you'qi</t>
    </rPh>
    <rPh sb="5" eb="6">
      <t>quan'bu'shu'hui</t>
    </rPh>
    <phoneticPr fontId="2" type="noConversion"/>
  </si>
  <si>
    <t>OUT</t>
    <phoneticPr fontId="2" type="noConversion"/>
  </si>
  <si>
    <t>购买ETF黄金</t>
    <rPh sb="0" eb="1">
      <t>gou'mai</t>
    </rPh>
    <rPh sb="5" eb="6">
      <t>huang'jin</t>
    </rPh>
    <phoneticPr fontId="2" type="noConversion"/>
  </si>
  <si>
    <t>OK</t>
    <phoneticPr fontId="2" type="noConversion"/>
  </si>
  <si>
    <t>OK</t>
    <phoneticPr fontId="2" type="noConversion"/>
  </si>
  <si>
    <t>华安石油，赎回 一半</t>
    <rPh sb="0" eb="1">
      <t>hua'an'shi'you</t>
    </rPh>
    <rPh sb="5" eb="6">
      <t>shu'hui</t>
    </rPh>
    <rPh sb="8" eb="9">
      <t>yi'ban</t>
    </rPh>
    <phoneticPr fontId="2" type="noConversion"/>
  </si>
  <si>
    <t>IN</t>
    <phoneticPr fontId="2" type="noConversion"/>
  </si>
  <si>
    <t>目标：12月16日</t>
    <rPh sb="0" eb="1">
      <t>mu'biao</t>
    </rPh>
    <rPh sb="5" eb="6">
      <t>yue</t>
    </rPh>
    <rPh sb="8" eb="9">
      <t>ri</t>
    </rPh>
    <phoneticPr fontId="2" type="noConversion"/>
  </si>
  <si>
    <t>申购港股基金</t>
    <rPh sb="0" eb="1">
      <t>shen'gou</t>
    </rPh>
    <rPh sb="2" eb="3">
      <t>gang'gu</t>
    </rPh>
    <rPh sb="4" eb="5">
      <t>ji'jin</t>
    </rPh>
    <phoneticPr fontId="2" type="noConversion"/>
  </si>
  <si>
    <t>发起时间</t>
    <rPh sb="0" eb="1">
      <t>fa'qi'shi'jian</t>
    </rPh>
    <phoneticPr fontId="2" type="noConversion"/>
  </si>
  <si>
    <t>确认时间</t>
    <rPh sb="0" eb="1">
      <t>que'ren</t>
    </rPh>
    <rPh sb="2" eb="3">
      <t>shi'jian</t>
    </rPh>
    <phoneticPr fontId="2" type="noConversion"/>
  </si>
  <si>
    <t>净值：</t>
    <rPh sb="0" eb="1">
      <t>jing'zhi</t>
    </rPh>
    <phoneticPr fontId="2" type="noConversion"/>
  </si>
  <si>
    <t>认购前</t>
    <phoneticPr fontId="2" type="noConversion"/>
  </si>
  <si>
    <t>认购后</t>
    <rPh sb="0" eb="1">
      <t>ren'gou'hou</t>
    </rPh>
    <phoneticPr fontId="2" type="noConversion"/>
  </si>
  <si>
    <t>OUT</t>
    <phoneticPr fontId="2" type="noConversion"/>
  </si>
  <si>
    <t>分红后统计</t>
    <rPh sb="0" eb="1">
      <t>fen'hong</t>
    </rPh>
    <rPh sb="2" eb="3">
      <t>hou</t>
    </rPh>
    <rPh sb="3" eb="4">
      <t>tong'ji</t>
    </rPh>
    <phoneticPr fontId="2" type="noConversion"/>
  </si>
  <si>
    <t>分红后</t>
    <rPh sb="0" eb="1">
      <t>fen'hong</t>
    </rPh>
    <rPh sb="2" eb="3">
      <t>hou</t>
    </rPh>
    <phoneticPr fontId="2" type="noConversion"/>
  </si>
  <si>
    <t>纠错。黄金未买入</t>
    <rPh sb="0" eb="1">
      <t>jiu'cuo</t>
    </rPh>
    <phoneticPr fontId="2" type="noConversion"/>
  </si>
  <si>
    <t>IN</t>
    <phoneticPr fontId="2" type="noConversion"/>
  </si>
  <si>
    <t>计息</t>
    <rPh sb="0" eb="1">
      <t>ji'xi</t>
    </rPh>
    <phoneticPr fontId="2" type="noConversion"/>
  </si>
  <si>
    <t>目标：1月15日</t>
    <rPh sb="0" eb="1">
      <t>mu'biao</t>
    </rPh>
    <rPh sb="4" eb="5">
      <t>yue</t>
    </rPh>
    <rPh sb="7" eb="8">
      <t>ri</t>
    </rPh>
    <phoneticPr fontId="2" type="noConversion"/>
  </si>
  <si>
    <t>亏8%时斩半仓</t>
    <rPh sb="0" eb="1">
      <t>kui</t>
    </rPh>
    <rPh sb="3" eb="4">
      <t>shi</t>
    </rPh>
    <rPh sb="4" eb="5">
      <t>zhan</t>
    </rPh>
    <rPh sb="5" eb="6">
      <t>ban'cang</t>
    </rPh>
    <phoneticPr fontId="2" type="noConversion"/>
  </si>
  <si>
    <t>圣诞节出6000</t>
    <rPh sb="0" eb="1">
      <t>sheng'dan'jie</t>
    </rPh>
    <rPh sb="3" eb="4">
      <t>chu</t>
    </rPh>
    <phoneticPr fontId="2" type="noConversion"/>
  </si>
  <si>
    <t>卖出华宝石油</t>
    <rPh sb="0" eb="1">
      <t>mai'chu</t>
    </rPh>
    <rPh sb="2" eb="3">
      <t>hua'bao'shi'you</t>
    </rPh>
    <phoneticPr fontId="2" type="noConversion"/>
  </si>
  <si>
    <t>目标：2月16日</t>
    <rPh sb="0" eb="1">
      <t>mu'biao</t>
    </rPh>
    <rPh sb="4" eb="5">
      <t>yue</t>
    </rPh>
    <rPh sb="7" eb="8">
      <t>ri</t>
    </rPh>
    <phoneticPr fontId="2" type="noConversion"/>
  </si>
  <si>
    <t>分红净值</t>
    <rPh sb="0" eb="1">
      <t>fen'hong'jing'zhi</t>
    </rPh>
    <phoneticPr fontId="2" type="noConversion"/>
  </si>
  <si>
    <t>分红份数</t>
    <rPh sb="0" eb="1">
      <t>fen'hong'fen'shu</t>
    </rPh>
    <phoneticPr fontId="2" type="noConversion"/>
  </si>
  <si>
    <t>rand</t>
    <phoneticPr fontId="2" type="noConversion"/>
  </si>
  <si>
    <t>TOTAL</t>
    <phoneticPr fontId="2" type="noConversion"/>
  </si>
  <si>
    <t>分红后+rand投资</t>
    <rPh sb="0" eb="1">
      <t>fen'hong'hou</t>
    </rPh>
    <rPh sb="8" eb="9">
      <t>tou'zi</t>
    </rPh>
    <phoneticPr fontId="2" type="noConversion"/>
  </si>
  <si>
    <t>rand投资</t>
    <rPh sb="4" eb="5">
      <t>tou'zi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</si>
</sst>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  <numFmt numFmtId="182" formatCode="#,##0.0_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4" fontId="0" fillId="0" borderId="0" xfId="0" applyNumberForma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82" fontId="4" fillId="0" borderId="0" xfId="0" applyNumberFormat="1" applyFont="1"/>
    <xf numFmtId="0" fontId="4" fillId="0" borderId="26" xfId="0" applyFont="1" applyBorder="1" applyAlignment="1">
      <alignment horizontal="center" vertical="center"/>
    </xf>
    <xf numFmtId="0" fontId="0" fillId="4" borderId="0" xfId="0" applyFill="1"/>
    <xf numFmtId="0" fontId="4" fillId="0" borderId="26" xfId="0" applyFont="1" applyBorder="1" applyAlignment="1">
      <alignment horizontal="center" vertical="center"/>
    </xf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36" t="s">
        <v>0</v>
      </c>
      <c r="C17" s="136" t="s">
        <v>1</v>
      </c>
      <c r="D17" s="136">
        <v>7000</v>
      </c>
      <c r="E17" s="137">
        <v>7013.3</v>
      </c>
      <c r="F17" s="4"/>
      <c r="G17" s="135">
        <v>7058.1</v>
      </c>
      <c r="H17" s="135"/>
      <c r="I17" s="135"/>
    </row>
    <row r="18" spans="2:9" ht="18" x14ac:dyDescent="0.2">
      <c r="B18" s="136"/>
      <c r="C18" s="136"/>
      <c r="D18" s="136"/>
      <c r="E18" s="137"/>
      <c r="F18" s="4"/>
      <c r="G18" s="135"/>
      <c r="H18" s="135"/>
      <c r="I18" s="135"/>
    </row>
    <row r="19" spans="2:9" ht="18" x14ac:dyDescent="0.2">
      <c r="B19" s="136" t="s">
        <v>2</v>
      </c>
      <c r="C19" s="136" t="s">
        <v>3</v>
      </c>
      <c r="D19" s="136">
        <v>10000</v>
      </c>
      <c r="E19" s="137">
        <v>10623.79</v>
      </c>
      <c r="F19" s="4"/>
      <c r="G19" s="135"/>
      <c r="H19" s="135"/>
      <c r="I19" s="135"/>
    </row>
    <row r="20" spans="2:9" ht="18" x14ac:dyDescent="0.2">
      <c r="B20" s="136"/>
      <c r="C20" s="136"/>
      <c r="D20" s="136"/>
      <c r="E20" s="137"/>
      <c r="F20" s="4"/>
      <c r="G20" s="135"/>
      <c r="H20" s="135"/>
      <c r="I20" s="135"/>
    </row>
    <row r="21" spans="2:9" ht="18" x14ac:dyDescent="0.2">
      <c r="B21" s="136" t="s">
        <v>4</v>
      </c>
      <c r="C21" s="136" t="s">
        <v>3</v>
      </c>
      <c r="D21" s="136">
        <v>10000</v>
      </c>
      <c r="E21" s="137">
        <v>10065.91</v>
      </c>
      <c r="F21" s="4"/>
      <c r="G21" s="135"/>
      <c r="H21" s="135"/>
      <c r="I21" s="135"/>
    </row>
    <row r="22" spans="2:9" ht="18" x14ac:dyDescent="0.2">
      <c r="B22" s="136"/>
      <c r="C22" s="136"/>
      <c r="D22" s="136"/>
      <c r="E22" s="137"/>
      <c r="F22" s="4"/>
      <c r="G22" s="135"/>
      <c r="H22" s="135"/>
      <c r="I22" s="135"/>
    </row>
    <row r="23" spans="2:9" ht="18" x14ac:dyDescent="0.2">
      <c r="B23" s="136" t="s">
        <v>5</v>
      </c>
      <c r="C23" s="136" t="s">
        <v>1</v>
      </c>
      <c r="D23" s="136">
        <v>10000</v>
      </c>
      <c r="E23" s="137">
        <v>10809.31</v>
      </c>
      <c r="F23" s="4"/>
      <c r="G23" s="135"/>
      <c r="H23" s="135"/>
      <c r="I23" s="135"/>
    </row>
    <row r="24" spans="2:9" ht="18" x14ac:dyDescent="0.2">
      <c r="B24" s="136"/>
      <c r="C24" s="136"/>
      <c r="D24" s="136"/>
      <c r="E24" s="137"/>
      <c r="F24" s="4"/>
      <c r="G24" s="135"/>
      <c r="H24" s="135"/>
      <c r="I24" s="135"/>
    </row>
    <row r="25" spans="2:9" ht="18" x14ac:dyDescent="0.2">
      <c r="B25" s="136" t="s">
        <v>6</v>
      </c>
      <c r="C25" s="136" t="s">
        <v>1</v>
      </c>
      <c r="D25" s="136">
        <v>1000</v>
      </c>
      <c r="E25" s="137">
        <v>1053.7</v>
      </c>
      <c r="F25" s="4"/>
      <c r="G25" s="135"/>
      <c r="H25" s="135"/>
      <c r="I25" s="135"/>
    </row>
    <row r="26" spans="2:9" ht="18" x14ac:dyDescent="0.2">
      <c r="B26" s="136"/>
      <c r="C26" s="136"/>
      <c r="D26" s="136"/>
      <c r="E26" s="137"/>
      <c r="F26" s="4"/>
      <c r="G26" s="135"/>
      <c r="H26" s="135"/>
      <c r="I26" s="135"/>
    </row>
    <row r="27" spans="2:9" ht="18" x14ac:dyDescent="0.2">
      <c r="B27" s="136" t="s">
        <v>7</v>
      </c>
      <c r="C27" s="136" t="s">
        <v>8</v>
      </c>
      <c r="D27" s="136">
        <v>22000</v>
      </c>
      <c r="E27" s="137">
        <v>21825.21</v>
      </c>
      <c r="F27" s="4"/>
      <c r="G27" s="135"/>
      <c r="H27" s="135"/>
      <c r="I27" s="135"/>
    </row>
    <row r="28" spans="2:9" ht="18" x14ac:dyDescent="0.2">
      <c r="B28" s="136"/>
      <c r="C28" s="136"/>
      <c r="D28" s="136"/>
      <c r="E28" s="137"/>
      <c r="F28" s="4"/>
      <c r="G28" s="135"/>
      <c r="H28" s="135"/>
      <c r="I28" s="135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51" t="s">
        <v>46</v>
      </c>
      <c r="D1" s="151"/>
      <c r="E1" s="151"/>
      <c r="F1" s="151"/>
    </row>
    <row r="3" spans="3:12" ht="24" thickBot="1" x14ac:dyDescent="0.35"/>
    <row r="4" spans="3:12" x14ac:dyDescent="0.3">
      <c r="C4" s="156" t="s">
        <v>25</v>
      </c>
      <c r="D4" s="140"/>
      <c r="E4" s="140"/>
      <c r="F4" s="141"/>
      <c r="G4" s="152"/>
      <c r="H4" s="152"/>
      <c r="I4" s="152"/>
      <c r="J4" s="152"/>
      <c r="K4" s="152"/>
      <c r="L4" s="152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53" t="s">
        <v>47</v>
      </c>
      <c r="D8" s="154"/>
      <c r="E8" s="154"/>
      <c r="F8" s="155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53" t="s">
        <v>68</v>
      </c>
      <c r="D12" s="154"/>
      <c r="E12" s="154"/>
      <c r="F12" s="155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53" t="s">
        <v>77</v>
      </c>
      <c r="D16" s="154"/>
      <c r="E16" s="154"/>
      <c r="F16" s="155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48" t="s">
        <v>69</v>
      </c>
      <c r="D20" s="149"/>
      <c r="E20" s="149"/>
      <c r="F20" s="149"/>
      <c r="G20" s="150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20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42" t="s">
        <v>27</v>
      </c>
      <c r="E4" s="143"/>
      <c r="F4" s="143"/>
      <c r="G4" s="143"/>
      <c r="H4" s="142" t="s">
        <v>48</v>
      </c>
      <c r="I4" s="143"/>
      <c r="J4" s="143"/>
      <c r="K4" s="143"/>
      <c r="L4" s="143"/>
      <c r="M4" s="144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63">
        <f>SUM(D6:D9)</f>
        <v>28756.7</v>
      </c>
      <c r="F6" s="28">
        <f>D6-C6</f>
        <v>13.300000000000182</v>
      </c>
      <c r="G6" s="167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63">
        <f>J6+J7+J8+J9</f>
        <v>-382.68999999999915</v>
      </c>
      <c r="L6" s="163">
        <f>SUM(H6:H9)</f>
        <v>28374.010000000002</v>
      </c>
      <c r="M6" s="165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63"/>
      <c r="F7" s="28">
        <f>D7-C7</f>
        <v>53.700000000000045</v>
      </c>
      <c r="G7" s="167"/>
      <c r="H7" s="25">
        <v>1078.76</v>
      </c>
      <c r="I7" s="24">
        <f>H7-C7</f>
        <v>78.759999999999991</v>
      </c>
      <c r="J7" s="28">
        <f>H7-D7</f>
        <v>25.059999999999945</v>
      </c>
      <c r="K7" s="163"/>
      <c r="L7" s="163"/>
      <c r="M7" s="165"/>
    </row>
    <row r="8" spans="2:13" x14ac:dyDescent="0.3">
      <c r="B8" s="10" t="s">
        <v>30</v>
      </c>
      <c r="C8" s="10">
        <v>10000</v>
      </c>
      <c r="D8" s="25">
        <v>10065.91</v>
      </c>
      <c r="E8" s="163"/>
      <c r="F8" s="28">
        <f>D8-C8</f>
        <v>65.909999999999854</v>
      </c>
      <c r="G8" s="167"/>
      <c r="H8" s="25">
        <v>9985.2000000000007</v>
      </c>
      <c r="I8" s="24">
        <f>H8-C8</f>
        <v>-14.799999999999272</v>
      </c>
      <c r="J8" s="28">
        <f>H8-D8</f>
        <v>-80.709999999999127</v>
      </c>
      <c r="K8" s="163"/>
      <c r="L8" s="163"/>
      <c r="M8" s="165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64"/>
      <c r="F9" s="31">
        <f>D9-C9</f>
        <v>623.79000000000087</v>
      </c>
      <c r="G9" s="168"/>
      <c r="H9" s="26">
        <v>10251.950000000001</v>
      </c>
      <c r="I9" s="32">
        <f>H9-C9</f>
        <v>251.95000000000073</v>
      </c>
      <c r="J9" s="31">
        <f>H9-D9</f>
        <v>-371.84000000000015</v>
      </c>
      <c r="K9" s="164"/>
      <c r="L9" s="164"/>
      <c r="M9" s="166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42" t="s">
        <v>63</v>
      </c>
      <c r="E13" s="143"/>
      <c r="F13" s="143"/>
      <c r="G13" s="143"/>
      <c r="H13" s="143"/>
      <c r="I13" s="144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57">
        <f>F15+F16+F17+F18</f>
        <v>-873.43000000000166</v>
      </c>
      <c r="H15" s="157">
        <f>SUM(D15:D18)</f>
        <v>27883.269999999997</v>
      </c>
      <c r="I15" s="160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58"/>
      <c r="H16" s="158"/>
      <c r="I16" s="161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58"/>
      <c r="H17" s="158"/>
      <c r="I17" s="161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59"/>
      <c r="H18" s="159"/>
      <c r="I18" s="162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11"/>
  <sheetViews>
    <sheetView topLeftCell="A190" workbookViewId="0">
      <selection activeCell="D211" sqref="D211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69">
        <v>20160622</v>
      </c>
      <c r="E4" s="170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69">
        <v>20160713</v>
      </c>
      <c r="E15" s="170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69">
        <v>20160808</v>
      </c>
      <c r="E25" s="170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69">
        <v>20160825</v>
      </c>
      <c r="E35" s="170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69">
        <v>20160906</v>
      </c>
      <c r="E45" s="170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69">
        <v>20160921</v>
      </c>
      <c r="E56" s="170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69">
        <v>20161017</v>
      </c>
      <c r="E66" s="170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69">
        <v>20161020</v>
      </c>
      <c r="E75" s="170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69">
        <v>201610207</v>
      </c>
      <c r="E84" s="170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69">
        <v>20161031</v>
      </c>
      <c r="E93" s="170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  <row r="101" spans="3:10" ht="24" thickBot="1" x14ac:dyDescent="0.35"/>
    <row r="102" spans="3:10" x14ac:dyDescent="0.3">
      <c r="D102" s="169">
        <v>20161103</v>
      </c>
      <c r="E102" s="170"/>
    </row>
    <row r="103" spans="3:10" ht="24" thickBot="1" x14ac:dyDescent="0.35">
      <c r="D103" s="105" t="s">
        <v>24</v>
      </c>
      <c r="E103" s="121" t="s">
        <v>42</v>
      </c>
      <c r="F103" s="11" t="s">
        <v>23</v>
      </c>
      <c r="G103" s="9" t="s">
        <v>82</v>
      </c>
      <c r="H103" s="11" t="s">
        <v>80</v>
      </c>
      <c r="I103" s="9" t="s">
        <v>164</v>
      </c>
      <c r="J103" s="9" t="s">
        <v>88</v>
      </c>
    </row>
    <row r="104" spans="3:10" x14ac:dyDescent="0.3">
      <c r="C104" s="58" t="s">
        <v>41</v>
      </c>
      <c r="D104" s="106">
        <f>F104*G104</f>
        <v>8797.98</v>
      </c>
      <c r="E104" s="107">
        <f>D104/D109</f>
        <v>0.12402973139926786</v>
      </c>
      <c r="F104" s="11">
        <v>8860</v>
      </c>
      <c r="G104" s="9">
        <v>0.99299999999999999</v>
      </c>
      <c r="H104" s="11">
        <f>F104*G104</f>
        <v>8797.98</v>
      </c>
    </row>
    <row r="105" spans="3:10" x14ac:dyDescent="0.3">
      <c r="C105" s="59" t="s">
        <v>28</v>
      </c>
      <c r="D105" s="78">
        <f>H105</f>
        <v>9900.3106879999996</v>
      </c>
      <c r="E105" s="53">
        <f>D105/D109</f>
        <v>0.13956986437818009</v>
      </c>
      <c r="F105" s="96">
        <f>9921.98-162.21</f>
        <v>9759.77</v>
      </c>
      <c r="G105" s="9">
        <v>1.0144</v>
      </c>
      <c r="H105" s="11">
        <f t="shared" ref="H105:H107" si="7">F105*G105</f>
        <v>9900.3106879999996</v>
      </c>
      <c r="J105" s="88"/>
    </row>
    <row r="106" spans="3:10" x14ac:dyDescent="0.3">
      <c r="C106" s="60" t="s">
        <v>30</v>
      </c>
      <c r="D106" s="56">
        <f>H106</f>
        <v>10147.83</v>
      </c>
      <c r="E106" s="53">
        <f>D106/D109</f>
        <v>0.14305927374072597</v>
      </c>
      <c r="F106" s="11">
        <v>11030.25</v>
      </c>
      <c r="G106" s="9">
        <v>0.92</v>
      </c>
      <c r="H106" s="11">
        <f t="shared" si="7"/>
        <v>10147.83</v>
      </c>
    </row>
    <row r="107" spans="3:10" x14ac:dyDescent="0.3">
      <c r="C107" s="60" t="s">
        <v>31</v>
      </c>
      <c r="D107" s="56">
        <f>H107</f>
        <v>12538.563019518459</v>
      </c>
      <c r="E107" s="53">
        <f>D107/D109</f>
        <v>0.17676268909950549</v>
      </c>
      <c r="F107" s="11">
        <v>20932.492520064206</v>
      </c>
      <c r="G107" s="9">
        <v>0.59899999999999998</v>
      </c>
      <c r="H107" s="11">
        <f t="shared" si="7"/>
        <v>12538.563019518459</v>
      </c>
    </row>
    <row r="108" spans="3:10" x14ac:dyDescent="0.3">
      <c r="C108" s="60" t="s">
        <v>59</v>
      </c>
      <c r="D108" s="11">
        <v>29549.759999999998</v>
      </c>
      <c r="E108" s="53">
        <f>D108/D109</f>
        <v>0.41657844138232064</v>
      </c>
      <c r="F108" s="11">
        <v>29549</v>
      </c>
      <c r="G108" s="9">
        <v>1</v>
      </c>
      <c r="H108" s="11">
        <v>29549.759999999998</v>
      </c>
      <c r="J108" s="9">
        <v>-1000</v>
      </c>
    </row>
    <row r="109" spans="3:10" ht="24" thickBot="1" x14ac:dyDescent="0.35">
      <c r="C109" s="61" t="s">
        <v>60</v>
      </c>
      <c r="D109" s="57">
        <f>SUM(D104:D108)</f>
        <v>70934.443707518454</v>
      </c>
      <c r="E109" s="54">
        <f>D109/D109</f>
        <v>1</v>
      </c>
    </row>
    <row r="110" spans="3:10" ht="24" thickBot="1" x14ac:dyDescent="0.35"/>
    <row r="111" spans="3:10" x14ac:dyDescent="0.3">
      <c r="D111" s="169">
        <v>20161103</v>
      </c>
      <c r="E111" s="170"/>
    </row>
    <row r="112" spans="3:10" ht="24" thickBot="1" x14ac:dyDescent="0.35">
      <c r="D112" s="105" t="s">
        <v>24</v>
      </c>
      <c r="E112" s="121" t="s">
        <v>42</v>
      </c>
      <c r="F112" s="11" t="s">
        <v>23</v>
      </c>
      <c r="G112" s="9" t="s">
        <v>82</v>
      </c>
      <c r="H112" s="11" t="s">
        <v>80</v>
      </c>
      <c r="I112" s="9" t="s">
        <v>164</v>
      </c>
      <c r="J112" s="9" t="s">
        <v>88</v>
      </c>
    </row>
    <row r="113" spans="3:10" x14ac:dyDescent="0.3">
      <c r="C113" s="58" t="s">
        <v>41</v>
      </c>
      <c r="D113" s="106">
        <f>F113*G113</f>
        <v>8797.98</v>
      </c>
      <c r="E113" s="107">
        <f>D113/D118</f>
        <v>0.11586283602587175</v>
      </c>
      <c r="F113" s="11">
        <v>8860</v>
      </c>
      <c r="G113" s="9">
        <v>0.99299999999999999</v>
      </c>
      <c r="H113" s="11">
        <f>F113*G113</f>
        <v>8797.98</v>
      </c>
      <c r="J113" s="9" t="s">
        <v>184</v>
      </c>
    </row>
    <row r="114" spans="3:10" x14ac:dyDescent="0.3">
      <c r="C114" s="59" t="s">
        <v>28</v>
      </c>
      <c r="D114" s="78">
        <f>H114</f>
        <v>9900.3106879999996</v>
      </c>
      <c r="E114" s="53">
        <f>D114/D118</f>
        <v>0.13037970918880579</v>
      </c>
      <c r="F114" s="96">
        <f>9921.98-162.21</f>
        <v>9759.77</v>
      </c>
      <c r="G114" s="9">
        <v>1.0144</v>
      </c>
      <c r="H114" s="11">
        <f t="shared" ref="H114:H116" si="8">F114*G114</f>
        <v>9900.3106879999996</v>
      </c>
      <c r="J114" s="88"/>
    </row>
    <row r="115" spans="3:10" x14ac:dyDescent="0.3">
      <c r="C115" s="60" t="s">
        <v>30</v>
      </c>
      <c r="D115" s="56">
        <f>H115</f>
        <v>10147.83</v>
      </c>
      <c r="E115" s="53">
        <f>D115/D118</f>
        <v>0.13363935395493309</v>
      </c>
      <c r="F115" s="11">
        <v>11030.25</v>
      </c>
      <c r="G115" s="9">
        <v>0.92</v>
      </c>
      <c r="H115" s="11">
        <f t="shared" si="8"/>
        <v>10147.83</v>
      </c>
    </row>
    <row r="116" spans="3:10" x14ac:dyDescent="0.3">
      <c r="C116" s="60" t="s">
        <v>31</v>
      </c>
      <c r="D116" s="56">
        <f>H116</f>
        <v>12538.563019518459</v>
      </c>
      <c r="E116" s="53">
        <f>D116/D118</f>
        <v>0.16512352507399727</v>
      </c>
      <c r="F116" s="11">
        <v>20932.492520064206</v>
      </c>
      <c r="G116" s="9">
        <v>0.59899999999999998</v>
      </c>
      <c r="H116" s="11">
        <f t="shared" si="8"/>
        <v>12538.563019518459</v>
      </c>
    </row>
    <row r="117" spans="3:10" x14ac:dyDescent="0.3">
      <c r="C117" s="60" t="s">
        <v>59</v>
      </c>
      <c r="D117" s="11">
        <v>34549.760000000002</v>
      </c>
      <c r="E117" s="53">
        <f>D117/D118</f>
        <v>0.45499457575639218</v>
      </c>
      <c r="F117" s="11">
        <v>34549.760000000002</v>
      </c>
      <c r="G117" s="9">
        <v>1</v>
      </c>
      <c r="H117" s="11">
        <v>34549.760000000002</v>
      </c>
      <c r="J117" s="9">
        <v>-1000</v>
      </c>
    </row>
    <row r="118" spans="3:10" ht="24" thickBot="1" x14ac:dyDescent="0.35">
      <c r="C118" s="61" t="s">
        <v>60</v>
      </c>
      <c r="D118" s="57">
        <f>SUM(D113:D117)</f>
        <v>75934.443707518454</v>
      </c>
      <c r="E118" s="54">
        <f>D118/D118</f>
        <v>1</v>
      </c>
    </row>
    <row r="119" spans="3:10" ht="24" thickBot="1" x14ac:dyDescent="0.35"/>
    <row r="120" spans="3:10" x14ac:dyDescent="0.3">
      <c r="D120" s="169">
        <v>20161108</v>
      </c>
      <c r="E120" s="170"/>
    </row>
    <row r="121" spans="3:10" ht="24" thickBot="1" x14ac:dyDescent="0.35">
      <c r="D121" s="105" t="s">
        <v>24</v>
      </c>
      <c r="E121" s="122" t="s">
        <v>42</v>
      </c>
      <c r="F121" s="11" t="s">
        <v>23</v>
      </c>
      <c r="G121" s="9" t="s">
        <v>82</v>
      </c>
      <c r="H121" s="11" t="s">
        <v>80</v>
      </c>
      <c r="I121" s="9" t="s">
        <v>164</v>
      </c>
      <c r="J121" s="9" t="s">
        <v>88</v>
      </c>
    </row>
    <row r="122" spans="3:10" x14ac:dyDescent="0.3">
      <c r="C122" s="58" t="s">
        <v>41</v>
      </c>
      <c r="D122" s="106">
        <f>F122*G122</f>
        <v>8865.3159999999989</v>
      </c>
      <c r="E122" s="107">
        <f>D122/D127</f>
        <v>0.1172047636836698</v>
      </c>
      <c r="F122" s="11">
        <v>8860</v>
      </c>
      <c r="G122" s="9">
        <v>1.0005999999999999</v>
      </c>
      <c r="H122" s="11">
        <f>F122*G122</f>
        <v>8865.3159999999989</v>
      </c>
      <c r="J122" s="9" t="s">
        <v>184</v>
      </c>
    </row>
    <row r="123" spans="3:10" x14ac:dyDescent="0.3">
      <c r="C123" s="59" t="s">
        <v>28</v>
      </c>
      <c r="D123" s="78">
        <f>H123</f>
        <v>13919.706966000002</v>
      </c>
      <c r="E123" s="53">
        <f>D123/D127</f>
        <v>0.18402682605966475</v>
      </c>
      <c r="F123" s="96">
        <f>9921.98-162.21+3997.6</f>
        <v>13757.37</v>
      </c>
      <c r="G123" s="9">
        <v>1.0118</v>
      </c>
      <c r="H123" s="11">
        <f t="shared" ref="H123:H125" si="9">F123*G123</f>
        <v>13919.706966000002</v>
      </c>
      <c r="J123" s="88"/>
    </row>
    <row r="124" spans="3:10" x14ac:dyDescent="0.3">
      <c r="C124" s="60" t="s">
        <v>30</v>
      </c>
      <c r="D124" s="56">
        <f>H124</f>
        <v>9971.3459999999995</v>
      </c>
      <c r="E124" s="53">
        <f>D124/D127</f>
        <v>0.13182713978138019</v>
      </c>
      <c r="F124" s="11">
        <v>11030.25</v>
      </c>
      <c r="G124" s="9">
        <v>0.90400000000000003</v>
      </c>
      <c r="H124" s="11">
        <f t="shared" si="9"/>
        <v>9971.3459999999995</v>
      </c>
    </row>
    <row r="125" spans="3:10" x14ac:dyDescent="0.3">
      <c r="C125" s="60" t="s">
        <v>31</v>
      </c>
      <c r="D125" s="56">
        <f>H125</f>
        <v>12333.42459282183</v>
      </c>
      <c r="E125" s="53">
        <f>D125/D127</f>
        <v>0.1630552272261975</v>
      </c>
      <c r="F125" s="11">
        <v>20932.492520064206</v>
      </c>
      <c r="G125" s="9">
        <v>0.58919999999999995</v>
      </c>
      <c r="H125" s="11">
        <f t="shared" si="9"/>
        <v>12333.42459282183</v>
      </c>
    </row>
    <row r="126" spans="3:10" x14ac:dyDescent="0.3">
      <c r="C126" s="60" t="s">
        <v>59</v>
      </c>
      <c r="D126" s="11">
        <v>30549.759999999998</v>
      </c>
      <c r="E126" s="53">
        <f>D126/D127</f>
        <v>0.40388604324908767</v>
      </c>
      <c r="F126" s="11">
        <v>30549.759999999998</v>
      </c>
      <c r="G126" s="9">
        <v>1</v>
      </c>
      <c r="H126" s="11">
        <v>30549.759999999998</v>
      </c>
      <c r="J126" s="9">
        <v>-1000</v>
      </c>
    </row>
    <row r="127" spans="3:10" ht="24" thickBot="1" x14ac:dyDescent="0.35">
      <c r="C127" s="61" t="s">
        <v>60</v>
      </c>
      <c r="D127" s="57">
        <f>SUM(D122:D126)</f>
        <v>75639.553558821834</v>
      </c>
      <c r="E127" s="54">
        <f>D127/D127</f>
        <v>1</v>
      </c>
    </row>
    <row r="128" spans="3:10" ht="24" thickBot="1" x14ac:dyDescent="0.35"/>
    <row r="129" spans="3:10" x14ac:dyDescent="0.3">
      <c r="D129" s="169">
        <v>20161108</v>
      </c>
      <c r="E129" s="170"/>
    </row>
    <row r="130" spans="3:10" ht="24" thickBot="1" x14ac:dyDescent="0.35">
      <c r="D130" s="105" t="s">
        <v>24</v>
      </c>
      <c r="E130" s="123" t="s">
        <v>42</v>
      </c>
      <c r="F130" s="11" t="s">
        <v>23</v>
      </c>
      <c r="G130" s="9" t="s">
        <v>82</v>
      </c>
      <c r="H130" s="11" t="s">
        <v>80</v>
      </c>
      <c r="J130" s="9">
        <f>F124-F133</f>
        <v>4572.0200000000004</v>
      </c>
    </row>
    <row r="131" spans="3:10" x14ac:dyDescent="0.3">
      <c r="C131" s="58" t="s">
        <v>41</v>
      </c>
      <c r="D131" s="106">
        <f>F131*G131</f>
        <v>12850.596955999999</v>
      </c>
      <c r="E131" s="107">
        <f>D131/D136</f>
        <v>0.1692065440679402</v>
      </c>
      <c r="F131" s="11">
        <f>4017.64+8860</f>
        <v>12877.64</v>
      </c>
      <c r="G131" s="9">
        <v>0.99790000000000001</v>
      </c>
      <c r="H131" s="11">
        <f>F131*G131</f>
        <v>12850.596955999999</v>
      </c>
    </row>
    <row r="132" spans="3:10" x14ac:dyDescent="0.3">
      <c r="C132" s="59" t="s">
        <v>28</v>
      </c>
      <c r="D132" s="78">
        <f>H132</f>
        <v>13579.7914</v>
      </c>
      <c r="E132" s="53">
        <f>D132/D136</f>
        <v>0.17880800244728609</v>
      </c>
      <c r="F132" s="96">
        <f>9921.98-162.21+3997.6+99.56</f>
        <v>13856.93</v>
      </c>
      <c r="G132" s="9">
        <v>0.98</v>
      </c>
      <c r="H132" s="11">
        <f t="shared" ref="H132:H133" si="10">F132*G132</f>
        <v>13579.7914</v>
      </c>
    </row>
    <row r="133" spans="3:10" x14ac:dyDescent="0.3">
      <c r="C133" s="60" t="s">
        <v>30</v>
      </c>
      <c r="D133" s="56">
        <f>H133</f>
        <v>6090.110889999999</v>
      </c>
      <c r="E133" s="53">
        <f>D133/D136</f>
        <v>8.0189785752037668E-2</v>
      </c>
      <c r="F133" s="11">
        <f>11030.25-4572.02</f>
        <v>6458.23</v>
      </c>
      <c r="G133" s="9">
        <v>0.94299999999999995</v>
      </c>
      <c r="H133" s="11">
        <f t="shared" si="10"/>
        <v>6090.110889999999</v>
      </c>
    </row>
    <row r="134" spans="3:10" x14ac:dyDescent="0.3">
      <c r="C134" s="60" t="s">
        <v>31</v>
      </c>
      <c r="D134" s="56">
        <v>0</v>
      </c>
      <c r="E134" s="53">
        <v>0</v>
      </c>
      <c r="F134" s="11">
        <v>0</v>
      </c>
      <c r="G134" s="9">
        <v>0</v>
      </c>
      <c r="H134" s="11">
        <v>0</v>
      </c>
    </row>
    <row r="135" spans="3:10" x14ac:dyDescent="0.3">
      <c r="C135" s="60" t="s">
        <v>59</v>
      </c>
      <c r="D135" s="53">
        <v>43425.718004558585</v>
      </c>
      <c r="E135" s="53">
        <f>D135/D136</f>
        <v>0.57179566773273616</v>
      </c>
      <c r="F135" s="53">
        <v>43425.718004558585</v>
      </c>
      <c r="G135" s="9">
        <v>1</v>
      </c>
      <c r="H135" s="53">
        <v>43425.718004558585</v>
      </c>
    </row>
    <row r="136" spans="3:10" ht="24" thickBot="1" x14ac:dyDescent="0.35">
      <c r="C136" s="61" t="s">
        <v>60</v>
      </c>
      <c r="D136" s="57">
        <f>SUM(D131:D135)</f>
        <v>75946.217250558577</v>
      </c>
      <c r="E136" s="54">
        <f>D136/D136</f>
        <v>1</v>
      </c>
    </row>
    <row r="137" spans="3:10" ht="24" thickBot="1" x14ac:dyDescent="0.35"/>
    <row r="138" spans="3:10" x14ac:dyDescent="0.3">
      <c r="D138" s="169">
        <v>20161122</v>
      </c>
      <c r="E138" s="170"/>
      <c r="F138" s="11" t="s">
        <v>199</v>
      </c>
    </row>
    <row r="139" spans="3:10" ht="24" thickBot="1" x14ac:dyDescent="0.35">
      <c r="D139" s="105" t="s">
        <v>24</v>
      </c>
      <c r="E139" s="124" t="s">
        <v>42</v>
      </c>
      <c r="F139" s="11" t="s">
        <v>23</v>
      </c>
      <c r="G139" s="9" t="s">
        <v>82</v>
      </c>
      <c r="H139" s="11" t="s">
        <v>80</v>
      </c>
    </row>
    <row r="140" spans="3:10" x14ac:dyDescent="0.3">
      <c r="C140" s="58" t="s">
        <v>41</v>
      </c>
      <c r="D140" s="106">
        <f>F140*G140</f>
        <v>13050.200376000001</v>
      </c>
      <c r="E140" s="107">
        <f>D140/D145</f>
        <v>0.17146439758432711</v>
      </c>
      <c r="F140" s="11">
        <f>4017.64+8860</f>
        <v>12877.64</v>
      </c>
      <c r="G140" s="9">
        <v>1.0134000000000001</v>
      </c>
      <c r="H140" s="11">
        <f>F140*G140</f>
        <v>13050.200376000001</v>
      </c>
    </row>
    <row r="141" spans="3:10" x14ac:dyDescent="0.3">
      <c r="C141" s="59" t="s">
        <v>28</v>
      </c>
      <c r="D141" s="78">
        <f>H141</f>
        <v>13550.691847</v>
      </c>
      <c r="E141" s="53">
        <f>D141/D145</f>
        <v>0.17804027121833885</v>
      </c>
      <c r="F141" s="96">
        <f>9921.98-162.21+3997.6+99.56</f>
        <v>13856.93</v>
      </c>
      <c r="G141" s="9">
        <v>0.97789999999999999</v>
      </c>
      <c r="H141" s="11">
        <f t="shared" ref="H141:H142" si="11">F141*G141</f>
        <v>13550.691847</v>
      </c>
    </row>
    <row r="142" spans="3:10" x14ac:dyDescent="0.3">
      <c r="C142" s="60" t="s">
        <v>30</v>
      </c>
      <c r="D142" s="56">
        <f>H142</f>
        <v>6083.6526599999988</v>
      </c>
      <c r="E142" s="53">
        <f>D142/D145</f>
        <v>7.9932093638773488E-2</v>
      </c>
      <c r="F142" s="11">
        <f>11030.25-4572.02</f>
        <v>6458.23</v>
      </c>
      <c r="G142" s="9">
        <v>0.94199999999999995</v>
      </c>
      <c r="H142" s="11">
        <f t="shared" si="11"/>
        <v>6083.6526599999988</v>
      </c>
    </row>
    <row r="143" spans="3:10" x14ac:dyDescent="0.3">
      <c r="C143" s="60" t="s">
        <v>31</v>
      </c>
      <c r="D143" s="56">
        <v>0</v>
      </c>
      <c r="E143" s="53">
        <v>0</v>
      </c>
      <c r="F143" s="11">
        <v>0</v>
      </c>
      <c r="G143" s="9">
        <v>0</v>
      </c>
      <c r="H143" s="11">
        <v>0</v>
      </c>
    </row>
    <row r="144" spans="3:10" x14ac:dyDescent="0.3">
      <c r="C144" s="60" t="s">
        <v>59</v>
      </c>
      <c r="D144" s="53">
        <v>43425.718004558585</v>
      </c>
      <c r="E144" s="53">
        <f>D144/D145</f>
        <v>0.57056323755856064</v>
      </c>
      <c r="F144" s="53">
        <v>43425.718004558585</v>
      </c>
      <c r="G144" s="9">
        <v>1</v>
      </c>
      <c r="H144" s="53">
        <v>43425.718004558585</v>
      </c>
    </row>
    <row r="145" spans="3:8" ht="24" thickBot="1" x14ac:dyDescent="0.35">
      <c r="C145" s="61" t="s">
        <v>60</v>
      </c>
      <c r="D145" s="57">
        <f>SUM(D140:D144)</f>
        <v>76110.26288755858</v>
      </c>
      <c r="E145" s="54">
        <f>D145/D145</f>
        <v>1</v>
      </c>
    </row>
    <row r="146" spans="3:8" x14ac:dyDescent="0.3">
      <c r="D146" s="169">
        <v>20161122</v>
      </c>
      <c r="E146" s="170"/>
      <c r="F146" s="11" t="s">
        <v>200</v>
      </c>
    </row>
    <row r="147" spans="3:8" ht="24" thickBot="1" x14ac:dyDescent="0.35">
      <c r="D147" s="105" t="s">
        <v>24</v>
      </c>
      <c r="E147" s="124" t="s">
        <v>42</v>
      </c>
      <c r="F147" s="11" t="s">
        <v>23</v>
      </c>
      <c r="G147" s="9" t="s">
        <v>82</v>
      </c>
      <c r="H147" s="11" t="s">
        <v>80</v>
      </c>
    </row>
    <row r="148" spans="3:8" x14ac:dyDescent="0.3">
      <c r="C148" s="58" t="s">
        <v>41</v>
      </c>
      <c r="D148" s="106">
        <f>F148*G148</f>
        <v>13050.200376000001</v>
      </c>
      <c r="E148" s="107">
        <f>D148/D153</f>
        <v>0.16073895441199609</v>
      </c>
      <c r="F148" s="11">
        <f>4017.64+8860</f>
        <v>12877.64</v>
      </c>
      <c r="G148" s="9">
        <v>1.0134000000000001</v>
      </c>
      <c r="H148" s="11">
        <f>F148*G148</f>
        <v>13050.200376000001</v>
      </c>
    </row>
    <row r="149" spans="3:8" x14ac:dyDescent="0.3">
      <c r="C149" s="59" t="s">
        <v>28</v>
      </c>
      <c r="D149" s="78">
        <f>H149</f>
        <v>13550.691847</v>
      </c>
      <c r="E149" s="53">
        <f>D149/D153</f>
        <v>0.16690349391505313</v>
      </c>
      <c r="F149" s="96">
        <f>9921.98-162.21+3997.6+99.56</f>
        <v>13856.93</v>
      </c>
      <c r="G149" s="9">
        <v>0.97789999999999999</v>
      </c>
      <c r="H149" s="11">
        <f t="shared" ref="H149:H150" si="12">F149*G149</f>
        <v>13550.691847</v>
      </c>
    </row>
    <row r="150" spans="3:8" x14ac:dyDescent="0.3">
      <c r="C150" s="60" t="s">
        <v>30</v>
      </c>
      <c r="D150" s="56">
        <f>H150</f>
        <v>6083.6526599999988</v>
      </c>
      <c r="E150" s="53">
        <f>D150/D153</f>
        <v>7.4932180303723978E-2</v>
      </c>
      <c r="F150" s="11">
        <f>11030.25-4572.02</f>
        <v>6458.23</v>
      </c>
      <c r="G150" s="9">
        <v>0.94199999999999995</v>
      </c>
      <c r="H150" s="11">
        <f t="shared" si="12"/>
        <v>6083.6526599999988</v>
      </c>
    </row>
    <row r="151" spans="3:8" x14ac:dyDescent="0.3">
      <c r="C151" s="60" t="s">
        <v>31</v>
      </c>
      <c r="D151" s="56">
        <v>0</v>
      </c>
      <c r="E151" s="53">
        <v>0</v>
      </c>
      <c r="F151" s="11">
        <v>0</v>
      </c>
      <c r="G151" s="9">
        <v>0</v>
      </c>
      <c r="H151" s="11">
        <v>0</v>
      </c>
    </row>
    <row r="152" spans="3:8" x14ac:dyDescent="0.3">
      <c r="C152" s="60" t="s">
        <v>59</v>
      </c>
      <c r="D152" s="53">
        <v>48504.2399</v>
      </c>
      <c r="E152" s="53">
        <f>D152/D153</f>
        <v>0.59742537136922669</v>
      </c>
      <c r="F152" s="53">
        <v>48504.2399</v>
      </c>
      <c r="G152" s="9">
        <v>1</v>
      </c>
      <c r="H152" s="53">
        <v>48504.2399</v>
      </c>
    </row>
    <row r="153" spans="3:8" ht="24" thickBot="1" x14ac:dyDescent="0.35">
      <c r="C153" s="61" t="s">
        <v>60</v>
      </c>
      <c r="D153" s="57">
        <f>SUM(D148:D152)</f>
        <v>81188.78478300001</v>
      </c>
      <c r="E153" s="54">
        <f>D153/D153</f>
        <v>1</v>
      </c>
    </row>
    <row r="154" spans="3:8" x14ac:dyDescent="0.3">
      <c r="D154" s="169">
        <v>20161209</v>
      </c>
      <c r="E154" s="170"/>
      <c r="F154" s="11" t="s">
        <v>200</v>
      </c>
    </row>
    <row r="155" spans="3:8" ht="24" thickBot="1" x14ac:dyDescent="0.35">
      <c r="D155" s="105" t="s">
        <v>24</v>
      </c>
      <c r="E155" s="126" t="s">
        <v>42</v>
      </c>
      <c r="F155" s="11" t="s">
        <v>23</v>
      </c>
      <c r="G155" s="9" t="s">
        <v>82</v>
      </c>
      <c r="H155" s="11" t="s">
        <v>80</v>
      </c>
    </row>
    <row r="156" spans="3:8" x14ac:dyDescent="0.3">
      <c r="C156" s="58" t="s">
        <v>41</v>
      </c>
      <c r="D156" s="106">
        <f>F156*G156</f>
        <v>13542.126224000001</v>
      </c>
      <c r="E156" s="107">
        <f>D156/D160</f>
        <v>0.1653364075124574</v>
      </c>
      <c r="F156" s="11">
        <f>4017.64+8860</f>
        <v>12877.64</v>
      </c>
      <c r="G156" s="9">
        <v>1.0516000000000001</v>
      </c>
      <c r="H156" s="11">
        <f>F156*G156</f>
        <v>13542.126224000001</v>
      </c>
    </row>
    <row r="157" spans="3:8" x14ac:dyDescent="0.3">
      <c r="C157" s="59" t="s">
        <v>28</v>
      </c>
      <c r="D157" s="78">
        <f>H157</f>
        <v>13356.694826999999</v>
      </c>
      <c r="E157" s="53">
        <f>D157/D160</f>
        <v>0.16307246752896631</v>
      </c>
      <c r="F157" s="96">
        <f>9921.98-162.21+3997.6+99.56</f>
        <v>13856.93</v>
      </c>
      <c r="G157" s="9">
        <v>0.96389999999999998</v>
      </c>
      <c r="H157" s="11">
        <f t="shared" ref="H157:H158" si="13">F157*G157</f>
        <v>13356.694826999999</v>
      </c>
    </row>
    <row r="158" spans="3:8" x14ac:dyDescent="0.3">
      <c r="C158" s="60" t="s">
        <v>30</v>
      </c>
      <c r="D158" s="56">
        <f>H158</f>
        <v>6503.437609999999</v>
      </c>
      <c r="E158" s="53">
        <f>D158/D160</f>
        <v>7.9400752373226566E-2</v>
      </c>
      <c r="F158" s="11">
        <f>11030.25-4572.02</f>
        <v>6458.23</v>
      </c>
      <c r="G158" s="9">
        <v>1.0069999999999999</v>
      </c>
      <c r="H158" s="11">
        <f t="shared" si="13"/>
        <v>6503.437609999999</v>
      </c>
    </row>
    <row r="159" spans="3:8" x14ac:dyDescent="0.3">
      <c r="C159" s="60" t="s">
        <v>59</v>
      </c>
      <c r="D159" s="53">
        <v>48504.2399</v>
      </c>
      <c r="E159" s="53">
        <f>D159/D160</f>
        <v>0.59219037258534968</v>
      </c>
      <c r="F159" s="53">
        <v>48504.2399</v>
      </c>
      <c r="G159" s="9">
        <v>1</v>
      </c>
      <c r="H159" s="53">
        <v>48504.2399</v>
      </c>
    </row>
    <row r="160" spans="3:8" ht="24" thickBot="1" x14ac:dyDescent="0.35">
      <c r="C160" s="61" t="s">
        <v>60</v>
      </c>
      <c r="D160" s="57">
        <f>SUM(D156:D159)</f>
        <v>81906.498561</v>
      </c>
      <c r="E160" s="54">
        <f>D160/D160</f>
        <v>1</v>
      </c>
    </row>
    <row r="161" spans="3:9" x14ac:dyDescent="0.3">
      <c r="D161" s="169">
        <v>20161209</v>
      </c>
      <c r="E161" s="170"/>
      <c r="F161" s="11" t="s">
        <v>203</v>
      </c>
    </row>
    <row r="162" spans="3:9" ht="24" thickBot="1" x14ac:dyDescent="0.35">
      <c r="D162" s="105" t="s">
        <v>24</v>
      </c>
      <c r="E162" s="127" t="s">
        <v>42</v>
      </c>
      <c r="F162" s="11" t="s">
        <v>23</v>
      </c>
      <c r="G162" s="9" t="s">
        <v>82</v>
      </c>
      <c r="H162" s="11" t="s">
        <v>80</v>
      </c>
    </row>
    <row r="163" spans="3:9" x14ac:dyDescent="0.3">
      <c r="C163" s="58" t="s">
        <v>41</v>
      </c>
      <c r="D163" s="106">
        <f>F163*G163</f>
        <v>13542.126224000001</v>
      </c>
      <c r="E163" s="107">
        <f>D163/D167</f>
        <v>0.16566895295187126</v>
      </c>
      <c r="F163" s="11">
        <f>4017.64+8860</f>
        <v>12877.64</v>
      </c>
      <c r="G163" s="9">
        <v>1.0516000000000001</v>
      </c>
      <c r="H163" s="11">
        <f>F163*G163</f>
        <v>13542.126224000001</v>
      </c>
    </row>
    <row r="164" spans="3:9" x14ac:dyDescent="0.3">
      <c r="C164" s="59" t="s">
        <v>28</v>
      </c>
      <c r="D164" s="78">
        <f>H164</f>
        <v>13356.694826999999</v>
      </c>
      <c r="E164" s="53">
        <f>D164/D167</f>
        <v>0.16340045944669707</v>
      </c>
      <c r="F164" s="96">
        <f>9921.98-162.21+3997.6+99.56</f>
        <v>13856.93</v>
      </c>
      <c r="G164" s="9">
        <v>0.96389999999999998</v>
      </c>
      <c r="H164" s="11">
        <f t="shared" ref="H164:H165" si="14">F164*G164</f>
        <v>13356.694826999999</v>
      </c>
      <c r="I164" s="129">
        <f>F164-9859.33</f>
        <v>3997.6000000000004</v>
      </c>
    </row>
    <row r="165" spans="3:9" x14ac:dyDescent="0.3">
      <c r="C165" s="60" t="s">
        <v>30</v>
      </c>
      <c r="D165" s="56">
        <f>H165</f>
        <v>6503.437609999999</v>
      </c>
      <c r="E165" s="53">
        <f>D165/D167</f>
        <v>7.956045318253413E-2</v>
      </c>
      <c r="F165" s="11">
        <f>11030.25-4572.02</f>
        <v>6458.23</v>
      </c>
      <c r="G165" s="9">
        <v>1.0069999999999999</v>
      </c>
      <c r="H165" s="11">
        <f t="shared" si="14"/>
        <v>6503.437609999999</v>
      </c>
    </row>
    <row r="166" spans="3:9" x14ac:dyDescent="0.3">
      <c r="C166" s="60" t="s">
        <v>59</v>
      </c>
      <c r="D166" s="53">
        <v>48339.829899999997</v>
      </c>
      <c r="E166" s="53">
        <f>D166/D167</f>
        <v>0.59137013441889752</v>
      </c>
      <c r="F166" s="53">
        <v>48339.829899999997</v>
      </c>
      <c r="G166" s="9">
        <v>1</v>
      </c>
      <c r="H166" s="53">
        <v>48339.829899999997</v>
      </c>
    </row>
    <row r="167" spans="3:9" ht="24" thickBot="1" x14ac:dyDescent="0.35">
      <c r="C167" s="61" t="s">
        <v>60</v>
      </c>
      <c r="D167" s="57">
        <f>SUM(D163:D166)</f>
        <v>81742.088560999997</v>
      </c>
      <c r="E167" s="54">
        <f>D167/D167</f>
        <v>1</v>
      </c>
    </row>
    <row r="168" spans="3:9" x14ac:dyDescent="0.3">
      <c r="D168" s="169">
        <v>20161210</v>
      </c>
      <c r="E168" s="170"/>
      <c r="F168" s="11" t="s">
        <v>204</v>
      </c>
    </row>
    <row r="169" spans="3:9" ht="24" thickBot="1" x14ac:dyDescent="0.35">
      <c r="D169" s="105" t="s">
        <v>24</v>
      </c>
      <c r="E169" s="127" t="s">
        <v>42</v>
      </c>
      <c r="F169" s="11" t="s">
        <v>23</v>
      </c>
      <c r="G169" s="9" t="s">
        <v>82</v>
      </c>
      <c r="H169" s="11" t="s">
        <v>80</v>
      </c>
    </row>
    <row r="170" spans="3:9" x14ac:dyDescent="0.3">
      <c r="C170" s="58" t="s">
        <v>41</v>
      </c>
      <c r="D170" s="106">
        <f>F170*G170</f>
        <v>13542.126224000001</v>
      </c>
      <c r="E170" s="107">
        <f>D170/D174</f>
        <v>0.16505493777538569</v>
      </c>
      <c r="F170" s="11">
        <f>4017.64+8860</f>
        <v>12877.64</v>
      </c>
      <c r="G170" s="9">
        <v>1.0516000000000001</v>
      </c>
      <c r="H170" s="11">
        <f>F170*G170</f>
        <v>13542.126224000001</v>
      </c>
    </row>
    <row r="171" spans="3:9" x14ac:dyDescent="0.3">
      <c r="C171" s="59" t="s">
        <v>28</v>
      </c>
      <c r="D171" s="78">
        <f>H171</f>
        <v>9438.336609</v>
      </c>
      <c r="E171" s="53">
        <f>D171/D174</f>
        <v>0.11503688829459841</v>
      </c>
      <c r="F171" s="96">
        <v>9859.33</v>
      </c>
      <c r="G171" s="9">
        <v>0.95730000000000004</v>
      </c>
      <c r="H171" s="11">
        <f t="shared" ref="H171:H172" si="15">F171*G171</f>
        <v>9438.336609</v>
      </c>
      <c r="I171" s="129">
        <f>F171-9859.33</f>
        <v>0</v>
      </c>
    </row>
    <row r="172" spans="3:9" x14ac:dyDescent="0.3">
      <c r="C172" s="60" t="s">
        <v>30</v>
      </c>
      <c r="D172" s="56">
        <f>H172</f>
        <v>6072.4617499999995</v>
      </c>
      <c r="E172" s="53">
        <f>D172/D174</f>
        <v>7.4012734758988868E-2</v>
      </c>
      <c r="F172" s="11">
        <v>6030.25</v>
      </c>
      <c r="G172" s="9">
        <v>1.0069999999999999</v>
      </c>
      <c r="H172" s="11">
        <f t="shared" si="15"/>
        <v>6072.4617499999995</v>
      </c>
    </row>
    <row r="173" spans="3:9" x14ac:dyDescent="0.3">
      <c r="C173" s="60" t="s">
        <v>59</v>
      </c>
      <c r="D173" s="53">
        <v>52993.249899999995</v>
      </c>
      <c r="E173" s="53">
        <f>D173/D174</f>
        <v>0.6458954391710271</v>
      </c>
      <c r="F173" s="53">
        <v>52993.249899999995</v>
      </c>
      <c r="G173" s="53">
        <v>1</v>
      </c>
      <c r="H173" s="53">
        <v>52993.249899999995</v>
      </c>
    </row>
    <row r="174" spans="3:9" ht="24" thickBot="1" x14ac:dyDescent="0.35">
      <c r="C174" s="61" t="s">
        <v>60</v>
      </c>
      <c r="D174" s="57">
        <f>SUM(D170:D173)</f>
        <v>82046.174482999995</v>
      </c>
      <c r="E174" s="54">
        <f>D174/D174</f>
        <v>1</v>
      </c>
    </row>
    <row r="175" spans="3:9" x14ac:dyDescent="0.3">
      <c r="D175" s="169">
        <v>20161215</v>
      </c>
      <c r="E175" s="170"/>
      <c r="F175" s="11" t="s">
        <v>204</v>
      </c>
    </row>
    <row r="176" spans="3:9" ht="24" thickBot="1" x14ac:dyDescent="0.35">
      <c r="D176" s="105" t="s">
        <v>24</v>
      </c>
      <c r="E176" s="128" t="s">
        <v>42</v>
      </c>
      <c r="F176" s="11" t="s">
        <v>23</v>
      </c>
      <c r="G176" s="9" t="s">
        <v>82</v>
      </c>
      <c r="H176" s="11" t="s">
        <v>80</v>
      </c>
    </row>
    <row r="177" spans="3:11" x14ac:dyDescent="0.3">
      <c r="C177" s="58" t="s">
        <v>41</v>
      </c>
      <c r="D177" s="106">
        <f>F177*G177</f>
        <v>13117.164103999999</v>
      </c>
      <c r="E177" s="107">
        <f>D177/D181</f>
        <v>0.16122479010104282</v>
      </c>
      <c r="F177" s="11">
        <f>4017.64+8860</f>
        <v>12877.64</v>
      </c>
      <c r="G177" s="9">
        <v>1.0185999999999999</v>
      </c>
      <c r="H177" s="11">
        <f>F177*G177</f>
        <v>13117.164103999999</v>
      </c>
      <c r="J177" s="9">
        <v>4572.0200000000004</v>
      </c>
    </row>
    <row r="178" spans="3:11" x14ac:dyDescent="0.3">
      <c r="C178" s="59" t="s">
        <v>28</v>
      </c>
      <c r="D178" s="78">
        <f>H178</f>
        <v>9325.9402470000005</v>
      </c>
      <c r="E178" s="53">
        <f>D178/D181</f>
        <v>0.11462635878428455</v>
      </c>
      <c r="F178" s="96">
        <v>9859.33</v>
      </c>
      <c r="G178" s="9">
        <v>0.94589999999999996</v>
      </c>
      <c r="H178" s="11">
        <f t="shared" ref="H178:H179" si="16">F178*G178</f>
        <v>9325.9402470000005</v>
      </c>
      <c r="I178" s="9" t="s">
        <v>208</v>
      </c>
    </row>
    <row r="179" spans="3:11" x14ac:dyDescent="0.3">
      <c r="C179" s="60" t="s">
        <v>30</v>
      </c>
      <c r="D179" s="56">
        <f>H179</f>
        <v>6271.46</v>
      </c>
      <c r="E179" s="53">
        <f>D179/D181</f>
        <v>7.7083340126754427E-2</v>
      </c>
      <c r="F179" s="11">
        <v>6030.25</v>
      </c>
      <c r="G179" s="9">
        <v>1.04</v>
      </c>
      <c r="H179" s="11">
        <f t="shared" si="16"/>
        <v>6271.46</v>
      </c>
      <c r="I179" s="9" t="s">
        <v>209</v>
      </c>
      <c r="J179" s="9">
        <v>6030.25</v>
      </c>
      <c r="K179" s="9">
        <f>J177+J179</f>
        <v>10602.27</v>
      </c>
    </row>
    <row r="180" spans="3:11" x14ac:dyDescent="0.3">
      <c r="C180" s="60" t="s">
        <v>59</v>
      </c>
      <c r="D180" s="53">
        <v>52644.909559799999</v>
      </c>
      <c r="E180" s="53">
        <f>D180/D181</f>
        <v>0.64706551098791809</v>
      </c>
      <c r="F180" s="53">
        <v>52644.909559799999</v>
      </c>
      <c r="G180" s="53">
        <v>1</v>
      </c>
      <c r="H180" s="53">
        <v>52644.909559799999</v>
      </c>
      <c r="J180" s="9">
        <v>1.0069999999999999</v>
      </c>
    </row>
    <row r="181" spans="3:11" ht="24" thickBot="1" x14ac:dyDescent="0.35">
      <c r="C181" s="61" t="s">
        <v>60</v>
      </c>
      <c r="D181" s="57">
        <f>SUM(D177:D180)</f>
        <v>81359.473910800007</v>
      </c>
      <c r="E181" s="54">
        <f>D181/D181</f>
        <v>1</v>
      </c>
      <c r="J181" s="9">
        <f>J179*J180</f>
        <v>6072.4617499999995</v>
      </c>
    </row>
    <row r="182" spans="3:11" x14ac:dyDescent="0.3">
      <c r="D182" s="169">
        <v>20170117</v>
      </c>
      <c r="E182" s="170"/>
      <c r="F182" s="11" t="s">
        <v>204</v>
      </c>
    </row>
    <row r="183" spans="3:11" ht="24" thickBot="1" x14ac:dyDescent="0.35">
      <c r="D183" s="105" t="s">
        <v>24</v>
      </c>
      <c r="E183" s="130" t="s">
        <v>42</v>
      </c>
      <c r="F183" s="11" t="s">
        <v>23</v>
      </c>
      <c r="G183" s="9" t="s">
        <v>82</v>
      </c>
      <c r="H183" s="11" t="s">
        <v>80</v>
      </c>
    </row>
    <row r="184" spans="3:11" x14ac:dyDescent="0.3">
      <c r="C184" s="58" t="s">
        <v>41</v>
      </c>
      <c r="D184" s="106">
        <f>F184*G184</f>
        <v>13260.105908</v>
      </c>
      <c r="E184" s="107">
        <f>D184/D188</f>
        <v>0.16206818214775304</v>
      </c>
      <c r="F184" s="11">
        <f>4017.64+8860</f>
        <v>12877.64</v>
      </c>
      <c r="G184" s="9">
        <v>1.0297000000000001</v>
      </c>
      <c r="H184" s="11">
        <f>F184*G184</f>
        <v>13260.105908</v>
      </c>
      <c r="J184" s="9">
        <v>4572.0200000000004</v>
      </c>
    </row>
    <row r="185" spans="3:11" x14ac:dyDescent="0.3">
      <c r="C185" s="59" t="s">
        <v>28</v>
      </c>
      <c r="D185" s="78">
        <f>H185</f>
        <v>9570.4516309999999</v>
      </c>
      <c r="E185" s="53">
        <f>D185/D188</f>
        <v>0.11697234614343384</v>
      </c>
      <c r="F185" s="96">
        <v>9859.33</v>
      </c>
      <c r="G185" s="9">
        <v>0.97070000000000001</v>
      </c>
      <c r="H185" s="11">
        <f t="shared" ref="H185:H186" si="17">F185*G185</f>
        <v>9570.4516309999999</v>
      </c>
      <c r="I185" s="9" t="s">
        <v>208</v>
      </c>
    </row>
    <row r="186" spans="3:11" x14ac:dyDescent="0.3">
      <c r="C186" s="60" t="s">
        <v>30</v>
      </c>
      <c r="D186" s="56">
        <f>H186</f>
        <v>816</v>
      </c>
      <c r="E186" s="53">
        <f>D186/D188</f>
        <v>9.9733469363000871E-3</v>
      </c>
      <c r="F186" s="11">
        <v>800</v>
      </c>
      <c r="G186" s="9">
        <v>1.02</v>
      </c>
      <c r="H186" s="11">
        <f t="shared" si="17"/>
        <v>816</v>
      </c>
    </row>
    <row r="187" spans="3:11" x14ac:dyDescent="0.3">
      <c r="C187" s="60" t="s">
        <v>59</v>
      </c>
      <c r="D187" s="53">
        <f>57999.9295598*(1+0.0355/12)</f>
        <v>58171.512684747751</v>
      </c>
      <c r="E187" s="53">
        <f>D187/D188</f>
        <v>0.710986124772513</v>
      </c>
      <c r="F187" s="53">
        <f>57999.9295598*(1+0.0355/12)</f>
        <v>58171.512684747751</v>
      </c>
      <c r="G187" s="9">
        <v>1</v>
      </c>
      <c r="H187" s="53">
        <f>57999.9295598*(1+0.0355/12)</f>
        <v>58171.512684747751</v>
      </c>
      <c r="J187" s="9">
        <v>1.0069999999999999</v>
      </c>
    </row>
    <row r="188" spans="3:11" ht="24" thickBot="1" x14ac:dyDescent="0.35">
      <c r="C188" s="61" t="s">
        <v>60</v>
      </c>
      <c r="D188" s="57">
        <f>SUM(D184:D187)</f>
        <v>81818.070223747753</v>
      </c>
      <c r="E188" s="54">
        <f>D188/D188</f>
        <v>1</v>
      </c>
      <c r="J188" s="9">
        <f>J186*J187</f>
        <v>0</v>
      </c>
    </row>
    <row r="189" spans="3:11" ht="24" thickBot="1" x14ac:dyDescent="0.35"/>
    <row r="190" spans="3:11" x14ac:dyDescent="0.3">
      <c r="D190" s="169">
        <v>20170122</v>
      </c>
      <c r="E190" s="170"/>
    </row>
    <row r="191" spans="3:11" ht="24" thickBot="1" x14ac:dyDescent="0.35">
      <c r="D191" s="105" t="s">
        <v>24</v>
      </c>
      <c r="E191" s="132" t="s">
        <v>42</v>
      </c>
      <c r="F191" s="11" t="s">
        <v>23</v>
      </c>
      <c r="G191" s="9" t="s">
        <v>82</v>
      </c>
      <c r="H191" s="11" t="s">
        <v>80</v>
      </c>
    </row>
    <row r="192" spans="3:11" x14ac:dyDescent="0.3">
      <c r="C192" s="58" t="s">
        <v>41</v>
      </c>
      <c r="D192" s="106">
        <f>F192*G192</f>
        <v>13281.997896000001</v>
      </c>
      <c r="E192" s="107">
        <f>D192/D196</f>
        <v>0.16158617385332466</v>
      </c>
      <c r="F192" s="11">
        <f>4017.64+8860</f>
        <v>12877.64</v>
      </c>
      <c r="G192" s="9">
        <v>1.0314000000000001</v>
      </c>
      <c r="H192" s="11">
        <f>F192*G192</f>
        <v>13281.997896000001</v>
      </c>
    </row>
    <row r="193" spans="3:8" x14ac:dyDescent="0.3">
      <c r="C193" s="59" t="s">
        <v>28</v>
      </c>
      <c r="D193" s="78">
        <f>H193</f>
        <v>9931.3031090000004</v>
      </c>
      <c r="E193" s="53">
        <f>D193/D196</f>
        <v>0.12082228015140907</v>
      </c>
      <c r="F193" s="96">
        <v>9859.33</v>
      </c>
      <c r="G193" s="9">
        <v>1.0073000000000001</v>
      </c>
      <c r="H193" s="11">
        <f t="shared" ref="H193:H194" si="18">F193*G193</f>
        <v>9931.3031090000004</v>
      </c>
    </row>
    <row r="194" spans="3:8" x14ac:dyDescent="0.3">
      <c r="C194" s="60" t="s">
        <v>30</v>
      </c>
      <c r="D194" s="56">
        <f>H194</f>
        <v>812.8</v>
      </c>
      <c r="E194" s="53">
        <f>D194/D196</f>
        <v>9.8883649234378923E-3</v>
      </c>
      <c r="F194" s="11">
        <v>800</v>
      </c>
      <c r="G194" s="9">
        <v>1.016</v>
      </c>
      <c r="H194" s="11">
        <f t="shared" si="18"/>
        <v>812.8</v>
      </c>
    </row>
    <row r="195" spans="3:8" x14ac:dyDescent="0.3">
      <c r="C195" s="60" t="s">
        <v>59</v>
      </c>
      <c r="D195" s="53">
        <f>57999.9295598*(1+0.0355/12)</f>
        <v>58171.512684747751</v>
      </c>
      <c r="E195" s="53">
        <f>D195/D196</f>
        <v>0.70770318107182828</v>
      </c>
      <c r="F195" s="53">
        <f>57999.9295598*(1+0.0355/12)</f>
        <v>58171.512684747751</v>
      </c>
      <c r="G195" s="9">
        <v>1</v>
      </c>
      <c r="H195" s="53">
        <f>57999.9295598*(1+0.0355/12)</f>
        <v>58171.512684747751</v>
      </c>
    </row>
    <row r="196" spans="3:8" ht="24" thickBot="1" x14ac:dyDescent="0.35">
      <c r="C196" s="61" t="s">
        <v>60</v>
      </c>
      <c r="D196" s="57">
        <f>SUM(D192:D195)</f>
        <v>82197.613689747755</v>
      </c>
      <c r="E196" s="54">
        <f>D196/D196</f>
        <v>1</v>
      </c>
    </row>
    <row r="197" spans="3:8" ht="24" thickBot="1" x14ac:dyDescent="0.35"/>
    <row r="198" spans="3:8" x14ac:dyDescent="0.3">
      <c r="D198" s="169">
        <v>20170123</v>
      </c>
      <c r="E198" s="170"/>
    </row>
    <row r="199" spans="3:8" ht="24" thickBot="1" x14ac:dyDescent="0.35">
      <c r="D199" s="105" t="s">
        <v>24</v>
      </c>
      <c r="E199" s="132" t="s">
        <v>42</v>
      </c>
      <c r="F199" s="11" t="s">
        <v>23</v>
      </c>
      <c r="G199" s="9" t="s">
        <v>82</v>
      </c>
      <c r="H199" s="11" t="s">
        <v>80</v>
      </c>
    </row>
    <row r="200" spans="3:8" x14ac:dyDescent="0.3">
      <c r="C200" s="58" t="s">
        <v>41</v>
      </c>
      <c r="D200" s="106">
        <f>F200*G200</f>
        <v>13281.997896000001</v>
      </c>
      <c r="E200" s="107">
        <f>D200/D204</f>
        <v>0.16248663689006848</v>
      </c>
      <c r="F200" s="11">
        <f>4017.64+8860</f>
        <v>12877.64</v>
      </c>
      <c r="G200" s="9">
        <v>1.0314000000000001</v>
      </c>
      <c r="H200" s="11">
        <f>F200*G200</f>
        <v>13281.997896000001</v>
      </c>
    </row>
    <row r="201" spans="3:8" x14ac:dyDescent="0.3">
      <c r="C201" s="59" t="s">
        <v>28</v>
      </c>
      <c r="D201" s="78">
        <f>H201</f>
        <v>9931.3031090000004</v>
      </c>
      <c r="E201" s="53">
        <f>D201/D204</f>
        <v>0.1214955803150122</v>
      </c>
      <c r="F201" s="96">
        <v>9859.33</v>
      </c>
      <c r="G201" s="9">
        <v>1.0073000000000001</v>
      </c>
      <c r="H201" s="11">
        <f t="shared" ref="H201:H202" si="19">F201*G201</f>
        <v>9931.3031090000004</v>
      </c>
    </row>
    <row r="202" spans="3:8" x14ac:dyDescent="0.3">
      <c r="C202" s="60" t="s">
        <v>30</v>
      </c>
      <c r="D202" s="56">
        <f>H202</f>
        <v>812.8</v>
      </c>
      <c r="E202" s="53">
        <f>D202/D204</f>
        <v>9.9434693107443971E-3</v>
      </c>
      <c r="F202" s="11">
        <v>800</v>
      </c>
      <c r="G202" s="9">
        <v>1.016</v>
      </c>
      <c r="H202" s="11">
        <f t="shared" si="19"/>
        <v>812.8</v>
      </c>
    </row>
    <row r="203" spans="3:8" x14ac:dyDescent="0.3">
      <c r="C203" s="60" t="s">
        <v>59</v>
      </c>
      <c r="D203" s="53">
        <v>57715.992684747755</v>
      </c>
      <c r="E203" s="53">
        <f>D203/D204</f>
        <v>0.70607431348417493</v>
      </c>
      <c r="F203" s="53">
        <v>57715.992684747755</v>
      </c>
      <c r="G203" s="9">
        <v>1</v>
      </c>
      <c r="H203" s="53">
        <v>57715.992684747755</v>
      </c>
    </row>
    <row r="204" spans="3:8" ht="24" thickBot="1" x14ac:dyDescent="0.35">
      <c r="C204" s="61" t="s">
        <v>60</v>
      </c>
      <c r="D204" s="57">
        <f>SUM(D200:D203)</f>
        <v>81742.093689747751</v>
      </c>
      <c r="E204" s="54">
        <f>D204/D204</f>
        <v>1</v>
      </c>
    </row>
    <row r="205" spans="3:8" x14ac:dyDescent="0.3">
      <c r="D205" s="169">
        <v>20170123</v>
      </c>
      <c r="E205" s="170"/>
      <c r="F205" s="11" t="s">
        <v>216</v>
      </c>
    </row>
    <row r="206" spans="3:8" ht="24" thickBot="1" x14ac:dyDescent="0.35">
      <c r="D206" s="105" t="s">
        <v>24</v>
      </c>
      <c r="E206" s="132" t="s">
        <v>42</v>
      </c>
      <c r="F206" s="11" t="s">
        <v>23</v>
      </c>
      <c r="G206" s="9" t="s">
        <v>82</v>
      </c>
      <c r="H206" s="11" t="s">
        <v>80</v>
      </c>
    </row>
    <row r="207" spans="3:8" x14ac:dyDescent="0.3">
      <c r="C207" s="58" t="s">
        <v>41</v>
      </c>
      <c r="D207" s="106">
        <f>F207*G207</f>
        <v>13281.997896000001</v>
      </c>
      <c r="E207" s="107">
        <f>D207/D211</f>
        <v>0.15720779065181475</v>
      </c>
      <c r="F207" s="11">
        <f>4017.64+8860</f>
        <v>12877.64</v>
      </c>
      <c r="G207" s="9">
        <v>1.0314000000000001</v>
      </c>
      <c r="H207" s="11">
        <f>F207*G207</f>
        <v>13281.997896000001</v>
      </c>
    </row>
    <row r="208" spans="3:8" x14ac:dyDescent="0.3">
      <c r="C208" s="59" t="s">
        <v>28</v>
      </c>
      <c r="D208" s="78">
        <f>H208</f>
        <v>9931.3031090000004</v>
      </c>
      <c r="E208" s="53">
        <f>D208/D211</f>
        <v>0.11754844657290472</v>
      </c>
      <c r="F208" s="96">
        <v>9859.33</v>
      </c>
      <c r="G208" s="9">
        <v>1.0073000000000001</v>
      </c>
      <c r="H208" s="11">
        <f t="shared" ref="H208:H209" si="20">F208*G208</f>
        <v>9931.3031090000004</v>
      </c>
    </row>
    <row r="209" spans="3:8" x14ac:dyDescent="0.3">
      <c r="C209" s="60" t="s">
        <v>30</v>
      </c>
      <c r="D209" s="56">
        <f>H209</f>
        <v>812.8</v>
      </c>
      <c r="E209" s="53">
        <f>D209/D211</f>
        <v>9.6204270804979373E-3</v>
      </c>
      <c r="F209" s="11">
        <v>800</v>
      </c>
      <c r="G209" s="9">
        <v>1.016</v>
      </c>
      <c r="H209" s="11">
        <f t="shared" si="20"/>
        <v>812.8</v>
      </c>
    </row>
    <row r="210" spans="3:8" x14ac:dyDescent="0.3">
      <c r="C210" s="60" t="s">
        <v>59</v>
      </c>
      <c r="D210" s="53">
        <v>60460.792684747801</v>
      </c>
      <c r="E210" s="53">
        <f>D210/D211</f>
        <v>0.71562333569478265</v>
      </c>
      <c r="F210" s="53">
        <v>60460.792684747801</v>
      </c>
      <c r="G210" s="9">
        <v>1</v>
      </c>
      <c r="H210" s="53">
        <v>60460.792684747801</v>
      </c>
    </row>
    <row r="211" spans="3:8" ht="24" thickBot="1" x14ac:dyDescent="0.35">
      <c r="C211" s="61" t="s">
        <v>60</v>
      </c>
      <c r="D211" s="57">
        <f>SUM(D207:D210)</f>
        <v>84486.893689747798</v>
      </c>
      <c r="E211" s="54">
        <f>D211/D211</f>
        <v>1</v>
      </c>
    </row>
  </sheetData>
  <mergeCells count="24">
    <mergeCell ref="D56:E56"/>
    <mergeCell ref="D4:E4"/>
    <mergeCell ref="D15:E15"/>
    <mergeCell ref="D25:E25"/>
    <mergeCell ref="D35:E35"/>
    <mergeCell ref="D45:E45"/>
    <mergeCell ref="D84:E84"/>
    <mergeCell ref="D75:E75"/>
    <mergeCell ref="D66:E66"/>
    <mergeCell ref="D138:E138"/>
    <mergeCell ref="D129:E129"/>
    <mergeCell ref="D120:E120"/>
    <mergeCell ref="D102:E102"/>
    <mergeCell ref="D111:E111"/>
    <mergeCell ref="D190:E190"/>
    <mergeCell ref="D198:E198"/>
    <mergeCell ref="D205:E205"/>
    <mergeCell ref="D182:E182"/>
    <mergeCell ref="D93:E93"/>
    <mergeCell ref="D175:E175"/>
    <mergeCell ref="D161:E161"/>
    <mergeCell ref="D168:E168"/>
    <mergeCell ref="D154:E154"/>
    <mergeCell ref="D146:E146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13" sqref="E13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4" thickBot="1" x14ac:dyDescent="0.35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  <row r="9" spans="1:9" ht="24" thickBot="1" x14ac:dyDescent="0.35">
      <c r="A9">
        <v>161103</v>
      </c>
      <c r="B9" s="58" t="s">
        <v>41</v>
      </c>
      <c r="C9" t="s">
        <v>91</v>
      </c>
      <c r="D9">
        <v>5000</v>
      </c>
    </row>
    <row r="10" spans="1:9" ht="23" x14ac:dyDescent="0.3">
      <c r="A10">
        <v>161105</v>
      </c>
      <c r="B10" s="58" t="s">
        <v>41</v>
      </c>
      <c r="C10" t="s">
        <v>91</v>
      </c>
      <c r="D10">
        <v>900</v>
      </c>
    </row>
    <row r="11" spans="1:9" ht="24" thickBot="1" x14ac:dyDescent="0.2">
      <c r="A11">
        <v>20161108</v>
      </c>
      <c r="B11" s="59" t="s">
        <v>28</v>
      </c>
      <c r="C11" t="s">
        <v>91</v>
      </c>
      <c r="D11">
        <v>100</v>
      </c>
      <c r="E11">
        <v>1.0044</v>
      </c>
      <c r="H11">
        <v>99.56</v>
      </c>
      <c r="I11" t="s">
        <v>190</v>
      </c>
    </row>
    <row r="12" spans="1:9" ht="23" x14ac:dyDescent="0.3">
      <c r="A12">
        <v>161108</v>
      </c>
      <c r="B12" s="58" t="s">
        <v>41</v>
      </c>
      <c r="C12" t="s">
        <v>91</v>
      </c>
      <c r="D12">
        <v>4100</v>
      </c>
      <c r="E12">
        <v>1.0205</v>
      </c>
      <c r="H12" s="125">
        <v>4017.64</v>
      </c>
      <c r="I12" t="s">
        <v>191</v>
      </c>
    </row>
    <row r="13" spans="1:9" ht="23" x14ac:dyDescent="0.3">
      <c r="A13">
        <v>20161109</v>
      </c>
      <c r="B13" s="60" t="s">
        <v>31</v>
      </c>
      <c r="C13" t="s">
        <v>70</v>
      </c>
      <c r="D13">
        <f>E13*H13-F13</f>
        <v>12503.938004558588</v>
      </c>
      <c r="E13">
        <v>0.60099999999999998</v>
      </c>
      <c r="F13">
        <v>76.489999999999995</v>
      </c>
      <c r="H13" s="11">
        <v>20932.492520064206</v>
      </c>
    </row>
    <row r="14" spans="1:9" ht="23" x14ac:dyDescent="0.3">
      <c r="A14">
        <v>20161109</v>
      </c>
      <c r="B14" s="60" t="s">
        <v>30</v>
      </c>
      <c r="C14" t="s">
        <v>70</v>
      </c>
      <c r="D14">
        <f>E14*H14-F14</f>
        <v>4572.0200000000004</v>
      </c>
      <c r="E14">
        <v>0.91900000000000004</v>
      </c>
      <c r="F14">
        <v>22.98</v>
      </c>
      <c r="H14">
        <v>5000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8"/>
  <sheetViews>
    <sheetView topLeftCell="A41" workbookViewId="0">
      <selection activeCell="I68" sqref="I68"/>
    </sheetView>
  </sheetViews>
  <sheetFormatPr baseColWidth="10" defaultRowHeight="15" x14ac:dyDescent="0.15"/>
  <cols>
    <col min="3" max="3" width="46.5" customWidth="1"/>
    <col min="4" max="4" width="10.83203125" style="7"/>
    <col min="5" max="5" width="10.83203125" customWidth="1"/>
    <col min="7" max="7" width="7.5" style="92" bestFit="1" customWidth="1"/>
    <col min="8" max="8" width="13.33203125" customWidth="1"/>
    <col min="10" max="10" width="19" customWidth="1"/>
    <col min="11" max="11" width="16.1640625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1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1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1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1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182</v>
      </c>
    </row>
    <row r="53" spans="2:11" x14ac:dyDescent="0.15">
      <c r="B53" s="89">
        <v>20161103</v>
      </c>
      <c r="C53" s="89" t="s">
        <v>38</v>
      </c>
      <c r="D53" s="94" t="s">
        <v>117</v>
      </c>
      <c r="E53" s="89">
        <v>5000</v>
      </c>
      <c r="F53" s="89">
        <v>1</v>
      </c>
      <c r="G53" s="93">
        <v>0</v>
      </c>
      <c r="H53" s="89">
        <f>E53</f>
        <v>5000</v>
      </c>
      <c r="I53" s="89">
        <v>34549.760000000002</v>
      </c>
      <c r="J53" t="s">
        <v>182</v>
      </c>
    </row>
    <row r="54" spans="2:11" x14ac:dyDescent="0.15">
      <c r="B54" s="89">
        <v>20161105</v>
      </c>
      <c r="C54" s="89" t="s">
        <v>38</v>
      </c>
      <c r="D54" s="94" t="s">
        <v>111</v>
      </c>
      <c r="E54" s="89">
        <v>4000</v>
      </c>
      <c r="F54" s="89">
        <v>1</v>
      </c>
      <c r="G54" s="93">
        <v>0</v>
      </c>
      <c r="H54" s="89">
        <f>E54</f>
        <v>4000</v>
      </c>
      <c r="I54" s="89">
        <v>30549.759999999998</v>
      </c>
      <c r="J54" t="s">
        <v>185</v>
      </c>
    </row>
    <row r="55" spans="2:11" x14ac:dyDescent="0.15">
      <c r="B55" s="89">
        <v>20161109</v>
      </c>
      <c r="C55" s="89" t="s">
        <v>38</v>
      </c>
      <c r="D55" s="94" t="s">
        <v>186</v>
      </c>
      <c r="E55">
        <v>12503.938004558588</v>
      </c>
      <c r="F55" s="89">
        <v>1</v>
      </c>
      <c r="G55" s="93">
        <v>0</v>
      </c>
      <c r="H55">
        <v>12503.938004558588</v>
      </c>
      <c r="I55" s="89">
        <f>H55+I54</f>
        <v>43053.698004558588</v>
      </c>
      <c r="J55" t="s">
        <v>187</v>
      </c>
    </row>
    <row r="56" spans="2:11" x14ac:dyDescent="0.15">
      <c r="B56" s="89">
        <v>20161109</v>
      </c>
      <c r="C56" s="89" t="s">
        <v>38</v>
      </c>
      <c r="D56" s="94" t="s">
        <v>186</v>
      </c>
      <c r="E56">
        <v>4572.0200000000004</v>
      </c>
      <c r="F56" s="89">
        <v>1</v>
      </c>
      <c r="G56" s="93">
        <v>0</v>
      </c>
      <c r="H56">
        <v>4572.0200000000004</v>
      </c>
      <c r="I56" s="89">
        <f>H56+I55</f>
        <v>47625.718004558585</v>
      </c>
      <c r="J56" t="s">
        <v>192</v>
      </c>
    </row>
    <row r="57" spans="2:11" x14ac:dyDescent="0.15">
      <c r="B57" s="89">
        <v>20161109</v>
      </c>
      <c r="C57" s="89" t="s">
        <v>38</v>
      </c>
      <c r="D57" s="94" t="s">
        <v>188</v>
      </c>
      <c r="E57">
        <v>100</v>
      </c>
      <c r="F57" s="89">
        <v>1</v>
      </c>
      <c r="G57" s="93">
        <v>0</v>
      </c>
      <c r="H57">
        <v>100</v>
      </c>
      <c r="I57" s="89">
        <f>I56-H57</f>
        <v>47525.718004558585</v>
      </c>
      <c r="J57" t="s">
        <v>189</v>
      </c>
    </row>
    <row r="58" spans="2:11" x14ac:dyDescent="0.15">
      <c r="B58" s="89">
        <v>20161108</v>
      </c>
      <c r="C58" s="89" t="s">
        <v>38</v>
      </c>
      <c r="D58" s="94" t="s">
        <v>188</v>
      </c>
      <c r="E58">
        <v>4100</v>
      </c>
      <c r="F58" s="89">
        <v>1</v>
      </c>
      <c r="G58" s="93">
        <v>0</v>
      </c>
      <c r="H58">
        <v>4100</v>
      </c>
      <c r="I58" s="89">
        <f>I57-H58</f>
        <v>43425.718004558585</v>
      </c>
      <c r="J58" t="s">
        <v>189</v>
      </c>
    </row>
    <row r="59" spans="2:11" x14ac:dyDescent="0.15">
      <c r="B59" s="89">
        <v>20161108</v>
      </c>
      <c r="C59" s="89" t="s">
        <v>38</v>
      </c>
      <c r="D59" s="94" t="s">
        <v>193</v>
      </c>
      <c r="E59">
        <f>43425*0.022/365*30</f>
        <v>78.521917808219172</v>
      </c>
      <c r="F59" s="89">
        <v>1</v>
      </c>
      <c r="G59" s="93">
        <v>0</v>
      </c>
      <c r="H59">
        <v>78.521917808219172</v>
      </c>
      <c r="I59" s="89">
        <f>I58+H59</f>
        <v>43504.239922366804</v>
      </c>
      <c r="J59" t="s">
        <v>176</v>
      </c>
      <c r="K59" t="s">
        <v>194</v>
      </c>
    </row>
    <row r="60" spans="2:11" x14ac:dyDescent="0.15">
      <c r="B60" s="89">
        <v>20161122</v>
      </c>
      <c r="C60" s="89" t="s">
        <v>38</v>
      </c>
      <c r="D60" s="94" t="s">
        <v>193</v>
      </c>
      <c r="E60">
        <v>5000</v>
      </c>
      <c r="F60" s="89">
        <v>1</v>
      </c>
      <c r="G60" s="93">
        <v>0</v>
      </c>
      <c r="H60">
        <v>5000</v>
      </c>
      <c r="I60" s="89">
        <v>48504.2399</v>
      </c>
      <c r="J60" t="s">
        <v>182</v>
      </c>
      <c r="K60" t="s">
        <v>198</v>
      </c>
    </row>
    <row r="61" spans="2:11" x14ac:dyDescent="0.15">
      <c r="B61" s="89">
        <v>20161209</v>
      </c>
      <c r="C61" s="89" t="s">
        <v>38</v>
      </c>
      <c r="D61" s="94" t="s">
        <v>201</v>
      </c>
      <c r="E61">
        <v>164.41</v>
      </c>
      <c r="F61" s="89">
        <v>1</v>
      </c>
      <c r="G61" s="93">
        <v>0</v>
      </c>
      <c r="H61">
        <v>164.41</v>
      </c>
      <c r="I61" s="89">
        <f>I60-E61</f>
        <v>48339.829899999997</v>
      </c>
      <c r="J61" t="s">
        <v>159</v>
      </c>
      <c r="K61" t="s">
        <v>198</v>
      </c>
    </row>
    <row r="62" spans="2:11" x14ac:dyDescent="0.15">
      <c r="B62" s="89">
        <v>20161209</v>
      </c>
      <c r="C62" s="89" t="s">
        <v>38</v>
      </c>
      <c r="D62" s="94" t="s">
        <v>205</v>
      </c>
      <c r="E62">
        <v>4200</v>
      </c>
      <c r="F62" s="89">
        <v>1</v>
      </c>
      <c r="G62" s="93">
        <v>0</v>
      </c>
      <c r="H62">
        <v>4200</v>
      </c>
      <c r="I62" s="89">
        <v>52539.829899999997</v>
      </c>
      <c r="J62" t="s">
        <v>159</v>
      </c>
      <c r="K62" t="s">
        <v>198</v>
      </c>
    </row>
    <row r="63" spans="2:11" x14ac:dyDescent="0.15">
      <c r="B63" s="89">
        <v>20161209</v>
      </c>
      <c r="C63" s="89" t="s">
        <v>38</v>
      </c>
      <c r="D63" s="94" t="s">
        <v>205</v>
      </c>
      <c r="E63">
        <f>455.71-2.29</f>
        <v>453.41999999999996</v>
      </c>
      <c r="F63" s="89">
        <v>1</v>
      </c>
      <c r="G63" s="93">
        <v>0</v>
      </c>
      <c r="H63">
        <v>453.41999999999996</v>
      </c>
      <c r="I63" s="89">
        <v>52539.829899999997</v>
      </c>
      <c r="J63" t="s">
        <v>159</v>
      </c>
      <c r="K63" t="s">
        <v>198</v>
      </c>
    </row>
    <row r="64" spans="2:11" x14ac:dyDescent="0.15">
      <c r="B64" s="89">
        <v>20161215</v>
      </c>
      <c r="C64" s="89" t="s">
        <v>38</v>
      </c>
      <c r="D64" s="94" t="s">
        <v>162</v>
      </c>
      <c r="E64">
        <f>I63*2.4/12/100</f>
        <v>105.07965979999999</v>
      </c>
      <c r="F64" s="89">
        <v>1</v>
      </c>
      <c r="G64" s="93">
        <v>0</v>
      </c>
      <c r="H64">
        <v>105.07965979999999</v>
      </c>
      <c r="I64" s="89">
        <f>I63+H64</f>
        <v>52644.909559799999</v>
      </c>
      <c r="J64" t="s">
        <v>206</v>
      </c>
      <c r="K64" s="131" t="s">
        <v>207</v>
      </c>
    </row>
    <row r="65" spans="2:11" x14ac:dyDescent="0.15">
      <c r="B65" s="89">
        <v>20170105</v>
      </c>
      <c r="C65" s="89" t="s">
        <v>38</v>
      </c>
      <c r="D65" s="94" t="s">
        <v>117</v>
      </c>
      <c r="E65">
        <v>5355.02</v>
      </c>
      <c r="F65" s="89">
        <v>1</v>
      </c>
      <c r="G65" s="93">
        <v>0</v>
      </c>
      <c r="H65">
        <v>5355.02</v>
      </c>
      <c r="I65" s="89">
        <f>52644.9095598+H65</f>
        <v>57999.929559800003</v>
      </c>
      <c r="J65" t="s">
        <v>210</v>
      </c>
    </row>
    <row r="66" spans="2:11" x14ac:dyDescent="0.15">
      <c r="B66" s="89">
        <v>20170117</v>
      </c>
      <c r="C66" s="89" t="s">
        <v>38</v>
      </c>
      <c r="D66" s="94" t="s">
        <v>117</v>
      </c>
      <c r="E66">
        <v>58106.262763992971</v>
      </c>
      <c r="F66" s="89">
        <v>1</v>
      </c>
      <c r="G66" s="93">
        <v>0</v>
      </c>
      <c r="H66">
        <v>58106.262763992971</v>
      </c>
      <c r="I66" s="89">
        <f>57999.9295598*(1+0.0355/12)</f>
        <v>58171.512684747751</v>
      </c>
      <c r="J66" t="s">
        <v>206</v>
      </c>
      <c r="K66" t="s">
        <v>211</v>
      </c>
    </row>
    <row r="67" spans="2:11" x14ac:dyDescent="0.15">
      <c r="B67" s="89">
        <v>20170123</v>
      </c>
      <c r="C67" s="89" t="s">
        <v>38</v>
      </c>
      <c r="D67" s="94" t="s">
        <v>188</v>
      </c>
      <c r="E67">
        <v>58106.262763992971</v>
      </c>
      <c r="F67" s="89">
        <v>1</v>
      </c>
      <c r="G67" s="93">
        <v>0</v>
      </c>
      <c r="H67">
        <v>58106.262763992971</v>
      </c>
      <c r="I67" s="89">
        <f>I66-455.52</f>
        <v>57715.992684747755</v>
      </c>
      <c r="J67" t="s">
        <v>159</v>
      </c>
    </row>
    <row r="68" spans="2:11" x14ac:dyDescent="0.15">
      <c r="B68" s="89">
        <v>20170123</v>
      </c>
      <c r="C68" s="89" t="s">
        <v>38</v>
      </c>
      <c r="D68" s="94" t="s">
        <v>188</v>
      </c>
      <c r="E68" s="89">
        <f>57715.9926847478+2744.8</f>
        <v>60460.792684747801</v>
      </c>
      <c r="F68" s="89">
        <v>1</v>
      </c>
      <c r="G68" s="93">
        <v>0</v>
      </c>
      <c r="H68">
        <v>60460.792684747801</v>
      </c>
      <c r="I68">
        <v>60460.792684747801</v>
      </c>
      <c r="J68" t="s">
        <v>159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J29" sqref="J29"/>
    </sheetView>
  </sheetViews>
  <sheetFormatPr baseColWidth="10" defaultRowHeight="15" x14ac:dyDescent="0.15"/>
  <cols>
    <col min="10" max="10" width="24.1640625" customWidth="1"/>
  </cols>
  <sheetData>
    <row r="1" spans="2:11" x14ac:dyDescent="0.15">
      <c r="B1" t="s">
        <v>196</v>
      </c>
      <c r="K1" t="s">
        <v>197</v>
      </c>
    </row>
    <row r="2" spans="2:11" x14ac:dyDescent="0.15">
      <c r="B2" s="89">
        <v>20161122</v>
      </c>
      <c r="C2" s="89" t="s">
        <v>38</v>
      </c>
      <c r="D2" s="94" t="s">
        <v>188</v>
      </c>
      <c r="E2">
        <v>3000</v>
      </c>
      <c r="F2" s="89">
        <v>1</v>
      </c>
      <c r="G2" s="93">
        <v>0</v>
      </c>
      <c r="H2">
        <v>3000</v>
      </c>
      <c r="I2" s="89"/>
      <c r="J2" t="s">
        <v>195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38">
        <v>20160708</v>
      </c>
      <c r="G4" s="138"/>
      <c r="H4" s="138">
        <v>20160712</v>
      </c>
      <c r="I4" s="138"/>
      <c r="J4" s="138">
        <v>20160808</v>
      </c>
      <c r="K4" s="138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38">
        <v>20160810</v>
      </c>
      <c r="F8" s="138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38">
        <v>201605</v>
      </c>
      <c r="D4" s="138"/>
      <c r="E4" s="138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42">
        <v>20160608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4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39">
        <v>20160708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1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39">
        <v>20160808</v>
      </c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1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39">
        <v>20160825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1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39">
        <v>20160906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39">
        <v>20160921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opLeftCell="A24" workbookViewId="0">
      <selection activeCell="E44" sqref="E44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0.98998490009202555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41820.119947931169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4.5502998698279118E-2</v>
      </c>
    </row>
    <row r="21" spans="1:9" ht="23" x14ac:dyDescent="0.3">
      <c r="B21" s="40" t="s">
        <v>32</v>
      </c>
      <c r="C21" s="64">
        <v>23408.289291309895</v>
      </c>
      <c r="D21" s="66">
        <f>C21*C18</f>
        <v>23173.85293538266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5.3356951608302783E-2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64993.972883313829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4.8289885214739092E-2</v>
      </c>
    </row>
    <row r="24" spans="1:9" x14ac:dyDescent="0.15">
      <c r="A24">
        <v>201611018</v>
      </c>
      <c r="B24" t="s">
        <v>82</v>
      </c>
      <c r="C24">
        <f>净值!F17</f>
        <v>0.99323108274574878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41957.249057616558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4.8931226440414033E-2</v>
      </c>
    </row>
    <row r="27" spans="1:9" ht="23" x14ac:dyDescent="0.3">
      <c r="B27" s="40" t="s">
        <v>32</v>
      </c>
      <c r="C27" s="64">
        <v>24408.383808517923</v>
      </c>
      <c r="D27" s="66">
        <f>C27*C24</f>
        <v>24243.165478208059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0.10196206719127532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66200.414535824617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6.7748621545558274E-2</v>
      </c>
    </row>
    <row r="29" spans="1:9" x14ac:dyDescent="0.15">
      <c r="A29">
        <v>20161031</v>
      </c>
      <c r="B29" t="s">
        <v>82</v>
      </c>
      <c r="C29">
        <f>净值!F22</f>
        <v>0.99481587970211183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42024.195936101329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5.0604898402533127E-2</v>
      </c>
    </row>
    <row r="32" spans="1:9" ht="23" x14ac:dyDescent="0.3">
      <c r="B32" s="40" t="s">
        <v>32</v>
      </c>
      <c r="C32" s="64">
        <v>29408.856394558064</v>
      </c>
      <c r="D32" s="66">
        <f>C32*C29</f>
        <v>29256.397345185356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0.32983624296297065</v>
      </c>
    </row>
    <row r="33" spans="1:9" ht="24" thickBot="1" x14ac:dyDescent="0.35">
      <c r="B33" s="73" t="s">
        <v>43</v>
      </c>
      <c r="C33" s="115">
        <f>C31+C32</f>
        <v>71652.046107899863</v>
      </c>
      <c r="D33" s="68">
        <f>D31+D32</f>
        <v>71280.593281286681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0.14968698840784977</v>
      </c>
    </row>
    <row r="35" spans="1:9" x14ac:dyDescent="0.15">
      <c r="A35">
        <v>20161103</v>
      </c>
      <c r="B35" t="s">
        <v>82</v>
      </c>
      <c r="C35">
        <v>0.98998490009202555</v>
      </c>
    </row>
    <row r="36" spans="1:9" ht="23" x14ac:dyDescent="0.3">
      <c r="B36" s="40"/>
      <c r="C36" s="114" t="s">
        <v>23</v>
      </c>
      <c r="D36" s="41" t="s">
        <v>57</v>
      </c>
      <c r="E36" s="41" t="s">
        <v>42</v>
      </c>
      <c r="F36" s="116" t="s">
        <v>165</v>
      </c>
      <c r="G36" s="116" t="s">
        <v>166</v>
      </c>
      <c r="H36" s="116" t="s">
        <v>167</v>
      </c>
      <c r="I36" s="116" t="s">
        <v>168</v>
      </c>
    </row>
    <row r="37" spans="1:9" ht="23" x14ac:dyDescent="0.3">
      <c r="B37" s="40">
        <v>216</v>
      </c>
      <c r="C37" s="114">
        <v>42243.189713341802</v>
      </c>
      <c r="D37" s="66">
        <f>C35*C37</f>
        <v>41820.119947931169</v>
      </c>
      <c r="E37" s="100">
        <f>C37/C39</f>
        <v>0.55286274844758898</v>
      </c>
      <c r="F37">
        <v>560.38</v>
      </c>
      <c r="G37">
        <v>40000</v>
      </c>
      <c r="H37">
        <f>F37/G37</f>
        <v>1.4009499999999999E-2</v>
      </c>
      <c r="I37">
        <f>D37/40000-1</f>
        <v>4.5502998698279118E-2</v>
      </c>
    </row>
    <row r="38" spans="1:9" ht="23" x14ac:dyDescent="0.3">
      <c r="B38" s="40" t="s">
        <v>32</v>
      </c>
      <c r="C38" s="64">
        <v>34164.905843753644</v>
      </c>
      <c r="D38" s="66">
        <f>C38*C35</f>
        <v>33822.740898381911</v>
      </c>
      <c r="E38" s="100">
        <f>C38/C39</f>
        <v>0.44713725155241096</v>
      </c>
      <c r="F38">
        <v>0</v>
      </c>
      <c r="G38">
        <v>33000</v>
      </c>
      <c r="H38">
        <v>0</v>
      </c>
      <c r="I38">
        <f>D38/22000-1</f>
        <v>0.53739731356281406</v>
      </c>
    </row>
    <row r="39" spans="1:9" ht="24" thickBot="1" x14ac:dyDescent="0.35">
      <c r="B39" s="73" t="s">
        <v>43</v>
      </c>
      <c r="C39" s="115">
        <f>C37+C38</f>
        <v>76408.095557095454</v>
      </c>
      <c r="D39" s="68">
        <f>D37+D38</f>
        <v>75642.86084631308</v>
      </c>
      <c r="E39" s="70">
        <v>1</v>
      </c>
      <c r="F39">
        <f>F37+F38</f>
        <v>560.38</v>
      </c>
      <c r="G39">
        <f>G37+G38</f>
        <v>73000</v>
      </c>
      <c r="H39">
        <f>F39/G39</f>
        <v>7.6764383561643834E-3</v>
      </c>
      <c r="I39">
        <f>D39/62000-1</f>
        <v>0.22004614268246914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workbookViewId="0">
      <selection activeCell="H35" sqref="H35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560.38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 t="shared" ref="L6:L11" si="4"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 t="shared" si="4"/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 t="shared" ref="G8:G15" si="5"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 t="shared" si="4"/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 t="shared" si="5"/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 t="shared" si="4"/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 t="shared" si="5"/>
        <v>1.3506214984270182E-3</v>
      </c>
      <c r="H10">
        <v>0</v>
      </c>
      <c r="I10">
        <v>0</v>
      </c>
      <c r="J10">
        <f t="shared" ref="J10" si="6">F10-H10</f>
        <v>1.0010309148876051</v>
      </c>
      <c r="K10">
        <f t="shared" ref="K10" si="7">J10*E10</f>
        <v>71725.913268959863</v>
      </c>
      <c r="L10">
        <f t="shared" si="4"/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8">C11/E11</f>
        <v>0.99900715380391492</v>
      </c>
      <c r="G11">
        <f t="shared" si="5"/>
        <v>-2.0237610836901787E-3</v>
      </c>
      <c r="H11">
        <v>0</v>
      </c>
      <c r="I11">
        <v>0</v>
      </c>
      <c r="J11">
        <f t="shared" ref="J11" si="9">F11-H11</f>
        <v>0.99900715380391492</v>
      </c>
      <c r="K11">
        <f t="shared" ref="K11" si="10">J11*E11</f>
        <v>71580.906646479925</v>
      </c>
      <c r="L11">
        <f t="shared" si="4"/>
        <v>-145.00662247994208</v>
      </c>
    </row>
    <row r="12" spans="2:17" x14ac:dyDescent="0.15">
      <c r="B12">
        <v>20161103</v>
      </c>
      <c r="C12">
        <v>70934.443707518454</v>
      </c>
      <c r="D12">
        <f t="shared" ref="D12" si="11">C12-C11</f>
        <v>-646.46293896147108</v>
      </c>
      <c r="E12">
        <v>71652.046107899863</v>
      </c>
      <c r="F12">
        <f t="shared" ref="F12:F17" si="12">C12/E12</f>
        <v>0.98998490009202555</v>
      </c>
      <c r="G12">
        <f t="shared" si="5"/>
        <v>-9.0222537118893609E-3</v>
      </c>
      <c r="H12">
        <v>0</v>
      </c>
      <c r="I12">
        <v>0</v>
      </c>
      <c r="J12">
        <f t="shared" ref="J12" si="13">F12-H12</f>
        <v>0.98998490009202555</v>
      </c>
      <c r="K12">
        <f t="shared" ref="K12" si="14">J12*E12</f>
        <v>70934.443707518454</v>
      </c>
      <c r="L12">
        <f t="shared" ref="L12" si="15">(F12-F11)*E12</f>
        <v>-646.46293896146722</v>
      </c>
    </row>
    <row r="13" spans="2:17" x14ac:dyDescent="0.15">
      <c r="B13">
        <v>20161105</v>
      </c>
      <c r="C13">
        <f>70934.4437075185+5000</f>
        <v>75934.443707518498</v>
      </c>
      <c r="D13">
        <f t="shared" ref="D13" si="16">C13-C12</f>
        <v>5000.0000000000437</v>
      </c>
      <c r="E13">
        <f>71652.0461078999+5000/F12</f>
        <v>76702.628192066259</v>
      </c>
      <c r="F13">
        <f t="shared" si="12"/>
        <v>0.98998490009202555</v>
      </c>
      <c r="G13">
        <f t="shared" si="5"/>
        <v>0</v>
      </c>
      <c r="H13">
        <v>0</v>
      </c>
      <c r="I13">
        <v>0</v>
      </c>
      <c r="J13">
        <f t="shared" ref="J13" si="17">F13-H13</f>
        <v>0.98998490009202555</v>
      </c>
      <c r="K13">
        <f t="shared" ref="K13" si="18">J13*E13</f>
        <v>75934.443707518498</v>
      </c>
      <c r="L13">
        <f t="shared" ref="L13" si="19">(F13-F12)*E13</f>
        <v>0</v>
      </c>
    </row>
    <row r="14" spans="2:17" x14ac:dyDescent="0.15">
      <c r="B14">
        <v>20161108</v>
      </c>
      <c r="C14">
        <v>75639.553558821834</v>
      </c>
      <c r="D14">
        <f t="shared" ref="D14" si="20">C14-C13</f>
        <v>-294.89014869666426</v>
      </c>
      <c r="E14">
        <f>71652.0461078999+5000/F13</f>
        <v>76702.628192066259</v>
      </c>
      <c r="F14">
        <f t="shared" si="12"/>
        <v>0.98614031020446336</v>
      </c>
      <c r="G14">
        <f t="shared" si="5"/>
        <v>-3.8445898875621998E-3</v>
      </c>
      <c r="H14">
        <v>0</v>
      </c>
      <c r="I14">
        <v>0</v>
      </c>
      <c r="J14">
        <f t="shared" ref="J14" si="21">F14-H14</f>
        <v>0.98614031020446336</v>
      </c>
      <c r="K14">
        <f t="shared" ref="K14" si="22">J14*E14</f>
        <v>75639.553558821834</v>
      </c>
      <c r="L14">
        <f t="shared" ref="L14" si="23">(F14-F13)*E14</f>
        <v>-294.89014869666124</v>
      </c>
    </row>
    <row r="15" spans="2:17" x14ac:dyDescent="0.15">
      <c r="B15">
        <v>20161117</v>
      </c>
      <c r="C15">
        <v>75946.217250558577</v>
      </c>
      <c r="D15">
        <f t="shared" ref="D15" si="24">C15-C14</f>
        <v>306.6636917367432</v>
      </c>
      <c r="E15">
        <f>71652.0461078999+5000/F14</f>
        <v>76722.31851057992</v>
      </c>
      <c r="F15">
        <f t="shared" si="12"/>
        <v>0.98988428302105702</v>
      </c>
      <c r="G15">
        <f t="shared" si="5"/>
        <v>3.7439728165936659E-3</v>
      </c>
      <c r="H15">
        <v>0</v>
      </c>
      <c r="I15">
        <v>0</v>
      </c>
      <c r="J15">
        <f t="shared" ref="J15" si="25">F15-H15</f>
        <v>0.98988428302105702</v>
      </c>
      <c r="K15">
        <f t="shared" ref="K15" si="26">J15*E15</f>
        <v>75946.217250558577</v>
      </c>
      <c r="L15">
        <f t="shared" ref="L15" si="27">(F15-F14)*E15</f>
        <v>287.24627492965226</v>
      </c>
    </row>
    <row r="16" spans="2:17" x14ac:dyDescent="0.15">
      <c r="B16">
        <v>20161122</v>
      </c>
      <c r="C16">
        <v>76110.26288755858</v>
      </c>
      <c r="D16">
        <f t="shared" ref="D16" si="28">C16-C15</f>
        <v>164.0456370000029</v>
      </c>
      <c r="E16">
        <f>71652.0461078999+5000/F15</f>
        <v>76703.141559926225</v>
      </c>
      <c r="F16">
        <f t="shared" si="12"/>
        <v>0.99227047731930973</v>
      </c>
      <c r="G16">
        <f t="shared" ref="G16" si="29">F16-F15</f>
        <v>2.3861942982527085E-3</v>
      </c>
      <c r="H16">
        <v>0</v>
      </c>
      <c r="I16">
        <v>0</v>
      </c>
      <c r="J16">
        <f t="shared" ref="J16" si="30">F16-H16</f>
        <v>0.99227047731930973</v>
      </c>
      <c r="K16">
        <f t="shared" ref="K16" si="31">J16*E16</f>
        <v>76110.26288755858</v>
      </c>
      <c r="L16">
        <f t="shared" ref="L16" si="32">(F16-F15)*E16</f>
        <v>183.02859904836632</v>
      </c>
    </row>
    <row r="17" spans="1:13" x14ac:dyDescent="0.15">
      <c r="A17" t="s">
        <v>155</v>
      </c>
      <c r="B17">
        <v>20161122</v>
      </c>
      <c r="C17">
        <v>81188.78478300001</v>
      </c>
      <c r="D17">
        <f t="shared" ref="D17" si="33">C17-C16</f>
        <v>5078.5218954414304</v>
      </c>
      <c r="E17">
        <f>E16+5000/F16</f>
        <v>81742.090227942492</v>
      </c>
      <c r="F17">
        <f t="shared" si="12"/>
        <v>0.99323108274574878</v>
      </c>
      <c r="G17">
        <f t="shared" ref="G17" si="34">F17-F16</f>
        <v>9.60605426439054E-4</v>
      </c>
      <c r="H17">
        <v>0</v>
      </c>
      <c r="I17">
        <v>0</v>
      </c>
      <c r="J17">
        <f t="shared" ref="J17" si="35">F17-H17</f>
        <v>0.99323108274574878</v>
      </c>
      <c r="K17">
        <f t="shared" ref="K17" si="36">J17*E17</f>
        <v>81188.78478300001</v>
      </c>
      <c r="L17">
        <f t="shared" ref="L17" si="37">(F17-F16)*E17</f>
        <v>78.521895441432321</v>
      </c>
    </row>
    <row r="18" spans="1:13" x14ac:dyDescent="0.15">
      <c r="B18">
        <v>20161209</v>
      </c>
      <c r="C18">
        <v>81906.498561</v>
      </c>
      <c r="D18">
        <f t="shared" ref="D18" si="38">C18-C17</f>
        <v>717.71377799999027</v>
      </c>
      <c r="E18">
        <v>81742.090227942492</v>
      </c>
      <c r="F18">
        <f t="shared" ref="F18" si="39">C18/E18</f>
        <v>1.0020113057128714</v>
      </c>
      <c r="G18">
        <f t="shared" ref="G18" si="40">F18-F17</f>
        <v>8.7802229671226639E-3</v>
      </c>
      <c r="H18">
        <v>0</v>
      </c>
      <c r="I18">
        <v>0</v>
      </c>
      <c r="J18">
        <f t="shared" ref="J18" si="41">F18-H18</f>
        <v>1.0020113057128714</v>
      </c>
      <c r="K18">
        <f t="shared" ref="K18" si="42">J18*E18</f>
        <v>81906.498561</v>
      </c>
      <c r="L18">
        <f t="shared" ref="L18" si="43">(F18-F17)*E18</f>
        <v>717.71377799999368</v>
      </c>
    </row>
    <row r="19" spans="1:13" x14ac:dyDescent="0.15">
      <c r="A19" t="s">
        <v>159</v>
      </c>
      <c r="B19">
        <v>20161210</v>
      </c>
      <c r="C19">
        <v>81906.498561</v>
      </c>
      <c r="D19">
        <f>-C19*(F18-F19)</f>
        <v>-164.73900847703629</v>
      </c>
      <c r="E19">
        <v>81742.090227942492</v>
      </c>
      <c r="F19">
        <v>1</v>
      </c>
      <c r="G19">
        <f t="shared" ref="G19" si="44">F19-F18</f>
        <v>-2.0113057128714473E-3</v>
      </c>
      <c r="H19">
        <v>0</v>
      </c>
      <c r="I19">
        <v>0</v>
      </c>
      <c r="J19">
        <f t="shared" ref="J19" si="45">F19-H19</f>
        <v>1</v>
      </c>
      <c r="K19">
        <f t="shared" ref="K19" si="46">J19*E19</f>
        <v>81742.090227942492</v>
      </c>
      <c r="L19">
        <f t="shared" ref="L19" si="47">(F19-F18)*E19</f>
        <v>-164.40833305751403</v>
      </c>
      <c r="M19">
        <f>M5-L19</f>
        <v>724.78833305751402</v>
      </c>
    </row>
    <row r="20" spans="1:13" x14ac:dyDescent="0.15">
      <c r="B20">
        <v>20161210</v>
      </c>
      <c r="C20">
        <v>82046.174482999995</v>
      </c>
      <c r="D20">
        <f>C20-C19</f>
        <v>139.6759219999949</v>
      </c>
      <c r="E20">
        <v>81742.090227942492</v>
      </c>
      <c r="F20">
        <f t="shared" ref="F20:F26" si="48">C20/E20</f>
        <v>1.0037200450124233</v>
      </c>
      <c r="G20">
        <f t="shared" ref="G20" si="49">F20-F19</f>
        <v>3.7200450124232898E-3</v>
      </c>
      <c r="H20">
        <v>0</v>
      </c>
      <c r="I20">
        <v>0</v>
      </c>
      <c r="J20">
        <f t="shared" ref="J20" si="50">F20-H20</f>
        <v>1.0037200450124233</v>
      </c>
      <c r="K20">
        <f t="shared" ref="K20" si="51">J20*E20</f>
        <v>82046.17448300001</v>
      </c>
      <c r="L20">
        <f t="shared" ref="L20" si="52">(F20-F19)*E20</f>
        <v>304.084255057512</v>
      </c>
      <c r="M20">
        <v>724.78833305751402</v>
      </c>
    </row>
    <row r="21" spans="1:13" x14ac:dyDescent="0.15">
      <c r="B21">
        <v>20161215</v>
      </c>
      <c r="C21">
        <v>81359.473910800007</v>
      </c>
      <c r="D21">
        <f>C21-C20</f>
        <v>-686.70057219998853</v>
      </c>
      <c r="E21">
        <v>81742.090227942492</v>
      </c>
      <c r="F21">
        <f t="shared" si="48"/>
        <v>0.99531922518649163</v>
      </c>
      <c r="G21">
        <f t="shared" ref="G21" si="53">F21-F20</f>
        <v>-8.4008198259316602E-3</v>
      </c>
      <c r="H21">
        <v>0</v>
      </c>
      <c r="I21">
        <v>0</v>
      </c>
      <c r="J21">
        <f t="shared" ref="J21" si="54">F21-H21</f>
        <v>0.99531922518649163</v>
      </c>
      <c r="K21">
        <f t="shared" ref="K21" si="55">J21*E21</f>
        <v>81359.473910800007</v>
      </c>
      <c r="L21">
        <f t="shared" ref="L21" si="56">(F21-F20)*E21</f>
        <v>-686.70057219999387</v>
      </c>
      <c r="M21">
        <v>724.78833305751402</v>
      </c>
    </row>
    <row r="22" spans="1:13" x14ac:dyDescent="0.15">
      <c r="B22">
        <v>20170105</v>
      </c>
      <c r="C22">
        <v>81318.329398800008</v>
      </c>
      <c r="D22">
        <f>C22-C21</f>
        <v>-41.14451199999894</v>
      </c>
      <c r="E22">
        <v>81742.090227942492</v>
      </c>
      <c r="F22">
        <f t="shared" si="48"/>
        <v>0.99481587970211183</v>
      </c>
      <c r="G22">
        <f t="shared" ref="G22" si="57">F22-F21</f>
        <v>-5.0334548437980242E-4</v>
      </c>
      <c r="H22">
        <v>0</v>
      </c>
      <c r="I22">
        <v>0</v>
      </c>
      <c r="J22">
        <f t="shared" ref="J22" si="58">F22-H22</f>
        <v>0.99481587970211183</v>
      </c>
      <c r="K22">
        <f t="shared" ref="K22" si="59">J22*E22</f>
        <v>81318.329398800008</v>
      </c>
      <c r="L22">
        <f t="shared" ref="L22" si="60">(F22-F21)*E22</f>
        <v>-41.144512000001228</v>
      </c>
      <c r="M22">
        <v>724.78833305751402</v>
      </c>
    </row>
    <row r="23" spans="1:13" x14ac:dyDescent="0.15">
      <c r="B23">
        <v>20170117</v>
      </c>
      <c r="C23">
        <v>81818.070223747753</v>
      </c>
      <c r="D23">
        <f>C23-C22</f>
        <v>499.74082494774484</v>
      </c>
      <c r="E23">
        <v>81742.090227942492</v>
      </c>
      <c r="F23">
        <f t="shared" si="48"/>
        <v>1.0009295088441388</v>
      </c>
      <c r="G23">
        <f t="shared" ref="G23" si="61">F23-F22</f>
        <v>6.1136291420269551E-3</v>
      </c>
      <c r="H23">
        <v>0</v>
      </c>
      <c r="I23">
        <v>0</v>
      </c>
      <c r="J23">
        <f t="shared" ref="J23" si="62">F23-H23</f>
        <v>1.0009295088441388</v>
      </c>
      <c r="K23">
        <f t="shared" ref="K23" si="63">J23*E23</f>
        <v>81818.070223747753</v>
      </c>
      <c r="L23">
        <f t="shared" ref="L23" si="64">(F23-F22)*E23</f>
        <v>499.74082494774598</v>
      </c>
      <c r="M23">
        <v>724.78833305751402</v>
      </c>
    </row>
    <row r="24" spans="1:13" x14ac:dyDescent="0.15">
      <c r="B24">
        <v>20170122</v>
      </c>
      <c r="C24">
        <v>82197.613689747755</v>
      </c>
      <c r="D24">
        <f>C24-C23</f>
        <v>379.54346600000281</v>
      </c>
      <c r="E24">
        <v>81742.090227942492</v>
      </c>
      <c r="F24">
        <f t="shared" si="48"/>
        <v>1.0055726916272267</v>
      </c>
      <c r="G24">
        <f t="shared" ref="G24" si="65">F24-F23</f>
        <v>4.6431827830879513E-3</v>
      </c>
      <c r="H24">
        <v>0</v>
      </c>
      <c r="I24">
        <v>0</v>
      </c>
      <c r="J24">
        <f t="shared" ref="J24" si="66">F24-H24</f>
        <v>1.0055726916272267</v>
      </c>
      <c r="K24">
        <f t="shared" ref="K24" si="67">J24*E24</f>
        <v>82197.613689747755</v>
      </c>
      <c r="L24">
        <f t="shared" ref="L24" si="68">(F24-F23)*E24</f>
        <v>379.54346600000446</v>
      </c>
      <c r="M24">
        <v>724.78833305751402</v>
      </c>
    </row>
    <row r="25" spans="1:13" x14ac:dyDescent="0.15">
      <c r="A25" t="s">
        <v>159</v>
      </c>
      <c r="B25">
        <v>20170123</v>
      </c>
      <c r="C25">
        <v>82197.613689747755</v>
      </c>
      <c r="D25">
        <f>(F25-1)*E25</f>
        <v>455.52346180526729</v>
      </c>
      <c r="E25">
        <v>81742.090227942492</v>
      </c>
      <c r="F25">
        <f t="shared" si="48"/>
        <v>1.0055726916272267</v>
      </c>
      <c r="G25">
        <f>F25-1</f>
        <v>5.5726916272267335E-3</v>
      </c>
      <c r="H25">
        <v>0</v>
      </c>
      <c r="I25">
        <v>0</v>
      </c>
      <c r="J25">
        <v>1</v>
      </c>
      <c r="K25">
        <f t="shared" ref="K25" si="69">J25*E25</f>
        <v>81742.090227942492</v>
      </c>
      <c r="L25">
        <f t="shared" ref="L25" si="70">(F25-F24)*E25</f>
        <v>0</v>
      </c>
      <c r="M25">
        <f>M24+D25</f>
        <v>1180.3117948627814</v>
      </c>
    </row>
    <row r="26" spans="1:13" x14ac:dyDescent="0.15">
      <c r="A26" t="s">
        <v>217</v>
      </c>
      <c r="B26">
        <v>20170123</v>
      </c>
      <c r="C26">
        <v>84486.893689747798</v>
      </c>
      <c r="D26">
        <f>C26-K25</f>
        <v>2744.8034618053061</v>
      </c>
      <c r="E26">
        <v>84486.893689747798</v>
      </c>
      <c r="F26">
        <f t="shared" si="48"/>
        <v>1</v>
      </c>
      <c r="G26">
        <f>F26-1</f>
        <v>0</v>
      </c>
      <c r="H26">
        <v>0</v>
      </c>
      <c r="I26">
        <v>0</v>
      </c>
      <c r="J26">
        <v>1</v>
      </c>
      <c r="K26">
        <v>84486.893689747798</v>
      </c>
      <c r="L26">
        <f t="shared" ref="L26" si="71">(F26-F25)*E26</f>
        <v>-470.81940507525269</v>
      </c>
      <c r="M26">
        <v>1180.3117948627814</v>
      </c>
    </row>
    <row r="28" spans="1:13" x14ac:dyDescent="0.15">
      <c r="H28">
        <f>H14-G28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topLeftCell="A11" workbookViewId="0">
      <selection activeCell="E37" sqref="E37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47" t="s">
        <v>157</v>
      </c>
      <c r="K3" s="147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45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46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 t="shared" ref="H10:H16" si="0"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 t="shared" si="0"/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 t="shared" si="0"/>
        <v>29399.45418875201</v>
      </c>
    </row>
    <row r="13" spans="2:11" ht="23" x14ac:dyDescent="0.3">
      <c r="B13" s="48">
        <v>20161027</v>
      </c>
      <c r="C13" s="64" t="s">
        <v>150</v>
      </c>
      <c r="D13" s="64">
        <v>29408.856394558064</v>
      </c>
      <c r="E13" s="41">
        <f>净值!F10</f>
        <v>1.0010309148876051</v>
      </c>
      <c r="F13" s="64">
        <v>0</v>
      </c>
      <c r="G13" s="64">
        <v>29408.856394558064</v>
      </c>
      <c r="H13" s="64">
        <f t="shared" si="0"/>
        <v>29439.174422442655</v>
      </c>
    </row>
    <row r="14" spans="2:11" ht="23" x14ac:dyDescent="0.3">
      <c r="B14" s="48">
        <v>20161103</v>
      </c>
      <c r="C14" s="64" t="s">
        <v>150</v>
      </c>
      <c r="D14" s="64">
        <v>29408.856394558064</v>
      </c>
      <c r="E14" s="41">
        <v>0.98998490009202555</v>
      </c>
      <c r="F14" s="64">
        <v>0</v>
      </c>
      <c r="G14" s="64">
        <v>29408.856394558064</v>
      </c>
      <c r="H14" s="64">
        <f t="shared" si="0"/>
        <v>29114.323759587292</v>
      </c>
    </row>
    <row r="15" spans="2:11" ht="23" x14ac:dyDescent="0.3">
      <c r="B15" s="48">
        <v>20161103</v>
      </c>
      <c r="C15" s="64" t="s">
        <v>155</v>
      </c>
      <c r="D15" s="64">
        <v>5050.5820841663517</v>
      </c>
      <c r="E15" s="64">
        <v>0.98998490009202555</v>
      </c>
      <c r="F15" s="64">
        <f>D15*E15</f>
        <v>5000</v>
      </c>
      <c r="G15" s="64">
        <f>G14+J15</f>
        <v>34459.43847872442</v>
      </c>
      <c r="H15" s="64">
        <f t="shared" si="0"/>
        <v>34114.323759587292</v>
      </c>
      <c r="J15" s="110">
        <f>K15/E15</f>
        <v>5050.5820841663517</v>
      </c>
      <c r="K15" s="110">
        <v>5000</v>
      </c>
    </row>
    <row r="16" spans="2:11" ht="23" x14ac:dyDescent="0.3">
      <c r="B16" s="48">
        <v>20161103</v>
      </c>
      <c r="C16" s="64" t="s">
        <v>183</v>
      </c>
      <c r="D16" s="64">
        <v>34164.905843753644</v>
      </c>
      <c r="E16" s="64">
        <v>0.98998490009202555</v>
      </c>
      <c r="F16" s="64">
        <v>0</v>
      </c>
      <c r="G16" s="64">
        <v>34459.43847872442</v>
      </c>
      <c r="H16" s="64">
        <f t="shared" si="0"/>
        <v>34114.323759587292</v>
      </c>
      <c r="J16" s="110">
        <f>K16/E16</f>
        <v>5050.5820841663517</v>
      </c>
      <c r="K16" s="110">
        <v>5000</v>
      </c>
    </row>
    <row r="17" spans="2:11" ht="23" x14ac:dyDescent="0.3">
      <c r="B17" s="48">
        <v>20161103</v>
      </c>
      <c r="C17" s="64" t="s">
        <v>183</v>
      </c>
      <c r="D17" s="64">
        <v>34164.905843753644</v>
      </c>
      <c r="E17" s="64">
        <v>0.98614031020446336</v>
      </c>
      <c r="F17" s="64">
        <v>0</v>
      </c>
      <c r="G17" s="64">
        <v>34459.43847872442</v>
      </c>
      <c r="H17" s="64">
        <f t="shared" ref="H17" si="1">E17*G17</f>
        <v>33981.841350880917</v>
      </c>
      <c r="J17" s="110">
        <f>K17/E17</f>
        <v>5070.2724026800151</v>
      </c>
      <c r="K17" s="110">
        <v>5000</v>
      </c>
    </row>
    <row r="18" spans="2:11" ht="23" x14ac:dyDescent="0.3">
      <c r="B18" s="48">
        <v>20161117</v>
      </c>
      <c r="C18" s="64" t="s">
        <v>183</v>
      </c>
      <c r="D18" s="64">
        <v>34164.905843753644</v>
      </c>
      <c r="E18" s="64">
        <v>0.98988428302105702</v>
      </c>
      <c r="F18" s="64">
        <f t="shared" ref="F18:F23" si="2">H18-H17</f>
        <v>129.01520093942963</v>
      </c>
      <c r="G18" s="64">
        <v>34459.43847872442</v>
      </c>
      <c r="H18" s="64">
        <f t="shared" ref="H18" si="3">E18*G18</f>
        <v>34110.856551820347</v>
      </c>
    </row>
    <row r="19" spans="2:11" ht="23" x14ac:dyDescent="0.3">
      <c r="B19" s="48">
        <v>20161122</v>
      </c>
      <c r="C19" s="64" t="s">
        <v>183</v>
      </c>
      <c r="D19" s="64">
        <v>34164.905843753644</v>
      </c>
      <c r="E19" s="64">
        <v>0.99227047731930973</v>
      </c>
      <c r="F19" s="64">
        <f t="shared" si="2"/>
        <v>82.226915618921339</v>
      </c>
      <c r="G19" s="64">
        <v>34459.43847872442</v>
      </c>
      <c r="H19" s="64">
        <f t="shared" ref="H19" si="4">E19*G19</f>
        <v>34193.083467439268</v>
      </c>
    </row>
    <row r="20" spans="2:11" ht="23" x14ac:dyDescent="0.3">
      <c r="B20" s="48">
        <v>20161122</v>
      </c>
      <c r="C20" s="64" t="s">
        <v>155</v>
      </c>
      <c r="D20" s="64">
        <v>5038.9486680162654</v>
      </c>
      <c r="E20" s="64">
        <v>0.99227047731930973</v>
      </c>
      <c r="F20" s="64">
        <f t="shared" si="2"/>
        <v>4999.9999999999782</v>
      </c>
      <c r="G20" s="64">
        <f>34459.4384787244+D20</f>
        <v>39498.387146740664</v>
      </c>
      <c r="H20" s="64">
        <f t="shared" ref="H20" si="5">E20*G20</f>
        <v>39193.083467439246</v>
      </c>
      <c r="J20" s="110">
        <f>K20/E20</f>
        <v>5038.9486680162654</v>
      </c>
      <c r="K20" s="110">
        <v>5000</v>
      </c>
    </row>
    <row r="21" spans="2:11" ht="23" x14ac:dyDescent="0.3">
      <c r="B21" s="48">
        <v>20161209</v>
      </c>
      <c r="C21" s="64" t="s">
        <v>183</v>
      </c>
      <c r="D21" s="64">
        <v>39498.387146740664</v>
      </c>
      <c r="E21" s="64">
        <v>1.0020113057128714</v>
      </c>
      <c r="F21" s="64">
        <f t="shared" si="2"/>
        <v>384.74701101886603</v>
      </c>
      <c r="G21" s="64">
        <v>39498.387146740664</v>
      </c>
      <c r="H21" s="64">
        <f t="shared" ref="H21:H26" si="6">E21*G21</f>
        <v>39577.830478458112</v>
      </c>
    </row>
    <row r="22" spans="2:11" ht="23" x14ac:dyDescent="0.3">
      <c r="B22" s="48">
        <v>20161209</v>
      </c>
      <c r="C22" s="64" t="s">
        <v>202</v>
      </c>
      <c r="D22" s="64">
        <v>39498.387146740664</v>
      </c>
      <c r="E22" s="64">
        <v>1</v>
      </c>
      <c r="F22" s="64">
        <f t="shared" si="2"/>
        <v>-79.443331717448018</v>
      </c>
      <c r="G22" s="64">
        <v>39498.387146740664</v>
      </c>
      <c r="H22" s="64">
        <f t="shared" si="6"/>
        <v>39498.387146740664</v>
      </c>
    </row>
    <row r="23" spans="2:11" ht="23" x14ac:dyDescent="0.3">
      <c r="B23" s="48">
        <v>20161215</v>
      </c>
      <c r="C23" s="64" t="s">
        <v>202</v>
      </c>
      <c r="D23" s="64">
        <v>39498.387146740664</v>
      </c>
      <c r="E23" s="64">
        <v>0.99531922518649163</v>
      </c>
      <c r="F23" s="64">
        <f t="shared" si="2"/>
        <v>-184.88305573066464</v>
      </c>
      <c r="G23" s="64">
        <v>39498.387146740664</v>
      </c>
      <c r="H23" s="64">
        <f t="shared" si="6"/>
        <v>39313.50409101</v>
      </c>
    </row>
    <row r="24" spans="2:11" ht="23" x14ac:dyDescent="0.3">
      <c r="B24" s="48">
        <v>20161215</v>
      </c>
      <c r="C24" s="64" t="s">
        <v>202</v>
      </c>
      <c r="D24" s="64">
        <v>39498.387146740664</v>
      </c>
      <c r="E24" s="64">
        <v>0.99531922518649163</v>
      </c>
      <c r="F24" s="64">
        <f t="shared" ref="F24" si="7">H24-H23</f>
        <v>0</v>
      </c>
      <c r="G24" s="64">
        <v>39498.387146740664</v>
      </c>
      <c r="H24" s="64">
        <f t="shared" si="6"/>
        <v>39313.50409101</v>
      </c>
    </row>
    <row r="25" spans="2:11" ht="23" x14ac:dyDescent="0.3">
      <c r="B25" s="48">
        <v>20170117</v>
      </c>
      <c r="C25" s="64" t="s">
        <v>202</v>
      </c>
      <c r="D25" s="64">
        <v>39498.387146740664</v>
      </c>
      <c r="E25" s="64">
        <v>1.0001312674415415</v>
      </c>
      <c r="F25" s="64">
        <f t="shared" ref="F25" si="8">H25-H24</f>
        <v>190.06790795642883</v>
      </c>
      <c r="G25" s="64">
        <v>39498.387146740664</v>
      </c>
      <c r="H25" s="64">
        <f t="shared" si="6"/>
        <v>39503.571998966429</v>
      </c>
    </row>
    <row r="26" spans="2:11" ht="23" x14ac:dyDescent="0.3">
      <c r="B26" s="48">
        <v>20170123</v>
      </c>
      <c r="C26" s="64" t="s">
        <v>202</v>
      </c>
      <c r="D26" s="64">
        <v>39498.387146740664</v>
      </c>
      <c r="E26" s="64">
        <v>1</v>
      </c>
      <c r="F26" s="64">
        <f t="shared" ref="F26" si="9">H26-H25</f>
        <v>-5.1848522257641889</v>
      </c>
      <c r="G26" s="64">
        <v>39498.387146740664</v>
      </c>
      <c r="H26" s="64">
        <f t="shared" si="6"/>
        <v>39498.387146740664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tabSelected="1" topLeftCell="B3" workbookViewId="0">
      <pane ySplit="2" topLeftCell="A24" activePane="bottomLeft" state="frozen"/>
      <selection activeCell="A3" sqref="A3"/>
      <selection pane="bottomLeft" activeCell="K37" sqref="K37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24.1640625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22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45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46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 t="shared" ref="H7:H12" si="1"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 t="shared" ref="F8:F13" si="2">E8*D8-H7</f>
        <v>171.43507324700477</v>
      </c>
      <c r="G8" s="64">
        <f t="shared" si="0"/>
        <v>42243.189713341802</v>
      </c>
      <c r="H8" s="64">
        <f t="shared" si="1"/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 t="shared" si="2"/>
        <v>-152.25537427574454</v>
      </c>
      <c r="G9" s="64">
        <f t="shared" si="0"/>
        <v>42243.189713341802</v>
      </c>
      <c r="H9" s="64">
        <f t="shared" si="1"/>
        <v>42086.942008060127</v>
      </c>
      <c r="I9" s="64">
        <f t="shared" ref="I9:I15" si="3">H9-40000+560.38</f>
        <v>2647.3220080601268</v>
      </c>
      <c r="J9" s="64">
        <f t="shared" ref="J9:J15" si="4">I9/40000</f>
        <v>6.6183050201503169E-2</v>
      </c>
      <c r="K9" s="64">
        <v>560.38</v>
      </c>
      <c r="L9" s="64">
        <f t="shared" ref="L9:L17" si="5"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 t="shared" si="2"/>
        <v>142.74227826811693</v>
      </c>
      <c r="G10" s="64">
        <f t="shared" si="0"/>
        <v>42243.189713341802</v>
      </c>
      <c r="H10" s="64">
        <f t="shared" si="1"/>
        <v>42229.684286328244</v>
      </c>
      <c r="I10" s="64">
        <f t="shared" si="3"/>
        <v>2790.0642863282437</v>
      </c>
      <c r="J10" s="64">
        <f t="shared" si="4"/>
        <v>6.9751607158206094E-2</v>
      </c>
      <c r="K10" s="64">
        <v>560.38</v>
      </c>
      <c r="L10" s="64">
        <f t="shared" si="5"/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 t="shared" si="2"/>
        <v>57.054560188968026</v>
      </c>
      <c r="G11" s="64">
        <f t="shared" ref="G11" si="6">D11</f>
        <v>42243.189713341802</v>
      </c>
      <c r="H11" s="64">
        <f t="shared" si="1"/>
        <v>42286.738846517212</v>
      </c>
      <c r="I11" s="64">
        <f t="shared" si="3"/>
        <v>2847.1188465172118</v>
      </c>
      <c r="J11" s="64">
        <f t="shared" si="4"/>
        <v>7.1177971162930287E-2</v>
      </c>
      <c r="K11" s="64">
        <v>560.38</v>
      </c>
      <c r="L11" s="64">
        <f t="shared" si="5"/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 t="shared" si="2"/>
        <v>-85.490123392803071</v>
      </c>
      <c r="G12" s="64">
        <f t="shared" ref="G12" si="7">D12</f>
        <v>42243.189713341802</v>
      </c>
      <c r="H12" s="64">
        <f t="shared" si="1"/>
        <v>42201.248723124409</v>
      </c>
      <c r="I12" s="64">
        <f t="shared" si="3"/>
        <v>2761.6287231244087</v>
      </c>
      <c r="J12" s="64">
        <f t="shared" si="4"/>
        <v>6.9040718078110214E-2</v>
      </c>
      <c r="K12" s="64">
        <v>560.38</v>
      </c>
      <c r="L12" s="64">
        <f t="shared" si="5"/>
        <v>1.4009499999999999E-2</v>
      </c>
    </row>
    <row r="13" spans="2:15" s="110" customFormat="1" ht="23" x14ac:dyDescent="0.3">
      <c r="B13" s="48">
        <v>20161103</v>
      </c>
      <c r="C13" s="64" t="s">
        <v>150</v>
      </c>
      <c r="D13" s="64">
        <v>42243.189713341802</v>
      </c>
      <c r="E13" s="41">
        <f>净值!F12</f>
        <v>0.98998490009202555</v>
      </c>
      <c r="F13" s="64">
        <f t="shared" si="2"/>
        <v>-381.12877519323956</v>
      </c>
      <c r="G13" s="64">
        <f t="shared" ref="G13" si="8">D13</f>
        <v>42243.189713341802</v>
      </c>
      <c r="H13" s="64">
        <f t="shared" ref="H13" si="9">E13*D13</f>
        <v>41820.119947931169</v>
      </c>
      <c r="I13" s="64">
        <f t="shared" si="3"/>
        <v>2380.4999479311691</v>
      </c>
      <c r="J13" s="64">
        <f t="shared" si="4"/>
        <v>5.951249869827923E-2</v>
      </c>
      <c r="K13" s="64">
        <v>560.38</v>
      </c>
      <c r="L13" s="64">
        <f t="shared" si="5"/>
        <v>1.4009499999999999E-2</v>
      </c>
    </row>
    <row r="14" spans="2:15" s="110" customFormat="1" ht="23" x14ac:dyDescent="0.3">
      <c r="B14" s="48">
        <v>20161108</v>
      </c>
      <c r="C14" s="64" t="s">
        <v>183</v>
      </c>
      <c r="D14" s="64">
        <v>42243.189713341802</v>
      </c>
      <c r="E14" s="41">
        <v>0.98614031020446336</v>
      </c>
      <c r="F14" s="64">
        <f t="shared" ref="F14" si="10">E14*D14-H13</f>
        <v>-162.40773999028897</v>
      </c>
      <c r="G14" s="64">
        <f t="shared" ref="G14" si="11">D14</f>
        <v>42243.189713341802</v>
      </c>
      <c r="H14" s="64">
        <f t="shared" ref="H14" si="12">E14*D14</f>
        <v>41657.71220794088</v>
      </c>
      <c r="I14" s="64">
        <f t="shared" si="3"/>
        <v>2218.0922079408801</v>
      </c>
      <c r="J14" s="64">
        <f t="shared" si="4"/>
        <v>5.5452305198522005E-2</v>
      </c>
      <c r="K14" s="64">
        <v>560.38</v>
      </c>
      <c r="L14" s="64">
        <f t="shared" si="5"/>
        <v>1.4009499999999999E-2</v>
      </c>
    </row>
    <row r="15" spans="2:15" s="110" customFormat="1" ht="23" x14ac:dyDescent="0.3">
      <c r="B15" s="48">
        <v>20161117</v>
      </c>
      <c r="C15" s="64" t="s">
        <v>183</v>
      </c>
      <c r="D15" s="64">
        <v>42243.189713341802</v>
      </c>
      <c r="E15" s="41">
        <v>0.98988428302105702</v>
      </c>
      <c r="F15" s="64">
        <f t="shared" ref="F15" si="13">E15*D15-H14</f>
        <v>158.15735397295794</v>
      </c>
      <c r="G15" s="64">
        <f t="shared" ref="G15" si="14">D15</f>
        <v>42243.189713341802</v>
      </c>
      <c r="H15" s="64">
        <f t="shared" ref="H15" si="15">E15*D15</f>
        <v>41815.869561913838</v>
      </c>
      <c r="I15" s="64">
        <f t="shared" si="3"/>
        <v>2376.2495619138381</v>
      </c>
      <c r="J15" s="64">
        <f t="shared" si="4"/>
        <v>5.9406239047845949E-2</v>
      </c>
      <c r="K15" s="64">
        <v>560.38</v>
      </c>
      <c r="L15" s="64">
        <f t="shared" si="5"/>
        <v>1.4009499999999999E-2</v>
      </c>
    </row>
    <row r="16" spans="2:15" s="110" customFormat="1" ht="23" x14ac:dyDescent="0.3">
      <c r="B16" s="48">
        <v>20161122</v>
      </c>
      <c r="C16" s="64" t="s">
        <v>183</v>
      </c>
      <c r="D16" s="64">
        <v>42243.189713341802</v>
      </c>
      <c r="E16" s="41">
        <v>0.99227047731930973</v>
      </c>
      <c r="F16" s="64">
        <f t="shared" ref="F16" si="16">E16*D16-H15</f>
        <v>100.80045843398693</v>
      </c>
      <c r="G16" s="64">
        <f t="shared" ref="G16" si="17">D16</f>
        <v>42243.189713341802</v>
      </c>
      <c r="H16" s="64">
        <f t="shared" ref="H16" si="18">E16*D16</f>
        <v>41916.670020347825</v>
      </c>
      <c r="I16" s="64">
        <f t="shared" ref="I16" si="19">H16-40000+560.38</f>
        <v>2477.050020347825</v>
      </c>
      <c r="J16" s="64">
        <f t="shared" ref="J16" si="20">I16/40000</f>
        <v>6.1926250508695622E-2</v>
      </c>
      <c r="K16" s="64">
        <v>560.38</v>
      </c>
      <c r="L16" s="64">
        <f t="shared" si="5"/>
        <v>1.4009499999999999E-2</v>
      </c>
    </row>
    <row r="17" spans="2:12" s="110" customFormat="1" ht="23" x14ac:dyDescent="0.3">
      <c r="B17" s="48">
        <v>20161209</v>
      </c>
      <c r="C17" s="64" t="s">
        <v>183</v>
      </c>
      <c r="D17" s="64">
        <v>42243.189713341802</v>
      </c>
      <c r="E17" s="41">
        <v>1.0020113057128714</v>
      </c>
      <c r="F17" s="64">
        <f t="shared" ref="F17" si="21">E17*D17-H16</f>
        <v>411.48366179433651</v>
      </c>
      <c r="G17" s="64">
        <f t="shared" ref="G17" si="22">D17</f>
        <v>42243.189713341802</v>
      </c>
      <c r="H17" s="64">
        <f t="shared" ref="H17" si="23">E17*D17</f>
        <v>42328.153682142161</v>
      </c>
      <c r="I17" s="64">
        <f t="shared" ref="I17" si="24">H17-40000+560.38</f>
        <v>2888.5336821421615</v>
      </c>
      <c r="J17" s="64">
        <f t="shared" ref="J17" si="25">I17/40000</f>
        <v>7.2213342053554036E-2</v>
      </c>
      <c r="K17" s="64">
        <v>560.38</v>
      </c>
      <c r="L17" s="64">
        <f t="shared" si="5"/>
        <v>1.4009499999999999E-2</v>
      </c>
    </row>
    <row r="18" spans="2:12" s="110" customFormat="1" ht="23" x14ac:dyDescent="0.3">
      <c r="B18" s="48">
        <v>20161209</v>
      </c>
      <c r="C18" s="64" t="s">
        <v>159</v>
      </c>
      <c r="D18" s="64">
        <v>42243.189713341802</v>
      </c>
      <c r="E18" s="41">
        <v>2.0113057128700001E-3</v>
      </c>
      <c r="F18" s="64">
        <f>E18*D18</f>
        <v>84.963968800295589</v>
      </c>
      <c r="G18" s="64">
        <f t="shared" ref="G18:G19" si="26">D18</f>
        <v>42243.189713341802</v>
      </c>
      <c r="H18" s="64">
        <f t="shared" ref="H18:H19" si="27">E18*D18</f>
        <v>84.963968800295589</v>
      </c>
      <c r="I18" s="64">
        <f t="shared" ref="I18" si="28">H18-40000+560.38</f>
        <v>-39354.656031199709</v>
      </c>
      <c r="J18" s="64">
        <f t="shared" ref="J18:J19" si="29">I18/40000</f>
        <v>-0.98386640077999277</v>
      </c>
      <c r="K18" s="64">
        <f>K17+H18</f>
        <v>645.34396880029556</v>
      </c>
      <c r="L18" s="64">
        <f>K18/40000</f>
        <v>1.6133599220007389E-2</v>
      </c>
    </row>
    <row r="19" spans="2:12" s="110" customFormat="1" ht="23" x14ac:dyDescent="0.3">
      <c r="B19" s="48">
        <v>20161209</v>
      </c>
      <c r="C19" s="64" t="s">
        <v>183</v>
      </c>
      <c r="D19" s="64">
        <v>42243.189713341802</v>
      </c>
      <c r="E19" s="41">
        <v>1</v>
      </c>
      <c r="F19" s="64">
        <f t="shared" ref="F19" si="30">E19*D19-H18</f>
        <v>42158.225744541509</v>
      </c>
      <c r="G19" s="64">
        <f t="shared" si="26"/>
        <v>42243.189713341802</v>
      </c>
      <c r="H19" s="64">
        <f t="shared" si="27"/>
        <v>42243.189713341802</v>
      </c>
      <c r="I19" s="64">
        <f>H19-40000+645.34</f>
        <v>2888.5297133418026</v>
      </c>
      <c r="J19" s="64">
        <f t="shared" si="29"/>
        <v>7.2213242833545063E-2</v>
      </c>
      <c r="K19" s="64">
        <v>645.34396880029556</v>
      </c>
      <c r="L19" s="64">
        <v>1.6133599220007389E-2</v>
      </c>
    </row>
    <row r="20" spans="2:12" s="110" customFormat="1" ht="23" x14ac:dyDescent="0.3">
      <c r="B20" s="48">
        <v>20161215</v>
      </c>
      <c r="C20" s="64" t="s">
        <v>183</v>
      </c>
      <c r="D20" s="64">
        <v>42243.189713341802</v>
      </c>
      <c r="E20" s="41">
        <v>0.99531922518649163</v>
      </c>
      <c r="F20" s="64">
        <f t="shared" ref="F20" si="31">E20*D20-H19</f>
        <v>-197.73085845246533</v>
      </c>
      <c r="G20" s="64">
        <f t="shared" ref="G20" si="32">D20</f>
        <v>42243.189713341802</v>
      </c>
      <c r="H20" s="64">
        <f t="shared" ref="H20" si="33">E20*D20</f>
        <v>42045.458854889337</v>
      </c>
      <c r="I20" s="64">
        <f>H20-40000+645.34</f>
        <v>2690.7988548893372</v>
      </c>
      <c r="J20" s="64">
        <f t="shared" ref="J20" si="34">I20/40000</f>
        <v>6.7269971372233436E-2</v>
      </c>
      <c r="K20" s="64">
        <v>645.34396880029556</v>
      </c>
      <c r="L20" s="64">
        <v>1.6133599220007389E-2</v>
      </c>
    </row>
    <row r="21" spans="2:12" s="110" customFormat="1" ht="23" x14ac:dyDescent="0.3">
      <c r="B21" s="48">
        <v>20170105</v>
      </c>
      <c r="C21" s="64" t="s">
        <v>183</v>
      </c>
      <c r="D21" s="64">
        <v>42243.189713341802</v>
      </c>
      <c r="E21" s="41">
        <v>0.99481587970211183</v>
      </c>
      <c r="F21" s="64">
        <f t="shared" ref="F21" si="35">E21*D21-H20</f>
        <v>-21.262918788008392</v>
      </c>
      <c r="G21" s="64">
        <f t="shared" ref="G21" si="36">D21</f>
        <v>42243.189713341802</v>
      </c>
      <c r="H21" s="64">
        <f t="shared" ref="H21" si="37">E21*D21</f>
        <v>42024.195936101329</v>
      </c>
      <c r="I21" s="64">
        <f>H21-40000+645.34</f>
        <v>2669.5359361013288</v>
      </c>
      <c r="J21" s="64">
        <f t="shared" ref="J21" si="38">I21/40000</f>
        <v>6.6738398402533219E-2</v>
      </c>
      <c r="K21" s="64">
        <v>645.34396880029556</v>
      </c>
      <c r="L21" s="64">
        <v>1.6133599220007389E-2</v>
      </c>
    </row>
    <row r="22" spans="2:12" s="110" customFormat="1" ht="23" x14ac:dyDescent="0.3">
      <c r="B22" s="48">
        <v>20170117</v>
      </c>
      <c r="C22" s="64" t="s">
        <v>183</v>
      </c>
      <c r="D22" s="64">
        <v>42243.189713341802</v>
      </c>
      <c r="E22" s="41">
        <v>1.0009295088441388</v>
      </c>
      <c r="F22" s="64">
        <f t="shared" ref="F22" si="39">E22*D22-H21</f>
        <v>258.25919568365498</v>
      </c>
      <c r="G22" s="64">
        <f t="shared" ref="G22" si="40">D22</f>
        <v>42243.189713341802</v>
      </c>
      <c r="H22" s="64">
        <f t="shared" ref="H22" si="41">E22*D22</f>
        <v>42282.455131784984</v>
      </c>
      <c r="I22" s="64">
        <f>H22-40000+645.34</f>
        <v>2927.7951317849838</v>
      </c>
      <c r="J22" s="64">
        <f t="shared" ref="J22" si="42">I22/40000</f>
        <v>7.3194878294624593E-2</v>
      </c>
      <c r="K22" s="64">
        <v>645.34396880029556</v>
      </c>
      <c r="L22" s="64">
        <v>1.6133599220007389E-2</v>
      </c>
    </row>
    <row r="23" spans="2:12" s="110" customFormat="1" ht="23" x14ac:dyDescent="0.3">
      <c r="B23" s="48">
        <v>20170122</v>
      </c>
      <c r="C23" s="64" t="s">
        <v>183</v>
      </c>
      <c r="D23" s="64">
        <v>42243.189713341802</v>
      </c>
      <c r="E23" s="41">
        <v>1.0055726916272267</v>
      </c>
      <c r="F23" s="64">
        <f t="shared" ref="F23" si="43">E23*D23-H22</f>
        <v>196.14285117970576</v>
      </c>
      <c r="G23" s="64">
        <f t="shared" ref="G23" si="44">D23</f>
        <v>42243.189713341802</v>
      </c>
      <c r="H23" s="64">
        <f t="shared" ref="H23" si="45">E23*D23</f>
        <v>42478.597982964689</v>
      </c>
      <c r="I23" s="64">
        <f>H23-40000+645.34</f>
        <v>3123.9379829646896</v>
      </c>
      <c r="J23" s="64">
        <f t="shared" ref="J23" si="46">I23/40000</f>
        <v>7.809844957411724E-2</v>
      </c>
      <c r="K23" s="64">
        <v>645.34396880029556</v>
      </c>
      <c r="L23" s="64">
        <v>1.6133599220007389E-2</v>
      </c>
    </row>
    <row r="24" spans="2:12" s="110" customFormat="1" ht="23" x14ac:dyDescent="0.3">
      <c r="B24" s="48">
        <v>20170123</v>
      </c>
      <c r="C24" s="64" t="s">
        <v>183</v>
      </c>
      <c r="D24" s="64">
        <v>42243.189713341802</v>
      </c>
      <c r="E24" s="41">
        <v>1</v>
      </c>
      <c r="F24" s="64">
        <f t="shared" ref="F24" si="47">E24*D24-H23</f>
        <v>-235.40826962288702</v>
      </c>
      <c r="G24" s="64">
        <f t="shared" ref="G24" si="48">D24</f>
        <v>42243.189713341802</v>
      </c>
      <c r="H24" s="64">
        <f t="shared" ref="H24" si="49">E24*D24</f>
        <v>42243.189713341802</v>
      </c>
      <c r="I24" s="64">
        <f>H24-40000+645.34-F24</f>
        <v>3123.9379829646896</v>
      </c>
      <c r="J24" s="64">
        <f>I24/40000</f>
        <v>7.809844957411724E-2</v>
      </c>
      <c r="K24" s="64">
        <f>K23-F24</f>
        <v>880.75223842318258</v>
      </c>
      <c r="L24" s="64">
        <f>K24/40000</f>
        <v>2.2018805960579563E-2</v>
      </c>
    </row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D11" sqref="D11"/>
    </sheetView>
  </sheetViews>
  <sheetFormatPr baseColWidth="10" defaultRowHeight="23" x14ac:dyDescent="0.3"/>
  <cols>
    <col min="1" max="2" width="10.83203125" style="133"/>
    <col min="3" max="4" width="13.83203125" style="133" bestFit="1" customWidth="1"/>
    <col min="5" max="16384" width="10.83203125" style="133"/>
  </cols>
  <sheetData>
    <row r="2" spans="2:5" x14ac:dyDescent="0.3">
      <c r="B2" s="134"/>
      <c r="C2" s="134" t="s">
        <v>214</v>
      </c>
      <c r="D2" s="134">
        <v>216</v>
      </c>
      <c r="E2" s="133" t="s">
        <v>215</v>
      </c>
    </row>
    <row r="3" spans="2:5" x14ac:dyDescent="0.3">
      <c r="B3" s="134" t="s">
        <v>153</v>
      </c>
      <c r="C3" s="134">
        <v>20170123</v>
      </c>
      <c r="D3" s="134">
        <v>20170123</v>
      </c>
    </row>
    <row r="4" spans="2:5" x14ac:dyDescent="0.3">
      <c r="B4" s="134" t="s">
        <v>212</v>
      </c>
      <c r="C4" s="134">
        <v>5.5726916272267335E-3</v>
      </c>
      <c r="D4" s="134">
        <v>5.5726916272267335E-3</v>
      </c>
    </row>
    <row r="5" spans="2:5" x14ac:dyDescent="0.3">
      <c r="B5" s="134" t="s">
        <v>213</v>
      </c>
      <c r="C5" s="134">
        <v>39498.387146740664</v>
      </c>
      <c r="D5" s="134">
        <v>42243.189713341802</v>
      </c>
      <c r="E5" s="133">
        <f>C5+D5</f>
        <v>81741.576860082467</v>
      </c>
    </row>
    <row r="6" spans="2:5" x14ac:dyDescent="0.3">
      <c r="B6" s="134" t="s">
        <v>60</v>
      </c>
      <c r="C6" s="134">
        <f>C4*C5</f>
        <v>220.11233134160173</v>
      </c>
      <c r="D6" s="134">
        <f>D4*D5</f>
        <v>235.40826962289034</v>
      </c>
      <c r="E6" s="133">
        <f>C6+D6</f>
        <v>455.52060096449208</v>
      </c>
    </row>
    <row r="8" spans="2:5" x14ac:dyDescent="0.3">
      <c r="C8" s="133">
        <f>D5-C5</f>
        <v>2744.8025666011381</v>
      </c>
    </row>
    <row r="10" spans="2:5" x14ac:dyDescent="0.3">
      <c r="D10" s="133">
        <f>D5*2</f>
        <v>84486.379426683605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分红记录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待确认</vt:lpstr>
      <vt:lpstr>策略</vt:lpstr>
      <vt:lpstr>投资记录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2017-01-23T07:37:32Z</dcterms:modified>
</cp:coreProperties>
</file>