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0" windowWidth="25600" windowHeight="16000" tabRatio="500" firstSheet="1" activeTab="11"/>
  </bookViews>
  <sheets>
    <sheet name="A" sheetId="1" state="hidden" r:id="rId1"/>
    <sheet name="HK" sheetId="2" r:id="rId2"/>
    <sheet name="总" sheetId="3" r:id="rId3"/>
    <sheet name="指数化" sheetId="16" r:id="rId4"/>
    <sheet name="A股经验" sheetId="4" state="hidden" r:id="rId5"/>
    <sheet name="操作系统" sheetId="13" r:id="rId6"/>
    <sheet name="日志" sheetId="5" state="hidden" r:id="rId7"/>
    <sheet name="规则" sheetId="6" r:id="rId8"/>
    <sheet name="安全资产" sheetId="7" state="hidden" r:id="rId9"/>
    <sheet name="拆借" sheetId="8" r:id="rId10"/>
    <sheet name="仓" sheetId="14" r:id="rId11"/>
    <sheet name="权益" sheetId="17" r:id="rId12"/>
    <sheet name="201609交易复盘" sheetId="15" state="hidden" r:id="rId13"/>
    <sheet name="纪律" sheetId="9" r:id="rId14"/>
    <sheet name="601169 北京银行" sheetId="11" state="hidden" r:id="rId15"/>
    <sheet name="600363 联创光电" sheetId="12" state="hidden" r:id="rId16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8" l="1"/>
  <c r="K42" i="14"/>
  <c r="C42" i="14"/>
  <c r="J42" i="14"/>
  <c r="H42" i="14"/>
  <c r="G42" i="14"/>
  <c r="P41" i="14"/>
  <c r="N41" i="14"/>
  <c r="C41" i="14"/>
  <c r="L41" i="14"/>
  <c r="J41" i="14"/>
  <c r="H41" i="14"/>
  <c r="G41" i="14"/>
  <c r="F49" i="8"/>
  <c r="H49" i="8"/>
  <c r="H48" i="8"/>
  <c r="H47" i="8"/>
  <c r="H46" i="8"/>
  <c r="H45" i="8"/>
  <c r="H44" i="8"/>
  <c r="H43" i="8"/>
  <c r="H42" i="8"/>
  <c r="H41" i="8"/>
  <c r="H40" i="8"/>
  <c r="H39" i="8"/>
  <c r="H38" i="8"/>
  <c r="H36" i="8"/>
  <c r="G35" i="8"/>
  <c r="H35" i="8"/>
  <c r="G34" i="8"/>
  <c r="H34" i="8"/>
  <c r="G40" i="14"/>
  <c r="C40" i="14"/>
  <c r="L40" i="14"/>
  <c r="P40" i="14"/>
  <c r="J40" i="14"/>
  <c r="H40" i="14"/>
  <c r="F48" i="8"/>
  <c r="F47" i="8"/>
  <c r="F46" i="8"/>
  <c r="C39" i="14"/>
  <c r="F45" i="8"/>
  <c r="F44" i="8"/>
  <c r="C20" i="14"/>
  <c r="L20" i="14"/>
  <c r="N21" i="14"/>
  <c r="E21" i="14"/>
  <c r="C21" i="14"/>
  <c r="K21" i="14"/>
  <c r="L21" i="14"/>
  <c r="L39" i="14"/>
  <c r="C27" i="14"/>
  <c r="L27" i="14"/>
  <c r="N27" i="14"/>
  <c r="N31" i="14"/>
  <c r="Q39" i="14"/>
  <c r="J39" i="14"/>
  <c r="H39" i="14"/>
  <c r="G39" i="14"/>
  <c r="C38" i="14"/>
  <c r="L38" i="14"/>
  <c r="J38" i="14"/>
  <c r="H38" i="14"/>
  <c r="G38" i="14"/>
  <c r="E37" i="14"/>
  <c r="F43" i="8"/>
  <c r="C37" i="14"/>
  <c r="L37" i="14"/>
  <c r="J37" i="14"/>
  <c r="H37" i="14"/>
  <c r="G37" i="14"/>
  <c r="C36" i="14"/>
  <c r="L36" i="14"/>
  <c r="J36" i="14"/>
  <c r="H36" i="14"/>
  <c r="G36" i="14"/>
  <c r="F42" i="8"/>
  <c r="C35" i="14"/>
  <c r="L35" i="14"/>
  <c r="J35" i="14"/>
  <c r="H35" i="14"/>
  <c r="G35" i="14"/>
  <c r="F41" i="8"/>
  <c r="C34" i="14"/>
  <c r="L34" i="14"/>
  <c r="J34" i="14"/>
  <c r="H34" i="14"/>
  <c r="G34" i="14"/>
  <c r="F40" i="8"/>
  <c r="G33" i="14"/>
  <c r="C33" i="14"/>
  <c r="L33" i="14"/>
  <c r="J33" i="14"/>
  <c r="H33" i="14"/>
  <c r="F39" i="8"/>
  <c r="C32" i="14"/>
  <c r="L32" i="14"/>
  <c r="J32" i="14"/>
  <c r="H32" i="14"/>
  <c r="F38" i="8"/>
  <c r="E31" i="14"/>
  <c r="C31" i="14"/>
  <c r="K31" i="14"/>
  <c r="L31" i="14"/>
  <c r="O31" i="14"/>
  <c r="Q31" i="14"/>
  <c r="R31" i="14"/>
  <c r="O27" i="14"/>
  <c r="Q27" i="14"/>
  <c r="R27" i="14"/>
  <c r="F37" i="8"/>
  <c r="C30" i="14"/>
  <c r="K28" i="14"/>
  <c r="K29" i="14"/>
  <c r="K30" i="14"/>
  <c r="L30" i="14"/>
  <c r="J30" i="14"/>
  <c r="H30" i="14"/>
  <c r="C29" i="14"/>
  <c r="H29" i="14"/>
  <c r="L29" i="14"/>
  <c r="J29" i="14"/>
  <c r="C28" i="14"/>
  <c r="L28" i="14"/>
  <c r="J28" i="14"/>
  <c r="H28" i="14"/>
  <c r="G33" i="8"/>
  <c r="F33" i="8"/>
  <c r="J27" i="14"/>
  <c r="H27" i="14"/>
  <c r="G27" i="14"/>
  <c r="F31" i="8"/>
  <c r="E26" i="14"/>
  <c r="C26" i="14"/>
  <c r="L26" i="14"/>
  <c r="J26" i="14"/>
  <c r="H26" i="14"/>
  <c r="G26" i="14"/>
  <c r="C25" i="14"/>
  <c r="L25" i="14"/>
  <c r="J25" i="14"/>
  <c r="H25" i="14"/>
  <c r="G25" i="14"/>
  <c r="E24" i="14"/>
  <c r="C24" i="14"/>
  <c r="L24" i="14"/>
  <c r="J24" i="14"/>
  <c r="H24" i="14"/>
  <c r="G24" i="14"/>
  <c r="D14" i="17"/>
  <c r="H14" i="17"/>
  <c r="H16" i="17"/>
  <c r="C16" i="17"/>
  <c r="G16" i="17"/>
  <c r="D15" i="17"/>
  <c r="D16" i="17"/>
  <c r="D10" i="17"/>
  <c r="D11" i="17"/>
  <c r="D12" i="17"/>
  <c r="F16" i="17"/>
  <c r="H15" i="17"/>
  <c r="G15" i="17"/>
  <c r="F15" i="17"/>
  <c r="G14" i="17"/>
  <c r="F14" i="17"/>
  <c r="H11" i="17"/>
  <c r="D6" i="17"/>
  <c r="D7" i="17"/>
  <c r="D8" i="17"/>
  <c r="F12" i="17"/>
  <c r="F11" i="17"/>
  <c r="F10" i="17"/>
  <c r="D2" i="17"/>
  <c r="F6" i="17"/>
  <c r="H10" i="17"/>
  <c r="H7" i="17"/>
  <c r="E23" i="14"/>
  <c r="C23" i="14"/>
  <c r="L23" i="14"/>
  <c r="J23" i="14"/>
  <c r="H23" i="14"/>
  <c r="G23" i="14"/>
  <c r="H12" i="17"/>
  <c r="C12" i="17"/>
  <c r="G12" i="17"/>
  <c r="G11" i="17"/>
  <c r="G10" i="17"/>
  <c r="H8" i="17"/>
  <c r="H4" i="17"/>
  <c r="F8" i="17"/>
  <c r="F7" i="17"/>
  <c r="D3" i="17"/>
  <c r="F3" i="17"/>
  <c r="D4" i="17"/>
  <c r="F4" i="17"/>
  <c r="F2" i="17"/>
  <c r="C8" i="17"/>
  <c r="G8" i="17"/>
  <c r="G7" i="17"/>
  <c r="G6" i="17"/>
  <c r="G3" i="17"/>
  <c r="C4" i="17"/>
  <c r="G4" i="17"/>
  <c r="G2" i="17"/>
  <c r="E22" i="14"/>
  <c r="C22" i="14"/>
  <c r="L22" i="14"/>
  <c r="J22" i="14"/>
  <c r="H22" i="14"/>
  <c r="G22" i="14"/>
  <c r="J21" i="14"/>
  <c r="H21" i="14"/>
  <c r="G21" i="14"/>
  <c r="L3" i="14"/>
  <c r="L4" i="14"/>
  <c r="C5" i="14"/>
  <c r="L5" i="14"/>
  <c r="C6" i="14"/>
  <c r="L6" i="14"/>
  <c r="C7" i="14"/>
  <c r="L7" i="14"/>
  <c r="C8" i="14"/>
  <c r="L8" i="14"/>
  <c r="C9" i="14"/>
  <c r="L9" i="14"/>
  <c r="C10" i="14"/>
  <c r="L10" i="14"/>
  <c r="C11" i="14"/>
  <c r="L11" i="14"/>
  <c r="C12" i="14"/>
  <c r="L12" i="14"/>
  <c r="C13" i="14"/>
  <c r="L13" i="14"/>
  <c r="C14" i="14"/>
  <c r="L14" i="14"/>
  <c r="C15" i="14"/>
  <c r="L15" i="14"/>
  <c r="C16" i="14"/>
  <c r="L16" i="14"/>
  <c r="C17" i="14"/>
  <c r="L17" i="14"/>
  <c r="C18" i="14"/>
  <c r="L18" i="14"/>
  <c r="F25" i="8"/>
  <c r="E19" i="14"/>
  <c r="C19" i="14"/>
  <c r="L19" i="14"/>
  <c r="L2" i="14"/>
  <c r="J20" i="14"/>
  <c r="H20" i="14"/>
  <c r="G20" i="14"/>
  <c r="J19" i="14"/>
  <c r="H19" i="14"/>
  <c r="G19" i="14"/>
  <c r="J18" i="14"/>
  <c r="H18" i="14"/>
  <c r="G18" i="14"/>
  <c r="J17" i="14"/>
  <c r="H3" i="14"/>
  <c r="G3" i="14"/>
  <c r="H4" i="14"/>
  <c r="G4" i="14"/>
  <c r="H5" i="14"/>
  <c r="G5" i="14"/>
  <c r="H6" i="14"/>
  <c r="G6" i="14"/>
  <c r="H7" i="14"/>
  <c r="G7" i="14"/>
  <c r="H8" i="14"/>
  <c r="G8" i="14"/>
  <c r="H9" i="14"/>
  <c r="G9" i="14"/>
  <c r="H10" i="14"/>
  <c r="G10" i="14"/>
  <c r="H11" i="14"/>
  <c r="G11" i="14"/>
  <c r="H12" i="14"/>
  <c r="G12" i="14"/>
  <c r="H13" i="14"/>
  <c r="G13" i="14"/>
  <c r="H14" i="14"/>
  <c r="G14" i="14"/>
  <c r="H15" i="14"/>
  <c r="G15" i="14"/>
  <c r="H16" i="14"/>
  <c r="G16" i="14"/>
  <c r="H17" i="14"/>
  <c r="G17" i="14"/>
  <c r="G2" i="14"/>
  <c r="H17" i="8"/>
  <c r="F13" i="11"/>
  <c r="F12" i="11"/>
  <c r="F4" i="11"/>
  <c r="F5" i="11"/>
  <c r="F6" i="11"/>
  <c r="F7" i="11"/>
  <c r="F8" i="11"/>
  <c r="F9" i="11"/>
  <c r="F10" i="11"/>
  <c r="F11" i="11"/>
  <c r="F3" i="11"/>
  <c r="G95" i="1"/>
  <c r="G94" i="1"/>
  <c r="H11" i="2"/>
  <c r="G93" i="1"/>
  <c r="G85" i="1"/>
  <c r="G92" i="1"/>
  <c r="G91" i="1"/>
  <c r="G86" i="1"/>
  <c r="H10" i="2"/>
  <c r="G76" i="1"/>
  <c r="G83" i="1"/>
  <c r="J31" i="14"/>
  <c r="H31" i="14"/>
  <c r="L42" i="14"/>
  <c r="P42" i="14"/>
</calcChain>
</file>

<file path=xl/sharedStrings.xml><?xml version="1.0" encoding="utf-8"?>
<sst xmlns="http://schemas.openxmlformats.org/spreadsheetml/2006/main" count="665" uniqueCount="290">
  <si>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</si>
  <si>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</si>
  <si>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</si>
  <si>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</si>
  <si>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</si>
  <si>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</si>
  <si>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</si>
  <si>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</si>
  <si>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</si>
  <si>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</si>
  <si>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</si>
  <si>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</si>
  <si>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</si>
  <si>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</si>
  <si>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</si>
  <si>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</si>
  <si>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</si>
  <si>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</si>
  <si>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</si>
  <si>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</si>
  <si>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</si>
  <si>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</si>
  <si>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</si>
  <si>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</si>
  <si>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</si>
  <si>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</si>
  <si>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</si>
  <si>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</si>
  <si>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</si>
  <si>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</si>
  <si>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</si>
  <si>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</si>
  <si>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</si>
  <si>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</si>
  <si>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</si>
  <si>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</si>
  <si>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</si>
  <si>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</si>
  <si>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</si>
  <si>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</si>
  <si>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</si>
  <si>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</si>
  <si>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</si>
  <si>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</si>
  <si>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</si>
  <si>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</si>
  <si>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</si>
  <si>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</si>
  <si>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</si>
  <si>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</si>
  <si>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</si>
  <si>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</si>
  <si>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</si>
  <si>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</si>
  <si>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</si>
  <si>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</si>
  <si>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</si>
  <si>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</si>
  <si>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</si>
  <si>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</si>
  <si>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</si>
  <si>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</si>
  <si>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</si>
  <si>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</si>
  <si>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</si>
  <si>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</si>
  <si>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</si>
  <si>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</si>
  <si>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</si>
  <si>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</si>
  <si>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</si>
  <si>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</si>
  <si>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</si>
  <si>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</si>
  <si>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</si>
  <si>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</si>
  <si>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</si>
  <si>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</si>
  <si>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</si>
  <si>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</si>
  <si>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</si>
  <si>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</si>
  <si>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</si>
  <si>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</si>
  <si>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</si>
  <si>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</si>
  <si>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</si>
  <si>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</si>
  <si>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</si>
  <si>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</si>
  <si>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</si>
  <si>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</si>
  <si>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</si>
  <si>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</si>
  <si>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</si>
  <si>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</si>
  <si>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</si>
  <si>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</si>
  <si>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</si>
  <si>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</si>
  <si>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</si>
  <si>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</si>
  <si>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</si>
  <si>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</si>
  <si>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</si>
  <si>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</si>
  <si>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</si>
  <si>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</si>
  <si>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</si>
  <si>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</si>
  <si>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</si>
  <si>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</si>
  <si>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</si>
  <si>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</si>
  <si>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</si>
  <si>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</si>
  <si>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</si>
  <si>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</si>
  <si>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</si>
  <si>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</si>
  <si>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</si>
  <si>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</si>
  <si>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</si>
  <si>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</si>
  <si>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</si>
  <si>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</si>
  <si>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</si>
  <si>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</si>
  <si>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</si>
  <si>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</si>
  <si>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</si>
  <si>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</si>
  <si>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</si>
  <si>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</si>
  <si>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</si>
  <si>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</si>
  <si>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</si>
  <si>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</si>
  <si>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</si>
  <si>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</si>
  <si>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</si>
  <si>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</si>
  <si>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</si>
  <si>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</si>
  <si>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</si>
  <si>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</si>
  <si>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</si>
  <si>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</si>
  <si>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</si>
  <si>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</si>
  <si>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</si>
  <si>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</si>
  <si>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</si>
  <si>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</si>
  <si>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</si>
  <si>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</si>
  <si>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</si>
  <si>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</si>
  <si>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</si>
  <si>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</si>
  <si>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</si>
  <si>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</si>
  <si>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</si>
  <si>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</si>
  <si>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</si>
  <si>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</si>
  <si>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</si>
  <si>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</si>
  <si>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</si>
  <si>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</si>
  <si>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</si>
  <si>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</si>
  <si>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</si>
  <si>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</si>
  <si>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</si>
  <si>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</si>
  <si>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</si>
  <si>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</si>
  <si>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</si>
  <si>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</si>
  <si>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</si>
  <si>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</si>
  <si>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</si>
  <si>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</si>
  <si>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</si>
  <si>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</si>
  <si>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</si>
  <si>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</si>
  <si>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</si>
  <si>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</si>
  <si>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</si>
  <si>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</si>
  <si>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</si>
  <si>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</si>
  <si>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</si>
  <si>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</si>
  <si>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</si>
  <si>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</si>
  <si>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</si>
  <si>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</si>
  <si>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</si>
  <si>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</si>
  <si>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</si>
  <si>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</si>
  <si>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</si>
  <si>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</si>
  <si>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</si>
  <si>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</si>
  <si>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</si>
  <si>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</si>
  <si>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</si>
  <si>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</si>
  <si>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</si>
  <si>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</si>
  <si>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</si>
  <si>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</si>
  <si>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</si>
  <si>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</si>
  <si>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</si>
  <si>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</si>
  <si>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</si>
  <si>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</si>
  <si>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</si>
  <si>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</si>
  <si>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</si>
  <si>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</si>
  <si>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</si>
  <si>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</si>
  <si>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</si>
  <si>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</si>
  <si>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</si>
  <si>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</si>
  <si>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</si>
  <si>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</si>
  <si>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</si>
  <si>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</si>
  <si>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</si>
  <si>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</si>
  <si>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</si>
  <si>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</si>
  <si>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</si>
  <si>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</si>
  <si>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</si>
  <si>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</si>
  <si>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</si>
  <si>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</si>
  <si>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</si>
  <si>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</si>
  <si>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</si>
  <si>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</si>
  <si>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</si>
  <si>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</si>
  <si>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</si>
  <si>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</si>
  <si>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</si>
  <si>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</si>
  <si>
    <t>rand</t>
    <phoneticPr fontId="7" type="noConversion"/>
  </si>
  <si>
    <t>RJ</t>
    <phoneticPr fontId="7" type="noConversion"/>
  </si>
  <si>
    <t>净值</t>
    <rPh sb="0" eb="1">
      <t>jing'zhi</t>
    </rPh>
    <phoneticPr fontId="7" type="noConversion"/>
  </si>
  <si>
    <t>份数</t>
    <rPh sb="0" eb="1">
      <t>fen'shu</t>
    </rPh>
    <phoneticPr fontId="7" type="noConversion"/>
  </si>
  <si>
    <t>估值</t>
    <rPh sb="0" eb="1">
      <t>gu'zhi</t>
    </rPh>
    <phoneticPr fontId="7" type="noConversion"/>
  </si>
  <si>
    <t>19W</t>
    <phoneticPr fontId="7" type="noConversion"/>
  </si>
  <si>
    <t>19W</t>
    <phoneticPr fontId="7" type="noConversion"/>
  </si>
  <si>
    <t>Total</t>
    <phoneticPr fontId="7" type="noConversion"/>
  </si>
  <si>
    <t>成本</t>
    <rPh sb="0" eb="1">
      <t>cheng'ben</t>
    </rPh>
    <phoneticPr fontId="7" type="noConversion"/>
  </si>
  <si>
    <t>盈亏比例</t>
    <rPh sb="0" eb="1">
      <t>ying'kui</t>
    </rPh>
    <rPh sb="2" eb="3">
      <t>bi'li</t>
    </rPh>
    <phoneticPr fontId="7" type="noConversion"/>
  </si>
  <si>
    <t>盈亏金额</t>
    <rPh sb="0" eb="1">
      <t>ying'kui</t>
    </rPh>
    <rPh sb="2" eb="3">
      <t>jin'e</t>
    </rPh>
    <phoneticPr fontId="7" type="noConversion"/>
  </si>
  <si>
    <t>累计盈亏</t>
    <rPh sb="0" eb="1">
      <t>lei'ji</t>
    </rPh>
    <rPh sb="2" eb="3">
      <t>ying'kui</t>
    </rPh>
    <phoneticPr fontId="7" type="noConversion"/>
  </si>
  <si>
    <t>6W</t>
    <phoneticPr fontId="7" type="noConversion"/>
  </si>
  <si>
    <t>拆出还月供</t>
    <rPh sb="0" eb="1">
      <t>chai'chu</t>
    </rPh>
    <rPh sb="2" eb="3">
      <t>huan</t>
    </rPh>
    <rPh sb="3" eb="4">
      <t>yue'gong</t>
    </rPh>
    <phoneticPr fontId="7" type="noConversion"/>
  </si>
  <si>
    <t>5W</t>
    <phoneticPr fontId="7" type="noConversion"/>
  </si>
  <si>
    <t>还月供</t>
    <phoneticPr fontId="7" type="noConversion"/>
  </si>
  <si>
    <t>购买西部证券</t>
    <rPh sb="0" eb="1">
      <t>gou'mai</t>
    </rPh>
    <rPh sb="2" eb="3">
      <t>xi'bu</t>
    </rPh>
    <rPh sb="4" eb="5">
      <t>zheng'quan</t>
    </rPh>
    <phoneticPr fontId="7" type="noConversion"/>
  </si>
  <si>
    <t>还月供</t>
    <rPh sb="0" eb="1">
      <t>huan</t>
    </rPh>
    <rPh sb="1" eb="2">
      <t>yue'gong</t>
    </rPh>
    <phoneticPr fontId="7" type="noConversion"/>
  </si>
  <si>
    <t>宝信软件</t>
    <rPh sb="0" eb="1">
      <t>bao'xin'ruan'jian</t>
    </rPh>
    <phoneticPr fontId="7" type="noConversion"/>
  </si>
  <si>
    <t>金正大</t>
    <rPh sb="0" eb="1">
      <t>jin'zheng'da</t>
    </rPh>
    <phoneticPr fontId="7" type="noConversion"/>
  </si>
  <si>
    <t>关注之列的股票，发生急跌，买入或补仓</t>
    <rPh sb="0" eb="1">
      <t>guan'zhu</t>
    </rPh>
    <rPh sb="2" eb="3">
      <t>zhi'lie</t>
    </rPh>
    <rPh sb="4" eb="5">
      <t>de</t>
    </rPh>
    <rPh sb="5" eb="6">
      <t>gu'piao</t>
    </rPh>
    <rPh sb="8" eb="9">
      <t>fa'sheng</t>
    </rPh>
    <rPh sb="10" eb="11">
      <t>ji'die</t>
    </rPh>
    <rPh sb="13" eb="14">
      <t>mai'ru</t>
    </rPh>
    <rPh sb="15" eb="16">
      <t>huo</t>
    </rPh>
    <rPh sb="16" eb="17">
      <t>bu'cang</t>
    </rPh>
    <phoneticPr fontId="7" type="noConversion"/>
  </si>
  <si>
    <t>止损 5%</t>
    <rPh sb="0" eb="1">
      <t>zhi'sun</t>
    </rPh>
    <phoneticPr fontId="7" type="noConversion"/>
  </si>
  <si>
    <t>金证股份</t>
    <rPh sb="0" eb="1">
      <t>jin'zheng'gu'fen</t>
    </rPh>
    <phoneticPr fontId="7" type="noConversion"/>
  </si>
  <si>
    <t>金证股份</t>
    <rPh sb="0" eb="1">
      <t>jin'zheng'gu'f</t>
    </rPh>
    <phoneticPr fontId="7" type="noConversion"/>
  </si>
  <si>
    <t>1.5W</t>
    <phoneticPr fontId="7" type="noConversion"/>
  </si>
  <si>
    <t>国中水务</t>
    <rPh sb="0" eb="1">
      <t>guo'zhong'shui'wu</t>
    </rPh>
    <phoneticPr fontId="7" type="noConversion"/>
  </si>
  <si>
    <t>0.5W</t>
    <phoneticPr fontId="7" type="noConversion"/>
  </si>
  <si>
    <t>车供盈利</t>
    <rPh sb="2" eb="3">
      <t>ying'li</t>
    </rPh>
    <phoneticPr fontId="7" type="noConversion"/>
  </si>
  <si>
    <t>国元证券</t>
    <rPh sb="0" eb="1">
      <t>guo'yuan'zheng'quan</t>
    </rPh>
    <phoneticPr fontId="7" type="noConversion"/>
  </si>
  <si>
    <t>紫光国芯</t>
    <rPh sb="0" eb="1">
      <t>zi'guang</t>
    </rPh>
    <phoneticPr fontId="7" type="noConversion"/>
  </si>
  <si>
    <t>长生生物</t>
    <rPh sb="0" eb="1">
      <t>chang'sheng'sheng'wu</t>
    </rPh>
    <phoneticPr fontId="7" type="noConversion"/>
  </si>
  <si>
    <t>计算估值</t>
    <rPh sb="0" eb="1">
      <t>ji'suan</t>
    </rPh>
    <rPh sb="2" eb="3">
      <t>gu'zhi</t>
    </rPh>
    <phoneticPr fontId="7" type="noConversion"/>
  </si>
  <si>
    <t>1W</t>
    <phoneticPr fontId="7" type="noConversion"/>
  </si>
  <si>
    <t>还月供</t>
    <rPh sb="0" eb="1">
      <t>huan'yue'gong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</si>
</sst>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  <font>
      <sz val="14"/>
      <color theme="1"/>
      <name val="Abadi MT Condensed Extra Bold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3" borderId="0" xfId="0" applyFill="1"/>
    <xf numFmtId="0" fontId="6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70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71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68" t="s">
        <v>115</v>
      </c>
      <c r="L48" s="69"/>
      <c r="M48" s="69"/>
      <c r="N48" s="69"/>
      <c r="O48" s="69"/>
      <c r="P48" s="69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68"/>
      <c r="L50" s="69"/>
      <c r="M50" s="69"/>
      <c r="N50" s="69"/>
      <c r="O50" s="69"/>
      <c r="P50" s="69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68"/>
      <c r="L52" s="69"/>
      <c r="M52" s="69"/>
      <c r="N52" s="69"/>
      <c r="O52" s="69"/>
      <c r="P52" s="69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69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69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68"/>
      <c r="L73" s="69"/>
      <c r="M73" s="69"/>
      <c r="N73" s="69"/>
      <c r="O73" s="69"/>
      <c r="P73" s="69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"/>
  <sheetViews>
    <sheetView topLeftCell="A33" zoomScale="125" zoomScaleNormal="125" zoomScalePageLayoutView="125" workbookViewId="0">
      <selection activeCell="I51" sqref="I51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72" t="s">
        <v>110</v>
      </c>
      <c r="B2" s="72"/>
      <c r="C2" s="72"/>
      <c r="D2" s="72"/>
      <c r="E2" s="72"/>
      <c r="F2" s="72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45</v>
      </c>
      <c r="I26" t="s">
        <v>253</v>
      </c>
    </row>
    <row r="27" spans="1:9" x14ac:dyDescent="0.15">
      <c r="A27" s="19">
        <v>20161105</v>
      </c>
      <c r="B27" s="19" t="s">
        <v>252</v>
      </c>
      <c r="C27" s="20" t="s">
        <v>249</v>
      </c>
      <c r="D27" s="20">
        <v>91000</v>
      </c>
      <c r="E27" s="20"/>
      <c r="F27" s="19">
        <v>153477</v>
      </c>
      <c r="G27" s="19">
        <v>7.5</v>
      </c>
      <c r="H27" s="19">
        <v>90</v>
      </c>
      <c r="I27" t="s">
        <v>253</v>
      </c>
    </row>
    <row r="28" spans="1:9" x14ac:dyDescent="0.15">
      <c r="A28" s="19">
        <v>20161117</v>
      </c>
      <c r="B28" s="19" t="s">
        <v>252</v>
      </c>
      <c r="C28" s="20"/>
      <c r="D28" s="20"/>
      <c r="E28" s="20"/>
      <c r="F28" s="19">
        <v>153567</v>
      </c>
      <c r="G28" s="19">
        <v>7.5</v>
      </c>
      <c r="H28" s="19">
        <v>30</v>
      </c>
    </row>
    <row r="29" spans="1:9" x14ac:dyDescent="0.15">
      <c r="A29" s="19">
        <v>20161117</v>
      </c>
      <c r="B29" s="19" t="s">
        <v>252</v>
      </c>
      <c r="C29" s="20"/>
      <c r="D29" s="20"/>
      <c r="E29" s="20"/>
      <c r="F29" s="19">
        <v>153597</v>
      </c>
      <c r="G29" s="19">
        <v>7.5</v>
      </c>
      <c r="H29" s="19">
        <v>90</v>
      </c>
    </row>
    <row r="30" spans="1:9" x14ac:dyDescent="0.15">
      <c r="A30" s="19">
        <v>20161129</v>
      </c>
      <c r="B30" s="19" t="s">
        <v>252</v>
      </c>
      <c r="C30" s="20"/>
      <c r="D30" s="20"/>
      <c r="E30" s="20"/>
      <c r="F30" s="19">
        <v>153687</v>
      </c>
      <c r="G30" s="19">
        <v>7.5</v>
      </c>
      <c r="H30" s="19">
        <v>0</v>
      </c>
    </row>
    <row r="31" spans="1:9" s="61" customFormat="1" x14ac:dyDescent="0.15">
      <c r="A31" s="57">
        <v>20161129</v>
      </c>
      <c r="B31" s="57" t="s">
        <v>268</v>
      </c>
      <c r="C31" s="62"/>
      <c r="D31" s="62"/>
      <c r="E31" s="62"/>
      <c r="F31" s="57">
        <f>153687-93300</f>
        <v>60387</v>
      </c>
      <c r="G31" s="57">
        <v>3</v>
      </c>
      <c r="H31" s="57">
        <v>3</v>
      </c>
    </row>
    <row r="32" spans="1:9" s="65" customFormat="1" x14ac:dyDescent="0.15">
      <c r="A32" s="63">
        <v>20161130</v>
      </c>
      <c r="B32" s="63" t="s">
        <v>268</v>
      </c>
      <c r="C32" s="64"/>
      <c r="D32" s="64"/>
      <c r="E32" s="64"/>
      <c r="F32" s="63">
        <v>60340</v>
      </c>
      <c r="G32" s="63">
        <v>3</v>
      </c>
      <c r="H32" s="63">
        <v>0</v>
      </c>
    </row>
    <row r="33" spans="1:10" s="65" customFormat="1" x14ac:dyDescent="0.15">
      <c r="A33" s="63">
        <v>20161130</v>
      </c>
      <c r="B33" s="63" t="s">
        <v>270</v>
      </c>
      <c r="C33" s="64"/>
      <c r="D33" s="64"/>
      <c r="E33" s="64"/>
      <c r="F33" s="63">
        <f>F32-8333</f>
        <v>52007</v>
      </c>
      <c r="G33" s="63">
        <f>0.5*5</f>
        <v>2.5</v>
      </c>
      <c r="H33" s="63">
        <v>32.5</v>
      </c>
      <c r="I33" s="65" t="s">
        <v>271</v>
      </c>
    </row>
    <row r="34" spans="1:10" s="65" customFormat="1" x14ac:dyDescent="0.15">
      <c r="A34" s="63">
        <v>20161215</v>
      </c>
      <c r="B34" s="63" t="s">
        <v>270</v>
      </c>
      <c r="C34" s="64"/>
      <c r="D34" s="64"/>
      <c r="E34" s="64"/>
      <c r="F34" s="63">
        <v>52042.5</v>
      </c>
      <c r="G34" s="63">
        <f>0.5*5</f>
        <v>2.5</v>
      </c>
      <c r="H34" s="63">
        <f>G34*15</f>
        <v>37.5</v>
      </c>
    </row>
    <row r="35" spans="1:10" s="65" customFormat="1" x14ac:dyDescent="0.15">
      <c r="A35" s="63">
        <v>20161229</v>
      </c>
      <c r="B35" s="63" t="s">
        <v>270</v>
      </c>
      <c r="C35" s="64"/>
      <c r="D35" s="64"/>
      <c r="E35" s="64"/>
      <c r="F35" s="63">
        <v>52077.5</v>
      </c>
      <c r="G35" s="63">
        <f>0.5*5</f>
        <v>2.5</v>
      </c>
      <c r="H35" s="63">
        <f>G35*14</f>
        <v>35</v>
      </c>
    </row>
    <row r="36" spans="1:10" s="65" customFormat="1" x14ac:dyDescent="0.15">
      <c r="A36" s="63">
        <v>20161230</v>
      </c>
      <c r="B36" s="63">
        <v>4.5</v>
      </c>
      <c r="C36" s="64"/>
      <c r="D36" s="64"/>
      <c r="E36" s="64"/>
      <c r="F36" s="63">
        <v>46080</v>
      </c>
      <c r="G36" s="63">
        <v>2</v>
      </c>
      <c r="H36" s="63">
        <f>G36*1</f>
        <v>2</v>
      </c>
      <c r="I36" s="65" t="s">
        <v>272</v>
      </c>
      <c r="J36" s="63">
        <v>0</v>
      </c>
    </row>
    <row r="37" spans="1:10" s="65" customFormat="1" x14ac:dyDescent="0.15">
      <c r="A37" s="63">
        <v>20161230</v>
      </c>
      <c r="B37" s="63">
        <v>4.5</v>
      </c>
      <c r="C37" s="64"/>
      <c r="D37" s="64"/>
      <c r="E37" s="64"/>
      <c r="F37" s="63">
        <f>46080-8333</f>
        <v>37747</v>
      </c>
      <c r="G37" s="63">
        <v>2</v>
      </c>
      <c r="H37" s="63">
        <v>0</v>
      </c>
      <c r="I37" s="65" t="s">
        <v>273</v>
      </c>
    </row>
    <row r="38" spans="1:10" s="65" customFormat="1" x14ac:dyDescent="0.15">
      <c r="A38" s="63">
        <v>20170103</v>
      </c>
      <c r="B38" s="63">
        <v>3.95</v>
      </c>
      <c r="C38" s="64"/>
      <c r="D38" s="64"/>
      <c r="E38" s="64"/>
      <c r="F38" s="63">
        <f>46080-8333-5500+8</f>
        <v>32255</v>
      </c>
      <c r="G38" s="63">
        <v>1.5</v>
      </c>
      <c r="H38" s="63">
        <f>G38*4</f>
        <v>6</v>
      </c>
      <c r="I38" s="65" t="s">
        <v>274</v>
      </c>
      <c r="J38" s="65">
        <v>0</v>
      </c>
    </row>
    <row r="39" spans="1:10" s="65" customFormat="1" x14ac:dyDescent="0.15">
      <c r="A39" s="63">
        <v>20170109</v>
      </c>
      <c r="B39" s="63" t="s">
        <v>239</v>
      </c>
      <c r="C39" s="64"/>
      <c r="D39" s="64"/>
      <c r="E39" s="64"/>
      <c r="F39" s="63">
        <f>32255-5500+9</f>
        <v>26764</v>
      </c>
      <c r="G39" s="63">
        <v>1.5</v>
      </c>
      <c r="H39" s="63">
        <f>G39*6</f>
        <v>9</v>
      </c>
      <c r="I39" s="65" t="s">
        <v>275</v>
      </c>
      <c r="J39" s="65">
        <v>0</v>
      </c>
    </row>
    <row r="40" spans="1:10" s="65" customFormat="1" x14ac:dyDescent="0.15">
      <c r="A40" s="63">
        <v>20170112</v>
      </c>
      <c r="B40" s="63" t="s">
        <v>239</v>
      </c>
      <c r="C40" s="64"/>
      <c r="D40" s="64"/>
      <c r="E40" s="64"/>
      <c r="F40" s="63">
        <f>26764-4999+4.5</f>
        <v>21769.5</v>
      </c>
      <c r="G40" s="63">
        <v>1</v>
      </c>
      <c r="H40" s="63">
        <f>G40*3</f>
        <v>3</v>
      </c>
      <c r="I40" s="65" t="s">
        <v>278</v>
      </c>
      <c r="J40" s="65">
        <v>0</v>
      </c>
    </row>
    <row r="41" spans="1:10" s="65" customFormat="1" x14ac:dyDescent="0.15">
      <c r="A41" s="63">
        <v>20170113</v>
      </c>
      <c r="B41" s="63" t="s">
        <v>280</v>
      </c>
      <c r="C41" s="64"/>
      <c r="D41" s="64"/>
      <c r="E41" s="64"/>
      <c r="F41" s="63">
        <f>21769.5-5000+1</f>
        <v>16770.5</v>
      </c>
      <c r="G41" s="63">
        <v>0.75</v>
      </c>
      <c r="H41" s="63">
        <f>G41*1</f>
        <v>0.75</v>
      </c>
      <c r="I41" s="65" t="s">
        <v>286</v>
      </c>
      <c r="J41" s="65">
        <v>0</v>
      </c>
    </row>
    <row r="42" spans="1:10" s="65" customFormat="1" x14ac:dyDescent="0.15">
      <c r="A42" s="63">
        <v>20170116</v>
      </c>
      <c r="B42" s="63" t="s">
        <v>280</v>
      </c>
      <c r="C42" s="64"/>
      <c r="D42" s="64"/>
      <c r="E42" s="64"/>
      <c r="F42" s="63">
        <f>16770.5+0.75*3-5500</f>
        <v>11272.75</v>
      </c>
      <c r="G42" s="63">
        <v>0.5</v>
      </c>
      <c r="H42" s="63">
        <f>G42*3</f>
        <v>1.5</v>
      </c>
      <c r="I42" s="65" t="s">
        <v>281</v>
      </c>
      <c r="J42" s="65">
        <v>0</v>
      </c>
    </row>
    <row r="43" spans="1:10" s="65" customFormat="1" x14ac:dyDescent="0.15">
      <c r="A43" s="63">
        <v>20170117</v>
      </c>
      <c r="B43" s="63" t="s">
        <v>282</v>
      </c>
      <c r="C43" s="64"/>
      <c r="D43" s="64"/>
      <c r="E43" s="64"/>
      <c r="F43" s="63">
        <f>11272.75+0.25-5500</f>
        <v>5773</v>
      </c>
      <c r="G43" s="63">
        <v>0.25</v>
      </c>
      <c r="H43" s="63">
        <f>G43*1</f>
        <v>0.25</v>
      </c>
      <c r="I43" s="65" t="s">
        <v>281</v>
      </c>
      <c r="J43" s="65">
        <v>0</v>
      </c>
    </row>
    <row r="44" spans="1:10" s="65" customFormat="1" x14ac:dyDescent="0.15">
      <c r="A44" s="63">
        <v>20170118</v>
      </c>
      <c r="B44" s="63" t="s">
        <v>282</v>
      </c>
      <c r="C44" s="64"/>
      <c r="D44" s="64"/>
      <c r="E44" s="64"/>
      <c r="F44" s="63">
        <f>5773+0.25-6000</f>
        <v>-226.75</v>
      </c>
      <c r="G44" s="63">
        <v>-0.25</v>
      </c>
      <c r="H44" s="63">
        <f>G44*1</f>
        <v>-0.25</v>
      </c>
      <c r="I44" s="65" t="s">
        <v>284</v>
      </c>
      <c r="J44" s="65">
        <v>0</v>
      </c>
    </row>
    <row r="45" spans="1:10" s="65" customFormat="1" x14ac:dyDescent="0.15">
      <c r="A45" s="63">
        <v>20170119</v>
      </c>
      <c r="B45" s="63" t="s">
        <v>282</v>
      </c>
      <c r="C45" s="64"/>
      <c r="D45" s="64"/>
      <c r="E45" s="64"/>
      <c r="F45" s="63">
        <f>-226.75-0.25-5000</f>
        <v>-5227</v>
      </c>
      <c r="G45" s="63">
        <v>-1</v>
      </c>
      <c r="H45" s="63">
        <f>G45*1</f>
        <v>-1</v>
      </c>
      <c r="I45" s="65" t="s">
        <v>285</v>
      </c>
      <c r="J45" s="65">
        <v>0</v>
      </c>
    </row>
    <row r="46" spans="1:10" s="65" customFormat="1" x14ac:dyDescent="0.15">
      <c r="A46" s="63">
        <v>20170120</v>
      </c>
      <c r="B46" s="63" t="s">
        <v>282</v>
      </c>
      <c r="C46" s="64"/>
      <c r="D46" s="64"/>
      <c r="E46" s="64"/>
      <c r="F46" s="63">
        <f>-5227-5000-1</f>
        <v>-10228</v>
      </c>
      <c r="G46" s="63">
        <v>-2</v>
      </c>
      <c r="H46" s="63">
        <f>G46*1</f>
        <v>-2</v>
      </c>
      <c r="I46" s="65" t="s">
        <v>285</v>
      </c>
      <c r="J46" s="65">
        <v>0</v>
      </c>
    </row>
    <row r="47" spans="1:10" s="65" customFormat="1" x14ac:dyDescent="0.15">
      <c r="A47" s="63">
        <v>20170123</v>
      </c>
      <c r="B47" s="63" t="s">
        <v>282</v>
      </c>
      <c r="C47" s="64"/>
      <c r="D47" s="64"/>
      <c r="E47" s="64"/>
      <c r="F47" s="63">
        <f>-10228-6</f>
        <v>-10234</v>
      </c>
      <c r="G47" s="63">
        <v>-2</v>
      </c>
      <c r="H47" s="63">
        <f>G47*3</f>
        <v>-6</v>
      </c>
      <c r="I47" s="65" t="s">
        <v>278</v>
      </c>
      <c r="J47" s="65">
        <v>0</v>
      </c>
    </row>
    <row r="48" spans="1:10" s="65" customFormat="1" x14ac:dyDescent="0.15">
      <c r="A48" s="63">
        <v>20170124</v>
      </c>
      <c r="B48" s="63" t="s">
        <v>282</v>
      </c>
      <c r="C48" s="64"/>
      <c r="D48" s="64"/>
      <c r="E48" s="64"/>
      <c r="F48" s="63">
        <f>-10228-6-2</f>
        <v>-10236</v>
      </c>
      <c r="G48" s="63">
        <v>-2</v>
      </c>
      <c r="H48" s="63">
        <f>G48</f>
        <v>-2</v>
      </c>
      <c r="I48" s="65" t="s">
        <v>278</v>
      </c>
      <c r="J48" s="65">
        <v>0</v>
      </c>
    </row>
    <row r="49" spans="1:10" s="65" customFormat="1" x14ac:dyDescent="0.15">
      <c r="A49" s="63">
        <v>20170203</v>
      </c>
      <c r="B49" s="63" t="s">
        <v>288</v>
      </c>
      <c r="C49" s="64"/>
      <c r="D49" s="64"/>
      <c r="E49" s="64"/>
      <c r="F49" s="63">
        <f>-10228-6-2+H49</f>
        <v>-10256</v>
      </c>
      <c r="G49" s="63">
        <v>-2</v>
      </c>
      <c r="H49" s="63">
        <f>G49*10</f>
        <v>-20</v>
      </c>
      <c r="I49" s="65" t="s">
        <v>287</v>
      </c>
      <c r="J49" s="65">
        <v>0</v>
      </c>
    </row>
    <row r="50" spans="1:10" s="65" customFormat="1" x14ac:dyDescent="0.15">
      <c r="A50" s="63">
        <v>20170203</v>
      </c>
      <c r="B50" s="63" t="s">
        <v>282</v>
      </c>
      <c r="C50" s="64"/>
      <c r="D50" s="64"/>
      <c r="E50" s="64"/>
      <c r="F50" s="63">
        <f>-10256-8333</f>
        <v>-18589</v>
      </c>
      <c r="G50" s="63">
        <v>-3.5</v>
      </c>
      <c r="H50" s="63">
        <v>0</v>
      </c>
      <c r="I50" s="65" t="s">
        <v>289</v>
      </c>
      <c r="J50" s="65">
        <v>0</v>
      </c>
    </row>
  </sheetData>
  <mergeCells count="1">
    <mergeCell ref="A2:F2"/>
  </mergeCells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B1" workbookViewId="0">
      <pane ySplit="1" topLeftCell="A19" activePane="bottomLeft" state="frozen"/>
      <selection pane="bottomLeft" activeCell="H46" sqref="H46"/>
    </sheetView>
  </sheetViews>
  <sheetFormatPr baseColWidth="10" defaultRowHeight="15" x14ac:dyDescent="0.15"/>
  <cols>
    <col min="3" max="3" width="17.5" customWidth="1"/>
    <col min="4" max="4" width="14" customWidth="1"/>
    <col min="7" max="7" width="13" customWidth="1"/>
    <col min="10" max="13" width="13.5" customWidth="1"/>
  </cols>
  <sheetData>
    <row r="1" spans="1:16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  <c r="P1" s="1" t="s">
        <v>283</v>
      </c>
    </row>
    <row r="2" spans="1:16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6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L20" si="2">C3/K3</f>
        <v>1.00115</v>
      </c>
    </row>
    <row r="4" spans="1:16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6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6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6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6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6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6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6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6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6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6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6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6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8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 t="shared" ref="J17:J22" si="17">C17/I17</f>
        <v>4057.48</v>
      </c>
      <c r="K17" s="19">
        <v>100000</v>
      </c>
      <c r="L17" s="19">
        <f t="shared" si="2"/>
        <v>1.01437</v>
      </c>
    </row>
    <row r="18" spans="1:18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8">C18*(10-H18)/10</f>
        <v>61693</v>
      </c>
      <c r="H18" s="19">
        <f t="shared" ref="H18" si="19">F18/C18*10</f>
        <v>3.8849405770812888</v>
      </c>
      <c r="I18" s="19">
        <v>25</v>
      </c>
      <c r="J18" s="19">
        <f t="shared" si="17"/>
        <v>4035.48</v>
      </c>
      <c r="K18" s="19">
        <v>100000</v>
      </c>
      <c r="L18" s="19">
        <f t="shared" si="2"/>
        <v>1.0088699999999999</v>
      </c>
    </row>
    <row r="19" spans="1:18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20">C19*(10-H19)/10</f>
        <v>64324.360000000008</v>
      </c>
      <c r="H19" s="19">
        <f t="shared" ref="H19" si="21">F19/C19*10</f>
        <v>3.6517895173989574</v>
      </c>
      <c r="I19" s="19">
        <v>25</v>
      </c>
      <c r="J19" s="19">
        <f t="shared" si="17"/>
        <v>4053.0704000000005</v>
      </c>
      <c r="K19" s="19">
        <v>100000</v>
      </c>
      <c r="L19" s="19">
        <f t="shared" si="2"/>
        <v>1.0132676</v>
      </c>
    </row>
    <row r="20" spans="1:18" s="19" customFormat="1" x14ac:dyDescent="0.15">
      <c r="A20" s="19">
        <v>20161031</v>
      </c>
      <c r="B20" s="19" t="s">
        <v>203</v>
      </c>
      <c r="C20" s="19">
        <f t="shared" ref="C20" si="22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3">C20*(10-H20)/10</f>
        <v>64317.96</v>
      </c>
      <c r="H20" s="19">
        <f t="shared" ref="H20" si="24">F20/C20*10</f>
        <v>3.6411627550140708</v>
      </c>
      <c r="I20" s="19">
        <v>25</v>
      </c>
      <c r="J20" s="19">
        <f t="shared" si="17"/>
        <v>4045.8944000000001</v>
      </c>
      <c r="K20" s="19">
        <v>100000</v>
      </c>
      <c r="L20" s="19">
        <f t="shared" si="2"/>
        <v>1.0114736</v>
      </c>
    </row>
    <row r="21" spans="1:18" s="57" customFormat="1" x14ac:dyDescent="0.15">
      <c r="A21" s="57">
        <v>20161031</v>
      </c>
      <c r="B21" s="57" t="s">
        <v>261</v>
      </c>
      <c r="C21" s="57">
        <f t="shared" ref="C21" si="25">D21+E21</f>
        <v>192147.36</v>
      </c>
      <c r="D21" s="57">
        <v>38715.360000000001</v>
      </c>
      <c r="E21" s="57">
        <f>拆借!F26</f>
        <v>153432</v>
      </c>
      <c r="F21" s="57">
        <v>36829.4</v>
      </c>
      <c r="G21" s="57">
        <f t="shared" ref="G21" si="26">C21*(10-H21)/10</f>
        <v>155317.95999999996</v>
      </c>
      <c r="H21" s="57">
        <f t="shared" ref="H21" si="27">F21/C21*10</f>
        <v>1.9167268288255432</v>
      </c>
      <c r="I21" s="57">
        <v>48</v>
      </c>
      <c r="J21" s="57">
        <f t="shared" si="17"/>
        <v>4003.0699999999997</v>
      </c>
      <c r="K21" s="57">
        <f>K20+N21</f>
        <v>189967.7460687061</v>
      </c>
      <c r="L21" s="57">
        <f t="shared" ref="L21" si="28">C21/K21</f>
        <v>1.0114736</v>
      </c>
      <c r="N21" s="57">
        <f>91000/L20</f>
        <v>89967.746068706096</v>
      </c>
    </row>
    <row r="22" spans="1:18" s="19" customFormat="1" x14ac:dyDescent="0.15">
      <c r="A22" s="19">
        <v>20161103</v>
      </c>
      <c r="B22" s="19" t="s">
        <v>262</v>
      </c>
      <c r="C22" s="19">
        <f t="shared" ref="C22" si="29">D22+E22</f>
        <v>192321</v>
      </c>
      <c r="D22" s="19">
        <v>38844</v>
      </c>
      <c r="E22" s="19">
        <f>拆借!F27</f>
        <v>153477</v>
      </c>
      <c r="F22" s="19">
        <v>35658.400000000001</v>
      </c>
      <c r="G22" s="19">
        <f t="shared" ref="G22" si="30">C22*(10-H22)/10</f>
        <v>156662.59999999998</v>
      </c>
      <c r="H22" s="19">
        <f t="shared" ref="H22" si="31">F22/C22*10</f>
        <v>1.8541084956920981</v>
      </c>
      <c r="I22" s="19">
        <v>48</v>
      </c>
      <c r="J22" s="19">
        <f t="shared" si="17"/>
        <v>4006.6875</v>
      </c>
      <c r="K22">
        <v>189967.7460687061</v>
      </c>
      <c r="L22" s="19">
        <f t="shared" ref="L22" si="32">C22/K22</f>
        <v>1.012387649903699</v>
      </c>
    </row>
    <row r="23" spans="1:18" s="19" customFormat="1" x14ac:dyDescent="0.15">
      <c r="A23" s="19">
        <v>20161117</v>
      </c>
      <c r="B23" s="19" t="s">
        <v>262</v>
      </c>
      <c r="C23" s="19">
        <f t="shared" ref="C23" si="33">D23+E23</f>
        <v>193620.41</v>
      </c>
      <c r="D23" s="19">
        <v>40053.410000000003</v>
      </c>
      <c r="E23" s="19">
        <f>拆借!F28</f>
        <v>153567</v>
      </c>
      <c r="F23" s="19">
        <v>33319</v>
      </c>
      <c r="G23" s="19">
        <f t="shared" ref="G23" si="34">C23*(10-H23)/10</f>
        <v>160301.41</v>
      </c>
      <c r="H23" s="19">
        <f t="shared" ref="H23" si="35">F23/C23*10</f>
        <v>1.7208413100664335</v>
      </c>
      <c r="I23" s="19">
        <v>48</v>
      </c>
      <c r="J23" s="19">
        <f t="shared" ref="J23" si="36">C23/I23</f>
        <v>4033.7585416666666</v>
      </c>
      <c r="K23">
        <v>189967.7460687061</v>
      </c>
      <c r="L23" s="19">
        <f t="shared" ref="L23" si="37">C23/K23</f>
        <v>1.0192278110725852</v>
      </c>
    </row>
    <row r="24" spans="1:18" s="19" customFormat="1" x14ac:dyDescent="0.15">
      <c r="A24" s="19">
        <v>20161121</v>
      </c>
      <c r="B24" s="19" t="s">
        <v>262</v>
      </c>
      <c r="C24" s="19">
        <f t="shared" ref="C24" si="38">D24+E24</f>
        <v>194741.21</v>
      </c>
      <c r="D24" s="19">
        <v>41144.21</v>
      </c>
      <c r="E24" s="19">
        <f>拆借!F29</f>
        <v>153597</v>
      </c>
      <c r="F24" s="19">
        <v>34409.800000000003</v>
      </c>
      <c r="G24" s="19">
        <f t="shared" ref="G24" si="39">C24*(10-H24)/10</f>
        <v>160331.40999999997</v>
      </c>
      <c r="H24" s="19">
        <f t="shared" ref="H24" si="40">F24/C24*10</f>
        <v>1.7669500975165966</v>
      </c>
      <c r="I24" s="19">
        <v>48</v>
      </c>
      <c r="J24" s="19">
        <f t="shared" ref="J24" si="41">C24/I24</f>
        <v>4057.1085416666665</v>
      </c>
      <c r="K24">
        <v>189967.7460687061</v>
      </c>
      <c r="L24" s="19">
        <f t="shared" ref="L24" si="42">C24/K24</f>
        <v>1.0251277600017819</v>
      </c>
    </row>
    <row r="25" spans="1:18" s="19" customFormat="1" x14ac:dyDescent="0.15">
      <c r="A25" s="19">
        <v>20161129</v>
      </c>
      <c r="B25" s="19" t="s">
        <v>262</v>
      </c>
      <c r="C25" s="19">
        <f t="shared" ref="C25" si="43">D25+E25</f>
        <v>196539.61</v>
      </c>
      <c r="D25" s="19">
        <v>42852.61</v>
      </c>
      <c r="E25" s="19">
        <v>153687</v>
      </c>
      <c r="F25" s="19">
        <v>36118.199999999997</v>
      </c>
      <c r="G25" s="19">
        <f t="shared" ref="G25" si="44">C25*(10-H25)/10</f>
        <v>160421.40999999997</v>
      </c>
      <c r="H25" s="19">
        <f t="shared" ref="H25" si="45">F25/C25*10</f>
        <v>1.8377058955189747</v>
      </c>
      <c r="I25" s="19">
        <v>48</v>
      </c>
      <c r="J25" s="19">
        <f t="shared" ref="J25" si="46">C25/I25</f>
        <v>4094.5752083333332</v>
      </c>
      <c r="K25">
        <v>189967.7460687061</v>
      </c>
      <c r="L25" s="19">
        <f t="shared" ref="L25" si="47">C25/K25</f>
        <v>1.0345946302322133</v>
      </c>
    </row>
    <row r="26" spans="1:18" s="57" customFormat="1" x14ac:dyDescent="0.15">
      <c r="A26" s="57">
        <v>20161129</v>
      </c>
      <c r="B26" s="57" t="s">
        <v>262</v>
      </c>
      <c r="C26" s="57">
        <f t="shared" ref="C26" si="48">D26+E26</f>
        <v>196539.61</v>
      </c>
      <c r="D26" s="57">
        <v>136152.60999999999</v>
      </c>
      <c r="E26" s="57">
        <f>153687-93300</f>
        <v>60387</v>
      </c>
      <c r="F26" s="57">
        <v>36118.199999999997</v>
      </c>
      <c r="G26" s="57">
        <f t="shared" ref="G26" si="49">C26*(10-H26)/10</f>
        <v>160421.40999999997</v>
      </c>
      <c r="H26" s="57">
        <f t="shared" ref="H26" si="50">F26/C26*10</f>
        <v>1.8377058955189747</v>
      </c>
      <c r="I26" s="57">
        <v>48</v>
      </c>
      <c r="J26" s="57">
        <f t="shared" ref="J26" si="51">C26/I26</f>
        <v>4094.5752083333332</v>
      </c>
      <c r="K26" s="61">
        <v>189967.7460687061</v>
      </c>
      <c r="L26" s="57">
        <f t="shared" ref="L26" si="52">C26/K26</f>
        <v>1.0345946302322133</v>
      </c>
    </row>
    <row r="27" spans="1:18" s="63" customFormat="1" x14ac:dyDescent="0.15">
      <c r="A27" s="63">
        <v>20161130</v>
      </c>
      <c r="B27" s="63" t="s">
        <v>261</v>
      </c>
      <c r="C27" s="63">
        <f t="shared" ref="C27" si="53">D27+E27</f>
        <v>196733.81</v>
      </c>
      <c r="D27" s="63">
        <v>136393.81</v>
      </c>
      <c r="E27" s="63">
        <v>60340</v>
      </c>
      <c r="F27" s="63">
        <v>136362.4</v>
      </c>
      <c r="G27" s="63">
        <f t="shared" ref="G27" si="54">C27*(10-H27)/10</f>
        <v>60371.410000000011</v>
      </c>
      <c r="H27" s="63">
        <f t="shared" ref="H27" si="55">F27/C27*10</f>
        <v>6.9313149580135711</v>
      </c>
      <c r="I27" s="63">
        <v>48</v>
      </c>
      <c r="J27" s="63">
        <f t="shared" ref="J27" si="56">C27/I27</f>
        <v>4098.6210416666663</v>
      </c>
      <c r="K27" s="65">
        <v>189967.7460687061</v>
      </c>
      <c r="L27" s="63">
        <f t="shared" ref="L27" si="57">C27/K27</f>
        <v>1.035616909034899</v>
      </c>
      <c r="M27" s="63" t="s">
        <v>269</v>
      </c>
      <c r="N27" s="63">
        <f>8333/L27</f>
        <v>8046.4116868906667</v>
      </c>
      <c r="O27" s="63">
        <f>N27*L27</f>
        <v>8333</v>
      </c>
      <c r="P27" s="63">
        <v>194.26700397862459</v>
      </c>
      <c r="Q27" s="63">
        <f>P27/O27</f>
        <v>2.3312972996354805E-2</v>
      </c>
      <c r="R27" s="63">
        <f>Q27*12</f>
        <v>0.27975567595625767</v>
      </c>
    </row>
    <row r="28" spans="1:18" s="63" customFormat="1" x14ac:dyDescent="0.15">
      <c r="A28" s="63">
        <v>20161215</v>
      </c>
      <c r="B28" s="63" t="s">
        <v>261</v>
      </c>
      <c r="C28" s="63">
        <f t="shared" ref="C28" si="58">D28+E28</f>
        <v>186193.7</v>
      </c>
      <c r="D28" s="63">
        <v>134151.20000000001</v>
      </c>
      <c r="E28" s="63">
        <v>52042.5</v>
      </c>
      <c r="F28" s="63">
        <v>134021.4</v>
      </c>
      <c r="G28" s="63">
        <v>129.80000000000001</v>
      </c>
      <c r="H28" s="63">
        <f t="shared" ref="H28" si="59">F28/C28*10</f>
        <v>7.1979556773403175</v>
      </c>
      <c r="I28" s="63">
        <v>48</v>
      </c>
      <c r="J28" s="63">
        <f t="shared" ref="J28" si="60">C28/I28</f>
        <v>3879.0354166666671</v>
      </c>
      <c r="K28" s="65">
        <f>K27-N27</f>
        <v>181921.33438181542</v>
      </c>
      <c r="L28" s="63">
        <f t="shared" ref="L28" si="61">C28/K28</f>
        <v>1.0234846871187619</v>
      </c>
    </row>
    <row r="29" spans="1:18" s="63" customFormat="1" x14ac:dyDescent="0.15">
      <c r="A29" s="63">
        <v>20161229</v>
      </c>
      <c r="B29" s="63" t="s">
        <v>261</v>
      </c>
      <c r="C29" s="63">
        <f t="shared" ref="C29:C35" si="62">D29+E29</f>
        <v>186040.16</v>
      </c>
      <c r="D29" s="63">
        <v>133962.66</v>
      </c>
      <c r="E29" s="63">
        <v>52077.5</v>
      </c>
      <c r="F29" s="63">
        <v>133701.4</v>
      </c>
      <c r="G29" s="63">
        <v>261.26</v>
      </c>
      <c r="H29" s="63">
        <f t="shared" ref="H29:H35" si="63">F29/C29*10</f>
        <v>7.1866956037879124</v>
      </c>
      <c r="I29" s="63">
        <v>30</v>
      </c>
      <c r="J29" s="63">
        <f t="shared" ref="J29" si="64">C29/I29</f>
        <v>6201.3386666666665</v>
      </c>
      <c r="K29" s="65">
        <f>K28-N28</f>
        <v>181921.33438181542</v>
      </c>
      <c r="L29" s="63">
        <f t="shared" ref="L29" si="65">C29/K29</f>
        <v>1.022640695947953</v>
      </c>
    </row>
    <row r="30" spans="1:18" s="63" customFormat="1" x14ac:dyDescent="0.15">
      <c r="A30" s="63">
        <v>20161230</v>
      </c>
      <c r="B30" s="63" t="s">
        <v>261</v>
      </c>
      <c r="C30" s="63">
        <f t="shared" si="62"/>
        <v>186243.72</v>
      </c>
      <c r="D30" s="63">
        <v>140163.72</v>
      </c>
      <c r="E30" s="63">
        <v>46080</v>
      </c>
      <c r="F30" s="63">
        <v>140117.20000000001</v>
      </c>
      <c r="G30" s="63">
        <v>46.52</v>
      </c>
      <c r="H30" s="63">
        <f t="shared" si="63"/>
        <v>7.5233248133145114</v>
      </c>
      <c r="I30" s="63">
        <v>30</v>
      </c>
      <c r="J30" s="63">
        <f t="shared" ref="J30" si="66">C30/I30</f>
        <v>6208.1239999999998</v>
      </c>
      <c r="K30" s="65">
        <f>K29-N29</f>
        <v>181921.33438181542</v>
      </c>
      <c r="L30" s="63">
        <f t="shared" ref="L30" si="67">C30/K30</f>
        <v>1.0237596411266023</v>
      </c>
    </row>
    <row r="31" spans="1:18" s="63" customFormat="1" x14ac:dyDescent="0.15">
      <c r="A31" s="63">
        <v>20161230</v>
      </c>
      <c r="B31" s="63" t="s">
        <v>261</v>
      </c>
      <c r="C31" s="63">
        <f t="shared" si="62"/>
        <v>177910.72</v>
      </c>
      <c r="D31" s="63">
        <v>140163.72</v>
      </c>
      <c r="E31" s="63">
        <f>46080-8333</f>
        <v>37747</v>
      </c>
      <c r="F31" s="63">
        <v>140117.20000000001</v>
      </c>
      <c r="G31" s="63">
        <v>46.52</v>
      </c>
      <c r="H31" s="63">
        <f t="shared" si="63"/>
        <v>7.8757030492597648</v>
      </c>
      <c r="I31" s="63">
        <v>35</v>
      </c>
      <c r="J31" s="63">
        <f t="shared" ref="J31" si="68">C31/I31</f>
        <v>5083.163428571429</v>
      </c>
      <c r="K31" s="65">
        <f>181921.3344-N31</f>
        <v>173783.63908749999</v>
      </c>
      <c r="L31" s="63">
        <f t="shared" ref="L31" si="69">C31/K31</f>
        <v>1.0237483858329266</v>
      </c>
      <c r="M31" s="63" t="s">
        <v>269</v>
      </c>
      <c r="N31" s="63">
        <f>8333/1.024</f>
        <v>8137.6953125</v>
      </c>
      <c r="O31" s="63">
        <f>N31*L31</f>
        <v>8330.9524405720476</v>
      </c>
      <c r="P31" s="63">
        <v>99.888467134548421</v>
      </c>
      <c r="Q31" s="63">
        <f>P31/O31</f>
        <v>1.1990041696563754E-2</v>
      </c>
      <c r="R31" s="63">
        <f>Q31*6</f>
        <v>7.194025017938252E-2</v>
      </c>
    </row>
    <row r="32" spans="1:18" s="63" customFormat="1" x14ac:dyDescent="0.15">
      <c r="A32" s="63">
        <v>20170103</v>
      </c>
      <c r="B32" s="63" t="s">
        <v>261</v>
      </c>
      <c r="C32" s="63">
        <f t="shared" si="62"/>
        <v>178783.01</v>
      </c>
      <c r="D32" s="63">
        <v>146528.01</v>
      </c>
      <c r="E32" s="63">
        <v>32255</v>
      </c>
      <c r="F32" s="63">
        <v>146350.6</v>
      </c>
      <c r="G32" s="63">
        <v>177.41</v>
      </c>
      <c r="H32" s="63">
        <f t="shared" si="63"/>
        <v>8.1859344464555104</v>
      </c>
      <c r="I32" s="63">
        <v>35</v>
      </c>
      <c r="J32" s="63">
        <f t="shared" ref="J32" si="70">C32/I32</f>
        <v>5108.0860000000002</v>
      </c>
      <c r="K32" s="65">
        <v>173783.63908749999</v>
      </c>
      <c r="L32" s="63">
        <f t="shared" ref="L32" si="71">C32/K32</f>
        <v>1.0287677881459418</v>
      </c>
    </row>
    <row r="33" spans="1:17" s="63" customFormat="1" x14ac:dyDescent="0.15">
      <c r="A33" s="63">
        <v>20170109</v>
      </c>
      <c r="B33" s="63" t="s">
        <v>261</v>
      </c>
      <c r="C33" s="63">
        <f t="shared" si="62"/>
        <v>179205.2</v>
      </c>
      <c r="D33" s="63">
        <v>152441.20000000001</v>
      </c>
      <c r="E33" s="63">
        <v>26764</v>
      </c>
      <c r="F33" s="63">
        <v>152281.20000000001</v>
      </c>
      <c r="G33" s="63">
        <f t="shared" ref="G33:G38" si="72">D33-F33</f>
        <v>160</v>
      </c>
      <c r="H33" s="63">
        <f t="shared" si="63"/>
        <v>8.4975882396269746</v>
      </c>
      <c r="I33" s="63">
        <v>35</v>
      </c>
      <c r="J33" s="63">
        <f t="shared" ref="J33" si="73">C33/I33</f>
        <v>5120.1485714285718</v>
      </c>
      <c r="K33" s="65">
        <v>173783.63908749999</v>
      </c>
      <c r="L33" s="63">
        <f t="shared" ref="L33" si="74">C33/K33</f>
        <v>1.0311971883024631</v>
      </c>
    </row>
    <row r="34" spans="1:17" s="63" customFormat="1" ht="29" customHeight="1" x14ac:dyDescent="0.15">
      <c r="A34" s="63">
        <v>20170112</v>
      </c>
      <c r="B34" s="63" t="s">
        <v>261</v>
      </c>
      <c r="C34" s="63">
        <f t="shared" si="62"/>
        <v>178764.4</v>
      </c>
      <c r="D34" s="63">
        <v>156994.9</v>
      </c>
      <c r="E34" s="63">
        <v>21769.5</v>
      </c>
      <c r="F34" s="63">
        <v>156815</v>
      </c>
      <c r="G34" s="63">
        <f t="shared" si="72"/>
        <v>179.89999999999418</v>
      </c>
      <c r="H34" s="63">
        <f t="shared" si="63"/>
        <v>8.7721604525285795</v>
      </c>
      <c r="I34" s="63">
        <v>35</v>
      </c>
      <c r="J34" s="63">
        <f t="shared" ref="J34" si="75">C34/I34</f>
        <v>5107.5542857142855</v>
      </c>
      <c r="K34" s="65">
        <v>173783.63908749999</v>
      </c>
      <c r="L34" s="63">
        <f t="shared" ref="L34" si="76">C34/K34</f>
        <v>1.0286607009650213</v>
      </c>
      <c r="M34" s="63" t="s">
        <v>279</v>
      </c>
    </row>
    <row r="35" spans="1:17" s="63" customFormat="1" x14ac:dyDescent="0.15">
      <c r="A35" s="63">
        <v>20170113</v>
      </c>
      <c r="B35" s="63" t="s">
        <v>261</v>
      </c>
      <c r="C35" s="63">
        <f t="shared" si="62"/>
        <v>178684.2</v>
      </c>
      <c r="D35" s="63">
        <v>161913.70000000001</v>
      </c>
      <c r="E35" s="63">
        <v>16770.5</v>
      </c>
      <c r="F35" s="63">
        <v>161817.79999999999</v>
      </c>
      <c r="G35" s="63">
        <f t="shared" si="72"/>
        <v>95.900000000023283</v>
      </c>
      <c r="H35" s="63">
        <f t="shared" si="63"/>
        <v>9.0560777058072279</v>
      </c>
      <c r="I35" s="63">
        <v>35</v>
      </c>
      <c r="J35" s="63">
        <f t="shared" ref="J35" si="77">C35/I35</f>
        <v>5105.2628571428577</v>
      </c>
      <c r="K35" s="65">
        <v>173783.63908749999</v>
      </c>
      <c r="L35" s="63">
        <f t="shared" ref="L35" si="78">C35/K35</f>
        <v>1.0281992075792163</v>
      </c>
    </row>
    <row r="36" spans="1:17" s="63" customFormat="1" x14ac:dyDescent="0.15">
      <c r="A36" s="63">
        <v>20170116</v>
      </c>
      <c r="B36" s="63" t="s">
        <v>261</v>
      </c>
      <c r="C36" s="63">
        <f t="shared" ref="C36" si="79">D36+E36</f>
        <v>176071.34</v>
      </c>
      <c r="D36" s="63">
        <v>164798.59</v>
      </c>
      <c r="E36" s="63">
        <v>11272.75</v>
      </c>
      <c r="F36" s="63">
        <v>164729.79999999999</v>
      </c>
      <c r="G36" s="63">
        <f t="shared" si="72"/>
        <v>68.790000000008149</v>
      </c>
      <c r="H36" s="63">
        <f t="shared" ref="H36" si="80">F36/C36*10</f>
        <v>9.3558554163329468</v>
      </c>
      <c r="I36" s="63">
        <v>35</v>
      </c>
      <c r="J36" s="63">
        <f t="shared" ref="J36" si="81">C36/I36</f>
        <v>5030.6097142857143</v>
      </c>
      <c r="K36" s="65">
        <v>173783.63908749999</v>
      </c>
      <c r="L36" s="63">
        <f t="shared" ref="L36" si="82">C36/K36</f>
        <v>1.0131640753094608</v>
      </c>
      <c r="M36" s="63" t="s">
        <v>281</v>
      </c>
    </row>
    <row r="37" spans="1:17" s="63" customFormat="1" x14ac:dyDescent="0.15">
      <c r="A37" s="63">
        <v>20170117</v>
      </c>
      <c r="B37" s="63" t="s">
        <v>261</v>
      </c>
      <c r="C37" s="63">
        <f t="shared" ref="C37" si="83">D37+E37</f>
        <v>178282.89</v>
      </c>
      <c r="D37" s="63">
        <v>172509.89</v>
      </c>
      <c r="E37" s="63">
        <f>11272.75+0.25-5500</f>
        <v>5773</v>
      </c>
      <c r="F37" s="63">
        <v>171776.2</v>
      </c>
      <c r="G37" s="66">
        <f t="shared" si="72"/>
        <v>733.69000000000233</v>
      </c>
      <c r="H37" s="63">
        <f t="shared" ref="H37" si="84">F37/C37*10</f>
        <v>9.6350356447553658</v>
      </c>
      <c r="I37" s="63">
        <v>35</v>
      </c>
      <c r="J37" s="63">
        <f t="shared" ref="J37" si="85">C37/I37</f>
        <v>5093.7968571428573</v>
      </c>
      <c r="K37" s="65">
        <v>173783.63908749999</v>
      </c>
      <c r="L37" s="63">
        <f t="shared" ref="L37" si="86">C37/K37</f>
        <v>1.0258899568228896</v>
      </c>
      <c r="M37" s="63" t="s">
        <v>281</v>
      </c>
    </row>
    <row r="38" spans="1:17" s="63" customFormat="1" x14ac:dyDescent="0.15">
      <c r="A38" s="63">
        <v>20170119</v>
      </c>
      <c r="B38" s="63" t="s">
        <v>261</v>
      </c>
      <c r="C38" s="63">
        <f t="shared" ref="C38" si="87">D38+E38</f>
        <v>177681.89</v>
      </c>
      <c r="D38" s="63">
        <v>183408.89</v>
      </c>
      <c r="E38" s="63">
        <v>-5727</v>
      </c>
      <c r="F38" s="63">
        <v>182628.2</v>
      </c>
      <c r="G38" s="67">
        <f t="shared" si="72"/>
        <v>780.69000000000233</v>
      </c>
      <c r="H38" s="63">
        <f t="shared" ref="H38" si="88">F38/C38*10</f>
        <v>10.27838008701956</v>
      </c>
      <c r="I38" s="63">
        <v>35</v>
      </c>
      <c r="J38" s="63">
        <f t="shared" ref="J38" si="89">C38/I38</f>
        <v>5076.6254285714285</v>
      </c>
      <c r="K38" s="65">
        <v>173783.63908749999</v>
      </c>
      <c r="L38" s="63">
        <f>C38/K38</f>
        <v>1.0224316335701618</v>
      </c>
      <c r="M38" s="63" t="s">
        <v>281</v>
      </c>
    </row>
    <row r="39" spans="1:17" s="63" customFormat="1" x14ac:dyDescent="0.15">
      <c r="A39" s="63">
        <v>20170123</v>
      </c>
      <c r="B39" s="63" t="s">
        <v>261</v>
      </c>
      <c r="C39" s="63">
        <f t="shared" ref="C39" si="90">D39+E39</f>
        <v>179417.2</v>
      </c>
      <c r="D39" s="63">
        <v>189651.20000000001</v>
      </c>
      <c r="E39" s="63">
        <v>-10234</v>
      </c>
      <c r="F39" s="63">
        <v>188529.6</v>
      </c>
      <c r="G39" s="67">
        <f t="shared" ref="G39:G40" si="91">D39-F39</f>
        <v>1121.6000000000058</v>
      </c>
      <c r="H39" s="63">
        <f t="shared" ref="H39" si="92">F39/C39*10</f>
        <v>10.50788887575996</v>
      </c>
      <c r="I39" s="63">
        <v>35</v>
      </c>
      <c r="J39" s="63">
        <f t="shared" ref="J39" si="93">C39/I39</f>
        <v>5126.2057142857147</v>
      </c>
      <c r="K39" s="65">
        <v>173783.63908749999</v>
      </c>
      <c r="L39" s="63">
        <f>C39/K39</f>
        <v>1.0324170960055885</v>
      </c>
      <c r="Q39" s="63">
        <f>(N21-N27-N31)*(L39-1)</f>
        <v>2391.8513113516892</v>
      </c>
    </row>
    <row r="40" spans="1:17" s="63" customFormat="1" x14ac:dyDescent="0.15">
      <c r="A40" s="63">
        <v>20170124</v>
      </c>
      <c r="B40" s="63" t="s">
        <v>261</v>
      </c>
      <c r="C40" s="63">
        <f t="shared" ref="C40" si="94">D40+E40</f>
        <v>178911.4</v>
      </c>
      <c r="D40" s="63">
        <v>189147.4</v>
      </c>
      <c r="E40" s="63">
        <v>-10236</v>
      </c>
      <c r="F40" s="63">
        <v>188025.8</v>
      </c>
      <c r="G40" s="67">
        <f t="shared" si="91"/>
        <v>1121.6000000000058</v>
      </c>
      <c r="H40" s="63">
        <f t="shared" ref="H40" si="95">F40/C40*10</f>
        <v>10.509436514386451</v>
      </c>
      <c r="I40" s="63">
        <v>35</v>
      </c>
      <c r="J40" s="63">
        <f t="shared" ref="J40" si="96">C40/I40</f>
        <v>5111.7542857142853</v>
      </c>
      <c r="K40" s="65">
        <v>173783.63908749999</v>
      </c>
      <c r="L40" s="63">
        <f>C40/K40</f>
        <v>1.0295065803629431</v>
      </c>
      <c r="P40" s="63">
        <f>(N22-N28-N32)*(L40-1)</f>
        <v>0</v>
      </c>
    </row>
    <row r="41" spans="1:17" s="63" customFormat="1" x14ac:dyDescent="0.15">
      <c r="A41" s="63">
        <v>20170203</v>
      </c>
      <c r="B41" s="63" t="s">
        <v>261</v>
      </c>
      <c r="C41" s="63">
        <f t="shared" ref="C41" si="97">D41+E41</f>
        <v>178989.52</v>
      </c>
      <c r="D41" s="63">
        <v>189245.52</v>
      </c>
      <c r="E41" s="63">
        <v>-10256</v>
      </c>
      <c r="F41" s="63">
        <v>187810.4</v>
      </c>
      <c r="G41" s="67">
        <f t="shared" ref="G41" si="98">D41-F41</f>
        <v>1435.1199999999953</v>
      </c>
      <c r="H41" s="63">
        <f t="shared" ref="H41" si="99">F41/C41*10</f>
        <v>10.492815445284172</v>
      </c>
      <c r="I41" s="63">
        <v>35</v>
      </c>
      <c r="J41" s="63">
        <f t="shared" ref="J41" si="100">C41/I41</f>
        <v>5113.9862857142853</v>
      </c>
      <c r="K41" s="65">
        <v>173783.63908749999</v>
      </c>
      <c r="L41" s="63">
        <f>C41/K41</f>
        <v>1.0299561048429815</v>
      </c>
      <c r="M41" s="63" t="s">
        <v>269</v>
      </c>
      <c r="N41" s="63">
        <f>8333/L41</f>
        <v>8090.636058000141</v>
      </c>
      <c r="P41" s="63">
        <f>N41*(L41-1)</f>
        <v>242.36394199985878</v>
      </c>
    </row>
    <row r="42" spans="1:17" s="63" customFormat="1" x14ac:dyDescent="0.15">
      <c r="A42" s="63">
        <v>20170203</v>
      </c>
      <c r="B42" s="63" t="s">
        <v>261</v>
      </c>
      <c r="C42" s="63">
        <f t="shared" ref="C42" si="101">D42+E42</f>
        <v>170656.52</v>
      </c>
      <c r="D42" s="63">
        <v>189245.52</v>
      </c>
      <c r="E42" s="63">
        <v>-18589</v>
      </c>
      <c r="F42" s="63">
        <v>187810.4</v>
      </c>
      <c r="G42" s="67">
        <f t="shared" ref="G42" si="102">D42-F42</f>
        <v>1435.1199999999953</v>
      </c>
      <c r="H42" s="63">
        <f t="shared" ref="H42" si="103">F42/C42*10</f>
        <v>11.005169916742707</v>
      </c>
      <c r="I42" s="63">
        <v>30</v>
      </c>
      <c r="J42" s="63">
        <f t="shared" ref="J42" si="104">C42/I42</f>
        <v>5688.5506666666661</v>
      </c>
      <c r="K42" s="65">
        <f>K41-8090.63505</f>
        <v>165693.00403749998</v>
      </c>
      <c r="L42" s="63">
        <f>C42/K42</f>
        <v>1.0299560985772016</v>
      </c>
      <c r="P42" s="63">
        <f>N42*(L42-1)</f>
        <v>0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7" sqref="A17:XFD22"/>
    </sheetView>
  </sheetViews>
  <sheetFormatPr baseColWidth="10" defaultRowHeight="15" x14ac:dyDescent="0.15"/>
  <cols>
    <col min="1" max="1" width="20" customWidth="1"/>
    <col min="3" max="3" width="16.83203125" customWidth="1"/>
  </cols>
  <sheetData>
    <row r="1" spans="1:8" ht="24" thickBot="1" x14ac:dyDescent="0.35">
      <c r="A1" s="3">
        <v>20161031</v>
      </c>
      <c r="B1" s="3" t="s">
        <v>258</v>
      </c>
      <c r="C1" s="3" t="s">
        <v>259</v>
      </c>
      <c r="D1" s="3" t="s">
        <v>260</v>
      </c>
      <c r="E1" s="58" t="s">
        <v>264</v>
      </c>
      <c r="F1" s="58" t="s">
        <v>266</v>
      </c>
      <c r="G1" s="58" t="s">
        <v>265</v>
      </c>
      <c r="H1" s="58" t="s">
        <v>267</v>
      </c>
    </row>
    <row r="2" spans="1:8" x14ac:dyDescent="0.15">
      <c r="A2" t="s">
        <v>256</v>
      </c>
      <c r="B2">
        <v>1.0114736</v>
      </c>
      <c r="C2" s="19">
        <v>100000</v>
      </c>
      <c r="D2">
        <f>C2*B2</f>
        <v>101147.36</v>
      </c>
      <c r="E2">
        <v>100000</v>
      </c>
      <c r="F2">
        <f>D2-E2</f>
        <v>1147.3600000000006</v>
      </c>
      <c r="G2">
        <f>(B2*C2)/E2*100 -100</f>
        <v>1.1473599999999919</v>
      </c>
      <c r="H2">
        <v>1147.3600000000006</v>
      </c>
    </row>
    <row r="3" spans="1:8" x14ac:dyDescent="0.15">
      <c r="A3" t="s">
        <v>257</v>
      </c>
      <c r="B3">
        <v>1.0114736</v>
      </c>
      <c r="C3">
        <v>89967.746068706096</v>
      </c>
      <c r="D3">
        <f>C3*B3</f>
        <v>91000</v>
      </c>
      <c r="E3">
        <v>91000</v>
      </c>
      <c r="F3">
        <f t="shared" ref="F3:F4" si="0">D3-E3</f>
        <v>0</v>
      </c>
      <c r="G3">
        <f t="shared" ref="G3:G4" si="1">(B3*C3)/E3*100 -100</f>
        <v>0</v>
      </c>
      <c r="H3">
        <v>0</v>
      </c>
    </row>
    <row r="4" spans="1:8" ht="16" thickBot="1" x14ac:dyDescent="0.2">
      <c r="A4" t="s">
        <v>263</v>
      </c>
      <c r="B4">
        <v>1.0114736</v>
      </c>
      <c r="C4">
        <f>C3+C2</f>
        <v>189967.7460687061</v>
      </c>
      <c r="D4">
        <f>D2+D3</f>
        <v>192147.36</v>
      </c>
      <c r="E4">
        <v>191000</v>
      </c>
      <c r="F4">
        <f t="shared" si="0"/>
        <v>1147.359999999986</v>
      </c>
      <c r="G4">
        <f t="shared" si="1"/>
        <v>0.60071204188480465</v>
      </c>
      <c r="H4">
        <f>H2</f>
        <v>1147.3600000000006</v>
      </c>
    </row>
    <row r="5" spans="1:8" ht="24" thickBot="1" x14ac:dyDescent="0.35">
      <c r="A5" s="2">
        <v>20161103</v>
      </c>
      <c r="B5" s="3" t="s">
        <v>258</v>
      </c>
      <c r="C5" s="3" t="s">
        <v>259</v>
      </c>
      <c r="D5" s="3" t="s">
        <v>260</v>
      </c>
      <c r="E5" s="59" t="s">
        <v>264</v>
      </c>
      <c r="F5" s="59" t="s">
        <v>266</v>
      </c>
      <c r="G5" s="60" t="s">
        <v>265</v>
      </c>
      <c r="H5" s="60" t="s">
        <v>267</v>
      </c>
    </row>
    <row r="6" spans="1:8" x14ac:dyDescent="0.15">
      <c r="A6" t="s">
        <v>256</v>
      </c>
      <c r="B6">
        <v>1.012387649903699</v>
      </c>
      <c r="C6" s="19">
        <v>100000</v>
      </c>
      <c r="D6">
        <f>C6*B6</f>
        <v>101238.76499036991</v>
      </c>
      <c r="E6">
        <v>100000</v>
      </c>
      <c r="F6">
        <f>D6-D2</f>
        <v>91.404990369905136</v>
      </c>
      <c r="G6">
        <f>(B6*C6)/E6*100 -100</f>
        <v>1.2387649903699014</v>
      </c>
      <c r="H6">
        <v>1238.7649903699057</v>
      </c>
    </row>
    <row r="7" spans="1:8" x14ac:dyDescent="0.15">
      <c r="A7" t="s">
        <v>257</v>
      </c>
      <c r="B7">
        <v>1.012387649903699</v>
      </c>
      <c r="C7">
        <v>89967.746068706096</v>
      </c>
      <c r="D7">
        <f>C7*B7</f>
        <v>91082.235009630123</v>
      </c>
      <c r="E7">
        <v>91000</v>
      </c>
      <c r="F7">
        <f t="shared" ref="F7:F8" si="2">D7-E7</f>
        <v>82.235009630123386</v>
      </c>
      <c r="G7">
        <f t="shared" ref="G7:G8" si="3">(B7*C7)/E7*100 -100</f>
        <v>9.0368142450685696E-2</v>
      </c>
      <c r="H7">
        <f>D7-E7</f>
        <v>82.235009630123386</v>
      </c>
    </row>
    <row r="8" spans="1:8" ht="16" thickBot="1" x14ac:dyDescent="0.2">
      <c r="A8" t="s">
        <v>263</v>
      </c>
      <c r="B8">
        <v>1.012387649903699</v>
      </c>
      <c r="C8">
        <f>C7+C6</f>
        <v>189967.7460687061</v>
      </c>
      <c r="D8">
        <f>D6+D7</f>
        <v>192321.00000000003</v>
      </c>
      <c r="E8">
        <v>191000</v>
      </c>
      <c r="F8">
        <f t="shared" si="2"/>
        <v>1321.0000000000291</v>
      </c>
      <c r="G8">
        <f t="shared" si="3"/>
        <v>0.69162303664921865</v>
      </c>
      <c r="H8">
        <f>H6</f>
        <v>1238.7649903699057</v>
      </c>
    </row>
    <row r="9" spans="1:8" ht="24" thickBot="1" x14ac:dyDescent="0.35">
      <c r="A9" s="2">
        <v>20161117</v>
      </c>
      <c r="B9" s="3" t="s">
        <v>258</v>
      </c>
      <c r="C9" s="3" t="s">
        <v>259</v>
      </c>
      <c r="D9" s="3" t="s">
        <v>260</v>
      </c>
      <c r="E9" s="59" t="s">
        <v>264</v>
      </c>
      <c r="F9" s="59" t="s">
        <v>266</v>
      </c>
      <c r="G9" s="60" t="s">
        <v>265</v>
      </c>
      <c r="H9" s="60" t="s">
        <v>267</v>
      </c>
    </row>
    <row r="10" spans="1:8" x14ac:dyDescent="0.15">
      <c r="A10" t="s">
        <v>256</v>
      </c>
      <c r="B10">
        <v>1.0192278110725852</v>
      </c>
      <c r="C10" s="19">
        <v>100000</v>
      </c>
      <c r="D10">
        <f>C10*B10</f>
        <v>101922.78110725852</v>
      </c>
      <c r="E10">
        <v>100000</v>
      </c>
      <c r="F10">
        <f>D10-D6</f>
        <v>684.01611688861158</v>
      </c>
      <c r="G10">
        <f>(B10*C10)/E10*100 -100</f>
        <v>1.9227811072585155</v>
      </c>
      <c r="H10">
        <f>D10-E10</f>
        <v>1922.7811072585173</v>
      </c>
    </row>
    <row r="11" spans="1:8" x14ac:dyDescent="0.15">
      <c r="A11" t="s">
        <v>257</v>
      </c>
      <c r="B11">
        <v>1.0192278110725852</v>
      </c>
      <c r="C11">
        <v>89967.746068706096</v>
      </c>
      <c r="D11">
        <f>C11*B11</f>
        <v>91697.628892741501</v>
      </c>
      <c r="E11">
        <v>91000</v>
      </c>
      <c r="F11">
        <f>D11-D7</f>
        <v>615.39388311137736</v>
      </c>
      <c r="G11">
        <f t="shared" ref="G11:G12" si="4">(B11*C11)/E11*100 -100</f>
        <v>0.76662515685879384</v>
      </c>
      <c r="H11">
        <f>D11-E11</f>
        <v>697.62889274150075</v>
      </c>
    </row>
    <row r="12" spans="1:8" ht="16" thickBot="1" x14ac:dyDescent="0.2">
      <c r="A12" t="s">
        <v>263</v>
      </c>
      <c r="B12">
        <v>1.0192278110725852</v>
      </c>
      <c r="C12">
        <f>C11+C10</f>
        <v>189967.7460687061</v>
      </c>
      <c r="D12">
        <f>D10+D11</f>
        <v>193620.41000000003</v>
      </c>
      <c r="E12">
        <v>191000</v>
      </c>
      <c r="F12">
        <f>D12-D8</f>
        <v>1299.4100000000035</v>
      </c>
      <c r="G12">
        <f t="shared" si="4"/>
        <v>1.3719424083769667</v>
      </c>
      <c r="H12">
        <f>H10</f>
        <v>1922.7811072585173</v>
      </c>
    </row>
    <row r="13" spans="1:8" ht="24" thickBot="1" x14ac:dyDescent="0.35">
      <c r="A13" s="2">
        <v>20161121</v>
      </c>
      <c r="B13" s="3" t="s">
        <v>258</v>
      </c>
      <c r="C13" s="3" t="s">
        <v>259</v>
      </c>
      <c r="D13" s="3" t="s">
        <v>260</v>
      </c>
      <c r="E13" s="59" t="s">
        <v>264</v>
      </c>
      <c r="F13" s="59" t="s">
        <v>266</v>
      </c>
      <c r="G13" s="60" t="s">
        <v>265</v>
      </c>
      <c r="H13" s="60" t="s">
        <v>267</v>
      </c>
    </row>
    <row r="14" spans="1:8" x14ac:dyDescent="0.15">
      <c r="A14" t="s">
        <v>256</v>
      </c>
      <c r="B14">
        <v>1.0192278110725852</v>
      </c>
      <c r="C14" s="19">
        <v>100000</v>
      </c>
      <c r="D14">
        <f>C14*B14</f>
        <v>101922.78110725852</v>
      </c>
      <c r="E14">
        <v>100000</v>
      </c>
      <c r="F14">
        <f>D14-D10</f>
        <v>0</v>
      </c>
      <c r="G14">
        <f>(B14*C14)/E14*100 -100</f>
        <v>1.9227811072585155</v>
      </c>
      <c r="H14">
        <f>D14-E14</f>
        <v>1922.7811072585173</v>
      </c>
    </row>
    <row r="15" spans="1:8" x14ac:dyDescent="0.15">
      <c r="A15" t="s">
        <v>257</v>
      </c>
      <c r="B15">
        <v>1.0192278110725852</v>
      </c>
      <c r="C15">
        <v>89967.746068706096</v>
      </c>
      <c r="D15">
        <f>C15*B15</f>
        <v>91697.628892741501</v>
      </c>
      <c r="E15">
        <v>91000</v>
      </c>
      <c r="F15">
        <f>D15-D11</f>
        <v>0</v>
      </c>
      <c r="G15">
        <f t="shared" ref="G15:G16" si="5">(B15*C15)/E15*100 -100</f>
        <v>0.76662515685879384</v>
      </c>
      <c r="H15">
        <f>D15-E15</f>
        <v>697.62889274150075</v>
      </c>
    </row>
    <row r="16" spans="1:8" x14ac:dyDescent="0.15">
      <c r="A16" t="s">
        <v>263</v>
      </c>
      <c r="B16">
        <v>1.0192278110725852</v>
      </c>
      <c r="C16">
        <f>C15+C14</f>
        <v>189967.7460687061</v>
      </c>
      <c r="D16">
        <f>D14+D15</f>
        <v>193620.41000000003</v>
      </c>
      <c r="E16">
        <v>191000</v>
      </c>
      <c r="F16">
        <f>D16-D12</f>
        <v>0</v>
      </c>
      <c r="G16">
        <f t="shared" si="5"/>
        <v>1.3719424083769667</v>
      </c>
      <c r="H16">
        <f>H14</f>
        <v>1922.7811072585173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J17" sqref="J17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5" spans="2:3" x14ac:dyDescent="0.15">
      <c r="C5" t="s">
        <v>276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  <row r="12" spans="2:3" x14ac:dyDescent="0.15">
      <c r="C12" t="s">
        <v>277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A</vt:lpstr>
      <vt:lpstr>HK</vt:lpstr>
      <vt:lpstr>总</vt:lpstr>
      <vt:lpstr>指数化</vt:lpstr>
      <vt:lpstr>A股经验</vt:lpstr>
      <vt:lpstr>操作系统</vt:lpstr>
      <vt:lpstr>日志</vt:lpstr>
      <vt:lpstr>规则</vt:lpstr>
      <vt:lpstr>安全资产</vt:lpstr>
      <vt:lpstr>拆借</vt:lpstr>
      <vt:lpstr>仓</vt:lpstr>
      <vt:lpstr>权益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2017-02-03T07:18:43Z</dcterms:modified>
</cp:coreProperties>
</file>