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520" tabRatio="500" firstSheet="2" activeTab="7"/>
  </bookViews>
  <sheets>
    <sheet name="工作表1" sheetId="1" state="hidden" r:id="rId1"/>
    <sheet name="余额宝" sheetId="7" state="hidden" r:id="rId2"/>
    <sheet name="投资者权益表" sheetId="6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选择" sheetId="15" state="hidden" r:id="rId9"/>
    <sheet name="易H股ETF联接（110031）" sheetId="2" state="hidden" r:id="rId10"/>
    <sheet name="打包资产统计" sheetId="3" state="hidden" r:id="rId11"/>
    <sheet name="资产结构" sheetId="8" r:id="rId12"/>
    <sheet name="用户资产" sheetId="14" state="hidden" r:id="rId13"/>
    <sheet name="Operation" sheetId="9" r:id="rId14"/>
    <sheet name="余额宝损益表" sheetId="11" r:id="rId15"/>
    <sheet name="策略" sheetId="10" state="hidden" r:id="rId1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7" l="1"/>
  <c r="L10" i="17"/>
  <c r="H10" i="17"/>
  <c r="I10" i="17"/>
  <c r="J10" i="17"/>
  <c r="G10" i="17"/>
  <c r="F10" i="17"/>
  <c r="E12" i="16"/>
  <c r="D12" i="16"/>
  <c r="G12" i="16"/>
  <c r="H12" i="16"/>
  <c r="E9" i="12"/>
  <c r="K9" i="12"/>
  <c r="I9" i="12"/>
  <c r="J9" i="12"/>
  <c r="F9" i="12"/>
  <c r="H8" i="17"/>
  <c r="F9" i="17"/>
  <c r="E7" i="17"/>
  <c r="D7" i="17"/>
  <c r="H7" i="17"/>
  <c r="F8" i="17"/>
  <c r="L9" i="17"/>
  <c r="H9" i="17"/>
  <c r="I9" i="17"/>
  <c r="J9" i="17"/>
  <c r="G9" i="17"/>
  <c r="K8" i="12"/>
  <c r="J8" i="12"/>
  <c r="F8" i="12"/>
  <c r="E8" i="12"/>
  <c r="G11" i="16"/>
  <c r="D11" i="16"/>
  <c r="G10" i="16"/>
  <c r="H11" i="16"/>
  <c r="C29" i="18"/>
  <c r="D31" i="18"/>
  <c r="D32" i="18"/>
  <c r="D33" i="18"/>
  <c r="I33" i="18"/>
  <c r="F33" i="18"/>
  <c r="G33" i="18"/>
  <c r="H33" i="18"/>
  <c r="C33" i="18"/>
  <c r="I32" i="18"/>
  <c r="E32" i="18"/>
  <c r="I31" i="18"/>
  <c r="H31" i="18"/>
  <c r="E31" i="18"/>
  <c r="I8" i="12"/>
  <c r="H52" i="11"/>
  <c r="H10" i="16"/>
  <c r="D10" i="16"/>
  <c r="E50" i="11"/>
  <c r="C24" i="18"/>
  <c r="D26" i="18"/>
  <c r="D27" i="18"/>
  <c r="D28" i="18"/>
  <c r="I28" i="18"/>
  <c r="F28" i="18"/>
  <c r="G28" i="18"/>
  <c r="H28" i="18"/>
  <c r="C28" i="18"/>
  <c r="I27" i="18"/>
  <c r="E27" i="18"/>
  <c r="I26" i="18"/>
  <c r="H26" i="18"/>
  <c r="E26" i="18"/>
  <c r="I50" i="11"/>
  <c r="H51" i="11"/>
  <c r="H50" i="11"/>
  <c r="D77" i="8"/>
  <c r="F78" i="8"/>
  <c r="H78" i="8"/>
  <c r="D78" i="8"/>
  <c r="H79" i="8"/>
  <c r="D79" i="8"/>
  <c r="H80" i="8"/>
  <c r="D80" i="8"/>
  <c r="D82" i="8"/>
  <c r="E82" i="8"/>
  <c r="E81" i="8"/>
  <c r="E80" i="8"/>
  <c r="E79" i="8"/>
  <c r="E78" i="8"/>
  <c r="H77" i="8"/>
  <c r="E77" i="8"/>
  <c r="G8" i="17"/>
  <c r="H9" i="16"/>
  <c r="G9" i="16"/>
  <c r="F7" i="12"/>
  <c r="E7" i="12"/>
  <c r="K7" i="12"/>
  <c r="I7" i="12"/>
  <c r="J7" i="12"/>
  <c r="H14" i="16"/>
  <c r="O7" i="17"/>
  <c r="G7" i="17"/>
  <c r="E8" i="16"/>
  <c r="D8" i="16"/>
  <c r="H8" i="16"/>
  <c r="G8" i="16"/>
  <c r="K8" i="16"/>
  <c r="K6" i="12"/>
  <c r="E6" i="12"/>
  <c r="I6" i="12"/>
  <c r="J6" i="12"/>
  <c r="F6" i="12"/>
  <c r="E21" i="18"/>
  <c r="E20" i="18"/>
  <c r="C18" i="18"/>
  <c r="D20" i="18"/>
  <c r="D21" i="18"/>
  <c r="D22" i="18"/>
  <c r="I22" i="18"/>
  <c r="F22" i="18"/>
  <c r="G22" i="18"/>
  <c r="H22" i="18"/>
  <c r="C22" i="18"/>
  <c r="I21" i="18"/>
  <c r="I20" i="18"/>
  <c r="H20" i="18"/>
  <c r="F71" i="8"/>
  <c r="H8" i="9"/>
  <c r="F72" i="8"/>
  <c r="I46" i="11"/>
  <c r="H46" i="11"/>
  <c r="I45" i="11"/>
  <c r="H15" i="18"/>
  <c r="M5" i="12"/>
  <c r="N5" i="12"/>
  <c r="O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K5" i="12"/>
  <c r="E5" i="12"/>
  <c r="I5" i="12"/>
  <c r="J5" i="12"/>
  <c r="E4" i="12"/>
  <c r="F5" i="12"/>
  <c r="I7" i="18"/>
  <c r="I6" i="18"/>
  <c r="H8" i="18"/>
  <c r="H6" i="18"/>
  <c r="F8" i="18"/>
  <c r="G8" i="18"/>
  <c r="D7" i="18"/>
  <c r="E3" i="12"/>
  <c r="C43" i="11"/>
  <c r="H72" i="8"/>
  <c r="D72" i="8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O6" i="17"/>
  <c r="G5" i="17"/>
  <c r="O5" i="17"/>
  <c r="F4" i="12"/>
  <c r="G4" i="12"/>
  <c r="F6" i="16"/>
  <c r="I4" i="12"/>
  <c r="E6" i="16"/>
  <c r="D6" i="16"/>
  <c r="G5" i="16"/>
  <c r="G6" i="16"/>
  <c r="E7" i="16"/>
  <c r="D7" i="16"/>
  <c r="J7" i="16"/>
  <c r="E5" i="16"/>
  <c r="K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43" i="8"/>
  <c r="C39" i="6"/>
  <c r="C37" i="6"/>
  <c r="C31" i="6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H4" i="12"/>
  <c r="J4" i="12"/>
  <c r="I3" i="12"/>
  <c r="E7" i="14"/>
  <c r="I7" i="14"/>
  <c r="I6" i="14"/>
  <c r="D58" i="8"/>
  <c r="F59" i="8"/>
  <c r="H59" i="8"/>
  <c r="D59" i="8"/>
  <c r="H60" i="8"/>
  <c r="D60" i="8"/>
  <c r="H61" i="8"/>
  <c r="D61" i="8"/>
  <c r="D47" i="8"/>
  <c r="F48" i="8"/>
  <c r="H48" i="8"/>
  <c r="D48" i="8"/>
  <c r="H49" i="8"/>
  <c r="D49" i="8"/>
  <c r="H50" i="8"/>
  <c r="D50" i="8"/>
  <c r="H51" i="8"/>
  <c r="D51" i="8"/>
  <c r="D37" i="8"/>
  <c r="F38" i="8"/>
  <c r="H38" i="8"/>
  <c r="D38" i="8"/>
  <c r="H39" i="8"/>
  <c r="D39" i="8"/>
  <c r="H40" i="8"/>
  <c r="D40" i="8"/>
  <c r="H41" i="8"/>
  <c r="D41" i="8"/>
  <c r="D27" i="8"/>
  <c r="D32" i="8"/>
  <c r="D33" i="8"/>
  <c r="D6" i="8"/>
  <c r="D7" i="8"/>
  <c r="D8" i="8"/>
  <c r="D9" i="8"/>
  <c r="D10" i="8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<sst xmlns="http://schemas.openxmlformats.org/spreadsheetml/2006/main" count="555" uniqueCount="181">
  <si>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</si>
  <si>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</si>
  <si>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</si>
  <si>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</si>
  <si>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</si>
  <si>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</si>
  <si>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</si>
  <si>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</si>
  <si>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</si>
  <si>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</si>
  <si>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</si>
  <si>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</si>
  <si>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</si>
  <si>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</si>
  <si>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</si>
  <si>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</si>
  <si>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</si>
  <si>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</si>
  <si>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</si>
  <si>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</si>
  <si>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</si>
  <si>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</si>
  <si>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</si>
  <si>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</si>
  <si>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</si>
  <si>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</si>
  <si>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</si>
  <si>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</si>
  <si>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</si>
  <si>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</si>
  <si>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</si>
  <si>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</si>
  <si>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</si>
  <si>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</si>
  <si>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</si>
  <si>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</si>
  <si>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</si>
  <si>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</si>
  <si>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</si>
  <si>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</si>
  <si>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</si>
  <si>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</si>
  <si>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</si>
  <si>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</si>
  <si>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</si>
  <si>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</si>
  <si>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</si>
  <si>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</si>
  <si>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</si>
  <si>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</si>
  <si>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</si>
  <si>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</si>
  <si>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</si>
  <si>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</si>
  <si>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</si>
  <si>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</si>
  <si>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</si>
  <si>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</si>
  <si>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</si>
  <si>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</si>
  <si>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</si>
  <si>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</si>
  <si>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</si>
  <si>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</si>
  <si>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</si>
  <si>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</si>
  <si>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</si>
  <si>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</si>
  <si>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</si>
  <si>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</si>
  <si>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</si>
  <si>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</si>
  <si>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</si>
  <si>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</si>
  <si>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</si>
  <si>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</si>
  <si>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</si>
  <si>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</si>
  <si>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</si>
  <si>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</si>
  <si>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</si>
  <si>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</si>
  <si>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</si>
  <si>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</si>
  <si>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</si>
  <si>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</si>
  <si>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</si>
  <si>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</si>
  <si>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</si>
  <si>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</si>
  <si>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</si>
  <si>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</si>
  <si>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</si>
  <si>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</si>
  <si>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</si>
  <si>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</si>
  <si>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</si>
  <si>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</si>
  <si>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</si>
  <si>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</si>
  <si>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</si>
  <si>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</si>
  <si>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</si>
  <si>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</si>
  <si>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</si>
  <si>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</si>
  <si>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</si>
  <si>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</si>
  <si>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</si>
  <si>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</si>
  <si>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</si>
  <si>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</si>
  <si>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</si>
  <si>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</si>
  <si>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</si>
  <si>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</si>
  <si>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</si>
  <si>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</si>
  <si>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</si>
  <si>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</si>
  <si>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</si>
  <si>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</si>
  <si>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</si>
  <si>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</si>
  <si>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</si>
  <si>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</si>
  <si>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</si>
  <si>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</si>
  <si>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</si>
  <si>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</si>
  <si>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</si>
  <si>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</si>
  <si>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</si>
  <si>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</si>
  <si>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</si>
  <si>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</si>
  <si>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</si>
  <si>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</si>
  <si>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</si>
  <si>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</si>
  <si>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</si>
  <si>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</si>
  <si>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</si>
  <si>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</si>
  <si>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</si>
  <si>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</si>
  <si>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</si>
  <si>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</si>
  <si>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</si>
  <si>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</si>
  <si>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</si>
  <si>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</si>
  <si>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</si>
  <si>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</si>
  <si>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</si>
  <si>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</si>
  <si>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</si>
  <si>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</si>
  <si>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</si>
  <si>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</si>
  <si>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</si>
  <si>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</si>
  <si>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</si>
  <si>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</si>
  <si>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</si>
  <si>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</si>
  <si>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</si>
  <si>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</si>
  <si>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</si>
  <si>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</si>
  <si>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</si>
  <si>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</si>
  <si>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</si>
  <si>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</si>
  <si>
    <t>买入</t>
    <rPh sb="0" eb="1">
      <t>mai'ru</t>
    </rPh>
    <phoneticPr fontId="2" type="noConversion"/>
  </si>
  <si>
    <t>OUT</t>
    <phoneticPr fontId="2" type="noConversion"/>
  </si>
  <si>
    <t>利息</t>
    <rPh sb="0" eb="1">
      <t>li'xi</t>
    </rPh>
    <phoneticPr fontId="2" type="noConversion"/>
  </si>
  <si>
    <t>IN</t>
    <phoneticPr fontId="2" type="noConversion"/>
  </si>
  <si>
    <t>rand认购1000</t>
    <rPh sb="4" eb="5">
      <t>ren'gou</t>
    </rPh>
    <phoneticPr fontId="2" type="noConversion"/>
  </si>
  <si>
    <t>累计收益</t>
    <rPh sb="0" eb="1">
      <t>lei'ji'shou'yi</t>
    </rPh>
    <phoneticPr fontId="2" type="noConversion"/>
  </si>
  <si>
    <t>分红率</t>
    <rPh sb="0" eb="1">
      <t>fen'hong'lv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</si>
</sst>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20" t="s">
        <v>0</v>
      </c>
      <c r="C17" s="120" t="s">
        <v>1</v>
      </c>
      <c r="D17" s="120">
        <v>7000</v>
      </c>
      <c r="E17" s="121">
        <v>7013.3</v>
      </c>
      <c r="F17" s="4"/>
      <c r="G17" s="119">
        <v>7058.1</v>
      </c>
      <c r="H17" s="119"/>
      <c r="I17" s="119"/>
    </row>
    <row r="18" spans="2:9" ht="18" x14ac:dyDescent="0.2">
      <c r="B18" s="120"/>
      <c r="C18" s="120"/>
      <c r="D18" s="120"/>
      <c r="E18" s="121"/>
      <c r="F18" s="4"/>
      <c r="G18" s="119"/>
      <c r="H18" s="119"/>
      <c r="I18" s="119"/>
    </row>
    <row r="19" spans="2:9" ht="18" x14ac:dyDescent="0.2">
      <c r="B19" s="120" t="s">
        <v>2</v>
      </c>
      <c r="C19" s="120" t="s">
        <v>3</v>
      </c>
      <c r="D19" s="120">
        <v>10000</v>
      </c>
      <c r="E19" s="121">
        <v>10623.79</v>
      </c>
      <c r="F19" s="4"/>
      <c r="G19" s="119"/>
      <c r="H19" s="119"/>
      <c r="I19" s="119"/>
    </row>
    <row r="20" spans="2:9" ht="18" x14ac:dyDescent="0.2">
      <c r="B20" s="120"/>
      <c r="C20" s="120"/>
      <c r="D20" s="120"/>
      <c r="E20" s="121"/>
      <c r="F20" s="4"/>
      <c r="G20" s="119"/>
      <c r="H20" s="119"/>
      <c r="I20" s="119"/>
    </row>
    <row r="21" spans="2:9" ht="18" x14ac:dyDescent="0.2">
      <c r="B21" s="120" t="s">
        <v>4</v>
      </c>
      <c r="C21" s="120" t="s">
        <v>3</v>
      </c>
      <c r="D21" s="120">
        <v>10000</v>
      </c>
      <c r="E21" s="121">
        <v>10065.91</v>
      </c>
      <c r="F21" s="4"/>
      <c r="G21" s="119"/>
      <c r="H21" s="119"/>
      <c r="I21" s="119"/>
    </row>
    <row r="22" spans="2:9" ht="18" x14ac:dyDescent="0.2">
      <c r="B22" s="120"/>
      <c r="C22" s="120"/>
      <c r="D22" s="120"/>
      <c r="E22" s="121"/>
      <c r="F22" s="4"/>
      <c r="G22" s="119"/>
      <c r="H22" s="119"/>
      <c r="I22" s="119"/>
    </row>
    <row r="23" spans="2:9" ht="18" x14ac:dyDescent="0.2">
      <c r="B23" s="120" t="s">
        <v>5</v>
      </c>
      <c r="C23" s="120" t="s">
        <v>1</v>
      </c>
      <c r="D23" s="120">
        <v>10000</v>
      </c>
      <c r="E23" s="121">
        <v>10809.31</v>
      </c>
      <c r="F23" s="4"/>
      <c r="G23" s="119"/>
      <c r="H23" s="119"/>
      <c r="I23" s="119"/>
    </row>
    <row r="24" spans="2:9" ht="18" x14ac:dyDescent="0.2">
      <c r="B24" s="120"/>
      <c r="C24" s="120"/>
      <c r="D24" s="120"/>
      <c r="E24" s="121"/>
      <c r="F24" s="4"/>
      <c r="G24" s="119"/>
      <c r="H24" s="119"/>
      <c r="I24" s="119"/>
    </row>
    <row r="25" spans="2:9" ht="18" x14ac:dyDescent="0.2">
      <c r="B25" s="120" t="s">
        <v>6</v>
      </c>
      <c r="C25" s="120" t="s">
        <v>1</v>
      </c>
      <c r="D25" s="120">
        <v>1000</v>
      </c>
      <c r="E25" s="121">
        <v>1053.7</v>
      </c>
      <c r="F25" s="4"/>
      <c r="G25" s="119"/>
      <c r="H25" s="119"/>
      <c r="I25" s="119"/>
    </row>
    <row r="26" spans="2:9" ht="18" x14ac:dyDescent="0.2">
      <c r="B26" s="120"/>
      <c r="C26" s="120"/>
      <c r="D26" s="120"/>
      <c r="E26" s="121"/>
      <c r="F26" s="4"/>
      <c r="G26" s="119"/>
      <c r="H26" s="119"/>
      <c r="I26" s="119"/>
    </row>
    <row r="27" spans="2:9" ht="18" x14ac:dyDescent="0.2">
      <c r="B27" s="120" t="s">
        <v>7</v>
      </c>
      <c r="C27" s="120" t="s">
        <v>8</v>
      </c>
      <c r="D27" s="120">
        <v>22000</v>
      </c>
      <c r="E27" s="121">
        <v>21825.21</v>
      </c>
      <c r="F27" s="4"/>
      <c r="G27" s="119"/>
      <c r="H27" s="119"/>
      <c r="I27" s="119"/>
    </row>
    <row r="28" spans="2:9" ht="18" x14ac:dyDescent="0.2">
      <c r="B28" s="120"/>
      <c r="C28" s="120"/>
      <c r="D28" s="120"/>
      <c r="E28" s="121"/>
      <c r="F28" s="4"/>
      <c r="G28" s="119"/>
      <c r="H28" s="119"/>
      <c r="I28" s="119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I27:I28"/>
    <mergeCell ref="B27:B28"/>
    <mergeCell ref="C27:C28"/>
    <mergeCell ref="D27:D28"/>
    <mergeCell ref="E27:E28"/>
    <mergeCell ref="G27:G28"/>
    <mergeCell ref="H27:H28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H17:H18"/>
    <mergeCell ref="I17:I18"/>
    <mergeCell ref="B17:B18"/>
    <mergeCell ref="C17:C18"/>
    <mergeCell ref="D17:D18"/>
    <mergeCell ref="E17:E18"/>
    <mergeCell ref="G17:G1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35" t="s">
        <v>46</v>
      </c>
      <c r="D1" s="135"/>
      <c r="E1" s="135"/>
      <c r="F1" s="135"/>
    </row>
    <row r="3" spans="3:12" ht="24" thickBot="1" x14ac:dyDescent="0.35"/>
    <row r="4" spans="3:12" x14ac:dyDescent="0.3">
      <c r="C4" s="140" t="s">
        <v>25</v>
      </c>
      <c r="D4" s="124"/>
      <c r="E4" s="124"/>
      <c r="F4" s="125"/>
      <c r="G4" s="136"/>
      <c r="H4" s="136"/>
      <c r="I4" s="136"/>
      <c r="J4" s="136"/>
      <c r="K4" s="136"/>
      <c r="L4" s="136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37" t="s">
        <v>47</v>
      </c>
      <c r="D8" s="138"/>
      <c r="E8" s="138"/>
      <c r="F8" s="139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37" t="s">
        <v>68</v>
      </c>
      <c r="D12" s="138"/>
      <c r="E12" s="138"/>
      <c r="F12" s="139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37" t="s">
        <v>77</v>
      </c>
      <c r="D16" s="138"/>
      <c r="E16" s="138"/>
      <c r="F16" s="139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32" t="s">
        <v>69</v>
      </c>
      <c r="D20" s="133"/>
      <c r="E20" s="133"/>
      <c r="F20" s="133"/>
      <c r="G20" s="134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26" t="s">
        <v>27</v>
      </c>
      <c r="E4" s="127"/>
      <c r="F4" s="127"/>
      <c r="G4" s="127"/>
      <c r="H4" s="126" t="s">
        <v>48</v>
      </c>
      <c r="I4" s="127"/>
      <c r="J4" s="127"/>
      <c r="K4" s="127"/>
      <c r="L4" s="127"/>
      <c r="M4" s="128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47">
        <f>SUM(D6:D9)</f>
        <v>28756.7</v>
      </c>
      <c r="F6" s="28">
        <f>D6-C6</f>
        <v>13.300000000000182</v>
      </c>
      <c r="G6" s="151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47">
        <f>J6+J7+J8+J9</f>
        <v>-382.68999999999915</v>
      </c>
      <c r="L6" s="147">
        <f>SUM(H6:H9)</f>
        <v>28374.010000000002</v>
      </c>
      <c r="M6" s="149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47"/>
      <c r="F7" s="28">
        <f>D7-C7</f>
        <v>53.700000000000045</v>
      </c>
      <c r="G7" s="151"/>
      <c r="H7" s="25">
        <v>1078.76</v>
      </c>
      <c r="I7" s="24">
        <f>H7-C7</f>
        <v>78.759999999999991</v>
      </c>
      <c r="J7" s="28">
        <f>H7-D7</f>
        <v>25.059999999999945</v>
      </c>
      <c r="K7" s="147"/>
      <c r="L7" s="147"/>
      <c r="M7" s="149"/>
    </row>
    <row r="8" spans="2:13" x14ac:dyDescent="0.3">
      <c r="B8" s="10" t="s">
        <v>30</v>
      </c>
      <c r="C8" s="10">
        <v>10000</v>
      </c>
      <c r="D8" s="25">
        <v>10065.91</v>
      </c>
      <c r="E8" s="147"/>
      <c r="F8" s="28">
        <f>D8-C8</f>
        <v>65.909999999999854</v>
      </c>
      <c r="G8" s="151"/>
      <c r="H8" s="25">
        <v>9985.2000000000007</v>
      </c>
      <c r="I8" s="24">
        <f>H8-C8</f>
        <v>-14.799999999999272</v>
      </c>
      <c r="J8" s="28">
        <f>H8-D8</f>
        <v>-80.709999999999127</v>
      </c>
      <c r="K8" s="147"/>
      <c r="L8" s="147"/>
      <c r="M8" s="149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48"/>
      <c r="F9" s="31">
        <f>D9-C9</f>
        <v>623.79000000000087</v>
      </c>
      <c r="G9" s="152"/>
      <c r="H9" s="26">
        <v>10251.950000000001</v>
      </c>
      <c r="I9" s="32">
        <f>H9-C9</f>
        <v>251.95000000000073</v>
      </c>
      <c r="J9" s="31">
        <f>H9-D9</f>
        <v>-371.84000000000015</v>
      </c>
      <c r="K9" s="148"/>
      <c r="L9" s="148"/>
      <c r="M9" s="150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26" t="s">
        <v>63</v>
      </c>
      <c r="E13" s="127"/>
      <c r="F13" s="127"/>
      <c r="G13" s="127"/>
      <c r="H13" s="127"/>
      <c r="I13" s="128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41">
        <f>F15+F16+F17+F18</f>
        <v>-873.43000000000166</v>
      </c>
      <c r="H15" s="141">
        <f>SUM(D15:D18)</f>
        <v>27883.269999999997</v>
      </c>
      <c r="I15" s="144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42"/>
      <c r="H16" s="142"/>
      <c r="I16" s="145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42"/>
      <c r="H17" s="142"/>
      <c r="I17" s="145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43"/>
      <c r="H18" s="143"/>
      <c r="I18" s="146"/>
    </row>
  </sheetData>
  <mergeCells count="11">
    <mergeCell ref="D4:G4"/>
    <mergeCell ref="M6:M9"/>
    <mergeCell ref="H4:M4"/>
    <mergeCell ref="G6:G9"/>
    <mergeCell ref="K6:K9"/>
    <mergeCell ref="E6:E9"/>
    <mergeCell ref="D13:I13"/>
    <mergeCell ref="G15:G18"/>
    <mergeCell ref="H15:H18"/>
    <mergeCell ref="I15:I18"/>
    <mergeCell ref="L6:L9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82"/>
  <sheetViews>
    <sheetView topLeftCell="A65" workbookViewId="0">
      <selection activeCell="D82" sqref="D82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53">
        <v>20160622</v>
      </c>
      <c r="E4" s="154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53">
        <v>20160713</v>
      </c>
      <c r="E15" s="154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53">
        <v>20160808</v>
      </c>
      <c r="E25" s="154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53">
        <v>20160825</v>
      </c>
      <c r="E35" s="154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53">
        <v>20160906</v>
      </c>
      <c r="E45" s="154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53">
        <v>20160921</v>
      </c>
      <c r="E56" s="154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53">
        <v>20161017</v>
      </c>
      <c r="E66" s="154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164</v>
      </c>
      <c r="J67" s="9" t="s">
        <v>88</v>
      </c>
    </row>
    <row r="68" spans="3:10" x14ac:dyDescent="0.3">
      <c r="C68" s="58" t="s">
        <v>41</v>
      </c>
      <c r="D68" s="106">
        <f>F68*G68</f>
        <v>8916.7039999999997</v>
      </c>
      <c r="E68" s="107">
        <f>D68/D73</f>
        <v>0.13583162050827591</v>
      </c>
      <c r="F68" s="11">
        <v>8860</v>
      </c>
      <c r="G68" s="9">
        <v>1.0064</v>
      </c>
      <c r="H68" s="11">
        <f>F68*G68</f>
        <v>8916.7039999999997</v>
      </c>
    </row>
    <row r="69" spans="3:10" x14ac:dyDescent="0.3">
      <c r="C69" s="59" t="s">
        <v>28</v>
      </c>
      <c r="D69" s="78">
        <f>H69</f>
        <v>9556.7667839999995</v>
      </c>
      <c r="E69" s="53">
        <f>D69/D73</f>
        <v>0.14558194587264359</v>
      </c>
      <c r="F69" s="96">
        <f>9921.98-162.21</f>
        <v>9759.77</v>
      </c>
      <c r="G69" s="9">
        <v>0.97919999999999996</v>
      </c>
      <c r="H69" s="11">
        <f t="shared" ref="H69:H72" si="3">F69*G69</f>
        <v>9556.7667839999995</v>
      </c>
      <c r="J69" s="88"/>
    </row>
    <row r="70" spans="3:10" x14ac:dyDescent="0.3">
      <c r="C70" s="60" t="s">
        <v>30</v>
      </c>
      <c r="D70" s="56">
        <f>H70</f>
        <v>10291.223250000001</v>
      </c>
      <c r="E70" s="53">
        <f>D70/D73</f>
        <v>0.15677020691277249</v>
      </c>
      <c r="F70" s="11">
        <v>11030.25</v>
      </c>
      <c r="G70" s="9">
        <v>0.93300000000000005</v>
      </c>
      <c r="H70" s="11">
        <f t="shared" si="3"/>
        <v>10291.223250000001</v>
      </c>
    </row>
    <row r="71" spans="3:10" x14ac:dyDescent="0.3">
      <c r="C71" s="60" t="s">
        <v>31</v>
      </c>
      <c r="D71" s="56">
        <f>H71</f>
        <v>13354.930227800964</v>
      </c>
      <c r="E71" s="53">
        <f>D71/D73</f>
        <v>0.20344084704585499</v>
      </c>
      <c r="F71" s="11">
        <f>19351.08+Operation!H8</f>
        <v>20932.492520064206</v>
      </c>
      <c r="G71" s="9">
        <v>0.63800000000000001</v>
      </c>
      <c r="H71" s="11">
        <f t="shared" si="3"/>
        <v>13354.930227800964</v>
      </c>
    </row>
    <row r="72" spans="3:10" x14ac:dyDescent="0.3">
      <c r="C72" s="60" t="s">
        <v>59</v>
      </c>
      <c r="D72" s="108">
        <f>H72</f>
        <v>23525.65013479452</v>
      </c>
      <c r="E72" s="53">
        <f>D72/D73</f>
        <v>0.35837537966045296</v>
      </c>
      <c r="F72" s="11">
        <f>余额宝损益表!I46</f>
        <v>23525.65013479452</v>
      </c>
      <c r="G72" s="9">
        <v>1</v>
      </c>
      <c r="H72" s="11">
        <f t="shared" si="3"/>
        <v>23525.65013479452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65645.274396595487</v>
      </c>
      <c r="E73" s="54">
        <f>D73/D73</f>
        <v>1</v>
      </c>
    </row>
    <row r="74" spans="3:10" ht="24" thickBot="1" x14ac:dyDescent="0.35"/>
    <row r="75" spans="3:10" x14ac:dyDescent="0.3">
      <c r="D75" s="153">
        <v>20161117</v>
      </c>
      <c r="E75" s="154"/>
    </row>
    <row r="76" spans="3:10" ht="24" thickBot="1" x14ac:dyDescent="0.35">
      <c r="D76" s="105" t="s">
        <v>24</v>
      </c>
      <c r="E76" s="117" t="s">
        <v>42</v>
      </c>
      <c r="F76" s="11" t="s">
        <v>23</v>
      </c>
      <c r="G76" s="9" t="s">
        <v>82</v>
      </c>
      <c r="H76" s="11" t="s">
        <v>80</v>
      </c>
      <c r="I76" s="9" t="s">
        <v>164</v>
      </c>
      <c r="J76" s="9" t="s">
        <v>88</v>
      </c>
    </row>
    <row r="77" spans="3:10" x14ac:dyDescent="0.3">
      <c r="C77" s="58" t="s">
        <v>41</v>
      </c>
      <c r="D77" s="106">
        <f>F77*G77</f>
        <v>9006.19</v>
      </c>
      <c r="E77" s="107">
        <f>D77/D82</f>
        <v>0.12573360774307302</v>
      </c>
      <c r="F77" s="11">
        <v>8860</v>
      </c>
      <c r="G77" s="9">
        <v>1.0165</v>
      </c>
      <c r="H77" s="11">
        <f>F77*G77</f>
        <v>9006.19</v>
      </c>
    </row>
    <row r="78" spans="3:10" x14ac:dyDescent="0.3">
      <c r="C78" s="59" t="s">
        <v>28</v>
      </c>
      <c r="D78" s="78">
        <f>H78</f>
        <v>9657.2924150000017</v>
      </c>
      <c r="E78" s="53">
        <f>D78/D82</f>
        <v>0.13482351764372777</v>
      </c>
      <c r="F78" s="96">
        <f>9921.98-162.21</f>
        <v>9759.77</v>
      </c>
      <c r="G78" s="9">
        <v>0.98950000000000005</v>
      </c>
      <c r="H78" s="11">
        <f t="shared" ref="H78:H80" si="4">F78*G78</f>
        <v>9657.2924150000017</v>
      </c>
      <c r="J78" s="88"/>
    </row>
    <row r="79" spans="3:10" x14ac:dyDescent="0.3">
      <c r="C79" s="60" t="s">
        <v>30</v>
      </c>
      <c r="D79" s="56">
        <f>H79</f>
        <v>10291.223250000001</v>
      </c>
      <c r="E79" s="53">
        <f>D79/D82</f>
        <v>0.14367369856863926</v>
      </c>
      <c r="F79" s="11">
        <v>11030.25</v>
      </c>
      <c r="G79" s="9">
        <v>0.93300000000000005</v>
      </c>
      <c r="H79" s="11">
        <f t="shared" si="4"/>
        <v>10291.223250000001</v>
      </c>
    </row>
    <row r="80" spans="3:10" x14ac:dyDescent="0.3">
      <c r="C80" s="60" t="s">
        <v>31</v>
      </c>
      <c r="D80" s="56">
        <f>H80</f>
        <v>13124.672810080257</v>
      </c>
      <c r="E80" s="53">
        <f>D80/D82</f>
        <v>0.18323091816393025</v>
      </c>
      <c r="F80" s="11">
        <v>20932.492520064206</v>
      </c>
      <c r="G80" s="9">
        <v>0.627</v>
      </c>
      <c r="H80" s="11">
        <f t="shared" si="4"/>
        <v>13124.672810080257</v>
      </c>
    </row>
    <row r="81" spans="3:10" x14ac:dyDescent="0.3">
      <c r="C81" s="60" t="s">
        <v>59</v>
      </c>
      <c r="D81" s="11">
        <v>29549.759999999998</v>
      </c>
      <c r="E81" s="53">
        <f>D81/D82</f>
        <v>0.41253825788062981</v>
      </c>
      <c r="F81" s="11">
        <v>29549.759999999998</v>
      </c>
      <c r="G81" s="9">
        <v>1</v>
      </c>
      <c r="H81" s="11">
        <v>29549.759999999998</v>
      </c>
      <c r="J81" s="9">
        <v>-1000</v>
      </c>
    </row>
    <row r="82" spans="3:10" ht="24" thickBot="1" x14ac:dyDescent="0.35">
      <c r="C82" s="61" t="s">
        <v>60</v>
      </c>
      <c r="D82" s="57">
        <f>SUM(D77:D81)</f>
        <v>71629.138475080254</v>
      </c>
      <c r="E82" s="54">
        <f>D82/D82</f>
        <v>1</v>
      </c>
    </row>
  </sheetData>
  <mergeCells count="8">
    <mergeCell ref="D75:E75"/>
    <mergeCell ref="D66:E66"/>
    <mergeCell ref="D56:E56"/>
    <mergeCell ref="D4:E4"/>
    <mergeCell ref="D15:E15"/>
    <mergeCell ref="D25:E25"/>
    <mergeCell ref="D35:E35"/>
    <mergeCell ref="D45:E4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E12" sqref="E12"/>
    </sheetView>
  </sheetViews>
  <sheetFormatPr baseColWidth="10" defaultRowHeight="15" x14ac:dyDescent="0.15"/>
  <cols>
    <col min="2" max="2" width="35.83203125" customWidth="1"/>
    <col min="9" max="9" width="37.1640625" customWidth="1"/>
  </cols>
  <sheetData>
    <row r="2" spans="1:9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23</v>
      </c>
      <c r="I2" t="s">
        <v>66</v>
      </c>
    </row>
    <row r="3" spans="1:9" ht="23" x14ac:dyDescent="0.3">
      <c r="A3">
        <v>20160722</v>
      </c>
      <c r="B3" s="58" t="s">
        <v>41</v>
      </c>
      <c r="C3" t="s">
        <v>70</v>
      </c>
      <c r="D3">
        <v>1000</v>
      </c>
      <c r="I3" t="s">
        <v>72</v>
      </c>
    </row>
    <row r="4" spans="1:9" ht="23" x14ac:dyDescent="0.3">
      <c r="A4">
        <v>20160816</v>
      </c>
      <c r="B4" s="60" t="s">
        <v>31</v>
      </c>
      <c r="C4" t="s">
        <v>91</v>
      </c>
      <c r="D4">
        <v>1000</v>
      </c>
    </row>
    <row r="5" spans="1:9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9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I6" t="s">
        <v>116</v>
      </c>
    </row>
    <row r="7" spans="1:9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I7" t="s">
        <v>119</v>
      </c>
    </row>
    <row r="8" spans="1:9" ht="23" x14ac:dyDescent="0.3">
      <c r="A8">
        <v>20160930</v>
      </c>
      <c r="B8" s="60" t="s">
        <v>31</v>
      </c>
      <c r="C8" t="s">
        <v>91</v>
      </c>
      <c r="D8">
        <v>1000</v>
      </c>
      <c r="E8">
        <v>0.623</v>
      </c>
      <c r="F8">
        <v>14.78</v>
      </c>
      <c r="H8">
        <f>(D8-F8)/E8</f>
        <v>1581.4125200642054</v>
      </c>
      <c r="I8" t="s">
        <v>174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topLeftCell="A33" workbookViewId="0">
      <selection activeCell="I52" sqref="I52"/>
    </sheetView>
  </sheetViews>
  <sheetFormatPr baseColWidth="10" defaultRowHeight="15" x14ac:dyDescent="0.15"/>
  <cols>
    <col min="3" max="3" width="46.5" customWidth="1"/>
    <col min="4" max="4" width="10.83203125" style="7"/>
    <col min="7" max="7" width="7.5" style="92" bestFit="1" customWidth="1"/>
    <col min="8" max="8" width="13.33203125" customWidth="1"/>
    <col min="10" max="10" width="19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160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161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162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163</v>
      </c>
    </row>
    <row r="46" spans="2:10" x14ac:dyDescent="0.15">
      <c r="B46" s="89">
        <v>20160930</v>
      </c>
      <c r="C46" s="89" t="s">
        <v>38</v>
      </c>
      <c r="D46" s="94" t="s">
        <v>175</v>
      </c>
      <c r="E46" s="89">
        <v>1000</v>
      </c>
      <c r="F46" s="89">
        <v>1</v>
      </c>
      <c r="G46" s="93">
        <v>0</v>
      </c>
      <c r="H46" s="89">
        <f>E46</f>
        <v>1000</v>
      </c>
      <c r="I46" s="89">
        <f>I45-E46</f>
        <v>23525.65013479452</v>
      </c>
      <c r="J46" t="s">
        <v>163</v>
      </c>
    </row>
    <row r="49" spans="2:10" x14ac:dyDescent="0.15">
      <c r="B49" s="89" t="s">
        <v>73</v>
      </c>
      <c r="C49" s="89" t="s">
        <v>97</v>
      </c>
      <c r="D49" s="94" t="s">
        <v>98</v>
      </c>
      <c r="E49" s="89" t="s">
        <v>23</v>
      </c>
      <c r="F49" s="89" t="s">
        <v>99</v>
      </c>
      <c r="G49" s="93" t="s">
        <v>100</v>
      </c>
      <c r="H49" s="89" t="s">
        <v>101</v>
      </c>
      <c r="I49" s="89" t="s">
        <v>102</v>
      </c>
    </row>
    <row r="50" spans="2:10" x14ac:dyDescent="0.15">
      <c r="B50" s="89">
        <v>20161010</v>
      </c>
      <c r="C50" s="89" t="s">
        <v>38</v>
      </c>
      <c r="D50" s="94" t="s">
        <v>177</v>
      </c>
      <c r="E50" s="89">
        <f>23525.65*0.022/365*17</f>
        <v>24.105734520547948</v>
      </c>
      <c r="F50" s="89">
        <v>1</v>
      </c>
      <c r="G50" s="93">
        <v>0</v>
      </c>
      <c r="H50" s="89">
        <f>E50</f>
        <v>24.105734520547948</v>
      </c>
      <c r="I50" s="89">
        <f>23525.65+E50</f>
        <v>23549.75573452055</v>
      </c>
      <c r="J50" t="s">
        <v>176</v>
      </c>
    </row>
    <row r="51" spans="2:10" x14ac:dyDescent="0.15">
      <c r="B51" s="89">
        <v>20160930</v>
      </c>
      <c r="C51" s="89" t="s">
        <v>38</v>
      </c>
      <c r="D51" s="94" t="s">
        <v>177</v>
      </c>
      <c r="E51" s="89">
        <v>1000</v>
      </c>
      <c r="F51" s="89">
        <v>1</v>
      </c>
      <c r="G51" s="93">
        <v>0</v>
      </c>
      <c r="H51" s="89">
        <f>E51</f>
        <v>1000</v>
      </c>
      <c r="I51" s="89">
        <v>24549.759999999998</v>
      </c>
      <c r="J51" t="s">
        <v>178</v>
      </c>
    </row>
    <row r="52" spans="2:10" x14ac:dyDescent="0.15">
      <c r="B52" s="89">
        <v>20161019</v>
      </c>
      <c r="C52" s="89" t="s">
        <v>38</v>
      </c>
      <c r="D52" s="94" t="s">
        <v>162</v>
      </c>
      <c r="E52" s="89">
        <v>5000</v>
      </c>
      <c r="F52" s="89">
        <v>1</v>
      </c>
      <c r="G52" s="93">
        <v>0</v>
      </c>
      <c r="H52" s="89">
        <f>E52</f>
        <v>5000</v>
      </c>
      <c r="I52" s="89">
        <v>29549.759999999998</v>
      </c>
      <c r="J52" t="s">
        <v>178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22">
        <v>20160708</v>
      </c>
      <c r="G4" s="122"/>
      <c r="H4" s="122">
        <v>20160712</v>
      </c>
      <c r="I4" s="122"/>
      <c r="J4" s="122">
        <v>20160808</v>
      </c>
      <c r="K4" s="122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22">
        <v>20160810</v>
      </c>
      <c r="F8" s="122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D60" sqref="D60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22">
        <v>201605</v>
      </c>
      <c r="D4" s="122"/>
      <c r="E4" s="122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26">
        <v>20160608</v>
      </c>
      <c r="D11" s="127"/>
      <c r="E11" s="127"/>
      <c r="F11" s="127"/>
      <c r="G11" s="127"/>
      <c r="H11" s="127"/>
      <c r="I11" s="127"/>
      <c r="J11" s="127"/>
      <c r="K11" s="127"/>
      <c r="L11" s="127"/>
      <c r="M11" s="128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23">
        <v>20160708</v>
      </c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5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23">
        <v>20160808</v>
      </c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5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23">
        <v>20160825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5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23">
        <v>20160906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5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23">
        <v>20160921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5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3"/>
  <sheetViews>
    <sheetView topLeftCell="A15" workbookViewId="0">
      <selection activeCell="C33" sqref="C33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165</v>
      </c>
      <c r="G5" s="116" t="s">
        <v>166</v>
      </c>
      <c r="H5" s="116" t="s">
        <v>167</v>
      </c>
      <c r="I5" s="116" t="s">
        <v>168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净值!E5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165</v>
      </c>
      <c r="G12" s="116" t="s">
        <v>166</v>
      </c>
      <c r="H12" s="116" t="s">
        <v>167</v>
      </c>
      <c r="I12" s="116" t="s">
        <v>168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  <row r="18" spans="1:9" x14ac:dyDescent="0.15">
      <c r="A18">
        <v>20161010</v>
      </c>
      <c r="B18" t="s">
        <v>82</v>
      </c>
      <c r="C18">
        <f>净值!E12</f>
        <v>0</v>
      </c>
    </row>
    <row r="19" spans="1:9" ht="23" x14ac:dyDescent="0.3">
      <c r="B19" s="40"/>
      <c r="C19" s="114" t="s">
        <v>23</v>
      </c>
      <c r="D19" s="41" t="s">
        <v>57</v>
      </c>
      <c r="E19" s="41" t="s">
        <v>42</v>
      </c>
      <c r="F19" s="116" t="s">
        <v>165</v>
      </c>
      <c r="G19" s="116" t="s">
        <v>166</v>
      </c>
      <c r="H19" s="116" t="s">
        <v>167</v>
      </c>
      <c r="I19" s="116" t="s">
        <v>168</v>
      </c>
    </row>
    <row r="20" spans="1:9" ht="23" x14ac:dyDescent="0.3">
      <c r="B20" s="40">
        <v>216</v>
      </c>
      <c r="C20" s="114">
        <v>42243.189713341802</v>
      </c>
      <c r="D20" s="66">
        <f>C18*C20</f>
        <v>0</v>
      </c>
      <c r="E20" s="100">
        <f>C20/C22</f>
        <v>0.64344612419696867</v>
      </c>
      <c r="F20">
        <v>560.38</v>
      </c>
      <c r="G20">
        <v>40000</v>
      </c>
      <c r="H20">
        <f>F20/G20</f>
        <v>1.4009499999999999E-2</v>
      </c>
      <c r="I20">
        <f>D20/40000-1</f>
        <v>-1</v>
      </c>
    </row>
    <row r="21" spans="1:9" ht="23" x14ac:dyDescent="0.3">
      <c r="B21" s="40" t="s">
        <v>32</v>
      </c>
      <c r="C21" s="64">
        <v>23408.289291309895</v>
      </c>
      <c r="D21" s="66">
        <f>C21*C18</f>
        <v>0</v>
      </c>
      <c r="E21" s="100">
        <f>C21/C22</f>
        <v>0.35655387580303122</v>
      </c>
      <c r="F21">
        <v>0</v>
      </c>
      <c r="G21">
        <v>22000</v>
      </c>
      <c r="H21">
        <v>0</v>
      </c>
      <c r="I21">
        <f>D21/22000-1</f>
        <v>-1</v>
      </c>
    </row>
    <row r="22" spans="1:9" ht="24" thickBot="1" x14ac:dyDescent="0.35">
      <c r="B22" s="73" t="s">
        <v>43</v>
      </c>
      <c r="C22" s="115">
        <f>C20+C21</f>
        <v>65651.479004651701</v>
      </c>
      <c r="D22" s="68">
        <f>D20+D21</f>
        <v>0</v>
      </c>
      <c r="E22" s="70">
        <v>1</v>
      </c>
      <c r="F22">
        <f>F20+F21</f>
        <v>560.38</v>
      </c>
      <c r="G22">
        <f>G20+G21</f>
        <v>62000</v>
      </c>
      <c r="H22">
        <f>F22/G22</f>
        <v>9.038387096774193E-3</v>
      </c>
      <c r="I22">
        <f>D22/62000-1</f>
        <v>-1</v>
      </c>
    </row>
    <row r="24" spans="1:9" x14ac:dyDescent="0.15">
      <c r="A24">
        <v>201611018</v>
      </c>
      <c r="B24" t="s">
        <v>82</v>
      </c>
      <c r="C24">
        <f>净值!E18</f>
        <v>0</v>
      </c>
    </row>
    <row r="25" spans="1:9" ht="23" x14ac:dyDescent="0.3">
      <c r="B25" s="40"/>
      <c r="C25" s="114" t="s">
        <v>23</v>
      </c>
      <c r="D25" s="41" t="s">
        <v>57</v>
      </c>
      <c r="E25" s="41" t="s">
        <v>42</v>
      </c>
      <c r="F25" s="116" t="s">
        <v>165</v>
      </c>
      <c r="G25" s="116" t="s">
        <v>166</v>
      </c>
      <c r="H25" s="116" t="s">
        <v>167</v>
      </c>
      <c r="I25" s="116" t="s">
        <v>168</v>
      </c>
    </row>
    <row r="26" spans="1:9" ht="23" x14ac:dyDescent="0.3">
      <c r="B26" s="40">
        <v>216</v>
      </c>
      <c r="C26" s="114">
        <v>42243.189713341802</v>
      </c>
      <c r="D26" s="66">
        <f>C24*C26</f>
        <v>0</v>
      </c>
      <c r="E26" s="100">
        <f>C26/C28</f>
        <v>0.63379133426590895</v>
      </c>
      <c r="F26">
        <v>560.38</v>
      </c>
      <c r="G26">
        <v>40000</v>
      </c>
      <c r="H26">
        <f>F26/G26</f>
        <v>1.4009499999999999E-2</v>
      </c>
      <c r="I26">
        <f>D26/40000-1</f>
        <v>-1</v>
      </c>
    </row>
    <row r="27" spans="1:9" ht="23" x14ac:dyDescent="0.3">
      <c r="B27" s="40" t="s">
        <v>32</v>
      </c>
      <c r="C27" s="64">
        <v>24408.383808517923</v>
      </c>
      <c r="D27" s="66">
        <f>C27*C24</f>
        <v>0</v>
      </c>
      <c r="E27" s="100">
        <f>C27/C28</f>
        <v>0.36620866573409105</v>
      </c>
      <c r="F27">
        <v>0</v>
      </c>
      <c r="G27">
        <v>22000</v>
      </c>
      <c r="H27">
        <v>0</v>
      </c>
      <c r="I27">
        <f>D27/22000-1</f>
        <v>-1</v>
      </c>
    </row>
    <row r="28" spans="1:9" ht="24" thickBot="1" x14ac:dyDescent="0.35">
      <c r="B28" s="73" t="s">
        <v>43</v>
      </c>
      <c r="C28" s="115">
        <f>C26+C27</f>
        <v>66651.573521859726</v>
      </c>
      <c r="D28" s="68">
        <f>D26+D27</f>
        <v>0</v>
      </c>
      <c r="E28" s="70">
        <v>1</v>
      </c>
      <c r="F28">
        <f>F26+F27</f>
        <v>560.38</v>
      </c>
      <c r="G28">
        <f>G26+G27</f>
        <v>62000</v>
      </c>
      <c r="H28">
        <f>F28/G28</f>
        <v>9.038387096774193E-3</v>
      </c>
      <c r="I28">
        <f>D28/62000-1</f>
        <v>-1</v>
      </c>
    </row>
    <row r="29" spans="1:9" x14ac:dyDescent="0.15">
      <c r="A29">
        <v>201611019</v>
      </c>
      <c r="B29" t="s">
        <v>82</v>
      </c>
      <c r="C29">
        <f>净值!E23</f>
        <v>0</v>
      </c>
    </row>
    <row r="30" spans="1:9" ht="23" x14ac:dyDescent="0.3">
      <c r="B30" s="40"/>
      <c r="C30" s="114" t="s">
        <v>23</v>
      </c>
      <c r="D30" s="41" t="s">
        <v>57</v>
      </c>
      <c r="E30" s="41" t="s">
        <v>42</v>
      </c>
      <c r="F30" s="116" t="s">
        <v>165</v>
      </c>
      <c r="G30" s="116" t="s">
        <v>166</v>
      </c>
      <c r="H30" s="116" t="s">
        <v>167</v>
      </c>
      <c r="I30" s="116" t="s">
        <v>168</v>
      </c>
    </row>
    <row r="31" spans="1:9" ht="23" x14ac:dyDescent="0.3">
      <c r="B31" s="40">
        <v>216</v>
      </c>
      <c r="C31" s="114">
        <v>42243.189713341802</v>
      </c>
      <c r="D31" s="66">
        <f>C29*C31</f>
        <v>0</v>
      </c>
      <c r="E31" s="100">
        <f>C31/C33</f>
        <v>0.58956013132867613</v>
      </c>
      <c r="F31">
        <v>560.38</v>
      </c>
      <c r="G31">
        <v>40000</v>
      </c>
      <c r="H31">
        <f>F31/G31</f>
        <v>1.4009499999999999E-2</v>
      </c>
      <c r="I31">
        <f>D31/40000-1</f>
        <v>-1</v>
      </c>
    </row>
    <row r="32" spans="1:9" ht="23" x14ac:dyDescent="0.3">
      <c r="B32" s="40" t="s">
        <v>32</v>
      </c>
      <c r="C32" s="64">
        <v>29408.856394558064</v>
      </c>
      <c r="D32" s="66">
        <f>C32*C29</f>
        <v>0</v>
      </c>
      <c r="E32" s="100">
        <f>C32/C33</f>
        <v>0.41043986867132387</v>
      </c>
      <c r="F32">
        <v>0</v>
      </c>
      <c r="G32">
        <v>22000</v>
      </c>
      <c r="H32">
        <v>0</v>
      </c>
      <c r="I32">
        <f>D32/22000-1</f>
        <v>-1</v>
      </c>
    </row>
    <row r="33" spans="2:9" ht="24" thickBot="1" x14ac:dyDescent="0.35">
      <c r="B33" s="73" t="s">
        <v>43</v>
      </c>
      <c r="C33" s="115">
        <f>C31+C32</f>
        <v>71652.046107899863</v>
      </c>
      <c r="D33" s="68">
        <f>D31+D32</f>
        <v>0</v>
      </c>
      <c r="E33" s="70">
        <v>1</v>
      </c>
      <c r="F33">
        <f>F31+F32</f>
        <v>560.38</v>
      </c>
      <c r="G33">
        <f>G31+G32</f>
        <v>62000</v>
      </c>
      <c r="H33">
        <f>F33/G33</f>
        <v>9.038387096774193E-3</v>
      </c>
      <c r="I33">
        <f>D33/62000-1</f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>
      <selection activeCell="E9" sqref="E9"/>
    </sheetView>
  </sheetViews>
  <sheetFormatPr baseColWidth="10" defaultRowHeight="15" x14ac:dyDescent="0.15"/>
  <cols>
    <col min="3" max="3" width="14.83203125" customWidth="1"/>
    <col min="4" max="5" width="12.5" bestFit="1" customWidth="1"/>
    <col min="6" max="6" width="13.5" bestFit="1" customWidth="1"/>
    <col min="7" max="8" width="17.33203125" customWidth="1"/>
    <col min="9" max="10" width="21.5" customWidth="1"/>
    <col min="11" max="15" width="13.5" customWidth="1"/>
  </cols>
  <sheetData>
    <row r="2" spans="2:16" x14ac:dyDescent="0.15">
      <c r="C2" t="s">
        <v>141</v>
      </c>
      <c r="D2" t="s">
        <v>124</v>
      </c>
      <c r="E2" t="s">
        <v>22</v>
      </c>
      <c r="F2" t="s">
        <v>127</v>
      </c>
      <c r="G2" t="s">
        <v>136</v>
      </c>
      <c r="H2" t="s">
        <v>142</v>
      </c>
      <c r="I2" t="s">
        <v>129</v>
      </c>
      <c r="J2" t="s">
        <v>140</v>
      </c>
      <c r="K2" t="s">
        <v>172</v>
      </c>
      <c r="L2" t="s">
        <v>165</v>
      </c>
      <c r="M2" t="s">
        <v>173</v>
      </c>
      <c r="N2" t="s">
        <v>170</v>
      </c>
      <c r="O2" t="s">
        <v>171</v>
      </c>
    </row>
    <row r="3" spans="2:16" x14ac:dyDescent="0.15">
      <c r="B3">
        <v>20160908</v>
      </c>
      <c r="C3">
        <v>63640.00915127372</v>
      </c>
      <c r="D3">
        <v>63650.693169999999</v>
      </c>
      <c r="E3">
        <f>ROUND(C3/D3,12)</f>
        <v>0.99983214607399995</v>
      </c>
      <c r="F3">
        <v>0</v>
      </c>
      <c r="H3">
        <v>0</v>
      </c>
      <c r="I3">
        <f>E3</f>
        <v>0.99983214607399995</v>
      </c>
      <c r="J3">
        <v>63640.009151273698</v>
      </c>
    </row>
    <row r="4" spans="2:16" x14ac:dyDescent="0.15">
      <c r="B4">
        <v>20160921</v>
      </c>
      <c r="C4">
        <v>63650.693169999999</v>
      </c>
      <c r="D4">
        <v>63650.693169999999</v>
      </c>
      <c r="E4">
        <f>ROUND(C4/D4,12)</f>
        <v>1</v>
      </c>
      <c r="F4">
        <f>E4-E3</f>
        <v>1.6785392600005E-4</v>
      </c>
      <c r="G4">
        <f>F4*0.2</f>
        <v>3.3570785200010005E-5</v>
      </c>
      <c r="H4">
        <f>G4*D4</f>
        <v>2.1368037482418138</v>
      </c>
      <c r="I4">
        <f>E4-G4</f>
        <v>0.99996642921479995</v>
      </c>
      <c r="J4">
        <f>I4*D4</f>
        <v>63648.556366251752</v>
      </c>
      <c r="L4">
        <v>580.38</v>
      </c>
    </row>
    <row r="5" spans="2:16" x14ac:dyDescent="0.15">
      <c r="B5">
        <v>20160926</v>
      </c>
      <c r="C5">
        <v>64511.548098794519</v>
      </c>
      <c r="D5">
        <v>65651.479004651701</v>
      </c>
      <c r="E5">
        <f>C5/D5</f>
        <v>0.98263663023073078</v>
      </c>
      <c r="F5">
        <f>E5-E4</f>
        <v>-1.7363369769269221E-2</v>
      </c>
      <c r="G5">
        <v>0</v>
      </c>
      <c r="H5">
        <v>0</v>
      </c>
      <c r="I5">
        <f>E5-G5</f>
        <v>0.98263663023073078</v>
      </c>
      <c r="J5">
        <f>I5*D5</f>
        <v>64511.548098794519</v>
      </c>
      <c r="K5">
        <f>J5-J4-2000</f>
        <v>-1137.0082674572332</v>
      </c>
      <c r="L5">
        <v>560.38</v>
      </c>
      <c r="M5">
        <f>L5/62000</f>
        <v>9.038387096774193E-3</v>
      </c>
      <c r="N5">
        <f>C5-62000+L5</f>
        <v>3071.9280987945194</v>
      </c>
      <c r="O5">
        <f>N5/62000</f>
        <v>4.9547227399911603E-2</v>
      </c>
      <c r="P5" t="s">
        <v>169</v>
      </c>
    </row>
    <row r="6" spans="2:16" x14ac:dyDescent="0.15">
      <c r="B6">
        <v>20161010</v>
      </c>
      <c r="C6">
        <v>65378.841719794524</v>
      </c>
      <c r="D6">
        <v>65651.479004651701</v>
      </c>
      <c r="E6">
        <f>C6/D6</f>
        <v>0.99584720269839067</v>
      </c>
      <c r="F6">
        <f>E6-E5</f>
        <v>1.3210572467659887E-2</v>
      </c>
      <c r="G6">
        <v>0</v>
      </c>
      <c r="H6">
        <v>0</v>
      </c>
      <c r="I6">
        <f>E6-G6</f>
        <v>0.99584720269839067</v>
      </c>
      <c r="J6">
        <f>I6*D6</f>
        <v>65378.841719794524</v>
      </c>
      <c r="K6">
        <f>(E6-E5)*D6</f>
        <v>867.29362100000287</v>
      </c>
    </row>
    <row r="7" spans="2:16" x14ac:dyDescent="0.15">
      <c r="B7">
        <v>20161017</v>
      </c>
      <c r="C7">
        <v>65645.274396595487</v>
      </c>
      <c r="D7">
        <v>65651.479004651701</v>
      </c>
      <c r="E7">
        <f>C7/D7</f>
        <v>0.99990549172463006</v>
      </c>
      <c r="F7">
        <f>E7-I4</f>
        <v>-6.0937490169887809E-5</v>
      </c>
      <c r="G7">
        <v>0</v>
      </c>
      <c r="H7">
        <v>0</v>
      </c>
      <c r="I7">
        <f>E7-G7</f>
        <v>0.99990549172463006</v>
      </c>
      <c r="J7">
        <f>I7*D7</f>
        <v>65645.274396595487</v>
      </c>
      <c r="K7">
        <f>(E7-E6)*D7</f>
        <v>266.43267680096386</v>
      </c>
    </row>
    <row r="8" spans="2:16" x14ac:dyDescent="0.15">
      <c r="B8">
        <v>20161019</v>
      </c>
      <c r="C8">
        <v>71387.021902600318</v>
      </c>
      <c r="D8">
        <v>71652.046107899863</v>
      </c>
      <c r="E8">
        <f>C8/D8</f>
        <v>0.99630123325577546</v>
      </c>
      <c r="F8">
        <f>E8-E7</f>
        <v>-3.6042584688545931E-3</v>
      </c>
      <c r="G8">
        <v>0</v>
      </c>
      <c r="H8">
        <v>0</v>
      </c>
      <c r="I8">
        <f>E8-G8</f>
        <v>0.99630123325577546</v>
      </c>
      <c r="J8">
        <f>I8*D8</f>
        <v>71387.021902600318</v>
      </c>
      <c r="K8">
        <f>(E8-E7)*D8</f>
        <v>-258.25249399515786</v>
      </c>
    </row>
    <row r="9" spans="2:16" x14ac:dyDescent="0.15">
      <c r="B9">
        <v>20161020</v>
      </c>
      <c r="C9">
        <v>71629.138475080254</v>
      </c>
      <c r="D9">
        <v>71652.046107899863</v>
      </c>
      <c r="E9">
        <f>C9/D9</f>
        <v>0.99968029338917808</v>
      </c>
      <c r="F9">
        <f>E9-E8</f>
        <v>3.3790601334026116E-3</v>
      </c>
      <c r="G9">
        <v>0</v>
      </c>
      <c r="H9">
        <v>0</v>
      </c>
      <c r="I9">
        <f>E9-G9</f>
        <v>0.99968029338917808</v>
      </c>
      <c r="J9">
        <f>I9*D9</f>
        <v>71629.138475080254</v>
      </c>
      <c r="K9">
        <f>(E9-E8)*D9</f>
        <v>242.1165724799302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净值!I4</f>
        <v>0.99996642921479995</v>
      </c>
    </row>
    <row r="4" spans="1:11" x14ac:dyDescent="0.15">
      <c r="B4" t="s">
        <v>136</v>
      </c>
      <c r="C4">
        <f>净值!G4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4"/>
  <sheetViews>
    <sheetView workbookViewId="0">
      <selection activeCell="E13" sqref="E13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31" t="s">
        <v>157</v>
      </c>
      <c r="K3" s="131"/>
    </row>
    <row r="4" spans="2:11" s="111" customFormat="1" ht="23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J4" s="112" t="s">
        <v>23</v>
      </c>
      <c r="K4" s="113" t="s">
        <v>158</v>
      </c>
    </row>
    <row r="5" spans="2:11" ht="23" x14ac:dyDescent="0.3">
      <c r="B5" s="129">
        <v>20160921</v>
      </c>
      <c r="C5" s="64" t="s">
        <v>150</v>
      </c>
      <c r="D5" s="64">
        <v>21407.503456658196</v>
      </c>
      <c r="E5" s="41">
        <f>净值!I4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30"/>
      <c r="C6" s="64" t="s">
        <v>147</v>
      </c>
      <c r="D6" s="64">
        <f>F6/E6</f>
        <v>0.71869082722733013</v>
      </c>
      <c r="E6" s="41">
        <f>净值!I4</f>
        <v>0.99996642921479995</v>
      </c>
      <c r="F6" s="64">
        <f>D5*净值!G4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155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  <row r="8" spans="2:11" ht="23" x14ac:dyDescent="0.3">
      <c r="B8" s="48">
        <v>20161010</v>
      </c>
      <c r="C8" s="64" t="s">
        <v>150</v>
      </c>
      <c r="D8" s="64">
        <f>投资者份数权益表!C21</f>
        <v>23408.289291309895</v>
      </c>
      <c r="E8" s="41">
        <f>净值!E6</f>
        <v>0.99584720269839067</v>
      </c>
      <c r="F8" s="64">
        <v>0</v>
      </c>
      <c r="G8" s="64">
        <f>D8</f>
        <v>23408.289291309895</v>
      </c>
      <c r="H8" s="64">
        <f>E8*D8</f>
        <v>23311.079410705654</v>
      </c>
      <c r="K8" s="110">
        <f>ROUND(E8*D8,2)</f>
        <v>23311.08</v>
      </c>
    </row>
    <row r="9" spans="2:11" ht="23" x14ac:dyDescent="0.3">
      <c r="B9" s="48">
        <v>20161017</v>
      </c>
      <c r="C9" s="64" t="s">
        <v>150</v>
      </c>
      <c r="D9" s="64">
        <v>23408.289291309895</v>
      </c>
      <c r="E9" s="41">
        <v>0.99990549172463006</v>
      </c>
      <c r="F9" s="64">
        <v>0</v>
      </c>
      <c r="G9" s="64">
        <f>D9</f>
        <v>23408.289291309895</v>
      </c>
      <c r="H9" s="64">
        <f>E9*D9</f>
        <v>23406.077014259612</v>
      </c>
    </row>
    <row r="10" spans="2:11" ht="23" x14ac:dyDescent="0.3">
      <c r="B10" s="48">
        <v>20161018</v>
      </c>
      <c r="C10" s="64" t="s">
        <v>155</v>
      </c>
      <c r="D10" s="64">
        <f>1000/E9</f>
        <v>1000.0945172080283</v>
      </c>
      <c r="E10" s="41">
        <v>0.99990549172463006</v>
      </c>
      <c r="F10" s="64">
        <v>1000</v>
      </c>
      <c r="G10" s="64">
        <f>G9+D10</f>
        <v>24408.383808517923</v>
      </c>
      <c r="H10" s="64">
        <f>E10*G10</f>
        <v>24406.077014259612</v>
      </c>
    </row>
    <row r="11" spans="2:11" ht="23" x14ac:dyDescent="0.3">
      <c r="B11" s="48">
        <v>20161019</v>
      </c>
      <c r="C11" s="64" t="s">
        <v>155</v>
      </c>
      <c r="D11" s="64">
        <f>5000/E10</f>
        <v>5000.4725860401413</v>
      </c>
      <c r="E11" s="41">
        <v>0.99990549172463006</v>
      </c>
      <c r="F11" s="64">
        <v>5000</v>
      </c>
      <c r="G11" s="64">
        <f>G10+D11</f>
        <v>29408.856394558064</v>
      </c>
      <c r="H11" s="64">
        <f>E11*G11</f>
        <v>29406.077014259612</v>
      </c>
    </row>
    <row r="12" spans="2:11" ht="23" x14ac:dyDescent="0.3">
      <c r="B12" s="48">
        <v>20161020</v>
      </c>
      <c r="C12" s="64" t="s">
        <v>150</v>
      </c>
      <c r="D12" s="64">
        <f>5000/E11</f>
        <v>5000.4725860401413</v>
      </c>
      <c r="E12" s="41">
        <f>净值!E9</f>
        <v>0.99968029338917808</v>
      </c>
      <c r="F12" s="64">
        <v>5000</v>
      </c>
      <c r="G12" s="64">
        <f>G11+D12</f>
        <v>34409.328980598206</v>
      </c>
      <c r="H12" s="64">
        <f>E12*G12</f>
        <v>34398.328090649164</v>
      </c>
    </row>
    <row r="14" spans="2:11" x14ac:dyDescent="0.15">
      <c r="H14" s="110">
        <f>H8-22000</f>
        <v>1311.0794107056536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9"/>
  <sheetViews>
    <sheetView tabSelected="1" workbookViewId="0">
      <selection activeCell="E11" sqref="E11"/>
    </sheetView>
  </sheetViews>
  <sheetFormatPr baseColWidth="10" defaultRowHeight="15" x14ac:dyDescent="0.15"/>
  <cols>
    <col min="2" max="2" width="18.33203125" customWidth="1"/>
    <col min="3" max="3" width="11.1640625" bestFit="1" customWidth="1"/>
    <col min="4" max="4" width="19.5" customWidth="1"/>
    <col min="5" max="5" width="12.5" bestFit="1" customWidth="1"/>
    <col min="7" max="7" width="16.33203125" customWidth="1"/>
    <col min="8" max="9" width="18.33203125" bestFit="1" customWidth="1"/>
    <col min="10" max="10" width="16.83203125" bestFit="1" customWidth="1"/>
    <col min="11" max="11" width="11.1640625" bestFit="1" customWidth="1"/>
    <col min="12" max="12" width="12.6640625" customWidth="1"/>
  </cols>
  <sheetData>
    <row r="3" spans="2:15" s="110" customFormat="1" x14ac:dyDescent="0.15"/>
    <row r="4" spans="2:15" s="111" customFormat="1" ht="23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I4" s="118" t="s">
        <v>179</v>
      </c>
      <c r="J4" s="118" t="s">
        <v>61</v>
      </c>
      <c r="K4" s="118" t="s">
        <v>165</v>
      </c>
      <c r="L4" s="118" t="s">
        <v>180</v>
      </c>
      <c r="N4" s="112" t="s">
        <v>23</v>
      </c>
      <c r="O4" s="113" t="s">
        <v>158</v>
      </c>
    </row>
    <row r="5" spans="2:15" s="39" customFormat="1" ht="23" hidden="1" x14ac:dyDescent="0.3">
      <c r="B5" s="129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>D5</f>
        <v>42243.189713341802</v>
      </c>
      <c r="H5" s="64">
        <f>ROUND(42243.1897133418,2)</f>
        <v>42243.19</v>
      </c>
      <c r="I5" s="64"/>
      <c r="J5" s="64"/>
      <c r="K5" s="64"/>
      <c r="L5" s="64"/>
      <c r="O5" s="39">
        <f>G5*E5</f>
        <v>42243.189713341802</v>
      </c>
    </row>
    <row r="6" spans="2:15" s="9" customFormat="1" ht="36" hidden="1" customHeight="1" x14ac:dyDescent="0.3">
      <c r="B6" s="130"/>
      <c r="C6" s="16" t="s">
        <v>159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>D6</f>
        <v>42243.189713341802</v>
      </c>
      <c r="H6" s="16">
        <f>ROUND(G6*E6,2)</f>
        <v>42241.77</v>
      </c>
      <c r="I6" s="16"/>
      <c r="J6" s="16"/>
      <c r="K6" s="16"/>
      <c r="L6" s="16"/>
      <c r="O6" s="9">
        <f>H5-F6</f>
        <v>42244.61</v>
      </c>
    </row>
    <row r="7" spans="2:15" s="110" customFormat="1" ht="36" hidden="1" customHeight="1" x14ac:dyDescent="0.3">
      <c r="B7" s="48">
        <v>20161010</v>
      </c>
      <c r="C7" s="64" t="s">
        <v>150</v>
      </c>
      <c r="D7" s="64">
        <f>投资者份数权益表!C20</f>
        <v>42243.189713341802</v>
      </c>
      <c r="E7" s="41">
        <f>净值!E6</f>
        <v>0.99584720269839067</v>
      </c>
      <c r="F7" s="64">
        <v>0</v>
      </c>
      <c r="G7" s="64">
        <f>D7</f>
        <v>42243.189713341802</v>
      </c>
      <c r="H7" s="64">
        <f>E7*D7</f>
        <v>42067.762309088866</v>
      </c>
      <c r="I7" s="64"/>
      <c r="J7" s="64"/>
      <c r="K7" s="64"/>
      <c r="L7" s="64"/>
      <c r="O7" s="110">
        <f>ROUND(E7*D7,2)</f>
        <v>42067.76</v>
      </c>
    </row>
    <row r="8" spans="2:15" s="110" customFormat="1" ht="50" hidden="1" customHeight="1" x14ac:dyDescent="0.3">
      <c r="B8" s="48">
        <v>20161017</v>
      </c>
      <c r="C8" s="64" t="s">
        <v>150</v>
      </c>
      <c r="D8" s="64">
        <v>42243.189713341802</v>
      </c>
      <c r="E8" s="41">
        <v>0.99990549172463006</v>
      </c>
      <c r="F8" s="64">
        <f>E8*D8-H7</f>
        <v>171.43507324700477</v>
      </c>
      <c r="G8" s="64">
        <f>D8</f>
        <v>42243.189713341802</v>
      </c>
      <c r="H8" s="64">
        <f>E8*D8</f>
        <v>42239.197382335871</v>
      </c>
      <c r="I8" s="64"/>
      <c r="J8" s="64"/>
      <c r="K8" s="64"/>
      <c r="L8" s="64"/>
    </row>
    <row r="9" spans="2:15" s="110" customFormat="1" ht="23" x14ac:dyDescent="0.3">
      <c r="B9" s="48">
        <v>20161019</v>
      </c>
      <c r="C9" s="64" t="s">
        <v>150</v>
      </c>
      <c r="D9" s="64">
        <v>42243.189713341802</v>
      </c>
      <c r="E9" s="41">
        <v>0.99630123325577546</v>
      </c>
      <c r="F9" s="64">
        <f>E9*D9-H8</f>
        <v>-152.25537427574454</v>
      </c>
      <c r="G9" s="64">
        <f>D9</f>
        <v>42243.189713341802</v>
      </c>
      <c r="H9" s="64">
        <f>E9*D9</f>
        <v>42086.942008060127</v>
      </c>
      <c r="I9" s="64">
        <f>H9-40000+560.38</f>
        <v>2647.3220080601268</v>
      </c>
      <c r="J9" s="64">
        <f>I9/40000</f>
        <v>6.6183050201503169E-2</v>
      </c>
      <c r="K9" s="64">
        <v>560.38</v>
      </c>
      <c r="L9" s="64">
        <f>560.38/40000</f>
        <v>1.4009499999999999E-2</v>
      </c>
    </row>
    <row r="10" spans="2:15" s="110" customFormat="1" ht="23" x14ac:dyDescent="0.3">
      <c r="B10" s="48">
        <v>20161020</v>
      </c>
      <c r="C10" s="64" t="s">
        <v>150</v>
      </c>
      <c r="D10" s="64">
        <v>42243.189713341802</v>
      </c>
      <c r="E10" s="41">
        <f>净值!E9</f>
        <v>0.99968029338917808</v>
      </c>
      <c r="F10" s="64">
        <f>E10*D10-H9</f>
        <v>142.74227826811693</v>
      </c>
      <c r="G10" s="64">
        <f>D10</f>
        <v>42243.189713341802</v>
      </c>
      <c r="H10" s="64">
        <f>E10*D10</f>
        <v>42229.684286328244</v>
      </c>
      <c r="I10" s="64">
        <f>H10-40000+560.38</f>
        <v>2790.0642863282437</v>
      </c>
      <c r="J10" s="64">
        <f>I10/40000</f>
        <v>6.9751607158206094E-2</v>
      </c>
      <c r="K10" s="64">
        <v>560.38</v>
      </c>
      <c r="L10" s="64">
        <f>560.38/40000</f>
        <v>1.4009499999999999E-2</v>
      </c>
    </row>
    <row r="11" spans="2:15" s="110" customFormat="1" x14ac:dyDescent="0.15"/>
    <row r="12" spans="2:15" s="110" customFormat="1" x14ac:dyDescent="0.15"/>
    <row r="13" spans="2:15" s="110" customFormat="1" x14ac:dyDescent="0.15"/>
    <row r="14" spans="2:15" s="110" customFormat="1" x14ac:dyDescent="0.15"/>
    <row r="15" spans="2:15" s="110" customFormat="1" x14ac:dyDescent="0.15"/>
    <row r="16" spans="2:15" s="110" customFormat="1" x14ac:dyDescent="0.15"/>
    <row r="17" s="110" customFormat="1" x14ac:dyDescent="0.15"/>
    <row r="18" s="110" customFormat="1" x14ac:dyDescent="0.15"/>
    <row r="19" s="110" customFormat="1" x14ac:dyDescent="0.15"/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2016-10-20T13:44:09Z</dcterms:modified>
</cp:coreProperties>
</file>